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BC7F52EA-0B5D-4209-868F-79D9EAE9438D}" xr6:coauthVersionLast="47" xr6:coauthVersionMax="47" xr10:uidLastSave="{00000000-0000-0000-0000-000000000000}"/>
  <bookViews>
    <workbookView xWindow="-57720" yWindow="-120" windowWidth="29040" windowHeight="15840" firstSheet="3" activeTab="8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Log'!$A$1:$G$842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9" i="8" l="1"/>
  <c r="G6" i="7"/>
  <c r="G7" i="7"/>
  <c r="G8" i="7"/>
  <c r="B8" i="8"/>
  <c r="B11" i="8"/>
  <c r="B10" i="8"/>
  <c r="B14" i="8"/>
  <c r="B13" i="8"/>
  <c r="B7" i="8"/>
  <c r="J34" i="5"/>
  <c r="E34" i="5"/>
  <c r="O16" i="5"/>
  <c r="J16" i="5"/>
  <c r="E16" i="5"/>
  <c r="F14" i="2"/>
  <c r="F2" i="2" s="1"/>
  <c r="B1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I33" i="12"/>
  <c r="J32" i="12"/>
  <c r="E32" i="12"/>
  <c r="J31" i="12"/>
  <c r="J29" i="12"/>
  <c r="E29" i="12"/>
  <c r="J28" i="12"/>
  <c r="I27" i="12"/>
  <c r="J26" i="12"/>
  <c r="J24" i="12"/>
  <c r="C24" i="12"/>
  <c r="J23" i="12"/>
  <c r="C22" i="12"/>
  <c r="J21" i="12"/>
  <c r="I20" i="12"/>
  <c r="J19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G787" i="10"/>
  <c r="C787" i="10"/>
  <c r="B787" i="10"/>
  <c r="H787" i="10" s="1"/>
  <c r="H786" i="10"/>
  <c r="G786" i="10"/>
  <c r="C786" i="10"/>
  <c r="B786" i="10"/>
  <c r="I785" i="10"/>
  <c r="H785" i="10"/>
  <c r="G785" i="10"/>
  <c r="E785" i="10"/>
  <c r="C785" i="10"/>
  <c r="B785" i="10"/>
  <c r="G784" i="10"/>
  <c r="C784" i="10"/>
  <c r="I784" i="10" s="1"/>
  <c r="B784" i="10"/>
  <c r="H784" i="10" s="1"/>
  <c r="G783" i="10"/>
  <c r="C783" i="10"/>
  <c r="B783" i="10"/>
  <c r="H783" i="10" s="1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H346" i="10"/>
  <c r="G346" i="10"/>
  <c r="C346" i="10"/>
  <c r="B346" i="10"/>
  <c r="I345" i="10"/>
  <c r="G345" i="10"/>
  <c r="E345" i="10"/>
  <c r="C345" i="10"/>
  <c r="B345" i="10"/>
  <c r="H345" i="10" s="1"/>
  <c r="H344" i="10"/>
  <c r="G344" i="10"/>
  <c r="C344" i="10"/>
  <c r="I344" i="10" s="1"/>
  <c r="B344" i="10"/>
  <c r="I343" i="10"/>
  <c r="G343" i="10"/>
  <c r="E343" i="10"/>
  <c r="C343" i="10"/>
  <c r="B343" i="10"/>
  <c r="H343" i="10" s="1"/>
  <c r="H342" i="10"/>
  <c r="G342" i="10"/>
  <c r="C342" i="10"/>
  <c r="B342" i="10"/>
  <c r="I341" i="10"/>
  <c r="G341" i="10"/>
  <c r="E341" i="10"/>
  <c r="C341" i="10"/>
  <c r="B341" i="10"/>
  <c r="H341" i="10" s="1"/>
  <c r="H340" i="10"/>
  <c r="G340" i="10"/>
  <c r="C340" i="10"/>
  <c r="I340" i="10" s="1"/>
  <c r="B340" i="10"/>
  <c r="I339" i="10"/>
  <c r="G339" i="10"/>
  <c r="E339" i="10"/>
  <c r="C339" i="10"/>
  <c r="B339" i="10"/>
  <c r="H339" i="10" s="1"/>
  <c r="H338" i="10"/>
  <c r="G338" i="10"/>
  <c r="C338" i="10"/>
  <c r="B338" i="10"/>
  <c r="I337" i="10"/>
  <c r="G337" i="10"/>
  <c r="E337" i="10"/>
  <c r="C337" i="10"/>
  <c r="B337" i="10"/>
  <c r="H337" i="10" s="1"/>
  <c r="H336" i="10"/>
  <c r="G336" i="10"/>
  <c r="C336" i="10"/>
  <c r="I336" i="10" s="1"/>
  <c r="B336" i="10"/>
  <c r="I335" i="10"/>
  <c r="G335" i="10"/>
  <c r="E335" i="10"/>
  <c r="C335" i="10"/>
  <c r="B335" i="10"/>
  <c r="H335" i="10" s="1"/>
  <c r="H334" i="10"/>
  <c r="G334" i="10"/>
  <c r="C334" i="10"/>
  <c r="B334" i="10"/>
  <c r="I333" i="10"/>
  <c r="G333" i="10"/>
  <c r="E333" i="10"/>
  <c r="C333" i="10"/>
  <c r="B333" i="10"/>
  <c r="H333" i="10" s="1"/>
  <c r="H332" i="10"/>
  <c r="G332" i="10"/>
  <c r="C332" i="10"/>
  <c r="I332" i="10" s="1"/>
  <c r="B332" i="10"/>
  <c r="I331" i="10"/>
  <c r="G331" i="10"/>
  <c r="E331" i="10"/>
  <c r="C331" i="10"/>
  <c r="B331" i="10"/>
  <c r="H331" i="10" s="1"/>
  <c r="H330" i="10"/>
  <c r="G330" i="10"/>
  <c r="C330" i="10"/>
  <c r="B330" i="10"/>
  <c r="I329" i="10"/>
  <c r="G329" i="10"/>
  <c r="E329" i="10"/>
  <c r="C329" i="10"/>
  <c r="B329" i="10"/>
  <c r="H329" i="10" s="1"/>
  <c r="H328" i="10"/>
  <c r="G328" i="10"/>
  <c r="C328" i="10"/>
  <c r="I328" i="10" s="1"/>
  <c r="B328" i="10"/>
  <c r="I327" i="10"/>
  <c r="G327" i="10"/>
  <c r="E327" i="10"/>
  <c r="C327" i="10"/>
  <c r="B327" i="10"/>
  <c r="H327" i="10" s="1"/>
  <c r="H326" i="10"/>
  <c r="G326" i="10"/>
  <c r="C326" i="10"/>
  <c r="B326" i="10"/>
  <c r="I325" i="10"/>
  <c r="G325" i="10"/>
  <c r="E325" i="10"/>
  <c r="C325" i="10"/>
  <c r="B325" i="10"/>
  <c r="H325" i="10" s="1"/>
  <c r="H324" i="10"/>
  <c r="G324" i="10"/>
  <c r="C324" i="10"/>
  <c r="I324" i="10" s="1"/>
  <c r="B324" i="10"/>
  <c r="I323" i="10"/>
  <c r="G323" i="10"/>
  <c r="E323" i="10"/>
  <c r="C323" i="10"/>
  <c r="B323" i="10"/>
  <c r="H323" i="10" s="1"/>
  <c r="H322" i="10"/>
  <c r="G322" i="10"/>
  <c r="C322" i="10"/>
  <c r="B322" i="10"/>
  <c r="I321" i="10"/>
  <c r="G321" i="10"/>
  <c r="E321" i="10"/>
  <c r="C321" i="10"/>
  <c r="B321" i="10"/>
  <c r="H321" i="10" s="1"/>
  <c r="H320" i="10"/>
  <c r="G320" i="10"/>
  <c r="C320" i="10"/>
  <c r="I320" i="10" s="1"/>
  <c r="B320" i="10"/>
  <c r="I319" i="10"/>
  <c r="G319" i="10"/>
  <c r="E319" i="10"/>
  <c r="C319" i="10"/>
  <c r="B319" i="10"/>
  <c r="H319" i="10" s="1"/>
  <c r="H318" i="10"/>
  <c r="G318" i="10"/>
  <c r="C318" i="10"/>
  <c r="B318" i="10"/>
  <c r="I317" i="10"/>
  <c r="G317" i="10"/>
  <c r="E317" i="10"/>
  <c r="C317" i="10"/>
  <c r="B317" i="10"/>
  <c r="H317" i="10" s="1"/>
  <c r="H316" i="10"/>
  <c r="G316" i="10"/>
  <c r="C316" i="10"/>
  <c r="I316" i="10" s="1"/>
  <c r="B316" i="10"/>
  <c r="I315" i="10"/>
  <c r="G315" i="10"/>
  <c r="E315" i="10"/>
  <c r="C315" i="10"/>
  <c r="B315" i="10"/>
  <c r="H315" i="10" s="1"/>
  <c r="H314" i="10"/>
  <c r="G314" i="10"/>
  <c r="C314" i="10"/>
  <c r="B314" i="10"/>
  <c r="I313" i="10"/>
  <c r="G313" i="10"/>
  <c r="E313" i="10"/>
  <c r="C313" i="10"/>
  <c r="B313" i="10"/>
  <c r="H313" i="10" s="1"/>
  <c r="H312" i="10"/>
  <c r="G312" i="10"/>
  <c r="C312" i="10"/>
  <c r="I312" i="10" s="1"/>
  <c r="B312" i="10"/>
  <c r="I311" i="10"/>
  <c r="G311" i="10"/>
  <c r="E311" i="10"/>
  <c r="C311" i="10"/>
  <c r="B311" i="10"/>
  <c r="H311" i="10" s="1"/>
  <c r="H310" i="10"/>
  <c r="G310" i="10"/>
  <c r="C310" i="10"/>
  <c r="B310" i="10"/>
  <c r="I309" i="10"/>
  <c r="G309" i="10"/>
  <c r="E309" i="10"/>
  <c r="C309" i="10"/>
  <c r="B309" i="10"/>
  <c r="H309" i="10" s="1"/>
  <c r="H308" i="10"/>
  <c r="G308" i="10"/>
  <c r="C308" i="10"/>
  <c r="I308" i="10" s="1"/>
  <c r="B308" i="10"/>
  <c r="I307" i="10"/>
  <c r="G307" i="10"/>
  <c r="E307" i="10"/>
  <c r="C307" i="10"/>
  <c r="B307" i="10"/>
  <c r="H307" i="10" s="1"/>
  <c r="H306" i="10"/>
  <c r="G306" i="10"/>
  <c r="C306" i="10"/>
  <c r="B306" i="10"/>
  <c r="I305" i="10"/>
  <c r="G305" i="10"/>
  <c r="E305" i="10"/>
  <c r="C305" i="10"/>
  <c r="B305" i="10"/>
  <c r="H305" i="10" s="1"/>
  <c r="H304" i="10"/>
  <c r="G304" i="10"/>
  <c r="C304" i="10"/>
  <c r="I304" i="10" s="1"/>
  <c r="B304" i="10"/>
  <c r="I303" i="10"/>
  <c r="G303" i="10"/>
  <c r="E303" i="10"/>
  <c r="C303" i="10"/>
  <c r="B303" i="10"/>
  <c r="H303" i="10" s="1"/>
  <c r="H302" i="10"/>
  <c r="G302" i="10"/>
  <c r="C302" i="10"/>
  <c r="B302" i="10"/>
  <c r="I301" i="10"/>
  <c r="G301" i="10"/>
  <c r="E301" i="10"/>
  <c r="C301" i="10"/>
  <c r="B301" i="10"/>
  <c r="H301" i="10" s="1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AC5" i="8"/>
  <c r="AB5" i="8"/>
  <c r="J23" i="3" s="1"/>
  <c r="AA5" i="8"/>
  <c r="Z5" i="8"/>
  <c r="J19" i="3" s="1"/>
  <c r="Y5" i="8"/>
  <c r="X5" i="8"/>
  <c r="J21" i="3" s="1"/>
  <c r="W5" i="8"/>
  <c r="V5" i="8"/>
  <c r="J20" i="3" s="1"/>
  <c r="U5" i="8"/>
  <c r="T5" i="8"/>
  <c r="J10" i="3" s="1"/>
  <c r="S5" i="8"/>
  <c r="R5" i="8"/>
  <c r="P7" i="3" s="1"/>
  <c r="Q5" i="8"/>
  <c r="P5" i="8"/>
  <c r="J17" i="3" s="1"/>
  <c r="O5" i="8"/>
  <c r="N5" i="8"/>
  <c r="J18" i="3" s="1"/>
  <c r="M5" i="8"/>
  <c r="L5" i="8"/>
  <c r="J24" i="3" s="1"/>
  <c r="K5" i="8"/>
  <c r="J5" i="8"/>
  <c r="J12" i="3" s="1"/>
  <c r="I5" i="8"/>
  <c r="H5" i="8"/>
  <c r="J1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841" i="7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AF36" i="6" s="1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AF20" i="6" s="1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AF15" i="6" s="1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AF14" i="6" s="1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AF5" i="6" s="1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23" i="3" s="1"/>
  <c r="F42" i="4"/>
  <c r="G42" i="4" s="1"/>
  <c r="J41" i="4"/>
  <c r="L41" i="4" s="1"/>
  <c r="F41" i="4"/>
  <c r="H21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6" i="3" s="1"/>
  <c r="L21" i="4"/>
  <c r="F21" i="4"/>
  <c r="N18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N17" i="3" s="1"/>
  <c r="G14" i="4"/>
  <c r="F14" i="4"/>
  <c r="J12" i="4"/>
  <c r="F12" i="4"/>
  <c r="N6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4" i="3"/>
  <c r="G24" i="3"/>
  <c r="G23" i="3"/>
  <c r="G22" i="3"/>
  <c r="G21" i="3"/>
  <c r="H20" i="3"/>
  <c r="G20" i="3"/>
  <c r="N19" i="3"/>
  <c r="M19" i="3"/>
  <c r="G19" i="3"/>
  <c r="M18" i="3"/>
  <c r="H18" i="3"/>
  <c r="G18" i="3"/>
  <c r="M17" i="3"/>
  <c r="H17" i="3"/>
  <c r="G17" i="3"/>
  <c r="M16" i="3"/>
  <c r="H16" i="3"/>
  <c r="G16" i="3"/>
  <c r="M15" i="3"/>
  <c r="H15" i="3"/>
  <c r="G15" i="3"/>
  <c r="N14" i="3"/>
  <c r="M14" i="3"/>
  <c r="H14" i="3"/>
  <c r="G14" i="3"/>
  <c r="M13" i="3"/>
  <c r="H13" i="3"/>
  <c r="G13" i="3"/>
  <c r="N12" i="3"/>
  <c r="M12" i="3"/>
  <c r="H12" i="3"/>
  <c r="G12" i="3"/>
  <c r="N11" i="3"/>
  <c r="M11" i="3"/>
  <c r="H11" i="3"/>
  <c r="G11" i="3"/>
  <c r="N10" i="3"/>
  <c r="M10" i="3"/>
  <c r="H10" i="3"/>
  <c r="G10" i="3"/>
  <c r="N9" i="3"/>
  <c r="M9" i="3"/>
  <c r="G9" i="3"/>
  <c r="M8" i="3"/>
  <c r="H8" i="3"/>
  <c r="G8" i="3"/>
  <c r="M7" i="3"/>
  <c r="H7" i="3"/>
  <c r="G7" i="3"/>
  <c r="B7" i="3"/>
  <c r="M6" i="3"/>
  <c r="H6" i="3"/>
  <c r="G6" i="3"/>
  <c r="B6" i="3"/>
  <c r="T5" i="3"/>
  <c r="S5" i="3"/>
  <c r="M5" i="3"/>
  <c r="H5" i="3"/>
  <c r="G5" i="3"/>
  <c r="S4" i="3"/>
  <c r="M4" i="3"/>
  <c r="H4" i="3"/>
  <c r="G4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9" i="6" l="1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86" i="7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G21" i="5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9" i="3"/>
  <c r="H22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5" i="3"/>
  <c r="N2" i="3" s="1"/>
  <c r="H19" i="3"/>
  <c r="L12" i="4"/>
  <c r="J59" i="4"/>
  <c r="K64" i="4"/>
  <c r="F20" i="5"/>
  <c r="K20" i="5"/>
  <c r="K28" i="5"/>
  <c r="M28" i="5" s="1"/>
  <c r="U3" i="6"/>
  <c r="N13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P16" i="5" l="1"/>
  <c r="F16" i="5"/>
  <c r="G20" i="5"/>
  <c r="F34" i="5"/>
  <c r="H34" i="5" s="1"/>
  <c r="L20" i="5"/>
  <c r="K34" i="5"/>
  <c r="M34" i="5" s="1"/>
  <c r="G58" i="7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K5" i="5"/>
  <c r="L5" i="5" s="1"/>
  <c r="D52" i="6"/>
  <c r="D51" i="6"/>
  <c r="G29" i="5"/>
  <c r="D49" i="6"/>
  <c r="J14" i="3"/>
  <c r="H30" i="5"/>
  <c r="K4" i="5"/>
  <c r="M4" i="5" s="1"/>
  <c r="H22" i="5"/>
  <c r="D50" i="6"/>
  <c r="D4" i="3"/>
  <c r="D2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2" i="3"/>
  <c r="H26" i="5"/>
  <c r="Q34" i="5"/>
  <c r="D28" i="6"/>
  <c r="J6" i="3"/>
  <c r="F29" i="6"/>
  <c r="G29" i="6" s="1"/>
  <c r="F25" i="6"/>
  <c r="G25" i="6" s="1"/>
  <c r="F21" i="6"/>
  <c r="G21" i="6" s="1"/>
  <c r="M30" i="5"/>
  <c r="D30" i="6"/>
  <c r="J16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K2" i="5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P17" i="3"/>
  <c r="D15" i="6"/>
  <c r="F42" i="6"/>
  <c r="G42" i="6" s="1"/>
  <c r="F38" i="6"/>
  <c r="G38" i="6" s="1"/>
  <c r="F34" i="6"/>
  <c r="G34" i="6" s="1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10" i="3"/>
  <c r="P4" i="3"/>
  <c r="D6" i="6"/>
  <c r="P13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4" i="3"/>
  <c r="D12" i="6"/>
  <c r="P6" i="3"/>
  <c r="Z20" i="11"/>
  <c r="Y20" i="11"/>
  <c r="F41" i="6"/>
  <c r="G41" i="6" s="1"/>
  <c r="F37" i="6"/>
  <c r="G37" i="6" s="1"/>
  <c r="F33" i="6"/>
  <c r="G33" i="6" s="1"/>
  <c r="M27" i="5"/>
  <c r="L27" i="5"/>
  <c r="H20" i="5"/>
  <c r="P19" i="3"/>
  <c r="D25" i="6"/>
  <c r="J4" i="3"/>
  <c r="D14" i="6"/>
  <c r="U22" i="11"/>
  <c r="T22" i="11"/>
  <c r="D23" i="6"/>
  <c r="J9" i="3"/>
  <c r="D18" i="6"/>
  <c r="J13" i="3"/>
  <c r="L22" i="5"/>
  <c r="M22" i="5"/>
  <c r="Q4" i="12"/>
  <c r="K6" i="5"/>
  <c r="M32" i="4"/>
  <c r="J6" i="4"/>
  <c r="H2" i="3"/>
  <c r="J12" i="11"/>
  <c r="K12" i="11"/>
  <c r="F11" i="11"/>
  <c r="G12" i="11" s="1"/>
  <c r="K11" i="5"/>
  <c r="M29" i="5"/>
  <c r="P15" i="3"/>
  <c r="D26" i="6"/>
  <c r="D9" i="6"/>
  <c r="P5" i="3"/>
  <c r="M23" i="5"/>
  <c r="L23" i="5"/>
  <c r="P11" i="3"/>
  <c r="D24" i="6"/>
  <c r="D10" i="6"/>
  <c r="J7" i="3"/>
  <c r="N8" i="14"/>
  <c r="C4" i="12"/>
  <c r="C5" i="12" s="1"/>
  <c r="D21" i="6"/>
  <c r="P18" i="3"/>
  <c r="D11" i="6"/>
  <c r="P8" i="3"/>
  <c r="N9" i="13"/>
  <c r="K10" i="5"/>
  <c r="G28" i="5"/>
  <c r="M11" i="13"/>
  <c r="K7" i="5"/>
  <c r="M25" i="5"/>
  <c r="P9" i="3"/>
  <c r="D16" i="6"/>
  <c r="D5" i="6"/>
  <c r="J5" i="3"/>
  <c r="E3" i="6"/>
  <c r="P12" i="11"/>
  <c r="O12" i="11"/>
  <c r="D22" i="6"/>
  <c r="P16" i="3"/>
  <c r="D7" i="6"/>
  <c r="P12" i="3"/>
  <c r="D20" i="6"/>
  <c r="J15" i="3"/>
  <c r="D8" i="6"/>
  <c r="J8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L34" i="5"/>
  <c r="T2" i="5"/>
  <c r="K16" i="5"/>
  <c r="M16" i="5" s="1"/>
  <c r="G46" i="7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5" i="7" s="1"/>
  <c r="G1" i="7" s="1" a="1"/>
  <c r="G1" i="7" s="1"/>
  <c r="B5" i="2" s="1"/>
  <c r="B7" i="2" s="1"/>
  <c r="T5" i="5"/>
  <c r="M5" i="5"/>
  <c r="T8" i="5"/>
  <c r="L4" i="5"/>
  <c r="L8" i="5"/>
  <c r="E4" i="3"/>
  <c r="E7" i="3"/>
  <c r="K8" i="3"/>
  <c r="Q11" i="3"/>
  <c r="K7" i="3"/>
  <c r="K13" i="3"/>
  <c r="Q8" i="3"/>
  <c r="Q15" i="3"/>
  <c r="Q5" i="3"/>
  <c r="T4" i="5"/>
  <c r="L12" i="5"/>
  <c r="L2" i="5"/>
  <c r="T12" i="5"/>
  <c r="M2" i="5"/>
  <c r="Q16" i="3"/>
  <c r="Q19" i="3"/>
  <c r="K15" i="3"/>
  <c r="Q12" i="3"/>
  <c r="K5" i="3"/>
  <c r="Q9" i="3"/>
  <c r="Q18" i="3"/>
  <c r="K9" i="3"/>
  <c r="B4" i="3"/>
  <c r="O68" i="4"/>
  <c r="P13" i="11"/>
  <c r="O13" i="11"/>
  <c r="K13" i="11"/>
  <c r="F12" i="11"/>
  <c r="G13" i="11" s="1"/>
  <c r="J13" i="11"/>
  <c r="K4" i="3"/>
  <c r="J2" i="3"/>
  <c r="K2" i="3" s="1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Q17" i="3"/>
  <c r="N10" i="13"/>
  <c r="J8" i="14" a="1"/>
  <c r="J8" i="14" s="1"/>
  <c r="N9" i="14"/>
  <c r="W7" i="3"/>
  <c r="Q14" i="3"/>
  <c r="M35" i="4"/>
  <c r="J9" i="4"/>
  <c r="L39" i="4"/>
  <c r="J42" i="4"/>
  <c r="Q13" i="3"/>
  <c r="M9" i="5"/>
  <c r="T9" i="5"/>
  <c r="L9" i="5"/>
  <c r="M6" i="5"/>
  <c r="T6" i="5"/>
  <c r="L6" i="5"/>
  <c r="U23" i="11"/>
  <c r="T23" i="11"/>
  <c r="K21" i="3"/>
  <c r="W5" i="3"/>
  <c r="K23" i="3"/>
  <c r="E6" i="3"/>
  <c r="K24" i="3"/>
  <c r="K11" i="3"/>
  <c r="K6" i="3"/>
  <c r="K14" i="3"/>
  <c r="K18" i="3"/>
  <c r="K20" i="3"/>
  <c r="E5" i="3"/>
  <c r="K10" i="3"/>
  <c r="K19" i="3"/>
  <c r="K12" i="3"/>
  <c r="K16" i="3"/>
  <c r="K22" i="3"/>
  <c r="W4" i="3"/>
  <c r="K17" i="3"/>
  <c r="Q7" i="3"/>
  <c r="Q6" i="3"/>
  <c r="P2" i="3"/>
  <c r="Q2" i="3" s="1"/>
  <c r="Q4" i="3"/>
  <c r="M3" i="5"/>
  <c r="T3" i="5"/>
  <c r="L3" i="5"/>
  <c r="G60" i="14"/>
  <c r="L16" i="5" l="1"/>
  <c r="F25" i="2"/>
  <c r="F16" i="2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J9" i="10" l="1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1" i="3" l="1"/>
  <c r="C7" i="3"/>
  <c r="U5" i="3"/>
  <c r="O9" i="3"/>
  <c r="I5" i="3"/>
  <c r="O19" i="3"/>
  <c r="C6" i="3"/>
  <c r="O14" i="3"/>
  <c r="O12" i="3"/>
  <c r="O10" i="3"/>
  <c r="I23" i="3"/>
  <c r="I17" i="3"/>
  <c r="O16" i="3"/>
  <c r="I12" i="3"/>
  <c r="I18" i="3"/>
  <c r="I7" i="3"/>
  <c r="I15" i="3"/>
  <c r="O18" i="3"/>
  <c r="O4" i="3"/>
  <c r="I21" i="3"/>
  <c r="I6" i="3"/>
  <c r="I14" i="3"/>
  <c r="I10" i="3"/>
  <c r="O6" i="3"/>
  <c r="I11" i="3"/>
  <c r="O17" i="3"/>
  <c r="I8" i="3"/>
  <c r="I16" i="3"/>
  <c r="I20" i="3"/>
  <c r="I13" i="3"/>
  <c r="I24" i="3"/>
  <c r="I4" i="3"/>
  <c r="O2" i="3"/>
  <c r="I9" i="3"/>
  <c r="O7" i="3"/>
  <c r="O15" i="3"/>
  <c r="O8" i="3"/>
  <c r="I19" i="3"/>
  <c r="O13" i="3"/>
  <c r="O5" i="3"/>
  <c r="I22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80" i="11"/>
  <c r="A96" i="11"/>
  <c r="A74" i="11"/>
  <c r="N79" i="13" l="1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8" i="12" s="1"/>
  <c r="E2" i="11"/>
  <c r="B22" i="2"/>
  <c r="K11" i="14"/>
  <c r="L11" i="14" s="1"/>
  <c r="N80" i="13"/>
  <c r="J79" i="13" a="1"/>
  <c r="J79" i="13" s="1"/>
  <c r="I12" i="14" l="1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/>
  <c r="C8" i="12"/>
  <c r="F29" i="2" l="1"/>
  <c r="O18" i="2"/>
  <c r="P26" i="2" s="1"/>
  <c r="F1" i="2"/>
  <c r="F3" i="2" s="1"/>
  <c r="O35" i="2"/>
  <c r="M84" i="13"/>
  <c r="M85" i="14"/>
  <c r="N82" i="13"/>
  <c r="J81" i="13" a="1"/>
  <c r="J81" i="13" s="1"/>
  <c r="O37" i="2"/>
  <c r="I8" i="13"/>
  <c r="B8" i="13"/>
  <c r="N81" i="14"/>
  <c r="J80" i="14" a="1"/>
  <c r="J80" i="14" s="1"/>
  <c r="P22" i="2"/>
  <c r="O36" i="2"/>
  <c r="P36" i="2" s="1"/>
  <c r="K12" i="14"/>
  <c r="L12" i="14" s="1"/>
  <c r="P37" i="2" l="1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K8" i="13"/>
  <c r="L8" i="13" s="1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P40" i="2" l="1"/>
  <c r="I9" i="13"/>
  <c r="Q11" i="10" a="1"/>
  <c r="Q11" i="10" s="1"/>
  <c r="S11" i="10" s="1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M88" i="14" l="1"/>
  <c r="I14" i="14"/>
  <c r="R16" i="10" a="1"/>
  <c r="R16" i="10" s="1"/>
  <c r="M87" i="13"/>
  <c r="N85" i="13"/>
  <c r="J84" i="13" a="1"/>
  <c r="J84" i="13" s="1"/>
  <c r="N84" i="14"/>
  <c r="J83" i="14" a="1"/>
  <c r="J83" i="14" s="1"/>
  <c r="K9" i="13"/>
  <c r="N86" i="13" l="1"/>
  <c r="J85" i="13" a="1"/>
  <c r="J85" i="13" s="1"/>
  <c r="K14" i="14"/>
  <c r="L14" i="14" s="1"/>
  <c r="I15" i="14" s="1"/>
  <c r="M88" i="13"/>
  <c r="M89" i="14"/>
  <c r="L9" i="13"/>
  <c r="N85" i="14"/>
  <c r="J84" i="14" a="1"/>
  <c r="J84" i="14" s="1"/>
  <c r="K15" i="14" l="1"/>
  <c r="L15" i="14" s="1"/>
  <c r="I16" i="14" s="1"/>
  <c r="M90" i="14"/>
  <c r="N86" i="14"/>
  <c r="J85" i="14" a="1"/>
  <c r="J85" i="14" s="1"/>
  <c r="M89" i="13"/>
  <c r="I10" i="13"/>
  <c r="Q12" i="10" a="1"/>
  <c r="Q12" i="10" s="1"/>
  <c r="S12" i="10" s="1"/>
  <c r="N87" i="13"/>
  <c r="J86" i="13" a="1"/>
  <c r="J86" i="13" s="1"/>
  <c r="K16" i="14" l="1"/>
  <c r="L16" i="14" s="1"/>
  <c r="I17" i="14" s="1"/>
  <c r="M90" i="13"/>
  <c r="M91" i="14"/>
  <c r="N88" i="13"/>
  <c r="J87" i="13" a="1"/>
  <c r="J87" i="13" s="1"/>
  <c r="K10" i="13"/>
  <c r="N87" i="14"/>
  <c r="J86" i="14" a="1"/>
  <c r="J86" i="14" s="1"/>
  <c r="K17" i="14" l="1"/>
  <c r="L17" i="14" s="1"/>
  <c r="I18" i="14" s="1"/>
  <c r="M91" i="13"/>
  <c r="N89" i="13"/>
  <c r="J88" i="13" a="1"/>
  <c r="J88" i="13" s="1"/>
  <c r="N88" i="14"/>
  <c r="J87" i="14" a="1"/>
  <c r="J87" i="14" s="1"/>
  <c r="M92" i="14"/>
  <c r="L10" i="13"/>
  <c r="K18" i="14" l="1"/>
  <c r="L18" i="14" s="1"/>
  <c r="I19" i="14" s="1"/>
  <c r="M92" i="13"/>
  <c r="I11" i="13"/>
  <c r="Q13" i="10" a="1"/>
  <c r="Q13" i="10" s="1"/>
  <c r="S13" i="10" s="1"/>
  <c r="M93" i="14"/>
  <c r="N89" i="14"/>
  <c r="J88" i="14" a="1"/>
  <c r="J88" i="14" s="1"/>
  <c r="N90" i="13"/>
  <c r="J89" i="13" a="1"/>
  <c r="J89" i="13" s="1"/>
  <c r="K19" i="14" l="1"/>
  <c r="L19" i="14" s="1"/>
  <c r="I20" i="14" s="1"/>
  <c r="M93" i="13"/>
  <c r="N90" i="14"/>
  <c r="J89" i="14" a="1"/>
  <c r="J89" i="14" s="1"/>
  <c r="M94" i="14"/>
  <c r="N91" i="13"/>
  <c r="J90" i="13" a="1"/>
  <c r="J90" i="13" s="1"/>
  <c r="K11" i="13"/>
  <c r="L11" i="13" s="1"/>
  <c r="I12" i="13" l="1"/>
  <c r="Q14" i="10" a="1"/>
  <c r="Q14" i="10" s="1"/>
  <c r="S14" i="10" s="1"/>
  <c r="K20" i="14"/>
  <c r="M95" i="14"/>
  <c r="M94" i="13"/>
  <c r="N92" i="13"/>
  <c r="J91" i="13" a="1"/>
  <c r="J91" i="13" s="1"/>
  <c r="N91" i="14"/>
  <c r="J90" i="14" a="1"/>
  <c r="J90" i="14" s="1"/>
  <c r="M96" i="14" l="1"/>
  <c r="N93" i="13"/>
  <c r="J92" i="13" a="1"/>
  <c r="J92" i="13" s="1"/>
  <c r="M95" i="13"/>
  <c r="N92" i="14"/>
  <c r="J91" i="14" a="1"/>
  <c r="J91" i="14" s="1"/>
  <c r="L20" i="14"/>
  <c r="I21" i="14" s="1"/>
  <c r="K12" i="13"/>
  <c r="L12" i="13" s="1"/>
  <c r="I13" i="13" l="1"/>
  <c r="Q15" i="10" a="1"/>
  <c r="Q15" i="10" s="1"/>
  <c r="S15" i="10" s="1"/>
  <c r="N94" i="13"/>
  <c r="J93" i="13" a="1"/>
  <c r="J93" i="13" s="1"/>
  <c r="N93" i="14"/>
  <c r="J92" i="14" a="1"/>
  <c r="J92" i="14" s="1"/>
  <c r="M96" i="13"/>
  <c r="K21" i="14"/>
  <c r="M97" i="14"/>
  <c r="N95" i="13" l="1"/>
  <c r="J94" i="13" a="1"/>
  <c r="J94" i="13" s="1"/>
  <c r="L21" i="14"/>
  <c r="I22" i="14" s="1"/>
  <c r="N94" i="14"/>
  <c r="J93" i="14" a="1"/>
  <c r="J93" i="14" s="1"/>
  <c r="M98" i="14"/>
  <c r="M97" i="13"/>
  <c r="K13" i="13"/>
  <c r="L13" i="13" s="1"/>
  <c r="I14" i="13" s="1"/>
  <c r="K14" i="13" l="1"/>
  <c r="L14" i="13" s="1"/>
  <c r="M98" i="13"/>
  <c r="N95" i="14"/>
  <c r="J94" i="14" a="1"/>
  <c r="J94" i="14" s="1"/>
  <c r="N96" i="13"/>
  <c r="J95" i="13" a="1"/>
  <c r="J95" i="13" s="1"/>
  <c r="M99" i="14"/>
  <c r="K22" i="14"/>
  <c r="I15" i="13" l="1"/>
  <c r="Q17" i="10" a="1"/>
  <c r="Q17" i="10" s="1"/>
  <c r="M100" i="14"/>
  <c r="N96" i="14"/>
  <c r="J95" i="14" a="1"/>
  <c r="J95" i="14" s="1"/>
  <c r="M99" i="13"/>
  <c r="L22" i="14"/>
  <c r="I23" i="14" s="1"/>
  <c r="N97" i="13"/>
  <c r="J96" i="13" a="1"/>
  <c r="J96" i="13" s="1"/>
  <c r="M100" i="13" l="1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/>
  <c r="L15" i="13" s="1"/>
  <c r="I16" i="13" s="1"/>
  <c r="K24" i="14" l="1"/>
  <c r="L24" i="14" s="1"/>
  <c r="I25" i="14" s="1"/>
  <c r="N98" i="14"/>
  <c r="J97" i="14" a="1"/>
  <c r="J97" i="14" s="1"/>
  <c r="M101" i="13"/>
  <c r="K16" i="13"/>
  <c r="L16" i="13" s="1"/>
  <c r="I17" i="13" s="1"/>
  <c r="M102" i="14"/>
  <c r="N99" i="13"/>
  <c r="J98" i="13" a="1"/>
  <c r="J98" i="13" s="1"/>
  <c r="K17" i="13" l="1"/>
  <c r="L17" i="13" s="1"/>
  <c r="I18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26" i="14" l="1"/>
  <c r="L26" i="14" s="1"/>
  <c r="I27" i="14" s="1"/>
  <c r="K18" i="13"/>
  <c r="L18" i="13" s="1"/>
  <c r="I19" i="13" s="1"/>
  <c r="M103" i="13"/>
  <c r="N100" i="14"/>
  <c r="J99" i="14" a="1"/>
  <c r="J99" i="14" s="1"/>
  <c r="M104" i="14"/>
  <c r="N101" i="13"/>
  <c r="J100" i="13" a="1"/>
  <c r="J100" i="13" s="1"/>
  <c r="K19" i="13" l="1"/>
  <c r="L19" i="13" s="1"/>
  <c r="I20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28" i="14" l="1"/>
  <c r="L28" i="14" s="1"/>
  <c r="I29" i="14" s="1"/>
  <c r="K20" i="13"/>
  <c r="M105" i="13"/>
  <c r="M106" i="14"/>
  <c r="N103" i="13"/>
  <c r="J102" i="13" a="1"/>
  <c r="J102" i="13" s="1"/>
  <c r="N102" i="14"/>
  <c r="J101" i="14" a="1"/>
  <c r="J101" i="14" s="1"/>
  <c r="K29" i="14" l="1"/>
  <c r="L29" i="14" s="1"/>
  <c r="I30" i="14" s="1"/>
  <c r="N103" i="14"/>
  <c r="J102" i="14" a="1"/>
  <c r="J102" i="14" s="1"/>
  <c r="L20" i="13"/>
  <c r="I21" i="13" s="1"/>
  <c r="M106" i="13"/>
  <c r="M107" i="14"/>
  <c r="N104" i="13"/>
  <c r="J103" i="13" a="1"/>
  <c r="J103" i="13" s="1"/>
  <c r="K30" i="14" l="1"/>
  <c r="L30" i="14" s="1"/>
  <c r="I31" i="14" s="1"/>
  <c r="M107" i="13"/>
  <c r="N104" i="14"/>
  <c r="J103" i="14" a="1"/>
  <c r="J103" i="14" s="1"/>
  <c r="M108" i="14"/>
  <c r="K21" i="13"/>
  <c r="N105" i="13"/>
  <c r="J104" i="13" a="1"/>
  <c r="J104" i="13" s="1"/>
  <c r="K31" i="14" l="1"/>
  <c r="L31" i="14" s="1"/>
  <c r="I32" i="14" s="1"/>
  <c r="M109" i="14"/>
  <c r="M108" i="13"/>
  <c r="N106" i="13"/>
  <c r="J105" i="13" a="1"/>
  <c r="J105" i="13" s="1"/>
  <c r="L21" i="13"/>
  <c r="I22" i="13" s="1"/>
  <c r="N105" i="14"/>
  <c r="J104" i="14" a="1"/>
  <c r="J104" i="14" s="1"/>
  <c r="K32" i="14" l="1"/>
  <c r="N107" i="13"/>
  <c r="J106" i="13" a="1"/>
  <c r="J106" i="13" s="1"/>
  <c r="K22" i="13"/>
  <c r="M109" i="13"/>
  <c r="N106" i="14"/>
  <c r="J105" i="14" a="1"/>
  <c r="J105" i="14" s="1"/>
  <c r="M110" i="14"/>
  <c r="N108" i="13" l="1"/>
  <c r="J107" i="13" a="1"/>
  <c r="J107" i="13" s="1"/>
  <c r="M110" i="13"/>
  <c r="M111" i="14"/>
  <c r="N107" i="14"/>
  <c r="J106" i="14" a="1"/>
  <c r="J106" i="14" s="1"/>
  <c r="L22" i="13"/>
  <c r="I23" i="13" s="1"/>
  <c r="L32" i="14"/>
  <c r="I33" i="14" s="1"/>
  <c r="N108" i="14" l="1"/>
  <c r="J107" i="14" a="1"/>
  <c r="J107" i="14" s="1"/>
  <c r="M111" i="13"/>
  <c r="N109" i="13"/>
  <c r="J108" i="13" a="1"/>
  <c r="J108" i="13" s="1"/>
  <c r="K33" i="14"/>
  <c r="M112" i="14"/>
  <c r="K23" i="13"/>
  <c r="L23" i="13" s="1"/>
  <c r="I24" i="13" s="1"/>
  <c r="K24" i="13" l="1"/>
  <c r="L24" i="13" s="1"/>
  <c r="I25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5" i="13" l="1"/>
  <c r="L25" i="13" s="1"/>
  <c r="I26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35" i="14" l="1"/>
  <c r="L35" i="14" s="1"/>
  <c r="I36" i="14" s="1"/>
  <c r="K26" i="13"/>
  <c r="L26" i="13" s="1"/>
  <c r="I27" i="13" s="1"/>
  <c r="M114" i="13"/>
  <c r="N112" i="13"/>
  <c r="J111" i="13" a="1"/>
  <c r="J111" i="13" s="1"/>
  <c r="M115" i="14"/>
  <c r="N111" i="14"/>
  <c r="J110" i="14" a="1"/>
  <c r="J110" i="14" s="1"/>
  <c r="K27" i="13" l="1"/>
  <c r="L27" i="13" s="1"/>
  <c r="I28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37" i="14" l="1"/>
  <c r="L37" i="14" s="1"/>
  <c r="I38" i="14" s="1"/>
  <c r="K28" i="13"/>
  <c r="L28" i="13" s="1"/>
  <c r="I29" i="13" s="1"/>
  <c r="M116" i="13"/>
  <c r="N113" i="14"/>
  <c r="J112" i="14" a="1"/>
  <c r="J112" i="14" s="1"/>
  <c r="M117" i="14"/>
  <c r="N114" i="13"/>
  <c r="J113" i="13" a="1"/>
  <c r="J113" i="13" s="1"/>
  <c r="K38" i="14" l="1"/>
  <c r="L38" i="14" s="1"/>
  <c r="I39" i="14" s="1"/>
  <c r="N114" i="14"/>
  <c r="J113" i="14" a="1"/>
  <c r="J113" i="14" s="1"/>
  <c r="M118" i="14"/>
  <c r="N115" i="13"/>
  <c r="J114" i="13" a="1"/>
  <c r="J114" i="13" s="1"/>
  <c r="K29" i="13"/>
  <c r="L29" i="13" s="1"/>
  <c r="I30" i="13" s="1"/>
  <c r="M117" i="13"/>
  <c r="K30" i="13" l="1"/>
  <c r="L30" i="13" s="1"/>
  <c r="I31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40" i="14" l="1"/>
  <c r="L40" i="14" s="1"/>
  <c r="I41" i="14" s="1"/>
  <c r="K31" i="13"/>
  <c r="L31" i="13" s="1"/>
  <c r="I32" i="13" s="1"/>
  <c r="N116" i="14"/>
  <c r="J115" i="14" a="1"/>
  <c r="J115" i="14" s="1"/>
  <c r="M119" i="13"/>
  <c r="M120" i="14"/>
  <c r="N117" i="13"/>
  <c r="J116" i="13" a="1"/>
  <c r="J116" i="13" s="1"/>
  <c r="K32" i="13" l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42" i="14" l="1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/>
  <c r="I33" i="13" s="1"/>
  <c r="K43" i="14" l="1"/>
  <c r="L43" i="14" s="1"/>
  <c r="I44" i="14" s="1"/>
  <c r="N119" i="14"/>
  <c r="J118" i="14" a="1"/>
  <c r="J118" i="14" s="1"/>
  <c r="M122" i="13"/>
  <c r="N120" i="13"/>
  <c r="J119" i="13" a="1"/>
  <c r="J119" i="13" s="1"/>
  <c r="K33" i="13"/>
  <c r="M123" i="14"/>
  <c r="K44" i="14" l="1"/>
  <c r="N120" i="14"/>
  <c r="J119" i="14" a="1"/>
  <c r="J119" i="14" s="1"/>
  <c r="N121" i="13"/>
  <c r="J120" i="13" a="1"/>
  <c r="J120" i="13" s="1"/>
  <c r="L33" i="13"/>
  <c r="I34" i="13" s="1"/>
  <c r="M123" i="13"/>
  <c r="M124" i="14"/>
  <c r="K34" i="13" l="1"/>
  <c r="M124" i="13"/>
  <c r="N121" i="14"/>
  <c r="J120" i="14" a="1"/>
  <c r="J120" i="14" s="1"/>
  <c r="N122" i="13"/>
  <c r="J121" i="13" a="1"/>
  <c r="J121" i="13" s="1"/>
  <c r="M125" i="14"/>
  <c r="L44" i="14"/>
  <c r="I45" i="14" s="1"/>
  <c r="N122" i="14" l="1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/>
  <c r="I35" i="13" s="1"/>
  <c r="K46" i="14" l="1"/>
  <c r="L46" i="14" s="1"/>
  <c r="I47" i="14" s="1"/>
  <c r="K35" i="13"/>
  <c r="L35" i="13" s="1"/>
  <c r="I36" i="13" s="1"/>
  <c r="M126" i="13"/>
  <c r="M127" i="14"/>
  <c r="N124" i="13"/>
  <c r="J123" i="13" a="1"/>
  <c r="J123" i="13" s="1"/>
  <c r="N123" i="14"/>
  <c r="J122" i="14" a="1"/>
  <c r="J122" i="14" s="1"/>
  <c r="K36" i="13" l="1"/>
  <c r="L36" i="13" s="1"/>
  <c r="I37" i="13" s="1"/>
  <c r="K47" i="14"/>
  <c r="N125" i="13"/>
  <c r="J124" i="13" a="1"/>
  <c r="J124" i="13" s="1"/>
  <c r="M127" i="13"/>
  <c r="N124" i="14"/>
  <c r="J123" i="14" a="1"/>
  <c r="J123" i="14" s="1"/>
  <c r="M128" i="14"/>
  <c r="K37" i="13" l="1"/>
  <c r="L37" i="13" s="1"/>
  <c r="I38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8" i="13" l="1"/>
  <c r="L38" i="13" s="1"/>
  <c r="I39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49" i="14" l="1"/>
  <c r="L49" i="14" s="1"/>
  <c r="I50" i="14" s="1"/>
  <c r="K39" i="13"/>
  <c r="L39" i="13" s="1"/>
  <c r="I40" i="13" s="1"/>
  <c r="M130" i="13"/>
  <c r="M131" i="14"/>
  <c r="N127" i="14"/>
  <c r="J126" i="14" a="1"/>
  <c r="J126" i="14" s="1"/>
  <c r="N128" i="13"/>
  <c r="J127" i="13" a="1"/>
  <c r="J127" i="13" s="1"/>
  <c r="K40" i="13" l="1"/>
  <c r="L40" i="13" s="1"/>
  <c r="I41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51" i="14" l="1"/>
  <c r="L51" i="14" s="1"/>
  <c r="I52" i="14" s="1"/>
  <c r="K41" i="13"/>
  <c r="L41" i="13" s="1"/>
  <c r="I42" i="13" s="1"/>
  <c r="M132" i="13"/>
  <c r="N129" i="14"/>
  <c r="J128" i="14" a="1"/>
  <c r="J128" i="14" s="1"/>
  <c r="M133" i="14"/>
  <c r="N130" i="13"/>
  <c r="J129" i="13" a="1"/>
  <c r="J129" i="13" s="1"/>
  <c r="K42" i="13" l="1"/>
  <c r="L42" i="13" s="1"/>
  <c r="I43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53" i="14" l="1"/>
  <c r="L53" i="14" s="1"/>
  <c r="I54" i="14" s="1"/>
  <c r="K43" i="13"/>
  <c r="L43" i="13" s="1"/>
  <c r="I44" i="13" s="1"/>
  <c r="M135" i="14"/>
  <c r="N132" i="13"/>
  <c r="J131" i="13" a="1"/>
  <c r="J131" i="13" s="1"/>
  <c r="M134" i="13"/>
  <c r="N131" i="14"/>
  <c r="J130" i="14" a="1"/>
  <c r="J130" i="14" s="1"/>
  <c r="K44" i="13" l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M137" i="14" l="1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/>
  <c r="I45" i="13" s="1"/>
  <c r="K56" i="14" l="1"/>
  <c r="K45" i="13"/>
  <c r="M137" i="13"/>
  <c r="N135" i="13"/>
  <c r="J134" i="13" a="1"/>
  <c r="J134" i="13" s="1"/>
  <c r="N134" i="14"/>
  <c r="J133" i="14" a="1"/>
  <c r="J133" i="14" s="1"/>
  <c r="M138" i="14"/>
  <c r="N136" i="13" l="1"/>
  <c r="J135" i="13" a="1"/>
  <c r="J135" i="13" s="1"/>
  <c r="L45" i="13"/>
  <c r="I46" i="13" s="1"/>
  <c r="M139" i="14"/>
  <c r="M138" i="13"/>
  <c r="N135" i="14"/>
  <c r="J134" i="14" a="1"/>
  <c r="J134" i="14" s="1"/>
  <c r="L56" i="14"/>
  <c r="I57" i="14" s="1"/>
  <c r="M140" i="14" l="1"/>
  <c r="M139" i="13"/>
  <c r="K57" i="14"/>
  <c r="K46" i="13"/>
  <c r="N136" i="14"/>
  <c r="J135" i="14" a="1"/>
  <c r="J135" i="14" s="1"/>
  <c r="N137" i="13"/>
  <c r="J136" i="13" a="1"/>
  <c r="J136" i="13" s="1"/>
  <c r="M140" i="13" l="1"/>
  <c r="N138" i="13"/>
  <c r="J137" i="13" a="1"/>
  <c r="J137" i="13" s="1"/>
  <c r="L46" i="13"/>
  <c r="I47" i="13" s="1"/>
  <c r="M141" i="14"/>
  <c r="N137" i="14"/>
  <c r="J136" i="14" a="1"/>
  <c r="J136" i="14" s="1"/>
  <c r="L57" i="14"/>
  <c r="I58" i="14" s="1"/>
  <c r="K58" i="14" l="1"/>
  <c r="N139" i="13"/>
  <c r="J138" i="13" a="1"/>
  <c r="J138" i="13" s="1"/>
  <c r="M141" i="13"/>
  <c r="M142" i="14"/>
  <c r="N138" i="14"/>
  <c r="J137" i="14" a="1"/>
  <c r="J137" i="14" s="1"/>
  <c r="K47" i="13"/>
  <c r="L47" i="13" s="1"/>
  <c r="I48" i="13" s="1"/>
  <c r="K48" i="13" l="1"/>
  <c r="L48" i="13" s="1"/>
  <c r="I49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9" i="13" l="1"/>
  <c r="L49" i="13" s="1"/>
  <c r="I50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60" i="14" l="1"/>
  <c r="L60" i="14" s="1"/>
  <c r="I61" i="14" s="1"/>
  <c r="K50" i="13"/>
  <c r="L50" i="13" s="1"/>
  <c r="I51" i="13" s="1"/>
  <c r="N141" i="14"/>
  <c r="J140" i="14" a="1"/>
  <c r="J140" i="14" s="1"/>
  <c r="N142" i="13"/>
  <c r="J141" i="13" a="1"/>
  <c r="J141" i="13" s="1"/>
  <c r="M144" i="13"/>
  <c r="M145" i="14"/>
  <c r="K51" i="13" l="1"/>
  <c r="L51" i="13" s="1"/>
  <c r="I52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62" i="14" l="1"/>
  <c r="L62" i="14" s="1"/>
  <c r="I63" i="14" s="1"/>
  <c r="K52" i="13"/>
  <c r="L52" i="13" s="1"/>
  <c r="I53" i="13" s="1"/>
  <c r="M146" i="13"/>
  <c r="N143" i="14"/>
  <c r="J142" i="14" a="1"/>
  <c r="J142" i="14" s="1"/>
  <c r="M147" i="14"/>
  <c r="N144" i="13"/>
  <c r="J143" i="13" a="1"/>
  <c r="J143" i="13" s="1"/>
  <c r="K53" i="13" l="1"/>
  <c r="L53" i="13" s="1"/>
  <c r="I54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64" i="14" l="1"/>
  <c r="L64" i="14" s="1"/>
  <c r="I65" i="14" s="1"/>
  <c r="K54" i="13"/>
  <c r="L54" i="13" s="1"/>
  <c r="I55" i="13" s="1"/>
  <c r="M149" i="14"/>
  <c r="M148" i="13"/>
  <c r="N146" i="13"/>
  <c r="J145" i="13" a="1"/>
  <c r="J145" i="13" s="1"/>
  <c r="N145" i="14"/>
  <c r="J144" i="14" a="1"/>
  <c r="J144" i="14" s="1"/>
  <c r="K65" i="14" l="1"/>
  <c r="L65" i="14" s="1"/>
  <c r="I66" i="14" s="1"/>
  <c r="M149" i="13"/>
  <c r="K55" i="13"/>
  <c r="L55" i="13" s="1"/>
  <c r="I56" i="13" s="1"/>
  <c r="M150" i="14"/>
  <c r="N146" i="14"/>
  <c r="J145" i="14" a="1"/>
  <c r="J145" i="14" s="1"/>
  <c r="N147" i="13"/>
  <c r="J146" i="13" a="1"/>
  <c r="J146" i="13" s="1"/>
  <c r="K56" i="13" l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67" i="14" l="1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/>
  <c r="I57" i="13" s="1"/>
  <c r="K68" i="14" l="1"/>
  <c r="K57" i="13"/>
  <c r="M152" i="13"/>
  <c r="N150" i="13"/>
  <c r="J149" i="13" a="1"/>
  <c r="J149" i="13" s="1"/>
  <c r="M153" i="14"/>
  <c r="N149" i="14"/>
  <c r="J148" i="14" a="1"/>
  <c r="J148" i="14" s="1"/>
  <c r="N150" i="14" l="1"/>
  <c r="J149" i="14" a="1"/>
  <c r="J149" i="14" s="1"/>
  <c r="N151" i="13"/>
  <c r="J150" i="13" a="1"/>
  <c r="J150" i="13" s="1"/>
  <c r="L57" i="13"/>
  <c r="I58" i="13" s="1"/>
  <c r="M154" i="14"/>
  <c r="M153" i="13"/>
  <c r="L68" i="14"/>
  <c r="I69" i="14" s="1"/>
  <c r="K69" i="14" l="1"/>
  <c r="M155" i="14"/>
  <c r="N152" i="13"/>
  <c r="J151" i="13" a="1"/>
  <c r="J151" i="13" s="1"/>
  <c r="M154" i="13"/>
  <c r="K58" i="13"/>
  <c r="N151" i="14"/>
  <c r="J150" i="14" a="1"/>
  <c r="J150" i="14" s="1"/>
  <c r="M155" i="13" l="1"/>
  <c r="M156" i="14"/>
  <c r="N152" i="14"/>
  <c r="J151" i="14" a="1"/>
  <c r="J151" i="14" s="1"/>
  <c r="L58" i="13"/>
  <c r="I59" i="13" s="1"/>
  <c r="N153" i="13"/>
  <c r="J152" i="13" a="1"/>
  <c r="J152" i="13" s="1"/>
  <c r="L69" i="14"/>
  <c r="I70" i="14" s="1"/>
  <c r="M157" i="14" l="1"/>
  <c r="M156" i="13"/>
  <c r="K70" i="14"/>
  <c r="L70" i="14" s="1"/>
  <c r="I71" i="14" s="1"/>
  <c r="N154" i="13"/>
  <c r="J153" i="13" a="1"/>
  <c r="J153" i="13" s="1"/>
  <c r="K59" i="13"/>
  <c r="L59" i="13" s="1"/>
  <c r="I60" i="13" s="1"/>
  <c r="N153" i="14"/>
  <c r="J152" i="14" a="1"/>
  <c r="J152" i="14" s="1"/>
  <c r="K71" i="14" l="1"/>
  <c r="L71" i="14" s="1"/>
  <c r="I72" i="14" s="1"/>
  <c r="K60" i="13"/>
  <c r="L60" i="13" s="1"/>
  <c r="I61" i="13" s="1"/>
  <c r="N154" i="14"/>
  <c r="J153" i="14" a="1"/>
  <c r="J153" i="14" s="1"/>
  <c r="N155" i="13"/>
  <c r="J154" i="13" a="1"/>
  <c r="J154" i="13" s="1"/>
  <c r="M157" i="13"/>
  <c r="M158" i="14"/>
  <c r="K72" i="14" l="1"/>
  <c r="L72" i="14" s="1"/>
  <c r="I73" i="14" s="1"/>
  <c r="K61" i="13"/>
  <c r="L61" i="13" s="1"/>
  <c r="I62" i="13" s="1"/>
  <c r="N156" i="13"/>
  <c r="J155" i="13" a="1"/>
  <c r="J155" i="13" s="1"/>
  <c r="M159" i="14"/>
  <c r="M158" i="13"/>
  <c r="N155" i="14"/>
  <c r="J154" i="14" a="1"/>
  <c r="J154" i="14" s="1"/>
  <c r="K62" i="13" l="1"/>
  <c r="L62" i="13" s="1"/>
  <c r="I63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74" i="14" l="1"/>
  <c r="L74" i="14" s="1"/>
  <c r="I75" i="14" s="1"/>
  <c r="K63" i="13"/>
  <c r="L63" i="13" s="1"/>
  <c r="I64" i="13" s="1"/>
  <c r="N157" i="14"/>
  <c r="J156" i="14" a="1"/>
  <c r="J156" i="14" s="1"/>
  <c r="M160" i="13"/>
  <c r="M161" i="14"/>
  <c r="N158" i="13"/>
  <c r="J157" i="13" a="1"/>
  <c r="J157" i="13" s="1"/>
  <c r="K64" i="13" l="1"/>
  <c r="L64" i="13" s="1"/>
  <c r="I65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76" i="14" l="1"/>
  <c r="L76" i="14" s="1"/>
  <c r="I77" i="14" s="1"/>
  <c r="K65" i="13"/>
  <c r="L65" i="13" s="1"/>
  <c r="I66" i="13" s="1"/>
  <c r="M162" i="13"/>
  <c r="N159" i="14"/>
  <c r="J158" i="14" a="1"/>
  <c r="J158" i="14" s="1"/>
  <c r="M163" i="14"/>
  <c r="N160" i="13"/>
  <c r="J159" i="13" a="1"/>
  <c r="J159" i="13" s="1"/>
  <c r="K66" i="13" l="1"/>
  <c r="L66" i="13" s="1"/>
  <c r="I67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78" i="14" l="1"/>
  <c r="L78" i="14" s="1"/>
  <c r="I79" i="14" s="1"/>
  <c r="K67" i="13"/>
  <c r="L67" i="13" s="1"/>
  <c r="I68" i="13" s="1"/>
  <c r="N161" i="14"/>
  <c r="J160" i="14" a="1"/>
  <c r="J160" i="14" s="1"/>
  <c r="M164" i="13"/>
  <c r="M165" i="14"/>
  <c r="N162" i="13"/>
  <c r="J161" i="13" a="1"/>
  <c r="J161" i="13" s="1"/>
  <c r="K68" i="13" l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80" i="14" l="1"/>
  <c r="M166" i="13"/>
  <c r="N163" i="14"/>
  <c r="J162" i="14" a="1"/>
  <c r="J162" i="14" s="1"/>
  <c r="M167" i="14"/>
  <c r="N164" i="13"/>
  <c r="J163" i="13" a="1"/>
  <c r="J163" i="13" s="1"/>
  <c r="L68" i="13"/>
  <c r="I69" i="13" s="1"/>
  <c r="N165" i="13" l="1"/>
  <c r="J164" i="13" a="1"/>
  <c r="J164" i="13" s="1"/>
  <c r="N164" i="14"/>
  <c r="J163" i="14" a="1"/>
  <c r="J163" i="14" s="1"/>
  <c r="M168" i="14"/>
  <c r="K69" i="13"/>
  <c r="M167" i="13"/>
  <c r="L80" i="14"/>
  <c r="I81" i="14" s="1"/>
  <c r="M168" i="13" l="1"/>
  <c r="M169" i="14"/>
  <c r="K81" i="14"/>
  <c r="L69" i="13"/>
  <c r="I70" i="13" s="1"/>
  <c r="N165" i="14"/>
  <c r="J164" i="14" a="1"/>
  <c r="J164" i="14" s="1"/>
  <c r="N166" i="13"/>
  <c r="J165" i="13" a="1"/>
  <c r="J165" i="13" s="1"/>
  <c r="N166" i="14" l="1"/>
  <c r="J165" i="14" a="1"/>
  <c r="J165" i="14" s="1"/>
  <c r="M170" i="14"/>
  <c r="N167" i="13"/>
  <c r="J166" i="13" a="1"/>
  <c r="J166" i="13" s="1"/>
  <c r="K70" i="13"/>
  <c r="L70" i="13" s="1"/>
  <c r="I71" i="13" s="1"/>
  <c r="M169" i="13"/>
  <c r="L81" i="14"/>
  <c r="I82" i="14" s="1"/>
  <c r="M171" i="14" l="1"/>
  <c r="K82" i="14"/>
  <c r="L82" i="14" s="1"/>
  <c r="I83" i="14" s="1"/>
  <c r="M170" i="13"/>
  <c r="K71" i="13"/>
  <c r="L71" i="13" s="1"/>
  <c r="I72" i="13" s="1"/>
  <c r="N168" i="13"/>
  <c r="J167" i="13" a="1"/>
  <c r="J167" i="13" s="1"/>
  <c r="N167" i="14"/>
  <c r="J166" i="14" a="1"/>
  <c r="J166" i="14" s="1"/>
  <c r="K72" i="13" l="1"/>
  <c r="L72" i="13" s="1"/>
  <c r="I73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84" i="14" l="1"/>
  <c r="L84" i="14" s="1"/>
  <c r="I85" i="14" s="1"/>
  <c r="K73" i="13"/>
  <c r="L73" i="13" s="1"/>
  <c r="I74" i="13" s="1"/>
  <c r="M172" i="13"/>
  <c r="M173" i="14"/>
  <c r="N170" i="13"/>
  <c r="J169" i="13" a="1"/>
  <c r="J169" i="13" s="1"/>
  <c r="N169" i="14"/>
  <c r="J168" i="14" a="1"/>
  <c r="J168" i="14" s="1"/>
  <c r="K74" i="13" l="1"/>
  <c r="L74" i="13" s="1"/>
  <c r="I75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86" i="14" l="1"/>
  <c r="L86" i="14" s="1"/>
  <c r="I87" i="14" s="1"/>
  <c r="K75" i="13"/>
  <c r="L75" i="13" s="1"/>
  <c r="I76" i="13" s="1"/>
  <c r="N171" i="14"/>
  <c r="J170" i="14" a="1"/>
  <c r="J170" i="14" s="1"/>
  <c r="N172" i="13"/>
  <c r="J171" i="13" a="1"/>
  <c r="J171" i="13" s="1"/>
  <c r="M174" i="13"/>
  <c r="M175" i="14"/>
  <c r="K76" i="13" l="1"/>
  <c r="L76" i="13" s="1"/>
  <c r="I77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88" i="14" l="1"/>
  <c r="L88" i="14" s="1"/>
  <c r="I89" i="14" s="1"/>
  <c r="K77" i="13"/>
  <c r="L77" i="13" s="1"/>
  <c r="I78" i="13" s="1"/>
  <c r="N173" i="14"/>
  <c r="J172" i="14" a="1"/>
  <c r="J172" i="14" s="1"/>
  <c r="M177" i="14"/>
  <c r="M176" i="13"/>
  <c r="N174" i="13"/>
  <c r="J173" i="13" a="1"/>
  <c r="J173" i="13" s="1"/>
  <c r="K78" i="13" l="1"/>
  <c r="L78" i="13" s="1"/>
  <c r="I79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90" i="14" l="1"/>
  <c r="L90" i="14" s="1"/>
  <c r="I91" i="14" s="1"/>
  <c r="K79" i="13"/>
  <c r="L79" i="13" s="1"/>
  <c r="I80" i="13" s="1"/>
  <c r="N175" i="14"/>
  <c r="J174" i="14" a="1"/>
  <c r="J174" i="14" s="1"/>
  <c r="M179" i="14"/>
  <c r="M178" i="13"/>
  <c r="N176" i="13"/>
  <c r="J175" i="13" a="1"/>
  <c r="J175" i="13" s="1"/>
  <c r="K80" i="13" l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92" i="14" l="1"/>
  <c r="N178" i="13"/>
  <c r="J177" i="13" a="1"/>
  <c r="J177" i="13" s="1"/>
  <c r="N177" i="14"/>
  <c r="J176" i="14" a="1"/>
  <c r="J176" i="14" s="1"/>
  <c r="M180" i="13"/>
  <c r="M181" i="14"/>
  <c r="L80" i="13"/>
  <c r="I81" i="13" s="1"/>
  <c r="N178" i="14" l="1"/>
  <c r="J177" i="14" a="1"/>
  <c r="J177" i="14" s="1"/>
  <c r="M181" i="13"/>
  <c r="M182" i="14"/>
  <c r="N179" i="13"/>
  <c r="J178" i="13" a="1"/>
  <c r="J178" i="13" s="1"/>
  <c r="K81" i="13"/>
  <c r="L81" i="13" s="1"/>
  <c r="I82" i="13" s="1"/>
  <c r="L92" i="14"/>
  <c r="I93" i="14" s="1"/>
  <c r="M182" i="13" l="1"/>
  <c r="N180" i="13"/>
  <c r="J179" i="13" a="1"/>
  <c r="J179" i="13" s="1"/>
  <c r="K93" i="14"/>
  <c r="K82" i="13"/>
  <c r="L82" i="13" s="1"/>
  <c r="I83" i="13" s="1"/>
  <c r="M183" i="14"/>
  <c r="N179" i="14"/>
  <c r="J178" i="14" a="1"/>
  <c r="J178" i="14" s="1"/>
  <c r="N180" i="14" l="1"/>
  <c r="J179" i="14" a="1"/>
  <c r="J179" i="14" s="1"/>
  <c r="K83" i="13"/>
  <c r="L83" i="13" s="1"/>
  <c r="I84" i="13" s="1"/>
  <c r="M184" i="14"/>
  <c r="L93" i="14"/>
  <c r="I94" i="14" s="1"/>
  <c r="M183" i="13"/>
  <c r="N181" i="13"/>
  <c r="J180" i="13" a="1"/>
  <c r="J180" i="13" s="1"/>
  <c r="K94" i="14" l="1"/>
  <c r="L94" i="14" s="1"/>
  <c r="I95" i="14" s="1"/>
  <c r="K84" i="13"/>
  <c r="L84" i="13" s="1"/>
  <c r="I85" i="13" s="1"/>
  <c r="N182" i="13"/>
  <c r="J181" i="13" a="1"/>
  <c r="J181" i="13" s="1"/>
  <c r="M184" i="13"/>
  <c r="M185" i="14"/>
  <c r="N181" i="14"/>
  <c r="J180" i="14" a="1"/>
  <c r="J180" i="14" s="1"/>
  <c r="K85" i="13" l="1"/>
  <c r="L85" i="13" s="1"/>
  <c r="I86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96" i="14" l="1"/>
  <c r="L96" i="14" s="1"/>
  <c r="I97" i="14" s="1"/>
  <c r="K86" i="13"/>
  <c r="L86" i="13" s="1"/>
  <c r="I87" i="13" s="1"/>
  <c r="N183" i="14"/>
  <c r="J182" i="14" a="1"/>
  <c r="J182" i="14" s="1"/>
  <c r="N184" i="13"/>
  <c r="J183" i="13" a="1"/>
  <c r="J183" i="13" s="1"/>
  <c r="M187" i="14"/>
  <c r="M186" i="13"/>
  <c r="K87" i="13" l="1"/>
  <c r="L87" i="13" s="1"/>
  <c r="I88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8" i="13" l="1"/>
  <c r="L88" i="13" s="1"/>
  <c r="I89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99" i="14" l="1"/>
  <c r="L99" i="14" s="1"/>
  <c r="I100" i="14" s="1"/>
  <c r="K89" i="13"/>
  <c r="L89" i="13" s="1"/>
  <c r="I90" i="13" s="1"/>
  <c r="N187" i="13"/>
  <c r="J186" i="13" a="1"/>
  <c r="J186" i="13" s="1"/>
  <c r="M189" i="13"/>
  <c r="M190" i="14"/>
  <c r="N186" i="14"/>
  <c r="J185" i="14" a="1"/>
  <c r="J185" i="14" s="1"/>
  <c r="K90" i="13" l="1"/>
  <c r="L90" i="13" s="1"/>
  <c r="I91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101" i="14" l="1"/>
  <c r="L101" i="14" s="1"/>
  <c r="I102" i="14" s="1"/>
  <c r="K91" i="13"/>
  <c r="L91" i="13" s="1"/>
  <c r="I92" i="13" s="1"/>
  <c r="N189" i="13"/>
  <c r="J188" i="13" a="1"/>
  <c r="J188" i="13" s="1"/>
  <c r="N188" i="14"/>
  <c r="J187" i="14" a="1"/>
  <c r="J187" i="14" s="1"/>
  <c r="M192" i="14"/>
  <c r="M191" i="13"/>
  <c r="K92" i="13" l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103" i="14" l="1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/>
  <c r="I93" i="13" s="1"/>
  <c r="K104" i="14" l="1"/>
  <c r="K93" i="13"/>
  <c r="M195" i="14"/>
  <c r="N192" i="13"/>
  <c r="J191" i="13" a="1"/>
  <c r="J191" i="13" s="1"/>
  <c r="N191" i="14"/>
  <c r="J190" i="14" a="1"/>
  <c r="J190" i="14" s="1"/>
  <c r="M194" i="13"/>
  <c r="N193" i="13" l="1"/>
  <c r="J192" i="13" a="1"/>
  <c r="J192" i="13" s="1"/>
  <c r="L93" i="13"/>
  <c r="I94" i="13" s="1"/>
  <c r="M196" i="14"/>
  <c r="M195" i="13"/>
  <c r="N192" i="14"/>
  <c r="J191" i="14" a="1"/>
  <c r="J191" i="14" s="1"/>
  <c r="L104" i="14"/>
  <c r="I105" i="14" s="1"/>
  <c r="N193" i="14" l="1"/>
  <c r="J192" i="14" a="1"/>
  <c r="J192" i="14" s="1"/>
  <c r="M197" i="14"/>
  <c r="N194" i="13"/>
  <c r="J193" i="13" a="1"/>
  <c r="J193" i="13" s="1"/>
  <c r="M196" i="13"/>
  <c r="K105" i="14"/>
  <c r="K94" i="13"/>
  <c r="L94" i="13" s="1"/>
  <c r="I95" i="13" s="1"/>
  <c r="L105" i="14" l="1"/>
  <c r="I106" i="14" s="1"/>
  <c r="M197" i="13"/>
  <c r="M198" i="14"/>
  <c r="K95" i="13"/>
  <c r="L95" i="13" s="1"/>
  <c r="I96" i="13" s="1"/>
  <c r="N195" i="13"/>
  <c r="J194" i="13" a="1"/>
  <c r="J194" i="13" s="1"/>
  <c r="N194" i="14"/>
  <c r="J193" i="14" a="1"/>
  <c r="J193" i="14" s="1"/>
  <c r="K96" i="13" l="1"/>
  <c r="L96" i="13" s="1"/>
  <c r="I97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107" i="14" l="1"/>
  <c r="L107" i="14" s="1"/>
  <c r="I108" i="14" s="1"/>
  <c r="K97" i="13"/>
  <c r="L97" i="13" s="1"/>
  <c r="I98" i="13" s="1"/>
  <c r="M199" i="13"/>
  <c r="N197" i="13"/>
  <c r="J196" i="13" a="1"/>
  <c r="J196" i="13" s="1"/>
  <c r="M200" i="14"/>
  <c r="N196" i="14"/>
  <c r="J195" i="14" a="1"/>
  <c r="J195" i="14" s="1"/>
  <c r="K108" i="14" l="1"/>
  <c r="L108" i="14" s="1"/>
  <c r="I109" i="14" s="1"/>
  <c r="K98" i="13"/>
  <c r="L98" i="13" s="1"/>
  <c r="I99" i="13" s="1"/>
  <c r="N198" i="13"/>
  <c r="J197" i="13" a="1"/>
  <c r="J197" i="13" s="1"/>
  <c r="M201" i="14"/>
  <c r="N197" i="14"/>
  <c r="J196" i="14" a="1"/>
  <c r="J196" i="14" s="1"/>
  <c r="M200" i="13"/>
  <c r="K99" i="13" l="1"/>
  <c r="L99" i="13" s="1"/>
  <c r="I100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110" i="14" l="1"/>
  <c r="L110" i="14" s="1"/>
  <c r="I111" i="14" s="1"/>
  <c r="K100" i="13"/>
  <c r="L100" i="13" s="1"/>
  <c r="I101" i="13" s="1"/>
  <c r="M203" i="14"/>
  <c r="N200" i="13"/>
  <c r="J199" i="13" a="1"/>
  <c r="J199" i="13" s="1"/>
  <c r="M202" i="13"/>
  <c r="N199" i="14"/>
  <c r="J198" i="14" a="1"/>
  <c r="J198" i="14" s="1"/>
  <c r="K101" i="13" l="1"/>
  <c r="L101" i="13" s="1"/>
  <c r="I102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2" i="13" l="1"/>
  <c r="L102" i="13" s="1"/>
  <c r="I103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13" i="14" l="1"/>
  <c r="L113" i="14" s="1"/>
  <c r="I114" i="14" s="1"/>
  <c r="K103" i="13"/>
  <c r="L103" i="13" s="1"/>
  <c r="I104" i="13" s="1"/>
  <c r="M205" i="13"/>
  <c r="N202" i="14"/>
  <c r="J201" i="14" a="1"/>
  <c r="J201" i="14" s="1"/>
  <c r="N203" i="13"/>
  <c r="J202" i="13" a="1"/>
  <c r="J202" i="13" s="1"/>
  <c r="M206" i="14"/>
  <c r="K104" i="13" l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15" i="14" l="1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/>
  <c r="I105" i="13" s="1"/>
  <c r="K116" i="14" l="1"/>
  <c r="N205" i="14"/>
  <c r="J204" i="14" a="1"/>
  <c r="J204" i="14" s="1"/>
  <c r="M208" i="13"/>
  <c r="K105" i="13"/>
  <c r="M209" i="14"/>
  <c r="N206" i="13"/>
  <c r="J205" i="13" a="1"/>
  <c r="J205" i="13" s="1"/>
  <c r="N207" i="13" l="1"/>
  <c r="J206" i="13" a="1"/>
  <c r="J206" i="13" s="1"/>
  <c r="N206" i="14"/>
  <c r="J205" i="14" a="1"/>
  <c r="J205" i="14" s="1"/>
  <c r="L105" i="13"/>
  <c r="I106" i="13" s="1"/>
  <c r="M210" i="14"/>
  <c r="M209" i="13"/>
  <c r="L116" i="14"/>
  <c r="I117" i="14" s="1"/>
  <c r="K117" i="14" l="1"/>
  <c r="M211" i="14"/>
  <c r="M210" i="13"/>
  <c r="K106" i="13"/>
  <c r="L106" i="13" s="1"/>
  <c r="I107" i="13" s="1"/>
  <c r="N207" i="14"/>
  <c r="J206" i="14" a="1"/>
  <c r="J206" i="14" s="1"/>
  <c r="N208" i="13"/>
  <c r="J207" i="13" a="1"/>
  <c r="J207" i="13" s="1"/>
  <c r="K107" i="13" l="1"/>
  <c r="L107" i="13" s="1"/>
  <c r="I108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8" i="13" l="1"/>
  <c r="L108" i="13" s="1"/>
  <c r="I109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19" i="14" l="1"/>
  <c r="L119" i="14" s="1"/>
  <c r="I120" i="14" s="1"/>
  <c r="K109" i="13"/>
  <c r="L109" i="13" s="1"/>
  <c r="I110" i="13" s="1"/>
  <c r="N210" i="14"/>
  <c r="J209" i="14" a="1"/>
  <c r="J209" i="14" s="1"/>
  <c r="N211" i="13"/>
  <c r="J210" i="13" a="1"/>
  <c r="J210" i="13" s="1"/>
  <c r="M213" i="13"/>
  <c r="M214" i="14"/>
  <c r="K110" i="13" l="1"/>
  <c r="L110" i="13" s="1"/>
  <c r="I111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21" i="14" l="1"/>
  <c r="L121" i="14" s="1"/>
  <c r="I122" i="14" s="1"/>
  <c r="K111" i="13"/>
  <c r="L111" i="13" s="1"/>
  <c r="I112" i="13" s="1"/>
  <c r="M216" i="14"/>
  <c r="N212" i="14"/>
  <c r="J211" i="14" a="1"/>
  <c r="J211" i="14" s="1"/>
  <c r="M215" i="13"/>
  <c r="N213" i="13"/>
  <c r="J212" i="13" a="1"/>
  <c r="J212" i="13" s="1"/>
  <c r="K122" i="14" l="1"/>
  <c r="L122" i="14" s="1"/>
  <c r="I123" i="14" s="1"/>
  <c r="K112" i="13"/>
  <c r="L112" i="13" s="1"/>
  <c r="I113" i="13" s="1"/>
  <c r="N213" i="14"/>
  <c r="J212" i="14" a="1"/>
  <c r="J212" i="14" s="1"/>
  <c r="N214" i="13"/>
  <c r="J213" i="13" a="1"/>
  <c r="J213" i="13" s="1"/>
  <c r="M216" i="13"/>
  <c r="M217" i="14"/>
  <c r="K113" i="13" l="1"/>
  <c r="L113" i="13" s="1"/>
  <c r="I114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4" i="13" l="1"/>
  <c r="L114" i="13" s="1"/>
  <c r="I115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5" i="13" l="1"/>
  <c r="L115" i="13" s="1"/>
  <c r="I116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26" i="14" l="1"/>
  <c r="L126" i="14" s="1"/>
  <c r="I127" i="14" s="1"/>
  <c r="K116" i="13"/>
  <c r="N217" i="14"/>
  <c r="J216" i="14" a="1"/>
  <c r="J216" i="14" s="1"/>
  <c r="M220" i="13"/>
  <c r="N218" i="13"/>
  <c r="J217" i="13" a="1"/>
  <c r="J217" i="13" s="1"/>
  <c r="M221" i="14"/>
  <c r="N219" i="13" l="1"/>
  <c r="J218" i="13" a="1"/>
  <c r="J218" i="13" s="1"/>
  <c r="M222" i="14"/>
  <c r="M221" i="13"/>
  <c r="L116" i="13"/>
  <c r="I117" i="13" s="1"/>
  <c r="N218" i="14"/>
  <c r="J217" i="14" a="1"/>
  <c r="J217" i="14" s="1"/>
  <c r="K127" i="14"/>
  <c r="L127" i="14" s="1"/>
  <c r="I128" i="14" s="1"/>
  <c r="K128" i="14" l="1"/>
  <c r="K117" i="13"/>
  <c r="M223" i="14"/>
  <c r="M222" i="13"/>
  <c r="N219" i="14"/>
  <c r="J218" i="14" a="1"/>
  <c r="J218" i="14" s="1"/>
  <c r="N220" i="13"/>
  <c r="J219" i="13" a="1"/>
  <c r="J219" i="13" s="1"/>
  <c r="M223" i="13" l="1"/>
  <c r="N221" i="13"/>
  <c r="J220" i="13" a="1"/>
  <c r="J220" i="13" s="1"/>
  <c r="L117" i="13"/>
  <c r="I118" i="13" s="1"/>
  <c r="M224" i="14"/>
  <c r="N220" i="14"/>
  <c r="J219" i="14" a="1"/>
  <c r="J219" i="14" s="1"/>
  <c r="L128" i="14"/>
  <c r="I129" i="14" s="1"/>
  <c r="K118" i="13" l="1"/>
  <c r="L118" i="13" s="1"/>
  <c r="I119" i="13" s="1"/>
  <c r="M224" i="13"/>
  <c r="K129" i="14"/>
  <c r="N221" i="14"/>
  <c r="J220" i="14" a="1"/>
  <c r="J220" i="14" s="1"/>
  <c r="M225" i="14"/>
  <c r="N222" i="13"/>
  <c r="J221" i="13" a="1"/>
  <c r="J221" i="13" s="1"/>
  <c r="K119" i="13" l="1"/>
  <c r="L119" i="13" s="1"/>
  <c r="I120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20" i="13" l="1"/>
  <c r="L120" i="13" s="1"/>
  <c r="I121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31" i="14" l="1"/>
  <c r="L131" i="14" s="1"/>
  <c r="I132" i="14" s="1"/>
  <c r="K121" i="13"/>
  <c r="L121" i="13" s="1"/>
  <c r="I122" i="13" s="1"/>
  <c r="N225" i="13"/>
  <c r="J224" i="13" a="1"/>
  <c r="J224" i="13" s="1"/>
  <c r="N224" i="14"/>
  <c r="J223" i="14" a="1"/>
  <c r="J223" i="14" s="1"/>
  <c r="M228" i="14"/>
  <c r="M227" i="13"/>
  <c r="K122" i="13" l="1"/>
  <c r="L122" i="13" s="1"/>
  <c r="I123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33" i="14" l="1"/>
  <c r="L133" i="14" s="1"/>
  <c r="I134" i="14" s="1"/>
  <c r="K123" i="13"/>
  <c r="L123" i="13" s="1"/>
  <c r="I124" i="13" s="1"/>
  <c r="N226" i="14"/>
  <c r="J225" i="14" a="1"/>
  <c r="J225" i="14" s="1"/>
  <c r="N227" i="13"/>
  <c r="J226" i="13" a="1"/>
  <c r="J226" i="13" s="1"/>
  <c r="M230" i="14"/>
  <c r="M229" i="13"/>
  <c r="K124" i="13" l="1"/>
  <c r="L124" i="13" s="1"/>
  <c r="I125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5" i="13" l="1"/>
  <c r="L125" i="13" s="1"/>
  <c r="I126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36" i="14" l="1"/>
  <c r="L136" i="14" s="1"/>
  <c r="I137" i="14" s="1"/>
  <c r="K126" i="13"/>
  <c r="L126" i="13" s="1"/>
  <c r="I127" i="13" s="1"/>
  <c r="M232" i="13"/>
  <c r="M233" i="14"/>
  <c r="N230" i="13"/>
  <c r="J229" i="13" a="1"/>
  <c r="J229" i="13" s="1"/>
  <c r="N229" i="14"/>
  <c r="J228" i="14" a="1"/>
  <c r="J228" i="14" s="1"/>
  <c r="K127" i="13" l="1"/>
  <c r="L127" i="13" s="1"/>
  <c r="I128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38" i="14" l="1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/>
  <c r="K139" i="14" l="1"/>
  <c r="L139" i="14" s="1"/>
  <c r="I140" i="14" s="1"/>
  <c r="M235" i="13"/>
  <c r="N233" i="13"/>
  <c r="J232" i="13" a="1"/>
  <c r="J232" i="13" s="1"/>
  <c r="L128" i="13"/>
  <c r="I129" i="13" s="1"/>
  <c r="M236" i="14"/>
  <c r="N232" i="14"/>
  <c r="J231" i="14" a="1"/>
  <c r="J231" i="14" s="1"/>
  <c r="K140" i="14" l="1"/>
  <c r="L140" i="14" s="1"/>
  <c r="I141" i="14" s="1"/>
  <c r="K129" i="13"/>
  <c r="N233" i="14"/>
  <c r="J232" i="14" a="1"/>
  <c r="J232" i="14" s="1"/>
  <c r="M237" i="14"/>
  <c r="N234" i="13"/>
  <c r="J233" i="13" a="1"/>
  <c r="J233" i="13" s="1"/>
  <c r="M236" i="13"/>
  <c r="K141" i="14" l="1"/>
  <c r="L141" i="14" s="1"/>
  <c r="I142" i="14" s="1"/>
  <c r="M237" i="13"/>
  <c r="M238" i="14"/>
  <c r="L129" i="13"/>
  <c r="I130" i="13" s="1"/>
  <c r="N235" i="13"/>
  <c r="J234" i="13" a="1"/>
  <c r="J234" i="13" s="1"/>
  <c r="N234" i="14"/>
  <c r="J233" i="14" a="1"/>
  <c r="J233" i="14" s="1"/>
  <c r="K142" i="14" l="1"/>
  <c r="L142" i="14" s="1"/>
  <c r="I143" i="14" s="1"/>
  <c r="K130" i="13"/>
  <c r="L130" i="13" s="1"/>
  <c r="I131" i="13" s="1"/>
  <c r="N235" i="14"/>
  <c r="J234" i="14" a="1"/>
  <c r="J234" i="14" s="1"/>
  <c r="M239" i="14"/>
  <c r="N236" i="13"/>
  <c r="J235" i="13" a="1"/>
  <c r="J235" i="13" s="1"/>
  <c r="M238" i="13"/>
  <c r="K131" i="13" l="1"/>
  <c r="L131" i="13" s="1"/>
  <c r="I132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44" i="14" l="1"/>
  <c r="L144" i="14" s="1"/>
  <c r="I145" i="14" s="1"/>
  <c r="K132" i="13"/>
  <c r="L132" i="13" s="1"/>
  <c r="I133" i="13" s="1"/>
  <c r="M241" i="14"/>
  <c r="N237" i="14"/>
  <c r="J236" i="14" a="1"/>
  <c r="J236" i="14" s="1"/>
  <c r="M240" i="13"/>
  <c r="N238" i="13"/>
  <c r="J237" i="13" a="1"/>
  <c r="J237" i="13" s="1"/>
  <c r="K145" i="14" l="1"/>
  <c r="L145" i="14" s="1"/>
  <c r="I146" i="14" s="1"/>
  <c r="N239" i="13"/>
  <c r="J238" i="13" a="1"/>
  <c r="J238" i="13" s="1"/>
  <c r="M241" i="13"/>
  <c r="K133" i="13"/>
  <c r="L133" i="13" s="1"/>
  <c r="I134" i="13" s="1"/>
  <c r="N238" i="14"/>
  <c r="J237" i="14" a="1"/>
  <c r="J237" i="14" s="1"/>
  <c r="M242" i="14"/>
  <c r="K134" i="13" l="1"/>
  <c r="L134" i="13" s="1"/>
  <c r="I135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47" i="14" l="1"/>
  <c r="L147" i="14" s="1"/>
  <c r="I148" i="14" s="1"/>
  <c r="K135" i="13"/>
  <c r="L135" i="13" s="1"/>
  <c r="I136" i="13" s="1"/>
  <c r="M244" i="14"/>
  <c r="M243" i="13"/>
  <c r="N241" i="13"/>
  <c r="J240" i="13" a="1"/>
  <c r="J240" i="13" s="1"/>
  <c r="N240" i="14"/>
  <c r="J239" i="14" a="1"/>
  <c r="J239" i="14" s="1"/>
  <c r="K136" i="13" l="1"/>
  <c r="L136" i="13" s="1"/>
  <c r="I137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49" i="14" l="1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/>
  <c r="L137" i="13" s="1"/>
  <c r="I138" i="13" s="1"/>
  <c r="K138" i="13" l="1"/>
  <c r="L138" i="13" s="1"/>
  <c r="I139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51" i="14" l="1"/>
  <c r="L151" i="14" s="1"/>
  <c r="I152" i="14" s="1"/>
  <c r="K139" i="13"/>
  <c r="L139" i="13" s="1"/>
  <c r="I140" i="13" s="1"/>
  <c r="M248" i="14"/>
  <c r="M247" i="13"/>
  <c r="N245" i="13"/>
  <c r="J244" i="13" a="1"/>
  <c r="J244" i="13" s="1"/>
  <c r="N244" i="14"/>
  <c r="J243" i="14" a="1"/>
  <c r="J243" i="14" s="1"/>
  <c r="K140" i="13" l="1"/>
  <c r="K152" i="14"/>
  <c r="M248" i="13"/>
  <c r="N245" i="14"/>
  <c r="J244" i="14" a="1"/>
  <c r="J244" i="14" s="1"/>
  <c r="M249" i="14"/>
  <c r="N246" i="13"/>
  <c r="J245" i="13" a="1"/>
  <c r="J245" i="13" s="1"/>
  <c r="N247" i="13" l="1"/>
  <c r="J246" i="13" a="1"/>
  <c r="J246" i="13" s="1"/>
  <c r="N246" i="14"/>
  <c r="J245" i="14" a="1"/>
  <c r="J245" i="14" s="1"/>
  <c r="L152" i="14"/>
  <c r="I153" i="14" s="1"/>
  <c r="M250" i="14"/>
  <c r="M249" i="13"/>
  <c r="L140" i="13"/>
  <c r="I141" i="13" s="1"/>
  <c r="K141" i="13" l="1"/>
  <c r="M251" i="14"/>
  <c r="N247" i="14"/>
  <c r="J246" i="14" a="1"/>
  <c r="J246" i="14" s="1"/>
  <c r="M250" i="13"/>
  <c r="K153" i="14"/>
  <c r="N248" i="13"/>
  <c r="J247" i="13" a="1"/>
  <c r="J247" i="13" s="1"/>
  <c r="M251" i="13" l="1"/>
  <c r="M252" i="14"/>
  <c r="N249" i="13"/>
  <c r="J248" i="13" a="1"/>
  <c r="J248" i="13" s="1"/>
  <c r="L153" i="14"/>
  <c r="I154" i="14" s="1"/>
  <c r="N248" i="14"/>
  <c r="J247" i="14" a="1"/>
  <c r="J247" i="14" s="1"/>
  <c r="L141" i="13"/>
  <c r="I142" i="13" s="1"/>
  <c r="K142" i="13" l="1"/>
  <c r="L142" i="13" s="1"/>
  <c r="I143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55" i="14" l="1"/>
  <c r="L155" i="14" s="1"/>
  <c r="I156" i="14" s="1"/>
  <c r="K143" i="13"/>
  <c r="L143" i="13" s="1"/>
  <c r="I144" i="13" s="1"/>
  <c r="N251" i="13"/>
  <c r="J250" i="13" a="1"/>
  <c r="J250" i="13" s="1"/>
  <c r="N250" i="14"/>
  <c r="J249" i="14" a="1"/>
  <c r="J249" i="14" s="1"/>
  <c r="M254" i="14"/>
  <c r="M253" i="13"/>
  <c r="K144" i="13" l="1"/>
  <c r="L144" i="13" s="1"/>
  <c r="I145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5" i="13" l="1"/>
  <c r="L145" i="13" s="1"/>
  <c r="I146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58" i="14" l="1"/>
  <c r="L158" i="14" s="1"/>
  <c r="I159" i="14" s="1"/>
  <c r="K146" i="13"/>
  <c r="L146" i="13" s="1"/>
  <c r="I147" i="13" s="1"/>
  <c r="M256" i="13"/>
  <c r="M257" i="14"/>
  <c r="N254" i="13"/>
  <c r="J253" i="13" a="1"/>
  <c r="J253" i="13" s="1"/>
  <c r="N253" i="14"/>
  <c r="J252" i="14" a="1"/>
  <c r="J252" i="14" s="1"/>
  <c r="K147" i="13" l="1"/>
  <c r="L147" i="13" s="1"/>
  <c r="I148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60" i="14" l="1"/>
  <c r="L160" i="14" s="1"/>
  <c r="I161" i="14" s="1"/>
  <c r="K148" i="13"/>
  <c r="L148" i="13" s="1"/>
  <c r="I149" i="13" s="1"/>
  <c r="M259" i="14"/>
  <c r="M258" i="13"/>
  <c r="N256" i="13"/>
  <c r="J255" i="13" a="1"/>
  <c r="J255" i="13" s="1"/>
  <c r="N255" i="14"/>
  <c r="J254" i="14" a="1"/>
  <c r="J254" i="14" s="1"/>
  <c r="K149" i="13" l="1"/>
  <c r="L149" i="13" s="1"/>
  <c r="I150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62" i="14" l="1"/>
  <c r="L162" i="14" s="1"/>
  <c r="I163" i="14" s="1"/>
  <c r="K150" i="13"/>
  <c r="L150" i="13" s="1"/>
  <c r="I151" i="13" s="1"/>
  <c r="N258" i="13"/>
  <c r="J257" i="13" a="1"/>
  <c r="J257" i="13" s="1"/>
  <c r="N257" i="14"/>
  <c r="J256" i="14" a="1"/>
  <c r="J256" i="14" s="1"/>
  <c r="M261" i="14"/>
  <c r="M260" i="13"/>
  <c r="K151" i="13" l="1"/>
  <c r="L151" i="13" s="1"/>
  <c r="I152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64" i="14" l="1"/>
  <c r="K152" i="13"/>
  <c r="M262" i="13"/>
  <c r="N260" i="13"/>
  <c r="J259" i="13" a="1"/>
  <c r="J259" i="13" s="1"/>
  <c r="M263" i="14"/>
  <c r="N259" i="14"/>
  <c r="J258" i="14" a="1"/>
  <c r="J258" i="14" s="1"/>
  <c r="N261" i="13" l="1"/>
  <c r="J260" i="13" a="1"/>
  <c r="J260" i="13" s="1"/>
  <c r="L152" i="13"/>
  <c r="I153" i="13" s="1"/>
  <c r="N260" i="14"/>
  <c r="J259" i="14" a="1"/>
  <c r="J259" i="14" s="1"/>
  <c r="M264" i="14"/>
  <c r="M263" i="13"/>
  <c r="L164" i="14"/>
  <c r="I165" i="14" s="1"/>
  <c r="M264" i="13" l="1"/>
  <c r="M265" i="14"/>
  <c r="K165" i="14"/>
  <c r="K153" i="13"/>
  <c r="N261" i="14"/>
  <c r="J260" i="14" a="1"/>
  <c r="J260" i="14" s="1"/>
  <c r="N262" i="13"/>
  <c r="J261" i="13" a="1"/>
  <c r="J261" i="13" s="1"/>
  <c r="M266" i="14" l="1"/>
  <c r="L153" i="13"/>
  <c r="I154" i="13" s="1"/>
  <c r="N263" i="13"/>
  <c r="J262" i="13" a="1"/>
  <c r="J262" i="13" s="1"/>
  <c r="N262" i="14"/>
  <c r="J261" i="14" a="1"/>
  <c r="J261" i="14" s="1"/>
  <c r="M265" i="13"/>
  <c r="L165" i="14"/>
  <c r="I166" i="14" s="1"/>
  <c r="K166" i="14" l="1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/>
  <c r="L154" i="13" s="1"/>
  <c r="I155" i="13" s="1"/>
  <c r="K155" i="13" l="1"/>
  <c r="L155" i="13" s="1"/>
  <c r="I156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68" i="14" l="1"/>
  <c r="L168" i="14" s="1"/>
  <c r="I169" i="14" s="1"/>
  <c r="K156" i="13"/>
  <c r="L156" i="13" s="1"/>
  <c r="I157" i="13" s="1"/>
  <c r="N265" i="14"/>
  <c r="J264" i="14" a="1"/>
  <c r="J264" i="14" s="1"/>
  <c r="M269" i="14"/>
  <c r="M268" i="13"/>
  <c r="N266" i="13"/>
  <c r="J265" i="13" a="1"/>
  <c r="J265" i="13" s="1"/>
  <c r="K157" i="13" l="1"/>
  <c r="L157" i="13" s="1"/>
  <c r="I158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70" i="14" l="1"/>
  <c r="L170" i="14" s="1"/>
  <c r="I171" i="14" s="1"/>
  <c r="K158" i="13"/>
  <c r="L158" i="13" s="1"/>
  <c r="I159" i="13" s="1"/>
  <c r="N268" i="13"/>
  <c r="J267" i="13" a="1"/>
  <c r="J267" i="13" s="1"/>
  <c r="N267" i="14"/>
  <c r="J266" i="14" a="1"/>
  <c r="J266" i="14" s="1"/>
  <c r="M270" i="13"/>
  <c r="M271" i="14"/>
  <c r="K159" i="13" l="1"/>
  <c r="L159" i="13" s="1"/>
  <c r="I160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72" i="14" l="1"/>
  <c r="L172" i="14" s="1"/>
  <c r="I173" i="14" s="1"/>
  <c r="K160" i="13"/>
  <c r="L160" i="13" s="1"/>
  <c r="I161" i="13" s="1"/>
  <c r="N269" i="14"/>
  <c r="J268" i="14" a="1"/>
  <c r="J268" i="14" s="1"/>
  <c r="M273" i="14"/>
  <c r="N270" i="13"/>
  <c r="J269" i="13" a="1"/>
  <c r="J269" i="13" s="1"/>
  <c r="M272" i="13"/>
  <c r="K161" i="13" l="1"/>
  <c r="L161" i="13" s="1"/>
  <c r="I162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74" i="14" l="1"/>
  <c r="L174" i="14" s="1"/>
  <c r="I175" i="14" s="1"/>
  <c r="K162" i="13"/>
  <c r="L162" i="13" s="1"/>
  <c r="I163" i="13" s="1"/>
  <c r="M275" i="14"/>
  <c r="M274" i="13"/>
  <c r="N271" i="14"/>
  <c r="J270" i="14" a="1"/>
  <c r="J270" i="14" s="1"/>
  <c r="N272" i="13"/>
  <c r="J271" i="13" a="1"/>
  <c r="J271" i="13" s="1"/>
  <c r="K163" i="13" l="1"/>
  <c r="L163" i="13" s="1"/>
  <c r="I164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76" i="14" l="1"/>
  <c r="K164" i="13"/>
  <c r="N273" i="14"/>
  <c r="J272" i="14" a="1"/>
  <c r="J272" i="14" s="1"/>
  <c r="M277" i="14"/>
  <c r="M276" i="13"/>
  <c r="N274" i="13"/>
  <c r="J273" i="13" a="1"/>
  <c r="J273" i="13" s="1"/>
  <c r="N275" i="13" l="1"/>
  <c r="J274" i="13" a="1"/>
  <c r="J274" i="13" s="1"/>
  <c r="M278" i="14"/>
  <c r="M277" i="13"/>
  <c r="L164" i="13"/>
  <c r="I165" i="13" s="1"/>
  <c r="N274" i="14"/>
  <c r="J273" i="14" a="1"/>
  <c r="J273" i="14" s="1"/>
  <c r="L176" i="14"/>
  <c r="I177" i="14" s="1"/>
  <c r="N276" i="13" l="1"/>
  <c r="J275" i="13" a="1"/>
  <c r="J275" i="13" s="1"/>
  <c r="N275" i="14"/>
  <c r="J274" i="14" a="1"/>
  <c r="J274" i="14" s="1"/>
  <c r="M278" i="13"/>
  <c r="K177" i="14"/>
  <c r="L177" i="14" s="1"/>
  <c r="I178" i="14" s="1"/>
  <c r="K165" i="13"/>
  <c r="M279" i="14"/>
  <c r="K178" i="14" l="1"/>
  <c r="L178" i="14" s="1"/>
  <c r="I179" i="14" s="1"/>
  <c r="N276" i="14"/>
  <c r="J275" i="14" a="1"/>
  <c r="J275" i="14" s="1"/>
  <c r="M280" i="14"/>
  <c r="M279" i="13"/>
  <c r="L165" i="13"/>
  <c r="I166" i="13" s="1"/>
  <c r="N277" i="13"/>
  <c r="J276" i="13" a="1"/>
  <c r="J276" i="13" s="1"/>
  <c r="K179" i="14" l="1"/>
  <c r="L179" i="14" s="1"/>
  <c r="I180" i="14" s="1"/>
  <c r="K166" i="13"/>
  <c r="L166" i="13" s="1"/>
  <c r="I167" i="13" s="1"/>
  <c r="M281" i="14"/>
  <c r="N277" i="14"/>
  <c r="J276" i="14" a="1"/>
  <c r="J276" i="14" s="1"/>
  <c r="M280" i="13"/>
  <c r="N278" i="13"/>
  <c r="J277" i="13" a="1"/>
  <c r="J277" i="13" s="1"/>
  <c r="K167" i="13" l="1"/>
  <c r="L167" i="13" s="1"/>
  <c r="I168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81" i="14" l="1"/>
  <c r="L181" i="14" s="1"/>
  <c r="I182" i="14" s="1"/>
  <c r="K168" i="13"/>
  <c r="L168" i="13" s="1"/>
  <c r="I169" i="13" s="1"/>
  <c r="M283" i="14"/>
  <c r="M282" i="13"/>
  <c r="N280" i="13"/>
  <c r="J279" i="13" a="1"/>
  <c r="J279" i="13" s="1"/>
  <c r="N279" i="14"/>
  <c r="J278" i="14" a="1"/>
  <c r="J278" i="14" s="1"/>
  <c r="K169" i="13" l="1"/>
  <c r="L169" i="13" s="1"/>
  <c r="I170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83" i="14" l="1"/>
  <c r="L183" i="14" s="1"/>
  <c r="I184" i="14" s="1"/>
  <c r="K170" i="13"/>
  <c r="L170" i="13" s="1"/>
  <c r="I171" i="13" s="1"/>
  <c r="N282" i="13"/>
  <c r="J281" i="13" a="1"/>
  <c r="J281" i="13" s="1"/>
  <c r="M285" i="14"/>
  <c r="N281" i="14"/>
  <c r="J280" i="14" a="1"/>
  <c r="J280" i="14" s="1"/>
  <c r="M284" i="13"/>
  <c r="K171" i="13" l="1"/>
  <c r="L171" i="13" s="1"/>
  <c r="I172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85" i="14" l="1"/>
  <c r="L185" i="14" s="1"/>
  <c r="I186" i="14" s="1"/>
  <c r="K172" i="13"/>
  <c r="L172" i="13" s="1"/>
  <c r="I173" i="13" s="1"/>
  <c r="M287" i="14"/>
  <c r="M286" i="13"/>
  <c r="N284" i="13"/>
  <c r="J283" i="13" a="1"/>
  <c r="J283" i="13" s="1"/>
  <c r="N283" i="14"/>
  <c r="J282" i="14" a="1"/>
  <c r="J282" i="14" s="1"/>
  <c r="K173" i="13" l="1"/>
  <c r="L173" i="13" s="1"/>
  <c r="I174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N286" i="13" l="1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/>
  <c r="L174" i="13" s="1"/>
  <c r="I175" i="13" s="1"/>
  <c r="K175" i="13" l="1"/>
  <c r="L175" i="13" s="1"/>
  <c r="I176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6" i="13" l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90" i="14" l="1"/>
  <c r="M292" i="14"/>
  <c r="N289" i="13"/>
  <c r="J288" i="13" a="1"/>
  <c r="J288" i="13" s="1"/>
  <c r="N288" i="14"/>
  <c r="J287" i="14" a="1"/>
  <c r="J287" i="14" s="1"/>
  <c r="M291" i="13"/>
  <c r="L176" i="13"/>
  <c r="I177" i="13" s="1"/>
  <c r="M292" i="13" l="1"/>
  <c r="M293" i="14"/>
  <c r="N290" i="13"/>
  <c r="J289" i="13" a="1"/>
  <c r="J289" i="13" s="1"/>
  <c r="K177" i="13"/>
  <c r="L177" i="13" s="1"/>
  <c r="I178" i="13" s="1"/>
  <c r="N289" i="14"/>
  <c r="J288" i="14" a="1"/>
  <c r="J288" i="14" s="1"/>
  <c r="L190" i="14"/>
  <c r="I191" i="14" s="1"/>
  <c r="K191" i="14" l="1"/>
  <c r="L191" i="14" s="1"/>
  <c r="I192" i="14" s="1"/>
  <c r="K178" i="13"/>
  <c r="L178" i="13" s="1"/>
  <c r="I179" i="13" s="1"/>
  <c r="N290" i="14"/>
  <c r="J289" i="14" a="1"/>
  <c r="J289" i="14" s="1"/>
  <c r="N291" i="13"/>
  <c r="J290" i="13" a="1"/>
  <c r="J290" i="13" s="1"/>
  <c r="M293" i="13"/>
  <c r="M294" i="14"/>
  <c r="K179" i="13" l="1"/>
  <c r="L179" i="13" s="1"/>
  <c r="I180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93" i="14" l="1"/>
  <c r="L193" i="14" s="1"/>
  <c r="I194" i="14" s="1"/>
  <c r="K180" i="13"/>
  <c r="L180" i="13" s="1"/>
  <c r="I181" i="13" s="1"/>
  <c r="M295" i="13"/>
  <c r="N292" i="14"/>
  <c r="J291" i="14" a="1"/>
  <c r="J291" i="14" s="1"/>
  <c r="M296" i="14"/>
  <c r="N293" i="13"/>
  <c r="J292" i="13" a="1"/>
  <c r="J292" i="13" s="1"/>
  <c r="K181" i="13" l="1"/>
  <c r="L181" i="13" s="1"/>
  <c r="I182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95" i="14" l="1"/>
  <c r="L195" i="14" s="1"/>
  <c r="I196" i="14" s="1"/>
  <c r="K182" i="13"/>
  <c r="L182" i="13" s="1"/>
  <c r="I183" i="13" s="1"/>
  <c r="M297" i="13"/>
  <c r="N295" i="13"/>
  <c r="J294" i="13" a="1"/>
  <c r="J294" i="13" s="1"/>
  <c r="M298" i="14"/>
  <c r="N294" i="14"/>
  <c r="J293" i="14" a="1"/>
  <c r="J293" i="14" s="1"/>
  <c r="K183" i="13" l="1"/>
  <c r="L183" i="13" s="1"/>
  <c r="I184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97" i="14" l="1"/>
  <c r="L197" i="14" s="1"/>
  <c r="I198" i="14" s="1"/>
  <c r="K184" i="13"/>
  <c r="L184" i="13" s="1"/>
  <c r="I185" i="13" s="1"/>
  <c r="N296" i="14"/>
  <c r="J295" i="14" a="1"/>
  <c r="J295" i="14" s="1"/>
  <c r="M300" i="14"/>
  <c r="M299" i="13"/>
  <c r="N297" i="13"/>
  <c r="J296" i="13" a="1"/>
  <c r="J296" i="13" s="1"/>
  <c r="K185" i="13" l="1"/>
  <c r="L185" i="13" s="1"/>
  <c r="I186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99" i="14" l="1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/>
  <c r="L186" i="13" s="1"/>
  <c r="I187" i="13" s="1"/>
  <c r="K200" i="14" l="1"/>
  <c r="K187" i="13"/>
  <c r="L187" i="13" s="1"/>
  <c r="I188" i="13" s="1"/>
  <c r="N299" i="14"/>
  <c r="J298" i="14" a="1"/>
  <c r="J298" i="14" s="1"/>
  <c r="N300" i="13"/>
  <c r="J299" i="13" a="1"/>
  <c r="J299" i="13" s="1"/>
  <c r="M302" i="13"/>
  <c r="M303" i="14"/>
  <c r="M303" i="13" l="1"/>
  <c r="K188" i="13"/>
  <c r="L188" i="13" s="1"/>
  <c r="I189" i="13" s="1"/>
  <c r="M304" i="14"/>
  <c r="N300" i="14"/>
  <c r="J299" i="14" a="1"/>
  <c r="J299" i="14" s="1"/>
  <c r="L200" i="14"/>
  <c r="I201" i="14" s="1"/>
  <c r="N301" i="13"/>
  <c r="J300" i="13" a="1"/>
  <c r="J300" i="13" s="1"/>
  <c r="K189" i="13" l="1"/>
  <c r="L189" i="13" s="1"/>
  <c r="I190" i="13" s="1"/>
  <c r="N301" i="14"/>
  <c r="J300" i="14" a="1"/>
  <c r="J300" i="14" s="1"/>
  <c r="N302" i="13"/>
  <c r="J301" i="13" a="1"/>
  <c r="J301" i="13" s="1"/>
  <c r="M305" i="14"/>
  <c r="K201" i="14"/>
  <c r="M304" i="13"/>
  <c r="K190" i="13" l="1"/>
  <c r="N302" i="14"/>
  <c r="J301" i="14" a="1"/>
  <c r="J301" i="14" s="1"/>
  <c r="L201" i="14"/>
  <c r="I202" i="14" s="1"/>
  <c r="M306" i="14"/>
  <c r="M305" i="13"/>
  <c r="N303" i="13"/>
  <c r="J302" i="13" a="1"/>
  <c r="J302" i="13" s="1"/>
  <c r="K202" i="14" l="1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/>
  <c r="I191" i="13" s="1"/>
  <c r="K203" i="14" l="1"/>
  <c r="L203" i="14" s="1"/>
  <c r="I204" i="14" s="1"/>
  <c r="N304" i="14"/>
  <c r="J303" i="14" a="1"/>
  <c r="J303" i="14" s="1"/>
  <c r="K191" i="13"/>
  <c r="L191" i="13" s="1"/>
  <c r="I192" i="13" s="1"/>
  <c r="N305" i="13"/>
  <c r="J304" i="13" a="1"/>
  <c r="J304" i="13" s="1"/>
  <c r="M307" i="13"/>
  <c r="M308" i="14"/>
  <c r="K192" i="13" l="1"/>
  <c r="L192" i="13" s="1"/>
  <c r="I193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205" i="14" l="1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/>
  <c r="L193" i="13" s="1"/>
  <c r="I194" i="13" s="1"/>
  <c r="K194" i="13" l="1"/>
  <c r="L194" i="13" s="1"/>
  <c r="I195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207" i="14" l="1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/>
  <c r="L195" i="13" s="1"/>
  <c r="I196" i="13" s="1"/>
  <c r="K196" i="13" l="1"/>
  <c r="L196" i="13" s="1"/>
  <c r="I197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209" i="14" l="1"/>
  <c r="L209" i="14" s="1"/>
  <c r="I210" i="14" s="1"/>
  <c r="K197" i="13"/>
  <c r="L197" i="13" s="1"/>
  <c r="I198" i="13" s="1"/>
  <c r="N310" i="14"/>
  <c r="J309" i="14" a="1"/>
  <c r="J309" i="14" s="1"/>
  <c r="M313" i="13"/>
  <c r="M314" i="14"/>
  <c r="N311" i="13"/>
  <c r="J310" i="13" a="1"/>
  <c r="J310" i="13" s="1"/>
  <c r="K198" i="13" l="1"/>
  <c r="L198" i="13" s="1"/>
  <c r="I199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9" i="13" l="1"/>
  <c r="L199" i="13" s="1"/>
  <c r="I200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212" i="14" l="1"/>
  <c r="K200" i="13"/>
  <c r="N314" i="13"/>
  <c r="J313" i="13" a="1"/>
  <c r="J313" i="13" s="1"/>
  <c r="M316" i="13"/>
  <c r="M317" i="14"/>
  <c r="N313" i="14"/>
  <c r="J312" i="14" a="1"/>
  <c r="J312" i="14" s="1"/>
  <c r="N314" i="14" l="1"/>
  <c r="J313" i="14" a="1"/>
  <c r="J313" i="14" s="1"/>
  <c r="L200" i="13"/>
  <c r="I201" i="13" s="1"/>
  <c r="M317" i="13"/>
  <c r="M318" i="14"/>
  <c r="N315" i="13"/>
  <c r="J314" i="13" a="1"/>
  <c r="J314" i="13" s="1"/>
  <c r="L212" i="14"/>
  <c r="I213" i="14" s="1"/>
  <c r="M318" i="13" l="1"/>
  <c r="N316" i="13"/>
  <c r="J315" i="13" a="1"/>
  <c r="J315" i="13" s="1"/>
  <c r="N315" i="14"/>
  <c r="J314" i="14" a="1"/>
  <c r="J314" i="14" s="1"/>
  <c r="K213" i="14"/>
  <c r="K201" i="13"/>
  <c r="M319" i="14"/>
  <c r="L213" i="14" l="1"/>
  <c r="I214" i="14" s="1"/>
  <c r="N317" i="13"/>
  <c r="J316" i="13" a="1"/>
  <c r="J316" i="13" s="1"/>
  <c r="M320" i="14"/>
  <c r="M319" i="13"/>
  <c r="L201" i="13"/>
  <c r="I202" i="13" s="1"/>
  <c r="N316" i="14"/>
  <c r="J315" i="14" a="1"/>
  <c r="J315" i="14" s="1"/>
  <c r="N317" i="14" l="1"/>
  <c r="J316" i="14" a="1"/>
  <c r="J316" i="14" s="1"/>
  <c r="N318" i="13"/>
  <c r="J317" i="13" a="1"/>
  <c r="J317" i="13" s="1"/>
  <c r="M320" i="13"/>
  <c r="K202" i="13"/>
  <c r="L202" i="13" s="1"/>
  <c r="I203" i="13" s="1"/>
  <c r="M321" i="14"/>
  <c r="K214" i="14"/>
  <c r="L214" i="14" s="1"/>
  <c r="I215" i="14" s="1"/>
  <c r="K215" i="14" l="1"/>
  <c r="L215" i="14" s="1"/>
  <c r="I216" i="14" s="1"/>
  <c r="K203" i="13"/>
  <c r="L203" i="13" s="1"/>
  <c r="I204" i="13" s="1"/>
  <c r="N319" i="13"/>
  <c r="J318" i="13" a="1"/>
  <c r="J318" i="13" s="1"/>
  <c r="M322" i="14"/>
  <c r="M321" i="13"/>
  <c r="N318" i="14"/>
  <c r="J317" i="14" a="1"/>
  <c r="J317" i="14" s="1"/>
  <c r="K204" i="13" l="1"/>
  <c r="L204" i="13" s="1"/>
  <c r="I205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17" i="14" l="1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/>
  <c r="L205" i="13" s="1"/>
  <c r="I206" i="13" s="1"/>
  <c r="K218" i="14" l="1"/>
  <c r="L218" i="14" s="1"/>
  <c r="I219" i="14" s="1"/>
  <c r="K206" i="13"/>
  <c r="L206" i="13" s="1"/>
  <c r="I207" i="13" s="1"/>
  <c r="M324" i="13"/>
  <c r="N322" i="13"/>
  <c r="J321" i="13" a="1"/>
  <c r="J321" i="13" s="1"/>
  <c r="M325" i="14"/>
  <c r="N321" i="14"/>
  <c r="J320" i="14" a="1"/>
  <c r="J320" i="14" s="1"/>
  <c r="K207" i="13" l="1"/>
  <c r="L207" i="13" s="1"/>
  <c r="I208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8" i="13" l="1"/>
  <c r="L208" i="13" s="1"/>
  <c r="I209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21" i="14" l="1"/>
  <c r="L221" i="14" s="1"/>
  <c r="I222" i="14" s="1"/>
  <c r="K209" i="13"/>
  <c r="L209" i="13" s="1"/>
  <c r="I210" i="13" s="1"/>
  <c r="N324" i="14"/>
  <c r="J323" i="14" a="1"/>
  <c r="J323" i="14" s="1"/>
  <c r="M328" i="14"/>
  <c r="M327" i="13"/>
  <c r="N325" i="13"/>
  <c r="J324" i="13" a="1"/>
  <c r="J324" i="13" s="1"/>
  <c r="K210" i="13" l="1"/>
  <c r="L210" i="13" s="1"/>
  <c r="I211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23" i="14" l="1"/>
  <c r="L223" i="14" s="1"/>
  <c r="I224" i="14" s="1"/>
  <c r="K211" i="13"/>
  <c r="L211" i="13" s="1"/>
  <c r="I212" i="13" s="1"/>
  <c r="N327" i="13"/>
  <c r="J326" i="13" a="1"/>
  <c r="J326" i="13" s="1"/>
  <c r="M330" i="14"/>
  <c r="N326" i="14"/>
  <c r="J325" i="14" a="1"/>
  <c r="J325" i="14" s="1"/>
  <c r="M329" i="13"/>
  <c r="K212" i="13" l="1"/>
  <c r="K224" i="14"/>
  <c r="M331" i="14"/>
  <c r="M330" i="13"/>
  <c r="N327" i="14"/>
  <c r="J326" i="14" a="1"/>
  <c r="J326" i="14" s="1"/>
  <c r="N328" i="13"/>
  <c r="J327" i="13" a="1"/>
  <c r="J327" i="13" s="1"/>
  <c r="M332" i="14" l="1"/>
  <c r="M331" i="13"/>
  <c r="N329" i="13"/>
  <c r="J328" i="13" a="1"/>
  <c r="J328" i="13" s="1"/>
  <c r="L224" i="14"/>
  <c r="I225" i="14" s="1"/>
  <c r="N328" i="14"/>
  <c r="J327" i="14" a="1"/>
  <c r="J327" i="14" s="1"/>
  <c r="L212" i="13"/>
  <c r="I213" i="13" s="1"/>
  <c r="K213" i="13" l="1"/>
  <c r="M333" i="14"/>
  <c r="K225" i="14"/>
  <c r="N329" i="14"/>
  <c r="J328" i="14" a="1"/>
  <c r="J328" i="14" s="1"/>
  <c r="N330" i="13"/>
  <c r="J329" i="13" a="1"/>
  <c r="J329" i="13" s="1"/>
  <c r="M332" i="13"/>
  <c r="M334" i="14" l="1"/>
  <c r="M333" i="13"/>
  <c r="N330" i="14"/>
  <c r="J329" i="14" a="1"/>
  <c r="J329" i="14" s="1"/>
  <c r="N331" i="13"/>
  <c r="J330" i="13" a="1"/>
  <c r="J330" i="13" s="1"/>
  <c r="L225" i="14"/>
  <c r="I226" i="14" s="1"/>
  <c r="L213" i="13"/>
  <c r="I214" i="13" s="1"/>
  <c r="K214" i="13" l="1"/>
  <c r="L214" i="13" s="1"/>
  <c r="I215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27" i="14" l="1"/>
  <c r="L227" i="14" s="1"/>
  <c r="I228" i="14" s="1"/>
  <c r="K215" i="13"/>
  <c r="L215" i="13" s="1"/>
  <c r="I216" i="13" s="1"/>
  <c r="N332" i="14"/>
  <c r="J331" i="14" a="1"/>
  <c r="J331" i="14" s="1"/>
  <c r="M336" i="14"/>
  <c r="M335" i="13"/>
  <c r="N333" i="13"/>
  <c r="J332" i="13" a="1"/>
  <c r="J332" i="13" s="1"/>
  <c r="K216" i="13" l="1"/>
  <c r="L216" i="13" s="1"/>
  <c r="I217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29" i="14" l="1"/>
  <c r="L229" i="14" s="1"/>
  <c r="I230" i="14" s="1"/>
  <c r="K217" i="13"/>
  <c r="L217" i="13" s="1"/>
  <c r="I218" i="13" s="1"/>
  <c r="M337" i="13"/>
  <c r="N335" i="13"/>
  <c r="J334" i="13" a="1"/>
  <c r="J334" i="13" s="1"/>
  <c r="N334" i="14"/>
  <c r="J333" i="14" a="1"/>
  <c r="J333" i="14" s="1"/>
  <c r="M338" i="14"/>
  <c r="K230" i="14" l="1"/>
  <c r="L230" i="14" s="1"/>
  <c r="I231" i="14" s="1"/>
  <c r="K218" i="13"/>
  <c r="L218" i="13" s="1"/>
  <c r="I219" i="13" s="1"/>
  <c r="N336" i="13"/>
  <c r="J335" i="13" a="1"/>
  <c r="J335" i="13" s="1"/>
  <c r="N335" i="14"/>
  <c r="J334" i="14" a="1"/>
  <c r="J334" i="14" s="1"/>
  <c r="M338" i="13"/>
  <c r="M339" i="14"/>
  <c r="K231" i="14" l="1"/>
  <c r="L231" i="14" s="1"/>
  <c r="I232" i="14" s="1"/>
  <c r="M340" i="14"/>
  <c r="N336" i="14"/>
  <c r="J335" i="14" a="1"/>
  <c r="J335" i="14" s="1"/>
  <c r="K219" i="13"/>
  <c r="L219" i="13" s="1"/>
  <c r="I220" i="13" s="1"/>
  <c r="M339" i="13"/>
  <c r="N337" i="13"/>
  <c r="J336" i="13" a="1"/>
  <c r="J336" i="13" s="1"/>
  <c r="K220" i="13" l="1"/>
  <c r="L220" i="13" s="1"/>
  <c r="I221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33" i="14" l="1"/>
  <c r="L233" i="14" s="1"/>
  <c r="I234" i="14" s="1"/>
  <c r="K221" i="13"/>
  <c r="L221" i="13" s="1"/>
  <c r="I222" i="13" s="1"/>
  <c r="N338" i="14"/>
  <c r="J337" i="14" a="1"/>
  <c r="J337" i="14" s="1"/>
  <c r="N339" i="13"/>
  <c r="J338" i="13" a="1"/>
  <c r="J338" i="13" s="1"/>
  <c r="M341" i="13"/>
  <c r="M342" i="14"/>
  <c r="K222" i="13" l="1"/>
  <c r="L222" i="13" s="1"/>
  <c r="I223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3" i="13" l="1"/>
  <c r="L223" i="13" s="1"/>
  <c r="I224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4" i="13" l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37" i="14" l="1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/>
  <c r="I225" i="13" s="1"/>
  <c r="N344" i="13" l="1"/>
  <c r="J343" i="13" a="1"/>
  <c r="J343" i="13" s="1"/>
  <c r="M347" i="14"/>
  <c r="K225" i="13"/>
  <c r="M346" i="13"/>
  <c r="N343" i="14"/>
  <c r="J342" i="14" a="1"/>
  <c r="J342" i="14" s="1"/>
  <c r="K238" i="14"/>
  <c r="L238" i="14" s="1"/>
  <c r="I239" i="14" s="1"/>
  <c r="K239" i="14" l="1"/>
  <c r="L239" i="14" s="1"/>
  <c r="I240" i="14" s="1"/>
  <c r="M347" i="13"/>
  <c r="M348" i="14"/>
  <c r="N344" i="14"/>
  <c r="J343" i="14" a="1"/>
  <c r="J343" i="14" s="1"/>
  <c r="L225" i="13"/>
  <c r="I226" i="13" s="1"/>
  <c r="N345" i="13"/>
  <c r="J344" i="13" a="1"/>
  <c r="J344" i="13" s="1"/>
  <c r="K240" i="14" l="1"/>
  <c r="L240" i="14" s="1"/>
  <c r="I241" i="14" s="1"/>
  <c r="N345" i="14"/>
  <c r="J344" i="14" a="1"/>
  <c r="J344" i="14" s="1"/>
  <c r="M348" i="13"/>
  <c r="N346" i="13"/>
  <c r="J345" i="13" a="1"/>
  <c r="J345" i="13" s="1"/>
  <c r="K226" i="13"/>
  <c r="L226" i="13" s="1"/>
  <c r="I227" i="13" s="1"/>
  <c r="M349" i="14"/>
  <c r="K227" i="13" l="1"/>
  <c r="L227" i="13" s="1"/>
  <c r="I228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42" i="14" l="1"/>
  <c r="L242" i="14" s="1"/>
  <c r="I243" i="14" s="1"/>
  <c r="K228" i="13"/>
  <c r="L228" i="13" s="1"/>
  <c r="I229" i="13" s="1"/>
  <c r="M350" i="13"/>
  <c r="M351" i="14"/>
  <c r="N347" i="14"/>
  <c r="J346" i="14" a="1"/>
  <c r="J346" i="14" s="1"/>
  <c r="N348" i="13"/>
  <c r="J347" i="13" a="1"/>
  <c r="J347" i="13" s="1"/>
  <c r="K243" i="14" l="1"/>
  <c r="L243" i="14" s="1"/>
  <c r="I244" i="14" s="1"/>
  <c r="K229" i="13"/>
  <c r="L229" i="13" s="1"/>
  <c r="I230" i="13" s="1"/>
  <c r="M351" i="13"/>
  <c r="M352" i="14"/>
  <c r="N349" i="13"/>
  <c r="J348" i="13" a="1"/>
  <c r="J348" i="13" s="1"/>
  <c r="N348" i="14"/>
  <c r="J347" i="14" a="1"/>
  <c r="J347" i="14" s="1"/>
  <c r="K230" i="13" l="1"/>
  <c r="L230" i="13" s="1"/>
  <c r="I231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45" i="14" l="1"/>
  <c r="L245" i="14" s="1"/>
  <c r="I246" i="14" s="1"/>
  <c r="K231" i="13"/>
  <c r="L231" i="13" s="1"/>
  <c r="I232" i="13" s="1"/>
  <c r="M354" i="14"/>
  <c r="M353" i="13"/>
  <c r="N351" i="13"/>
  <c r="J350" i="13" a="1"/>
  <c r="J350" i="13" s="1"/>
  <c r="N350" i="14"/>
  <c r="J349" i="14" a="1"/>
  <c r="J349" i="14" s="1"/>
  <c r="K232" i="13" l="1"/>
  <c r="L232" i="13" s="1"/>
  <c r="I233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47" i="14" l="1"/>
  <c r="L247" i="14" s="1"/>
  <c r="I248" i="14" s="1"/>
  <c r="K233" i="13"/>
  <c r="L233" i="13" s="1"/>
  <c r="I234" i="13" s="1"/>
  <c r="M356" i="14"/>
  <c r="M355" i="13"/>
  <c r="N353" i="13"/>
  <c r="J352" i="13" a="1"/>
  <c r="J352" i="13" s="1"/>
  <c r="N352" i="14"/>
  <c r="J351" i="14" a="1"/>
  <c r="J351" i="14" s="1"/>
  <c r="K234" i="13" l="1"/>
  <c r="L234" i="13" s="1"/>
  <c r="I235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49" i="14" l="1"/>
  <c r="L249" i="14" s="1"/>
  <c r="I250" i="14" s="1"/>
  <c r="K235" i="13"/>
  <c r="L235" i="13" s="1"/>
  <c r="I236" i="13" s="1"/>
  <c r="M357" i="13"/>
  <c r="N355" i="13"/>
  <c r="J354" i="13" a="1"/>
  <c r="J354" i="13" s="1"/>
  <c r="M358" i="14"/>
  <c r="N354" i="14"/>
  <c r="J353" i="14" a="1"/>
  <c r="J353" i="14" s="1"/>
  <c r="K236" i="13" l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51" i="14" l="1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/>
  <c r="I237" i="13" s="1"/>
  <c r="K252" i="14" l="1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/>
  <c r="K253" i="14" l="1"/>
  <c r="L253" i="14" s="1"/>
  <c r="I254" i="14" s="1"/>
  <c r="M361" i="13"/>
  <c r="L237" i="13"/>
  <c r="I238" i="13" s="1"/>
  <c r="N359" i="13"/>
  <c r="J358" i="13" a="1"/>
  <c r="J358" i="13" s="1"/>
  <c r="N358" i="14"/>
  <c r="J357" i="14" a="1"/>
  <c r="J357" i="14" s="1"/>
  <c r="M362" i="14"/>
  <c r="K254" i="14" l="1"/>
  <c r="L254" i="14" s="1"/>
  <c r="I255" i="14" s="1"/>
  <c r="N360" i="13"/>
  <c r="J359" i="13" a="1"/>
  <c r="J359" i="13" s="1"/>
  <c r="N359" i="14"/>
  <c r="J358" i="14" a="1"/>
  <c r="J358" i="14" s="1"/>
  <c r="K238" i="13"/>
  <c r="L238" i="13" s="1"/>
  <c r="I239" i="13" s="1"/>
  <c r="M363" i="14"/>
  <c r="M362" i="13"/>
  <c r="K255" i="14" l="1"/>
  <c r="L255" i="14" s="1"/>
  <c r="I256" i="14" s="1"/>
  <c r="K239" i="13"/>
  <c r="L239" i="13" s="1"/>
  <c r="I240" i="13" s="1"/>
  <c r="N360" i="14"/>
  <c r="J359" i="14" a="1"/>
  <c r="J359" i="14" s="1"/>
  <c r="M363" i="13"/>
  <c r="M364" i="14"/>
  <c r="N361" i="13"/>
  <c r="J360" i="13" a="1"/>
  <c r="J360" i="13" s="1"/>
  <c r="K256" i="14" l="1"/>
  <c r="L256" i="14" s="1"/>
  <c r="I257" i="14" s="1"/>
  <c r="K240" i="13"/>
  <c r="L240" i="13" s="1"/>
  <c r="I241" i="13" s="1"/>
  <c r="N362" i="13"/>
  <c r="J361" i="13" a="1"/>
  <c r="J361" i="13" s="1"/>
  <c r="M364" i="13"/>
  <c r="M365" i="14"/>
  <c r="N361" i="14"/>
  <c r="J360" i="14" a="1"/>
  <c r="J360" i="14" s="1"/>
  <c r="K241" i="13" l="1"/>
  <c r="L241" i="13" s="1"/>
  <c r="I242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58" i="14" l="1"/>
  <c r="L258" i="14" s="1"/>
  <c r="I259" i="14" s="1"/>
  <c r="K242" i="13"/>
  <c r="L242" i="13" s="1"/>
  <c r="I243" i="13" s="1"/>
  <c r="M366" i="13"/>
  <c r="N364" i="13"/>
  <c r="J363" i="13" a="1"/>
  <c r="J363" i="13" s="1"/>
  <c r="M367" i="14"/>
  <c r="N363" i="14"/>
  <c r="J362" i="14" a="1"/>
  <c r="J362" i="14" s="1"/>
  <c r="K243" i="13" l="1"/>
  <c r="L243" i="13" s="1"/>
  <c r="I244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60" i="14" l="1"/>
  <c r="L260" i="14" s="1"/>
  <c r="I261" i="14" s="1"/>
  <c r="K244" i="13"/>
  <c r="L244" i="13" s="1"/>
  <c r="I245" i="13" s="1"/>
  <c r="M368" i="13"/>
  <c r="N366" i="13"/>
  <c r="J365" i="13" a="1"/>
  <c r="J365" i="13" s="1"/>
  <c r="M369" i="14"/>
  <c r="N365" i="14"/>
  <c r="J364" i="14" a="1"/>
  <c r="J364" i="14" s="1"/>
  <c r="K245" i="13" l="1"/>
  <c r="L245" i="13" s="1"/>
  <c r="I246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6" i="13" l="1"/>
  <c r="L246" i="13" s="1"/>
  <c r="I247" i="13" s="1"/>
  <c r="K262" i="14"/>
  <c r="M371" i="14"/>
  <c r="N367" i="14"/>
  <c r="J366" i="14" a="1"/>
  <c r="J366" i="14" s="1"/>
  <c r="M370" i="13"/>
  <c r="N368" i="13"/>
  <c r="J367" i="13" a="1"/>
  <c r="J367" i="13" s="1"/>
  <c r="K247" i="13" l="1"/>
  <c r="L247" i="13" s="1"/>
  <c r="I248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8" i="13" l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N371" i="13" l="1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/>
  <c r="I249" i="13" s="1"/>
  <c r="K265" i="14" l="1"/>
  <c r="L265" i="14" s="1"/>
  <c r="I266" i="14" s="1"/>
  <c r="N371" i="14"/>
  <c r="J370" i="14" a="1"/>
  <c r="J370" i="14" s="1"/>
  <c r="M375" i="14"/>
  <c r="M374" i="13"/>
  <c r="K249" i="13"/>
  <c r="N372" i="13"/>
  <c r="J371" i="13" a="1"/>
  <c r="J371" i="13" s="1"/>
  <c r="K266" i="14" l="1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/>
  <c r="I250" i="13" s="1"/>
  <c r="K267" i="14" l="1"/>
  <c r="L267" i="14" s="1"/>
  <c r="I268" i="14" s="1"/>
  <c r="M376" i="13"/>
  <c r="M377" i="14"/>
  <c r="N373" i="14"/>
  <c r="J372" i="14" a="1"/>
  <c r="J372" i="14" s="1"/>
  <c r="K250" i="13"/>
  <c r="L250" i="13" s="1"/>
  <c r="I251" i="13" s="1"/>
  <c r="N374" i="13"/>
  <c r="J373" i="13" a="1"/>
  <c r="J373" i="13" s="1"/>
  <c r="K251" i="13" l="1"/>
  <c r="L251" i="13" s="1"/>
  <c r="I252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69" i="14" l="1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/>
  <c r="L252" i="13" s="1"/>
  <c r="I253" i="13" s="1"/>
  <c r="K253" i="13" l="1"/>
  <c r="L253" i="13" s="1"/>
  <c r="I254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71" i="14" l="1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/>
  <c r="L254" i="13" s="1"/>
  <c r="I255" i="13" s="1"/>
  <c r="K255" i="13" l="1"/>
  <c r="L255" i="13" s="1"/>
  <c r="I256" i="13" s="1"/>
  <c r="K272" i="14"/>
  <c r="N378" i="14"/>
  <c r="J377" i="14" a="1"/>
  <c r="J377" i="14" s="1"/>
  <c r="M382" i="14"/>
  <c r="N379" i="13"/>
  <c r="J378" i="13" a="1"/>
  <c r="J378" i="13" s="1"/>
  <c r="M381" i="13"/>
  <c r="K256" i="13" l="1"/>
  <c r="L256" i="13" s="1"/>
  <c r="I257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7" i="13" l="1"/>
  <c r="L257" i="13" s="1"/>
  <c r="I258" i="13" s="1"/>
  <c r="N380" i="14"/>
  <c r="J379" i="14" a="1"/>
  <c r="J379" i="14" s="1"/>
  <c r="M384" i="14"/>
  <c r="K273" i="14"/>
  <c r="M383" i="13"/>
  <c r="N381" i="13"/>
  <c r="J380" i="13" a="1"/>
  <c r="J380" i="13" s="1"/>
  <c r="K258" i="13" l="1"/>
  <c r="L258" i="13" s="1"/>
  <c r="I259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9" i="13" l="1"/>
  <c r="L259" i="13" s="1"/>
  <c r="I260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75" i="14" l="1"/>
  <c r="L275" i="14" s="1"/>
  <c r="I276" i="14" s="1"/>
  <c r="K260" i="13"/>
  <c r="L260" i="13" s="1"/>
  <c r="I261" i="13" s="1"/>
  <c r="N383" i="14"/>
  <c r="J382" i="14" a="1"/>
  <c r="J382" i="14" s="1"/>
  <c r="N384" i="13"/>
  <c r="J383" i="13" a="1"/>
  <c r="J383" i="13" s="1"/>
  <c r="M387" i="14"/>
  <c r="M386" i="13"/>
  <c r="K276" i="14" l="1"/>
  <c r="L276" i="14" s="1"/>
  <c r="I277" i="14" s="1"/>
  <c r="K261" i="13"/>
  <c r="L261" i="13" s="1"/>
  <c r="I262" i="13" s="1"/>
  <c r="N385" i="13"/>
  <c r="J384" i="13" a="1"/>
  <c r="J384" i="13" s="1"/>
  <c r="M388" i="14"/>
  <c r="N384" i="14"/>
  <c r="J383" i="14" a="1"/>
  <c r="J383" i="14" s="1"/>
  <c r="M387" i="13"/>
  <c r="K262" i="13" l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78" i="14" l="1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/>
  <c r="I263" i="13" s="1"/>
  <c r="K279" i="14" l="1"/>
  <c r="L279" i="14" s="1"/>
  <c r="I280" i="14" s="1"/>
  <c r="N387" i="14"/>
  <c r="J386" i="14" a="1"/>
  <c r="J386" i="14" s="1"/>
  <c r="K263" i="13"/>
  <c r="L263" i="13" s="1"/>
  <c r="I264" i="13" s="1"/>
  <c r="M391" i="14"/>
  <c r="M390" i="13"/>
  <c r="N388" i="13"/>
  <c r="J387" i="13" a="1"/>
  <c r="J387" i="13" s="1"/>
  <c r="K280" i="14" l="1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/>
  <c r="L264" i="13" s="1"/>
  <c r="I265" i="13" s="1"/>
  <c r="K265" i="13" l="1"/>
  <c r="L265" i="13" s="1"/>
  <c r="I266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82" i="14" l="1"/>
  <c r="L282" i="14" s="1"/>
  <c r="I283" i="14" s="1"/>
  <c r="K266" i="13"/>
  <c r="L266" i="13" s="1"/>
  <c r="I267" i="13" s="1"/>
  <c r="M394" i="14"/>
  <c r="N391" i="13"/>
  <c r="J390" i="13" a="1"/>
  <c r="J390" i="13" s="1"/>
  <c r="M393" i="13"/>
  <c r="N390" i="14"/>
  <c r="J389" i="14" a="1"/>
  <c r="J389" i="14" s="1"/>
  <c r="K267" i="13" l="1"/>
  <c r="L267" i="13" s="1"/>
  <c r="I268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84" i="14" l="1"/>
  <c r="K268" i="13"/>
  <c r="L268" i="13" s="1"/>
  <c r="I269" i="13" s="1"/>
  <c r="M396" i="14"/>
  <c r="N393" i="13"/>
  <c r="J392" i="13" a="1"/>
  <c r="J392" i="13" s="1"/>
  <c r="M395" i="13"/>
  <c r="N392" i="14"/>
  <c r="J391" i="14" a="1"/>
  <c r="J391" i="14" s="1"/>
  <c r="K269" i="13" l="1"/>
  <c r="L269" i="13" s="1"/>
  <c r="I270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70" i="13" l="1"/>
  <c r="L270" i="13" s="1"/>
  <c r="I271" i="13" s="1"/>
  <c r="M398" i="14"/>
  <c r="N395" i="13"/>
  <c r="J394" i="13" a="1"/>
  <c r="J394" i="13" s="1"/>
  <c r="M397" i="13"/>
  <c r="K285" i="14"/>
  <c r="N394" i="14"/>
  <c r="J393" i="14" a="1"/>
  <c r="J393" i="14" s="1"/>
  <c r="K271" i="13" l="1"/>
  <c r="L271" i="13" s="1"/>
  <c r="I272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2" i="13" l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87" i="14" l="1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/>
  <c r="I273" i="13" s="1"/>
  <c r="K288" i="14" l="1"/>
  <c r="L288" i="14" s="1"/>
  <c r="I289" i="14" s="1"/>
  <c r="M402" i="14"/>
  <c r="N398" i="14"/>
  <c r="J397" i="14" a="1"/>
  <c r="J397" i="14" s="1"/>
  <c r="K273" i="13"/>
  <c r="N399" i="13"/>
  <c r="J398" i="13" a="1"/>
  <c r="J398" i="13" s="1"/>
  <c r="M401" i="13"/>
  <c r="M402" i="13" l="1"/>
  <c r="M403" i="14"/>
  <c r="L273" i="13"/>
  <c r="I274" i="13" s="1"/>
  <c r="N400" i="13"/>
  <c r="J399" i="13" a="1"/>
  <c r="J399" i="13" s="1"/>
  <c r="N399" i="14"/>
  <c r="J398" i="14" a="1"/>
  <c r="J398" i="14" s="1"/>
  <c r="K289" i="14"/>
  <c r="L289" i="14" s="1"/>
  <c r="I290" i="14" s="1"/>
  <c r="K290" i="14" l="1"/>
  <c r="L290" i="14" s="1"/>
  <c r="I291" i="14" s="1"/>
  <c r="N401" i="13"/>
  <c r="J400" i="13" a="1"/>
  <c r="J400" i="13" s="1"/>
  <c r="K274" i="13"/>
  <c r="L274" i="13" s="1"/>
  <c r="I275" i="13" s="1"/>
  <c r="M403" i="13"/>
  <c r="N400" i="14"/>
  <c r="J399" i="14" a="1"/>
  <c r="J399" i="14" s="1"/>
  <c r="M404" i="14"/>
  <c r="K275" i="13" l="1"/>
  <c r="L275" i="13" s="1"/>
  <c r="I276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92" i="14" l="1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/>
  <c r="L276" i="13" s="1"/>
  <c r="I277" i="13" s="1"/>
  <c r="K277" i="13" l="1"/>
  <c r="L277" i="13" s="1"/>
  <c r="I278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94" i="14" l="1"/>
  <c r="L294" i="14" s="1"/>
  <c r="I295" i="14" s="1"/>
  <c r="K278" i="13"/>
  <c r="L278" i="13" s="1"/>
  <c r="I279" i="13" s="1"/>
  <c r="N405" i="13"/>
  <c r="J404" i="13" a="1"/>
  <c r="J404" i="13" s="1"/>
  <c r="N404" i="14"/>
  <c r="J403" i="14" a="1"/>
  <c r="J403" i="14" s="1"/>
  <c r="M408" i="14"/>
  <c r="M407" i="13"/>
  <c r="K295" i="14" l="1"/>
  <c r="L295" i="14" s="1"/>
  <c r="I296" i="14" s="1"/>
  <c r="N405" i="14"/>
  <c r="J404" i="14" a="1"/>
  <c r="J404" i="14" s="1"/>
  <c r="M408" i="13"/>
  <c r="K279" i="13"/>
  <c r="L279" i="13" s="1"/>
  <c r="I280" i="13" s="1"/>
  <c r="M409" i="14"/>
  <c r="N406" i="13"/>
  <c r="J405" i="13" a="1"/>
  <c r="J405" i="13" s="1"/>
  <c r="K296" i="14" l="1"/>
  <c r="N407" i="13"/>
  <c r="J406" i="13" a="1"/>
  <c r="J406" i="13" s="1"/>
  <c r="K280" i="13"/>
  <c r="L280" i="13" s="1"/>
  <c r="I281" i="13" s="1"/>
  <c r="N406" i="14"/>
  <c r="J405" i="14" a="1"/>
  <c r="J405" i="14" s="1"/>
  <c r="M410" i="14"/>
  <c r="M409" i="13"/>
  <c r="K281" i="13" l="1"/>
  <c r="L281" i="13" s="1"/>
  <c r="I282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97" i="14" l="1"/>
  <c r="M411" i="13"/>
  <c r="N408" i="14"/>
  <c r="J407" i="14" a="1"/>
  <c r="J407" i="14" s="1"/>
  <c r="N409" i="13"/>
  <c r="J408" i="13" a="1"/>
  <c r="J408" i="13" s="1"/>
  <c r="M412" i="14"/>
  <c r="K282" i="13"/>
  <c r="L282" i="13" s="1"/>
  <c r="I283" i="13" s="1"/>
  <c r="K283" i="13" l="1"/>
  <c r="L283" i="13" s="1"/>
  <c r="I284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4" i="13" l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99" i="14" l="1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/>
  <c r="I285" i="13" s="1"/>
  <c r="K300" i="14" l="1"/>
  <c r="L300" i="14" s="1"/>
  <c r="I301" i="14" s="1"/>
  <c r="K285" i="13"/>
  <c r="L285" i="13" s="1"/>
  <c r="I286" i="13" s="1"/>
  <c r="N412" i="14"/>
  <c r="J411" i="14" a="1"/>
  <c r="J411" i="14" s="1"/>
  <c r="M415" i="13"/>
  <c r="N413" i="13"/>
  <c r="J412" i="13" a="1"/>
  <c r="J412" i="13" s="1"/>
  <c r="M416" i="14"/>
  <c r="K286" i="13" l="1"/>
  <c r="L286" i="13" s="1"/>
  <c r="I287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302" i="14" l="1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/>
  <c r="L287" i="13" s="1"/>
  <c r="I288" i="13" s="1"/>
  <c r="K288" i="13" l="1"/>
  <c r="L288" i="13" s="1"/>
  <c r="I289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9" i="13" l="1"/>
  <c r="L289" i="13" s="1"/>
  <c r="I290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305" i="14" l="1"/>
  <c r="L305" i="14" s="1"/>
  <c r="I306" i="14" s="1"/>
  <c r="K290" i="13"/>
  <c r="L290" i="13" s="1"/>
  <c r="I291" i="13" s="1"/>
  <c r="M420" i="13"/>
  <c r="N417" i="14"/>
  <c r="J416" i="14" a="1"/>
  <c r="J416" i="14" s="1"/>
  <c r="M421" i="14"/>
  <c r="N418" i="13"/>
  <c r="J417" i="13" a="1"/>
  <c r="J417" i="13" s="1"/>
  <c r="K291" i="13" l="1"/>
  <c r="L291" i="13" s="1"/>
  <c r="I292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2" i="13" l="1"/>
  <c r="L292" i="13" s="1"/>
  <c r="I293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308" i="14" l="1"/>
  <c r="L308" i="14" s="1"/>
  <c r="I309" i="14" s="1"/>
  <c r="K293" i="13"/>
  <c r="L293" i="13" s="1"/>
  <c r="I294" i="13" s="1"/>
  <c r="M424" i="14"/>
  <c r="N420" i="14"/>
  <c r="J419" i="14" a="1"/>
  <c r="J419" i="14" s="1"/>
  <c r="M423" i="13"/>
  <c r="N421" i="13"/>
  <c r="J420" i="13" a="1"/>
  <c r="J420" i="13" s="1"/>
  <c r="K294" i="13" l="1"/>
  <c r="L294" i="13" s="1"/>
  <c r="I295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5" i="13" l="1"/>
  <c r="L295" i="13" s="1"/>
  <c r="I296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6" i="13" l="1"/>
  <c r="L296" i="13" s="1"/>
  <c r="I297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312" i="14" l="1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/>
  <c r="L297" i="13" s="1"/>
  <c r="I298" i="13" s="1"/>
  <c r="K313" i="14" l="1"/>
  <c r="L313" i="14" s="1"/>
  <c r="I314" i="14" s="1"/>
  <c r="M429" i="14"/>
  <c r="K298" i="13"/>
  <c r="N426" i="13"/>
  <c r="J425" i="13" a="1"/>
  <c r="J425" i="13" s="1"/>
  <c r="M428" i="13"/>
  <c r="N425" i="14"/>
  <c r="J424" i="14" a="1"/>
  <c r="J424" i="14" s="1"/>
  <c r="K314" i="14" l="1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/>
  <c r="I299" i="13" s="1"/>
  <c r="K315" i="14" l="1"/>
  <c r="L315" i="14" s="1"/>
  <c r="I316" i="14" s="1"/>
  <c r="K299" i="13"/>
  <c r="L299" i="13" s="1"/>
  <c r="I300" i="13" s="1"/>
  <c r="M431" i="14"/>
  <c r="N428" i="13"/>
  <c r="J427" i="13" a="1"/>
  <c r="J427" i="13" s="1"/>
  <c r="M430" i="13"/>
  <c r="N427" i="14"/>
  <c r="J426" i="14" a="1"/>
  <c r="J426" i="14" s="1"/>
  <c r="K300" i="13" l="1"/>
  <c r="L300" i="13" s="1"/>
  <c r="I301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17" i="14" l="1"/>
  <c r="L317" i="14" s="1"/>
  <c r="I318" i="14" s="1"/>
  <c r="K301" i="13"/>
  <c r="L301" i="13" s="1"/>
  <c r="I302" i="13" s="1"/>
  <c r="M433" i="14"/>
  <c r="M432" i="13"/>
  <c r="N429" i="14"/>
  <c r="J428" i="14" a="1"/>
  <c r="J428" i="14" s="1"/>
  <c r="N430" i="13"/>
  <c r="J429" i="13" a="1"/>
  <c r="J429" i="13" s="1"/>
  <c r="K302" i="13" l="1"/>
  <c r="L302" i="13" s="1"/>
  <c r="I303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3" i="13" l="1"/>
  <c r="L303" i="13" s="1"/>
  <c r="I304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20" i="14" l="1"/>
  <c r="L320" i="14" s="1"/>
  <c r="I321" i="14" s="1"/>
  <c r="K304" i="13"/>
  <c r="L304" i="13" s="1"/>
  <c r="I305" i="13" s="1"/>
  <c r="M436" i="14"/>
  <c r="N432" i="14"/>
  <c r="J431" i="14" a="1"/>
  <c r="J431" i="14" s="1"/>
  <c r="N433" i="13"/>
  <c r="J432" i="13" a="1"/>
  <c r="J432" i="13" s="1"/>
  <c r="M435" i="13"/>
  <c r="K305" i="13" l="1"/>
  <c r="L305" i="13" s="1"/>
  <c r="I306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6" i="13" l="1"/>
  <c r="L306" i="13" s="1"/>
  <c r="I307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23" i="14" l="1"/>
  <c r="L323" i="14" s="1"/>
  <c r="I324" i="14" s="1"/>
  <c r="K307" i="13"/>
  <c r="L307" i="13" s="1"/>
  <c r="I308" i="13" s="1"/>
  <c r="N436" i="13"/>
  <c r="J435" i="13" a="1"/>
  <c r="J435" i="13" s="1"/>
  <c r="M439" i="14"/>
  <c r="M438" i="13"/>
  <c r="N435" i="14"/>
  <c r="J434" i="14" a="1"/>
  <c r="J434" i="14" s="1"/>
  <c r="K308" i="13" l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25" i="14" l="1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/>
  <c r="I309" i="13" s="1"/>
  <c r="K326" i="14" l="1"/>
  <c r="L326" i="14" s="1"/>
  <c r="I327" i="14" s="1"/>
  <c r="K309" i="13"/>
  <c r="L309" i="13" s="1"/>
  <c r="I310" i="13" s="1"/>
  <c r="M441" i="13"/>
  <c r="N438" i="14"/>
  <c r="J437" i="14" a="1"/>
  <c r="J437" i="14" s="1"/>
  <c r="M442" i="14"/>
  <c r="N439" i="13"/>
  <c r="J438" i="13" a="1"/>
  <c r="J438" i="13" s="1"/>
  <c r="K310" i="13" l="1"/>
  <c r="L310" i="13" s="1"/>
  <c r="I311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28" i="14" l="1"/>
  <c r="L328" i="14" s="1"/>
  <c r="I329" i="14" s="1"/>
  <c r="K311" i="13"/>
  <c r="L311" i="13" s="1"/>
  <c r="I312" i="13" s="1"/>
  <c r="N441" i="13"/>
  <c r="J440" i="13" a="1"/>
  <c r="J440" i="13" s="1"/>
  <c r="M444" i="14"/>
  <c r="M443" i="13"/>
  <c r="N440" i="14"/>
  <c r="J439" i="14" a="1"/>
  <c r="J439" i="14" s="1"/>
  <c r="K312" i="13" l="1"/>
  <c r="L312" i="13" s="1"/>
  <c r="I313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3" i="13" l="1"/>
  <c r="L313" i="13" s="1"/>
  <c r="I314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31" i="14" l="1"/>
  <c r="L331" i="14" s="1"/>
  <c r="I332" i="14" s="1"/>
  <c r="M447" i="14"/>
  <c r="N443" i="14"/>
  <c r="J442" i="14" a="1"/>
  <c r="J442" i="14" s="1"/>
  <c r="N444" i="13"/>
  <c r="J443" i="13" a="1"/>
  <c r="J443" i="13" s="1"/>
  <c r="K314" i="13"/>
  <c r="L314" i="13" s="1"/>
  <c r="I315" i="13" s="1"/>
  <c r="M446" i="13"/>
  <c r="K315" i="13" l="1"/>
  <c r="L315" i="13" s="1"/>
  <c r="I316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6" i="13" l="1"/>
  <c r="L316" i="13" s="1"/>
  <c r="I317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7" i="13" l="1"/>
  <c r="L317" i="13" s="1"/>
  <c r="I318" i="13" s="1"/>
  <c r="K334" i="14"/>
  <c r="N446" i="14"/>
  <c r="J445" i="14" a="1"/>
  <c r="J445" i="14" s="1"/>
  <c r="M450" i="14"/>
  <c r="M449" i="13"/>
  <c r="N447" i="13"/>
  <c r="J446" i="13" a="1"/>
  <c r="J446" i="13" s="1"/>
  <c r="K318" i="13" l="1"/>
  <c r="L318" i="13" s="1"/>
  <c r="I319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9" i="13" l="1"/>
  <c r="L319" i="13" s="1"/>
  <c r="I320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36" i="14" l="1"/>
  <c r="L336" i="14" s="1"/>
  <c r="I337" i="14" s="1"/>
  <c r="K320" i="13"/>
  <c r="M453" i="14"/>
  <c r="N450" i="13"/>
  <c r="J449" i="13" a="1"/>
  <c r="J449" i="13" s="1"/>
  <c r="M452" i="13"/>
  <c r="N449" i="14"/>
  <c r="J448" i="14" a="1"/>
  <c r="J448" i="14" s="1"/>
  <c r="K337" i="14" l="1"/>
  <c r="L337" i="14" s="1"/>
  <c r="I338" i="14" s="1"/>
  <c r="N450" i="14"/>
  <c r="J449" i="14" a="1"/>
  <c r="J449" i="14" s="1"/>
  <c r="L320" i="13"/>
  <c r="I321" i="13" s="1"/>
  <c r="N451" i="13"/>
  <c r="J450" i="13" a="1"/>
  <c r="J450" i="13" s="1"/>
  <c r="M453" i="13"/>
  <c r="M454" i="14"/>
  <c r="K338" i="14" l="1"/>
  <c r="L338" i="14" s="1"/>
  <c r="I339" i="14" s="1"/>
  <c r="N451" i="14"/>
  <c r="J450" i="14" a="1"/>
  <c r="J450" i="14" s="1"/>
  <c r="N452" i="13"/>
  <c r="J451" i="13" a="1"/>
  <c r="J451" i="13" s="1"/>
  <c r="M454" i="13"/>
  <c r="K321" i="13"/>
  <c r="M455" i="14"/>
  <c r="K339" i="14" l="1"/>
  <c r="L339" i="14" s="1"/>
  <c r="I340" i="14" s="1"/>
  <c r="M456" i="14"/>
  <c r="M455" i="13"/>
  <c r="N452" i="14"/>
  <c r="J451" i="14" a="1"/>
  <c r="J451" i="14" s="1"/>
  <c r="L321" i="13"/>
  <c r="I322" i="13" s="1"/>
  <c r="N453" i="13"/>
  <c r="J452" i="13" a="1"/>
  <c r="J452" i="13" s="1"/>
  <c r="K340" i="14" l="1"/>
  <c r="L340" i="14" s="1"/>
  <c r="I341" i="14" s="1"/>
  <c r="M457" i="14"/>
  <c r="N453" i="14"/>
  <c r="J452" i="14" a="1"/>
  <c r="J452" i="14" s="1"/>
  <c r="N454" i="13"/>
  <c r="J453" i="13" a="1"/>
  <c r="J453" i="13" s="1"/>
  <c r="K322" i="13"/>
  <c r="L322" i="13" s="1"/>
  <c r="I323" i="13" s="1"/>
  <c r="M456" i="13"/>
  <c r="K323" i="13" l="1"/>
  <c r="L323" i="13" s="1"/>
  <c r="I324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42" i="14" l="1"/>
  <c r="L342" i="14" s="1"/>
  <c r="I343" i="14" s="1"/>
  <c r="K324" i="13"/>
  <c r="L324" i="13" s="1"/>
  <c r="I325" i="13" s="1"/>
  <c r="N455" i="14"/>
  <c r="J454" i="14" a="1"/>
  <c r="J454" i="14" s="1"/>
  <c r="N456" i="13"/>
  <c r="J455" i="13" a="1"/>
  <c r="J455" i="13" s="1"/>
  <c r="M459" i="14"/>
  <c r="M458" i="13"/>
  <c r="K325" i="13" l="1"/>
  <c r="L325" i="13" s="1"/>
  <c r="I326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44" i="14" l="1"/>
  <c r="K326" i="13"/>
  <c r="L326" i="13" s="1"/>
  <c r="I327" i="13" s="1"/>
  <c r="N457" i="14"/>
  <c r="J456" i="14" a="1"/>
  <c r="J456" i="14" s="1"/>
  <c r="M461" i="14"/>
  <c r="M460" i="13"/>
  <c r="N458" i="13"/>
  <c r="J457" i="13" a="1"/>
  <c r="J457" i="13" s="1"/>
  <c r="K327" i="13" l="1"/>
  <c r="L327" i="13" s="1"/>
  <c r="I328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8" i="13" l="1"/>
  <c r="L328" i="13" s="1"/>
  <c r="I329" i="13" s="1"/>
  <c r="M463" i="14"/>
  <c r="N460" i="13"/>
  <c r="J459" i="13" a="1"/>
  <c r="J459" i="13" s="1"/>
  <c r="K345" i="14"/>
  <c r="N459" i="14"/>
  <c r="J458" i="14" a="1"/>
  <c r="J458" i="14" s="1"/>
  <c r="M462" i="13"/>
  <c r="K329" i="13" l="1"/>
  <c r="L329" i="13" s="1"/>
  <c r="I330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30" i="13" l="1"/>
  <c r="L330" i="13" s="1"/>
  <c r="I331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1" i="13" l="1"/>
  <c r="L331" i="13" s="1"/>
  <c r="I332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48" i="14" l="1"/>
  <c r="L348" i="14" s="1"/>
  <c r="I349" i="14" s="1"/>
  <c r="K332" i="13"/>
  <c r="L332" i="13" s="1"/>
  <c r="I333" i="13" s="1"/>
  <c r="N464" i="13"/>
  <c r="J463" i="13" a="1"/>
  <c r="J463" i="13" s="1"/>
  <c r="M467" i="14"/>
  <c r="M466" i="13"/>
  <c r="N463" i="14"/>
  <c r="J462" i="14" a="1"/>
  <c r="J462" i="14" s="1"/>
  <c r="K333" i="13" l="1"/>
  <c r="L333" i="13" s="1"/>
  <c r="I334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4" i="13" l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51" i="14" l="1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/>
  <c r="I335" i="13" s="1"/>
  <c r="K352" i="14" l="1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/>
  <c r="L335" i="13" s="1"/>
  <c r="I336" i="13" s="1"/>
  <c r="K336" i="13" l="1"/>
  <c r="L336" i="13" s="1"/>
  <c r="I337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54" i="14" l="1"/>
  <c r="L354" i="14" s="1"/>
  <c r="I355" i="14" s="1"/>
  <c r="K337" i="13"/>
  <c r="L337" i="13" s="1"/>
  <c r="I338" i="13" s="1"/>
  <c r="N469" i="14"/>
  <c r="J468" i="14" a="1"/>
  <c r="J468" i="14" s="1"/>
  <c r="M473" i="14"/>
  <c r="M472" i="13"/>
  <c r="N470" i="13"/>
  <c r="J469" i="13" a="1"/>
  <c r="J469" i="13" s="1"/>
  <c r="K338" i="13" l="1"/>
  <c r="L338" i="13" s="1"/>
  <c r="I339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56" i="14" l="1"/>
  <c r="K339" i="13"/>
  <c r="L339" i="13" s="1"/>
  <c r="I340" i="13" s="1"/>
  <c r="N472" i="13"/>
  <c r="J471" i="13" a="1"/>
  <c r="J471" i="13" s="1"/>
  <c r="N471" i="14"/>
  <c r="J470" i="14" a="1"/>
  <c r="J470" i="14" s="1"/>
  <c r="M474" i="13"/>
  <c r="M475" i="14"/>
  <c r="K340" i="13" l="1"/>
  <c r="L340" i="13" s="1"/>
  <c r="I341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1" i="13" l="1"/>
  <c r="L341" i="13" s="1"/>
  <c r="I342" i="13" s="1"/>
  <c r="N474" i="13"/>
  <c r="J473" i="13" a="1"/>
  <c r="J473" i="13" s="1"/>
  <c r="M476" i="13"/>
  <c r="K357" i="14"/>
  <c r="M477" i="14"/>
  <c r="N473" i="14"/>
  <c r="J472" i="14" a="1"/>
  <c r="J472" i="14" s="1"/>
  <c r="K342" i="13" l="1"/>
  <c r="L342" i="13" s="1"/>
  <c r="I343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3" i="13" l="1"/>
  <c r="L343" i="13" s="1"/>
  <c r="I344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59" i="14" l="1"/>
  <c r="L359" i="14" s="1"/>
  <c r="I360" i="14" s="1"/>
  <c r="K344" i="13"/>
  <c r="N477" i="13"/>
  <c r="J476" i="13" a="1"/>
  <c r="J476" i="13" s="1"/>
  <c r="M479" i="13"/>
  <c r="M480" i="14"/>
  <c r="N476" i="14"/>
  <c r="J475" i="14" a="1"/>
  <c r="J475" i="14" s="1"/>
  <c r="K360" i="14" l="1"/>
  <c r="L360" i="14" s="1"/>
  <c r="I361" i="14" s="1"/>
  <c r="M480" i="13"/>
  <c r="N477" i="14"/>
  <c r="J476" i="14" a="1"/>
  <c r="J476" i="14" s="1"/>
  <c r="L344" i="13"/>
  <c r="I345" i="13" s="1"/>
  <c r="M481" i="14"/>
  <c r="N478" i="13"/>
  <c r="J477" i="13" a="1"/>
  <c r="J477" i="13" s="1"/>
  <c r="K361" i="14" l="1"/>
  <c r="L361" i="14" s="1"/>
  <c r="I362" i="14" s="1"/>
  <c r="M482" i="14"/>
  <c r="N478" i="14"/>
  <c r="J477" i="14" a="1"/>
  <c r="J477" i="14" s="1"/>
  <c r="N479" i="13"/>
  <c r="J478" i="13" a="1"/>
  <c r="J478" i="13" s="1"/>
  <c r="K345" i="13"/>
  <c r="L345" i="13" s="1"/>
  <c r="I346" i="13" s="1"/>
  <c r="M481" i="13"/>
  <c r="K346" i="13" l="1"/>
  <c r="L346" i="13" s="1"/>
  <c r="I347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7" i="13" l="1"/>
  <c r="L347" i="13" s="1"/>
  <c r="I348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64" i="14" l="1"/>
  <c r="L364" i="14" s="1"/>
  <c r="I365" i="14" s="1"/>
  <c r="K348" i="13"/>
  <c r="L348" i="13" s="1"/>
  <c r="I349" i="13" s="1"/>
  <c r="M484" i="13"/>
  <c r="N482" i="13"/>
  <c r="J481" i="13" a="1"/>
  <c r="J481" i="13" s="1"/>
  <c r="M485" i="14"/>
  <c r="N481" i="14"/>
  <c r="J480" i="14" a="1"/>
  <c r="J480" i="14" s="1"/>
  <c r="K349" i="13" l="1"/>
  <c r="L349" i="13" s="1"/>
  <c r="I350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66" i="14" l="1"/>
  <c r="L366" i="14" s="1"/>
  <c r="I367" i="14" s="1"/>
  <c r="K350" i="13"/>
  <c r="L350" i="13" s="1"/>
  <c r="I351" i="13" s="1"/>
  <c r="M486" i="13"/>
  <c r="N484" i="13"/>
  <c r="J483" i="13" a="1"/>
  <c r="J483" i="13" s="1"/>
  <c r="M487" i="14"/>
  <c r="N483" i="14"/>
  <c r="J482" i="14" a="1"/>
  <c r="J482" i="14" s="1"/>
  <c r="K351" i="13" l="1"/>
  <c r="L351" i="13" s="1"/>
  <c r="I352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68" i="14" l="1"/>
  <c r="L368" i="14" s="1"/>
  <c r="I369" i="14" s="1"/>
  <c r="K352" i="13"/>
  <c r="L352" i="13" s="1"/>
  <c r="I353" i="13" s="1"/>
  <c r="M489" i="14"/>
  <c r="N485" i="14"/>
  <c r="J484" i="14" a="1"/>
  <c r="J484" i="14" s="1"/>
  <c r="M488" i="13"/>
  <c r="N486" i="13"/>
  <c r="J485" i="13" a="1"/>
  <c r="J485" i="13" s="1"/>
  <c r="N487" i="13" l="1"/>
  <c r="J486" i="13" a="1"/>
  <c r="J486" i="13" s="1"/>
  <c r="N486" i="14"/>
  <c r="J485" i="14" a="1"/>
  <c r="J485" i="14" s="1"/>
  <c r="K353" i="13"/>
  <c r="L353" i="13" s="1"/>
  <c r="I354" i="13" s="1"/>
  <c r="M489" i="13"/>
  <c r="M490" i="14"/>
  <c r="K369" i="14"/>
  <c r="L369" i="14" s="1"/>
  <c r="I370" i="14" s="1"/>
  <c r="K354" i="13" l="1"/>
  <c r="L354" i="13" s="1"/>
  <c r="I355" i="13" s="1"/>
  <c r="N487" i="14"/>
  <c r="J486" i="14" a="1"/>
  <c r="J486" i="14" s="1"/>
  <c r="K370" i="14"/>
  <c r="M490" i="13"/>
  <c r="M491" i="14"/>
  <c r="N488" i="13"/>
  <c r="J487" i="13" a="1"/>
  <c r="J487" i="13" s="1"/>
  <c r="K355" i="13" l="1"/>
  <c r="L355" i="13" s="1"/>
  <c r="I356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6" i="13" l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N490" i="14" l="1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/>
  <c r="I357" i="13" s="1"/>
  <c r="K373" i="14" l="1"/>
  <c r="L373" i="14" s="1"/>
  <c r="I374" i="14" s="1"/>
  <c r="N492" i="13"/>
  <c r="J491" i="13" a="1"/>
  <c r="J491" i="13" s="1"/>
  <c r="M494" i="13"/>
  <c r="K357" i="13"/>
  <c r="M495" i="14"/>
  <c r="N491" i="14"/>
  <c r="J490" i="14" a="1"/>
  <c r="J490" i="14" s="1"/>
  <c r="K374" i="14" l="1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/>
  <c r="I358" i="13" s="1"/>
  <c r="K375" i="14" l="1"/>
  <c r="L375" i="14" s="1"/>
  <c r="I376" i="14" s="1"/>
  <c r="K358" i="13"/>
  <c r="L358" i="13" s="1"/>
  <c r="I359" i="13" s="1"/>
  <c r="N494" i="13"/>
  <c r="J493" i="13" a="1"/>
  <c r="J493" i="13" s="1"/>
  <c r="M497" i="14"/>
  <c r="N493" i="14"/>
  <c r="J492" i="14" a="1"/>
  <c r="J492" i="14" s="1"/>
  <c r="M496" i="13"/>
  <c r="K376" i="14" l="1"/>
  <c r="L376" i="14" s="1"/>
  <c r="I377" i="14" s="1"/>
  <c r="K359" i="13"/>
  <c r="L359" i="13" s="1"/>
  <c r="I360" i="13" s="1"/>
  <c r="N494" i="14"/>
  <c r="J493" i="14" a="1"/>
  <c r="J493" i="14" s="1"/>
  <c r="M497" i="13"/>
  <c r="M498" i="14"/>
  <c r="N495" i="13"/>
  <c r="J494" i="13" a="1"/>
  <c r="J494" i="13" s="1"/>
  <c r="K377" i="14" l="1"/>
  <c r="L377" i="14" s="1"/>
  <c r="I378" i="14" s="1"/>
  <c r="K360" i="13"/>
  <c r="L360" i="13" s="1"/>
  <c r="I361" i="13" s="1"/>
  <c r="N496" i="13"/>
  <c r="J495" i="13" a="1"/>
  <c r="J495" i="13" s="1"/>
  <c r="M498" i="13"/>
  <c r="M499" i="14"/>
  <c r="N495" i="14"/>
  <c r="J494" i="14" a="1"/>
  <c r="J494" i="14" s="1"/>
  <c r="K361" i="13" l="1"/>
  <c r="L361" i="13" s="1"/>
  <c r="I362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79" i="14" l="1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/>
  <c r="L362" i="13" s="1"/>
  <c r="I363" i="13" s="1"/>
  <c r="K363" i="13" l="1"/>
  <c r="L363" i="13" s="1"/>
  <c r="I364" i="13" s="1"/>
  <c r="K380" i="14"/>
  <c r="M502" i="14"/>
  <c r="N499" i="13"/>
  <c r="J498" i="13" a="1"/>
  <c r="J498" i="13" s="1"/>
  <c r="M501" i="13"/>
  <c r="N498" i="14"/>
  <c r="J497" i="14" a="1"/>
  <c r="J497" i="14" s="1"/>
  <c r="K364" i="13" l="1"/>
  <c r="L364" i="13" s="1"/>
  <c r="I365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5" i="13" l="1"/>
  <c r="L365" i="13" s="1"/>
  <c r="I366" i="13" s="1"/>
  <c r="N500" i="14"/>
  <c r="J499" i="14" a="1"/>
  <c r="J499" i="14" s="1"/>
  <c r="M504" i="14"/>
  <c r="K381" i="14"/>
  <c r="M503" i="13"/>
  <c r="N501" i="13"/>
  <c r="J500" i="13" a="1"/>
  <c r="J500" i="13" s="1"/>
  <c r="K366" i="13" l="1"/>
  <c r="L366" i="13" s="1"/>
  <c r="I367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7" i="13" l="1"/>
  <c r="L367" i="13" s="1"/>
  <c r="I368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8" i="13" l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84" i="14" l="1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/>
  <c r="I369" i="13" s="1"/>
  <c r="K385" i="14" l="1"/>
  <c r="L385" i="14" s="1"/>
  <c r="I386" i="14" s="1"/>
  <c r="K369" i="13"/>
  <c r="L369" i="13" s="1"/>
  <c r="I370" i="13" s="1"/>
  <c r="M508" i="13"/>
  <c r="M509" i="14"/>
  <c r="N505" i="14"/>
  <c r="J504" i="14" a="1"/>
  <c r="J504" i="14" s="1"/>
  <c r="N506" i="13"/>
  <c r="J505" i="13" a="1"/>
  <c r="J505" i="13" s="1"/>
  <c r="K370" i="13" l="1"/>
  <c r="L370" i="13" s="1"/>
  <c r="I371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1" i="13" l="1"/>
  <c r="L371" i="13" s="1"/>
  <c r="I372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88" i="14" l="1"/>
  <c r="L388" i="14" s="1"/>
  <c r="I389" i="14" s="1"/>
  <c r="K372" i="13"/>
  <c r="L372" i="13" s="1"/>
  <c r="I373" i="13" s="1"/>
  <c r="N508" i="14"/>
  <c r="J507" i="14" a="1"/>
  <c r="J507" i="14" s="1"/>
  <c r="N509" i="13"/>
  <c r="J508" i="13" a="1"/>
  <c r="J508" i="13" s="1"/>
  <c r="M511" i="13"/>
  <c r="M512" i="14"/>
  <c r="K373" i="13" l="1"/>
  <c r="L373" i="13" s="1"/>
  <c r="I374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90" i="14" l="1"/>
  <c r="L390" i="14" s="1"/>
  <c r="I391" i="14" s="1"/>
  <c r="K374" i="13"/>
  <c r="L374" i="13" s="1"/>
  <c r="I375" i="13" s="1"/>
  <c r="M513" i="13"/>
  <c r="J509" i="14" a="1"/>
  <c r="J509" i="14" s="1"/>
  <c r="N510" i="14"/>
  <c r="M514" i="14"/>
  <c r="N511" i="13"/>
  <c r="J510" i="13" a="1"/>
  <c r="J510" i="13" s="1"/>
  <c r="K375" i="13" l="1"/>
  <c r="L375" i="13" s="1"/>
  <c r="I376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92" i="14" l="1"/>
  <c r="L392" i="14" s="1"/>
  <c r="I393" i="14" s="1"/>
  <c r="K376" i="13"/>
  <c r="L376" i="13" s="1"/>
  <c r="I377" i="13" s="1"/>
  <c r="M515" i="13"/>
  <c r="N513" i="13"/>
  <c r="J512" i="13" a="1"/>
  <c r="J512" i="13" s="1"/>
  <c r="M516" i="14"/>
  <c r="J511" i="14" a="1"/>
  <c r="J511" i="14" s="1"/>
  <c r="N512" i="14"/>
  <c r="K377" i="13" l="1"/>
  <c r="L377" i="13" s="1"/>
  <c r="I378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94" i="14" l="1"/>
  <c r="K378" i="13"/>
  <c r="L378" i="13" s="1"/>
  <c r="I379" i="13" s="1"/>
  <c r="J513" i="14" a="1"/>
  <c r="J513" i="14" s="1"/>
  <c r="N514" i="14"/>
  <c r="N515" i="13"/>
  <c r="J514" i="13" a="1"/>
  <c r="J514" i="13" s="1"/>
  <c r="M517" i="13"/>
  <c r="M518" i="14"/>
  <c r="K379" i="13" l="1"/>
  <c r="L379" i="13" s="1"/>
  <c r="I380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80" i="13" l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N518" i="13" l="1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/>
  <c r="I381" i="13" s="1"/>
  <c r="K397" i="14" l="1"/>
  <c r="L397" i="14" s="1"/>
  <c r="I398" i="14" s="1"/>
  <c r="K381" i="13"/>
  <c r="J517" i="14" a="1"/>
  <c r="J517" i="14" s="1"/>
  <c r="N518" i="14"/>
  <c r="M522" i="14"/>
  <c r="M521" i="13"/>
  <c r="N519" i="13"/>
  <c r="J518" i="13" a="1"/>
  <c r="J518" i="13" s="1"/>
  <c r="K398" i="14" l="1"/>
  <c r="L398" i="14" s="1"/>
  <c r="I399" i="14" s="1"/>
  <c r="N520" i="13"/>
  <c r="J519" i="13" a="1"/>
  <c r="J519" i="13" s="1"/>
  <c r="L381" i="13"/>
  <c r="I382" i="13" s="1"/>
  <c r="M523" i="14"/>
  <c r="M522" i="13"/>
  <c r="J518" i="14" a="1"/>
  <c r="J518" i="14" s="1"/>
  <c r="N519" i="14"/>
  <c r="J519" i="14" l="1" a="1"/>
  <c r="J519" i="14" s="1"/>
  <c r="N520" i="14"/>
  <c r="M524" i="14"/>
  <c r="N521" i="13"/>
  <c r="J520" i="13" a="1"/>
  <c r="J520" i="13" s="1"/>
  <c r="M523" i="13"/>
  <c r="K382" i="13"/>
  <c r="L382" i="13" s="1"/>
  <c r="I383" i="13" s="1"/>
  <c r="K399" i="14"/>
  <c r="L399" i="14" s="1"/>
  <c r="I400" i="14" s="1"/>
  <c r="K383" i="13" l="1"/>
  <c r="L383" i="13" s="1"/>
  <c r="I384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401" i="14" l="1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/>
  <c r="L384" i="13" s="1"/>
  <c r="I385" i="13" s="1"/>
  <c r="K385" i="13" l="1"/>
  <c r="L385" i="13" s="1"/>
  <c r="I386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403" i="14" l="1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/>
  <c r="L386" i="13" s="1"/>
  <c r="I387" i="13" s="1"/>
  <c r="K387" i="13" l="1"/>
  <c r="L387" i="13" s="1"/>
  <c r="I388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N527" i="13" l="1"/>
  <c r="J526" i="13" a="1"/>
  <c r="J526" i="13" s="1"/>
  <c r="M530" i="14"/>
  <c r="K405" i="14"/>
  <c r="J525" i="14" a="1"/>
  <c r="J525" i="14" s="1"/>
  <c r="N526" i="14"/>
  <c r="M529" i="13"/>
  <c r="K388" i="13"/>
  <c r="L388" i="13" s="1"/>
  <c r="I389" i="13" s="1"/>
  <c r="K389" i="13" l="1"/>
  <c r="L389" i="13" s="1"/>
  <c r="I390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90" i="13" l="1"/>
  <c r="L390" i="13" s="1"/>
  <c r="I391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407" i="14" l="1"/>
  <c r="L407" i="14" s="1"/>
  <c r="I408" i="14" s="1"/>
  <c r="K391" i="13"/>
  <c r="L391" i="13" s="1"/>
  <c r="I392" i="13" s="1"/>
  <c r="J528" i="14" a="1"/>
  <c r="J528" i="14" s="1"/>
  <c r="N529" i="14"/>
  <c r="M532" i="13"/>
  <c r="N530" i="13"/>
  <c r="J529" i="13" a="1"/>
  <c r="J529" i="13" s="1"/>
  <c r="M533" i="14"/>
  <c r="K408" i="14" l="1"/>
  <c r="L408" i="14" s="1"/>
  <c r="I409" i="14" s="1"/>
  <c r="N531" i="13"/>
  <c r="J530" i="13" a="1"/>
  <c r="J530" i="13" s="1"/>
  <c r="M534" i="14"/>
  <c r="M533" i="13"/>
  <c r="K392" i="13"/>
  <c r="J529" i="14" a="1"/>
  <c r="J529" i="14" s="1"/>
  <c r="N530" i="14"/>
  <c r="K409" i="14" l="1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/>
  <c r="I393" i="13" s="1"/>
  <c r="K410" i="14" l="1"/>
  <c r="L410" i="14" s="1"/>
  <c r="I411" i="14" s="1"/>
  <c r="J531" i="14" a="1"/>
  <c r="J531" i="14" s="1"/>
  <c r="N532" i="14"/>
  <c r="K393" i="13"/>
  <c r="M536" i="14"/>
  <c r="N533" i="13"/>
  <c r="J532" i="13" a="1"/>
  <c r="J532" i="13" s="1"/>
  <c r="M535" i="13"/>
  <c r="K411" i="14" l="1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/>
  <c r="I394" i="13" s="1"/>
  <c r="K412" i="14" l="1"/>
  <c r="L412" i="14" s="1"/>
  <c r="I413" i="14" s="1"/>
  <c r="J533" i="14" a="1"/>
  <c r="J533" i="14" s="1"/>
  <c r="N534" i="14"/>
  <c r="M537" i="13"/>
  <c r="K394" i="13"/>
  <c r="L394" i="13" s="1"/>
  <c r="I395" i="13" s="1"/>
  <c r="N535" i="13"/>
  <c r="J534" i="13" a="1"/>
  <c r="J534" i="13" s="1"/>
  <c r="M538" i="14"/>
  <c r="K395" i="13" l="1"/>
  <c r="L395" i="13" s="1"/>
  <c r="I396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414" i="14" l="1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/>
  <c r="L396" i="13" s="1"/>
  <c r="I397" i="13" s="1"/>
  <c r="K397" i="13" l="1"/>
  <c r="L397" i="13" s="1"/>
  <c r="I398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416" i="14" l="1"/>
  <c r="K398" i="13"/>
  <c r="L398" i="13" s="1"/>
  <c r="I399" i="13" s="1"/>
  <c r="J537" i="14" a="1"/>
  <c r="J537" i="14" s="1"/>
  <c r="N538" i="14"/>
  <c r="M541" i="13"/>
  <c r="N539" i="13"/>
  <c r="J538" i="13" a="1"/>
  <c r="J538" i="13" s="1"/>
  <c r="M542" i="14"/>
  <c r="K399" i="13" l="1"/>
  <c r="L399" i="13" s="1"/>
  <c r="I400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400" i="13" l="1"/>
  <c r="L400" i="13" s="1"/>
  <c r="I401" i="13" s="1"/>
  <c r="M544" i="14"/>
  <c r="J539" i="14" a="1"/>
  <c r="J539" i="14" s="1"/>
  <c r="N540" i="14"/>
  <c r="M543" i="13"/>
  <c r="K417" i="14"/>
  <c r="N541" i="13"/>
  <c r="J540" i="13" a="1"/>
  <c r="J540" i="13" s="1"/>
  <c r="K401" i="13" l="1"/>
  <c r="L401" i="13" s="1"/>
  <c r="I402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2" i="13" l="1"/>
  <c r="L402" i="13" s="1"/>
  <c r="I403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19" i="14" l="1"/>
  <c r="L419" i="14" s="1"/>
  <c r="I420" i="14" s="1"/>
  <c r="K403" i="13"/>
  <c r="L403" i="13" s="1"/>
  <c r="I404" i="13" s="1"/>
  <c r="M546" i="13"/>
  <c r="M547" i="14"/>
  <c r="N544" i="13"/>
  <c r="J543" i="13" a="1"/>
  <c r="J543" i="13" s="1"/>
  <c r="J542" i="14" a="1"/>
  <c r="J542" i="14" s="1"/>
  <c r="N543" i="14"/>
  <c r="K404" i="13" l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21" i="14" l="1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/>
  <c r="I405" i="13" s="1"/>
  <c r="K422" i="14" l="1"/>
  <c r="L422" i="14" s="1"/>
  <c r="I423" i="14" s="1"/>
  <c r="K405" i="13"/>
  <c r="M549" i="13"/>
  <c r="M550" i="14"/>
  <c r="J545" i="14" a="1"/>
  <c r="J545" i="14" s="1"/>
  <c r="N546" i="14"/>
  <c r="N547" i="13"/>
  <c r="J546" i="13" a="1"/>
  <c r="J546" i="13" s="1"/>
  <c r="K423" i="14" l="1"/>
  <c r="L423" i="14" s="1"/>
  <c r="I424" i="14" s="1"/>
  <c r="L405" i="13"/>
  <c r="I406" i="13" s="1"/>
  <c r="J546" i="14" a="1"/>
  <c r="J546" i="14" s="1"/>
  <c r="N547" i="14"/>
  <c r="M550" i="13"/>
  <c r="M551" i="14"/>
  <c r="N548" i="13"/>
  <c r="J547" i="13" a="1"/>
  <c r="J547" i="13" s="1"/>
  <c r="K424" i="14" l="1"/>
  <c r="L424" i="14" s="1"/>
  <c r="I425" i="14" s="1"/>
  <c r="K406" i="13"/>
  <c r="L406" i="13" s="1"/>
  <c r="I407" i="13" s="1"/>
  <c r="J547" i="14" a="1"/>
  <c r="J547" i="14" s="1"/>
  <c r="N548" i="14"/>
  <c r="M551" i="13"/>
  <c r="N549" i="13"/>
  <c r="J548" i="13" a="1"/>
  <c r="J548" i="13" s="1"/>
  <c r="M552" i="14"/>
  <c r="K407" i="13" l="1"/>
  <c r="L407" i="13" s="1"/>
  <c r="I408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26" i="14" l="1"/>
  <c r="L426" i="14" s="1"/>
  <c r="I427" i="14" s="1"/>
  <c r="K408" i="13"/>
  <c r="L408" i="13" s="1"/>
  <c r="I409" i="13" s="1"/>
  <c r="M554" i="14"/>
  <c r="M553" i="13"/>
  <c r="J549" i="14" a="1"/>
  <c r="J549" i="14" s="1"/>
  <c r="N550" i="14"/>
  <c r="N551" i="13"/>
  <c r="J550" i="13" a="1"/>
  <c r="J550" i="13" s="1"/>
  <c r="K409" i="13" l="1"/>
  <c r="L409" i="13" s="1"/>
  <c r="I410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10" i="13" l="1"/>
  <c r="L410" i="13" s="1"/>
  <c r="I411" i="13" s="1"/>
  <c r="K428" i="14"/>
  <c r="N553" i="13"/>
  <c r="J552" i="13" a="1"/>
  <c r="J552" i="13" s="1"/>
  <c r="J551" i="14" a="1"/>
  <c r="J551" i="14" s="1"/>
  <c r="N552" i="14"/>
  <c r="M556" i="14"/>
  <c r="M555" i="13"/>
  <c r="K411" i="13" l="1"/>
  <c r="L411" i="13" s="1"/>
  <c r="I412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2" i="13" l="1"/>
  <c r="L412" i="13" s="1"/>
  <c r="I413" i="13" s="1"/>
  <c r="K429" i="14"/>
  <c r="J553" i="14" a="1"/>
  <c r="J553" i="14" s="1"/>
  <c r="N554" i="14"/>
  <c r="M558" i="14"/>
  <c r="N555" i="13"/>
  <c r="J554" i="13" a="1"/>
  <c r="J554" i="13" s="1"/>
  <c r="M557" i="13"/>
  <c r="K413" i="13" l="1"/>
  <c r="L413" i="13" s="1"/>
  <c r="I414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4" i="13" l="1"/>
  <c r="L414" i="13" s="1"/>
  <c r="I415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31" i="14" l="1"/>
  <c r="L431" i="14" s="1"/>
  <c r="I432" i="14" s="1"/>
  <c r="K415" i="13"/>
  <c r="L415" i="13" s="1"/>
  <c r="I416" i="13" s="1"/>
  <c r="M561" i="14"/>
  <c r="M560" i="13"/>
  <c r="N558" i="13"/>
  <c r="J557" i="13" a="1"/>
  <c r="J557" i="13" s="1"/>
  <c r="J556" i="14" a="1"/>
  <c r="J556" i="14" s="1"/>
  <c r="N557" i="14"/>
  <c r="K416" i="13" l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33" i="14" l="1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/>
  <c r="I417" i="13" s="1"/>
  <c r="K434" i="14" l="1"/>
  <c r="L434" i="14" s="1"/>
  <c r="I435" i="14" s="1"/>
  <c r="M564" i="14"/>
  <c r="K417" i="13"/>
  <c r="J559" i="14" a="1"/>
  <c r="J559" i="14" s="1"/>
  <c r="N560" i="14"/>
  <c r="M563" i="13"/>
  <c r="N561" i="13"/>
  <c r="J560" i="13" a="1"/>
  <c r="J560" i="13" s="1"/>
  <c r="K435" i="14" l="1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/>
  <c r="I418" i="13" s="1"/>
  <c r="K436" i="14" l="1"/>
  <c r="L436" i="14" s="1"/>
  <c r="I437" i="14" s="1"/>
  <c r="K418" i="13"/>
  <c r="L418" i="13" s="1"/>
  <c r="I419" i="13" s="1"/>
  <c r="J561" i="14" a="1"/>
  <c r="J561" i="14" s="1"/>
  <c r="N562" i="14"/>
  <c r="M565" i="13"/>
  <c r="N563" i="13"/>
  <c r="J562" i="13" a="1"/>
  <c r="J562" i="13" s="1"/>
  <c r="M566" i="14"/>
  <c r="K419" i="13" l="1"/>
  <c r="L419" i="13" s="1"/>
  <c r="I420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38" i="14" l="1"/>
  <c r="L438" i="14" s="1"/>
  <c r="I439" i="14" s="1"/>
  <c r="K420" i="13"/>
  <c r="L420" i="13" s="1"/>
  <c r="I421" i="13" s="1"/>
  <c r="M568" i="14"/>
  <c r="N565" i="13"/>
  <c r="J564" i="13" a="1"/>
  <c r="J564" i="13" s="1"/>
  <c r="J563" i="14" a="1"/>
  <c r="J563" i="14" s="1"/>
  <c r="N564" i="14"/>
  <c r="M567" i="13"/>
  <c r="K421" i="13" l="1"/>
  <c r="L421" i="13" s="1"/>
  <c r="I422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40" i="14" l="1"/>
  <c r="K422" i="13"/>
  <c r="L422" i="13" s="1"/>
  <c r="I423" i="13" s="1"/>
  <c r="M570" i="14"/>
  <c r="N567" i="13"/>
  <c r="J566" i="13" a="1"/>
  <c r="J566" i="13" s="1"/>
  <c r="J565" i="14" a="1"/>
  <c r="J565" i="14" s="1"/>
  <c r="N566" i="14"/>
  <c r="M569" i="13"/>
  <c r="K423" i="13" l="1"/>
  <c r="L423" i="13" s="1"/>
  <c r="I424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4" i="13" l="1"/>
  <c r="L424" i="13" s="1"/>
  <c r="I425" i="13" s="1"/>
  <c r="M572" i="14"/>
  <c r="N569" i="13"/>
  <c r="J568" i="13" a="1"/>
  <c r="J568" i="13" s="1"/>
  <c r="K441" i="14"/>
  <c r="J567" i="14" a="1"/>
  <c r="J567" i="14" s="1"/>
  <c r="N568" i="14"/>
  <c r="M571" i="13"/>
  <c r="K425" i="13" l="1"/>
  <c r="L425" i="13" s="1"/>
  <c r="I426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6" i="13" l="1"/>
  <c r="L426" i="13" s="1"/>
  <c r="I427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43" i="14" l="1"/>
  <c r="L443" i="14" s="1"/>
  <c r="I444" i="14" s="1"/>
  <c r="K427" i="13"/>
  <c r="L427" i="13" s="1"/>
  <c r="I428" i="13" s="1"/>
  <c r="M575" i="14"/>
  <c r="M574" i="13"/>
  <c r="J570" i="14" a="1"/>
  <c r="J570" i="14" s="1"/>
  <c r="N571" i="14"/>
  <c r="N572" i="13"/>
  <c r="J571" i="13" a="1"/>
  <c r="J571" i="13" s="1"/>
  <c r="K428" i="13" l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45" i="14" l="1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/>
  <c r="I429" i="13" s="1"/>
  <c r="K446" i="14" l="1"/>
  <c r="L446" i="14" s="1"/>
  <c r="I447" i="14" s="1"/>
  <c r="J573" i="14" a="1"/>
  <c r="J573" i="14" s="1"/>
  <c r="N574" i="14"/>
  <c r="N575" i="13"/>
  <c r="J574" i="13" a="1"/>
  <c r="J574" i="13" s="1"/>
  <c r="M578" i="14"/>
  <c r="K429" i="13"/>
  <c r="L429" i="13" s="1"/>
  <c r="I430" i="13" s="1"/>
  <c r="M577" i="13"/>
  <c r="K430" i="13" l="1"/>
  <c r="L430" i="13" s="1"/>
  <c r="I431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1" i="13" l="1"/>
  <c r="L431" i="13" s="1"/>
  <c r="I432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2" i="13" l="1"/>
  <c r="L432" i="13" s="1"/>
  <c r="I433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50" i="14" l="1"/>
  <c r="L450" i="14" s="1"/>
  <c r="I451" i="14" s="1"/>
  <c r="K433" i="13"/>
  <c r="L433" i="13" s="1"/>
  <c r="I434" i="13" s="1"/>
  <c r="J577" i="14" a="1"/>
  <c r="J577" i="14" s="1"/>
  <c r="N578" i="14"/>
  <c r="M581" i="13"/>
  <c r="M582" i="14"/>
  <c r="N579" i="13"/>
  <c r="J578" i="13" a="1"/>
  <c r="J578" i="13" s="1"/>
  <c r="K434" i="13" l="1"/>
  <c r="L434" i="13" s="1"/>
  <c r="I435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52" i="14" l="1"/>
  <c r="K435" i="13"/>
  <c r="L435" i="13" s="1"/>
  <c r="I436" i="13" s="1"/>
  <c r="M584" i="14"/>
  <c r="M583" i="13"/>
  <c r="J579" i="14" a="1"/>
  <c r="J579" i="14" s="1"/>
  <c r="N580" i="14"/>
  <c r="N581" i="13"/>
  <c r="J580" i="13" a="1"/>
  <c r="J580" i="13" s="1"/>
  <c r="K436" i="13" l="1"/>
  <c r="L436" i="13" s="1"/>
  <c r="I437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7" i="13" l="1"/>
  <c r="L437" i="13" s="1"/>
  <c r="I438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54" i="14" l="1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/>
  <c r="L438" i="13" s="1"/>
  <c r="I439" i="13" s="1"/>
  <c r="K439" i="13" l="1"/>
  <c r="L439" i="13" s="1"/>
  <c r="I440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56" i="14" l="1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/>
  <c r="L440" i="13" s="1"/>
  <c r="I441" i="13" s="1"/>
  <c r="K457" i="14" l="1"/>
  <c r="L457" i="14" s="1"/>
  <c r="I458" i="14" s="1"/>
  <c r="K441" i="13"/>
  <c r="L441" i="13" s="1"/>
  <c r="I442" i="13" s="1"/>
  <c r="M589" i="13"/>
  <c r="N587" i="13"/>
  <c r="J586" i="13" a="1"/>
  <c r="J586" i="13" s="1"/>
  <c r="J585" i="14" a="1"/>
  <c r="J585" i="14" s="1"/>
  <c r="N586" i="14"/>
  <c r="M590" i="14"/>
  <c r="K442" i="13" l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59" i="14" l="1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/>
  <c r="I443" i="13" s="1"/>
  <c r="K460" i="14" l="1"/>
  <c r="L460" i="14" s="1"/>
  <c r="I461" i="14" s="1"/>
  <c r="M592" i="13"/>
  <c r="M593" i="14"/>
  <c r="J588" i="14" a="1"/>
  <c r="J588" i="14" s="1"/>
  <c r="N589" i="14"/>
  <c r="K443" i="13"/>
  <c r="L443" i="13" s="1"/>
  <c r="I444" i="13" s="1"/>
  <c r="N590" i="13"/>
  <c r="J589" i="13" a="1"/>
  <c r="J589" i="13" s="1"/>
  <c r="K444" i="13" l="1"/>
  <c r="L444" i="13" s="1"/>
  <c r="I445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62" i="14" l="1"/>
  <c r="L462" i="14" s="1"/>
  <c r="I463" i="14" s="1"/>
  <c r="K445" i="13"/>
  <c r="L445" i="13" s="1"/>
  <c r="I446" i="13" s="1"/>
  <c r="M595" i="14"/>
  <c r="M594" i="13"/>
  <c r="J590" i="14" a="1"/>
  <c r="J590" i="14" s="1"/>
  <c r="N591" i="14"/>
  <c r="N592" i="13"/>
  <c r="J591" i="13" a="1"/>
  <c r="J591" i="13" s="1"/>
  <c r="K446" i="13" l="1"/>
  <c r="L446" i="13" s="1"/>
  <c r="I447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64" i="14" l="1"/>
  <c r="K447" i="13"/>
  <c r="L447" i="13" s="1"/>
  <c r="I448" i="13" s="1"/>
  <c r="M597" i="14"/>
  <c r="N594" i="13"/>
  <c r="J593" i="13" a="1"/>
  <c r="J593" i="13" s="1"/>
  <c r="J592" i="14" a="1"/>
  <c r="J592" i="14" s="1"/>
  <c r="N593" i="14"/>
  <c r="M596" i="13"/>
  <c r="K448" i="13" l="1"/>
  <c r="L448" i="13" s="1"/>
  <c r="I449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9" i="13" l="1"/>
  <c r="L449" i="13" s="1"/>
  <c r="I450" i="13" s="1"/>
  <c r="M598" i="13"/>
  <c r="K465" i="14"/>
  <c r="M599" i="14"/>
  <c r="J594" i="14" a="1"/>
  <c r="J594" i="14" s="1"/>
  <c r="N595" i="14"/>
  <c r="N596" i="13"/>
  <c r="J595" i="13" a="1"/>
  <c r="J595" i="13" s="1"/>
  <c r="K450" i="13" l="1"/>
  <c r="L450" i="13" s="1"/>
  <c r="I451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1" i="13" l="1"/>
  <c r="L451" i="13" s="1"/>
  <c r="I452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M602" i="14" l="1"/>
  <c r="K452" i="13"/>
  <c r="L452" i="13" s="1"/>
  <c r="I453" i="13" s="1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68" i="14" l="1"/>
  <c r="L468" i="14" s="1"/>
  <c r="I469" i="14" s="1"/>
  <c r="K453" i="13"/>
  <c r="L453" i="13" s="1"/>
  <c r="I454" i="13" s="1"/>
  <c r="M602" i="13"/>
  <c r="J598" i="14" a="1"/>
  <c r="J598" i="14" s="1"/>
  <c r="N599" i="14"/>
  <c r="M603" i="14"/>
  <c r="N600" i="13"/>
  <c r="J599" i="13" a="1"/>
  <c r="J599" i="13" s="1"/>
  <c r="K454" i="13" l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70" i="14" l="1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/>
  <c r="I455" i="13" s="1"/>
  <c r="K471" i="14" l="1"/>
  <c r="L471" i="14" s="1"/>
  <c r="I472" i="14" s="1"/>
  <c r="K455" i="13"/>
  <c r="L455" i="13" s="1"/>
  <c r="I456" i="13" s="1"/>
  <c r="M606" i="14"/>
  <c r="M605" i="13"/>
  <c r="J601" i="14" a="1"/>
  <c r="J601" i="14" s="1"/>
  <c r="N602" i="14"/>
  <c r="N603" i="13"/>
  <c r="J602" i="13" a="1"/>
  <c r="J602" i="13" s="1"/>
  <c r="K456" i="13" l="1"/>
  <c r="L456" i="13" s="1"/>
  <c r="I457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73" i="14" l="1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/>
  <c r="L457" i="13" s="1"/>
  <c r="I458" i="13" s="1"/>
  <c r="K474" i="14" l="1"/>
  <c r="L474" i="14" s="1"/>
  <c r="I475" i="14" s="1"/>
  <c r="K458" i="13"/>
  <c r="L458" i="13" s="1"/>
  <c r="I459" i="13" s="1"/>
  <c r="J604" i="14" a="1"/>
  <c r="J604" i="14" s="1"/>
  <c r="N605" i="14"/>
  <c r="M609" i="14"/>
  <c r="M608" i="13"/>
  <c r="N606" i="13"/>
  <c r="J605" i="13" a="1"/>
  <c r="J605" i="13" s="1"/>
  <c r="K475" i="14" l="1"/>
  <c r="L475" i="14" s="1"/>
  <c r="I476" i="14" s="1"/>
  <c r="M610" i="14"/>
  <c r="K459" i="13"/>
  <c r="L459" i="13" s="1"/>
  <c r="I460" i="13" s="1"/>
  <c r="J605" i="14" a="1"/>
  <c r="J605" i="14" s="1"/>
  <c r="N606" i="14"/>
  <c r="N607" i="13"/>
  <c r="J606" i="13" a="1"/>
  <c r="J606" i="13" s="1"/>
  <c r="M609" i="13"/>
  <c r="K476" i="14" l="1"/>
  <c r="L476" i="14" s="1"/>
  <c r="I477" i="14" s="1"/>
  <c r="K460" i="13"/>
  <c r="L460" i="13" s="1"/>
  <c r="I461" i="13" s="1"/>
  <c r="J606" i="14" a="1"/>
  <c r="J606" i="14" s="1"/>
  <c r="N607" i="14"/>
  <c r="M611" i="14"/>
  <c r="M610" i="13"/>
  <c r="N608" i="13"/>
  <c r="J607" i="13" a="1"/>
  <c r="J607" i="13" s="1"/>
  <c r="K461" i="13" l="1"/>
  <c r="L461" i="13" s="1"/>
  <c r="I462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2" i="13" l="1"/>
  <c r="L462" i="13" s="1"/>
  <c r="I463" i="13" s="1"/>
  <c r="K478" i="14"/>
  <c r="M613" i="14"/>
  <c r="J608" i="14" a="1"/>
  <c r="J608" i="14" s="1"/>
  <c r="N609" i="14"/>
  <c r="M612" i="13"/>
  <c r="N610" i="13"/>
  <c r="J609" i="13" a="1"/>
  <c r="J609" i="13" s="1"/>
  <c r="K463" i="13" l="1"/>
  <c r="L463" i="13" s="1"/>
  <c r="I464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4" i="13" l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80" i="14" l="1"/>
  <c r="L480" i="14" s="1"/>
  <c r="I481" i="14" s="1"/>
  <c r="N613" i="13"/>
  <c r="J612" i="13" a="1"/>
  <c r="J612" i="13" s="1"/>
  <c r="L464" i="13"/>
  <c r="I465" i="13" s="1"/>
  <c r="J611" i="14" a="1"/>
  <c r="J611" i="14" s="1"/>
  <c r="N612" i="14"/>
  <c r="M616" i="14"/>
  <c r="M615" i="13"/>
  <c r="K481" i="14" l="1"/>
  <c r="L481" i="14" s="1"/>
  <c r="I482" i="14" s="1"/>
  <c r="J612" i="14" a="1"/>
  <c r="J612" i="14" s="1"/>
  <c r="N613" i="14"/>
  <c r="M617" i="14"/>
  <c r="K465" i="13"/>
  <c r="M616" i="13"/>
  <c r="N614" i="13"/>
  <c r="J613" i="13" a="1"/>
  <c r="J613" i="13" s="1"/>
  <c r="K482" i="14" l="1"/>
  <c r="L482" i="14" s="1"/>
  <c r="I483" i="14" s="1"/>
  <c r="N615" i="13"/>
  <c r="J614" i="13" a="1"/>
  <c r="J614" i="13" s="1"/>
  <c r="M617" i="13"/>
  <c r="J613" i="14" a="1"/>
  <c r="J613" i="14" s="1"/>
  <c r="N614" i="14"/>
  <c r="L465" i="13"/>
  <c r="I466" i="13" s="1"/>
  <c r="M618" i="14"/>
  <c r="K483" i="14" l="1"/>
  <c r="L483" i="14" s="1"/>
  <c r="I484" i="14" s="1"/>
  <c r="M619" i="14"/>
  <c r="N616" i="13"/>
  <c r="J615" i="13" a="1"/>
  <c r="J615" i="13" s="1"/>
  <c r="M618" i="13"/>
  <c r="K466" i="13"/>
  <c r="L466" i="13" s="1"/>
  <c r="I467" i="13" s="1"/>
  <c r="J614" i="14" a="1"/>
  <c r="J614" i="14" s="1"/>
  <c r="N615" i="14"/>
  <c r="K467" i="13" l="1"/>
  <c r="L467" i="13" s="1"/>
  <c r="I468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85" i="14" l="1"/>
  <c r="L485" i="14" s="1"/>
  <c r="I486" i="14" s="1"/>
  <c r="K468" i="13"/>
  <c r="L468" i="13" s="1"/>
  <c r="I469" i="13" s="1"/>
  <c r="N618" i="13"/>
  <c r="J617" i="13" a="1"/>
  <c r="J617" i="13" s="1"/>
  <c r="M621" i="14"/>
  <c r="J616" i="14" a="1"/>
  <c r="J616" i="14" s="1"/>
  <c r="N617" i="14"/>
  <c r="M620" i="13"/>
  <c r="K469" i="13" l="1"/>
  <c r="L469" i="13" s="1"/>
  <c r="I470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87" i="14" l="1"/>
  <c r="L487" i="14" s="1"/>
  <c r="I488" i="14" s="1"/>
  <c r="K470" i="13"/>
  <c r="L470" i="13" s="1"/>
  <c r="I471" i="13" s="1"/>
  <c r="M623" i="14"/>
  <c r="N620" i="13"/>
  <c r="J619" i="13" a="1"/>
  <c r="J619" i="13" s="1"/>
  <c r="J618" i="14" a="1"/>
  <c r="J618" i="14" s="1"/>
  <c r="N619" i="14"/>
  <c r="M622" i="13"/>
  <c r="K471" i="13" l="1"/>
  <c r="L471" i="13" s="1"/>
  <c r="I472" i="13" s="1"/>
  <c r="K488" i="14"/>
  <c r="M623" i="13"/>
  <c r="N621" i="13"/>
  <c r="J620" i="13" a="1"/>
  <c r="J620" i="13" s="1"/>
  <c r="M624" i="14"/>
  <c r="J619" i="14" a="1"/>
  <c r="J619" i="14" s="1"/>
  <c r="N620" i="14"/>
  <c r="K472" i="13" l="1"/>
  <c r="L472" i="13" s="1"/>
  <c r="I473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3" i="13" l="1"/>
  <c r="L473" i="13" s="1"/>
  <c r="I474" i="13" s="1"/>
  <c r="M626" i="14"/>
  <c r="M625" i="13"/>
  <c r="K489" i="14"/>
  <c r="N623" i="13"/>
  <c r="J622" i="13" a="1"/>
  <c r="J622" i="13" s="1"/>
  <c r="J621" i="14" a="1"/>
  <c r="J621" i="14" s="1"/>
  <c r="N622" i="14"/>
  <c r="K474" i="13" l="1"/>
  <c r="L474" i="13" s="1"/>
  <c r="I475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5" i="13" l="1"/>
  <c r="L475" i="13" s="1"/>
  <c r="I476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91" i="14" l="1"/>
  <c r="L491" i="14" s="1"/>
  <c r="I492" i="14" s="1"/>
  <c r="K476" i="13"/>
  <c r="M628" i="13"/>
  <c r="M629" i="14"/>
  <c r="J624" i="14" a="1"/>
  <c r="J624" i="14" s="1"/>
  <c r="N625" i="14"/>
  <c r="N626" i="13"/>
  <c r="J625" i="13" a="1"/>
  <c r="J625" i="13" s="1"/>
  <c r="K492" i="14" l="1"/>
  <c r="L492" i="14" s="1"/>
  <c r="I493" i="14" s="1"/>
  <c r="L476" i="13"/>
  <c r="I477" i="13" s="1"/>
  <c r="J625" i="14" a="1"/>
  <c r="J625" i="14" s="1"/>
  <c r="N626" i="14"/>
  <c r="M629" i="13"/>
  <c r="M630" i="14"/>
  <c r="N627" i="13"/>
  <c r="J626" i="13" a="1"/>
  <c r="J626" i="13" s="1"/>
  <c r="K493" i="14" l="1"/>
  <c r="L493" i="14" s="1"/>
  <c r="I494" i="14" s="1"/>
  <c r="M630" i="13"/>
  <c r="K477" i="13"/>
  <c r="L477" i="13" s="1"/>
  <c r="I478" i="13" s="1"/>
  <c r="N628" i="13"/>
  <c r="J627" i="13" a="1"/>
  <c r="J627" i="13" s="1"/>
  <c r="M631" i="14"/>
  <c r="J626" i="14" a="1"/>
  <c r="J626" i="14" s="1"/>
  <c r="N627" i="14"/>
  <c r="M631" i="13" l="1"/>
  <c r="J627" i="14" a="1"/>
  <c r="J627" i="14" s="1"/>
  <c r="N628" i="14"/>
  <c r="N629" i="13"/>
  <c r="J628" i="13" a="1"/>
  <c r="J628" i="13" s="1"/>
  <c r="M632" i="14"/>
  <c r="K478" i="13"/>
  <c r="L478" i="13" s="1"/>
  <c r="I479" i="13" s="1"/>
  <c r="K494" i="14"/>
  <c r="L494" i="14" s="1"/>
  <c r="I495" i="14" s="1"/>
  <c r="K479" i="13" l="1"/>
  <c r="L479" i="13" s="1"/>
  <c r="I480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96" i="14" l="1"/>
  <c r="L496" i="14" s="1"/>
  <c r="I497" i="14" s="1"/>
  <c r="K480" i="13"/>
  <c r="L480" i="13" s="1"/>
  <c r="I481" i="13" s="1"/>
  <c r="J629" i="14" a="1"/>
  <c r="J629" i="14" s="1"/>
  <c r="N630" i="14"/>
  <c r="N631" i="13"/>
  <c r="J630" i="13" a="1"/>
  <c r="J630" i="13" s="1"/>
  <c r="M634" i="14"/>
  <c r="M633" i="13"/>
  <c r="K497" i="14" l="1"/>
  <c r="L497" i="14" s="1"/>
  <c r="I498" i="14" s="1"/>
  <c r="K481" i="13"/>
  <c r="L481" i="13" s="1"/>
  <c r="I482" i="13" s="1"/>
  <c r="M635" i="14"/>
  <c r="J630" i="14" a="1"/>
  <c r="J630" i="14" s="1"/>
  <c r="N631" i="14"/>
  <c r="M634" i="13"/>
  <c r="N632" i="13"/>
  <c r="J631" i="13" a="1"/>
  <c r="J631" i="13" s="1"/>
  <c r="K482" i="13" l="1"/>
  <c r="L482" i="13" s="1"/>
  <c r="I483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99" i="14" l="1"/>
  <c r="L499" i="14" s="1"/>
  <c r="I500" i="14" s="1"/>
  <c r="K483" i="13"/>
  <c r="L483" i="13" s="1"/>
  <c r="I484" i="13" s="1"/>
  <c r="M636" i="13"/>
  <c r="N634" i="13"/>
  <c r="J633" i="13" a="1"/>
  <c r="J633" i="13" s="1"/>
  <c r="M637" i="14"/>
  <c r="J632" i="14" a="1"/>
  <c r="J632" i="14" s="1"/>
  <c r="N633" i="14"/>
  <c r="K484" i="13" l="1"/>
  <c r="L484" i="13" s="1"/>
  <c r="I485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501" i="14" l="1"/>
  <c r="L501" i="14" s="1"/>
  <c r="I502" i="14" s="1"/>
  <c r="K485" i="13"/>
  <c r="L485" i="13" s="1"/>
  <c r="I486" i="13" s="1"/>
  <c r="J634" i="14" a="1"/>
  <c r="J634" i="14" s="1"/>
  <c r="N635" i="14"/>
  <c r="M639" i="14"/>
  <c r="M638" i="13"/>
  <c r="N636" i="13"/>
  <c r="J635" i="13" a="1"/>
  <c r="J635" i="13" s="1"/>
  <c r="K486" i="13" l="1"/>
  <c r="L486" i="13" s="1"/>
  <c r="I487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503" i="14" l="1"/>
  <c r="L503" i="14" s="1"/>
  <c r="I504" i="14" s="1"/>
  <c r="K487" i="13"/>
  <c r="L487" i="13" s="1"/>
  <c r="I488" i="13" s="1"/>
  <c r="M641" i="14"/>
  <c r="M640" i="13"/>
  <c r="J636" i="14" a="1"/>
  <c r="J636" i="14" s="1"/>
  <c r="N637" i="14"/>
  <c r="N638" i="13"/>
  <c r="J637" i="13" a="1"/>
  <c r="J637" i="13" s="1"/>
  <c r="K488" i="13" l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505" i="14" l="1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/>
  <c r="I489" i="13" s="1"/>
  <c r="K506" i="14" l="1"/>
  <c r="L506" i="14" s="1"/>
  <c r="I507" i="14" s="1"/>
  <c r="K489" i="13"/>
  <c r="J639" i="14" a="1"/>
  <c r="J639" i="14" s="1"/>
  <c r="N640" i="14"/>
  <c r="M644" i="14"/>
  <c r="M643" i="13"/>
  <c r="N641" i="13"/>
  <c r="J640" i="13" a="1"/>
  <c r="J640" i="13" s="1"/>
  <c r="K507" i="14" l="1"/>
  <c r="L507" i="14" s="1"/>
  <c r="I508" i="14" s="1"/>
  <c r="M645" i="14"/>
  <c r="N642" i="13"/>
  <c r="J641" i="13" a="1"/>
  <c r="J641" i="13" s="1"/>
  <c r="L489" i="13"/>
  <c r="I490" i="13" s="1"/>
  <c r="M644" i="13"/>
  <c r="J640" i="14" a="1"/>
  <c r="J640" i="14" s="1"/>
  <c r="N641" i="14"/>
  <c r="K508" i="14" l="1"/>
  <c r="L508" i="14" s="1"/>
  <c r="I509" i="14" s="1"/>
  <c r="J641" i="14" a="1"/>
  <c r="J641" i="14" s="1"/>
  <c r="N642" i="14"/>
  <c r="K490" i="13"/>
  <c r="L490" i="13" s="1"/>
  <c r="I491" i="13" s="1"/>
  <c r="M646" i="14"/>
  <c r="M645" i="13"/>
  <c r="N643" i="13"/>
  <c r="J642" i="13" a="1"/>
  <c r="J642" i="13" s="1"/>
  <c r="K491" i="13" l="1"/>
  <c r="L491" i="13" s="1"/>
  <c r="I492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510" i="14" l="1"/>
  <c r="L510" i="14" s="1"/>
  <c r="I511" i="14" s="1"/>
  <c r="K492" i="13"/>
  <c r="L492" i="13" s="1"/>
  <c r="I493" i="13" s="1"/>
  <c r="M647" i="13"/>
  <c r="J643" i="14" a="1"/>
  <c r="J643" i="14" s="1"/>
  <c r="N644" i="14"/>
  <c r="M648" i="14"/>
  <c r="N645" i="13"/>
  <c r="J644" i="13" a="1"/>
  <c r="J644" i="13" s="1"/>
  <c r="K493" i="13" l="1"/>
  <c r="L493" i="13" s="1"/>
  <c r="I494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512" i="14" l="1"/>
  <c r="K494" i="13"/>
  <c r="L494" i="13" s="1"/>
  <c r="I495" i="13" s="1"/>
  <c r="N647" i="13"/>
  <c r="J646" i="13" a="1"/>
  <c r="J646" i="13" s="1"/>
  <c r="M650" i="14"/>
  <c r="J645" i="14" a="1"/>
  <c r="J645" i="14" s="1"/>
  <c r="N646" i="14"/>
  <c r="M649" i="13"/>
  <c r="K495" i="13" l="1"/>
  <c r="L495" i="13" s="1"/>
  <c r="I496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6" i="13" l="1"/>
  <c r="L496" i="13" s="1"/>
  <c r="I497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7" i="13" l="1"/>
  <c r="L497" i="13" s="1"/>
  <c r="I498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515" i="14" l="1"/>
  <c r="L515" i="14" s="1"/>
  <c r="I516" i="14" s="1"/>
  <c r="K498" i="13"/>
  <c r="L498" i="13" s="1"/>
  <c r="I499" i="13" s="1"/>
  <c r="N651" i="13"/>
  <c r="J650" i="13" a="1"/>
  <c r="J650" i="13" s="1"/>
  <c r="M653" i="13"/>
  <c r="J649" i="14" a="1"/>
  <c r="J649" i="14" s="1"/>
  <c r="N650" i="14"/>
  <c r="M654" i="14"/>
  <c r="K516" i="14" l="1"/>
  <c r="L516" i="14" s="1"/>
  <c r="I517" i="14" s="1"/>
  <c r="K499" i="13"/>
  <c r="L499" i="13" s="1"/>
  <c r="I500" i="13" s="1"/>
  <c r="M655" i="14"/>
  <c r="M654" i="13"/>
  <c r="J650" i="14" a="1"/>
  <c r="J650" i="14" s="1"/>
  <c r="N651" i="14"/>
  <c r="N652" i="13"/>
  <c r="J651" i="13" a="1"/>
  <c r="J651" i="13" s="1"/>
  <c r="K500" i="13" l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18" i="14" l="1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/>
  <c r="I501" i="13" s="1"/>
  <c r="K519" i="14" l="1"/>
  <c r="L519" i="14" s="1"/>
  <c r="I520" i="14" s="1"/>
  <c r="M657" i="13"/>
  <c r="M658" i="14"/>
  <c r="N655" i="13"/>
  <c r="J654" i="13" a="1"/>
  <c r="J654" i="13" s="1"/>
  <c r="K501" i="13"/>
  <c r="J653" i="14" a="1"/>
  <c r="J653" i="14" s="1"/>
  <c r="N654" i="14"/>
  <c r="K520" i="14" l="1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/>
  <c r="I502" i="13" s="1"/>
  <c r="K502" i="13" l="1"/>
  <c r="L502" i="13" s="1"/>
  <c r="I503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3" i="13" l="1"/>
  <c r="L503" i="13" s="1"/>
  <c r="I504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23" i="14" l="1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/>
  <c r="L504" i="13" s="1"/>
  <c r="I505" i="13" s="1"/>
  <c r="K505" i="13" l="1"/>
  <c r="L505" i="13" s="1"/>
  <c r="I506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25" i="14" l="1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/>
  <c r="L506" i="13" s="1"/>
  <c r="I507" i="13" s="1"/>
  <c r="K526" i="14" l="1"/>
  <c r="K507" i="13"/>
  <c r="L507" i="13" s="1"/>
  <c r="I508" i="13" s="1"/>
  <c r="M665" i="14"/>
  <c r="J660" i="14" a="1"/>
  <c r="J660" i="14" s="1"/>
  <c r="N661" i="14"/>
  <c r="N662" i="13"/>
  <c r="J661" i="13" a="1"/>
  <c r="J661" i="13" s="1"/>
  <c r="M664" i="13"/>
  <c r="M665" i="13" l="1"/>
  <c r="J661" i="14" a="1"/>
  <c r="J661" i="14" s="1"/>
  <c r="N662" i="14"/>
  <c r="K508" i="13"/>
  <c r="L508" i="13" s="1"/>
  <c r="I509" i="13" s="1"/>
  <c r="M666" i="14"/>
  <c r="N663" i="13"/>
  <c r="J662" i="13" a="1"/>
  <c r="J662" i="13" s="1"/>
  <c r="L526" i="14"/>
  <c r="I527" i="14" s="1"/>
  <c r="K509" i="13" l="1"/>
  <c r="L509" i="13" s="1"/>
  <c r="I510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28" i="14" l="1"/>
  <c r="L528" i="14" s="1"/>
  <c r="I529" i="14" s="1"/>
  <c r="K510" i="13"/>
  <c r="L510" i="13" s="1"/>
  <c r="I511" i="13" s="1"/>
  <c r="M668" i="14"/>
  <c r="N665" i="13"/>
  <c r="J664" i="13" a="1"/>
  <c r="J664" i="13" s="1"/>
  <c r="J663" i="14" a="1"/>
  <c r="J663" i="14" s="1"/>
  <c r="N664" i="14"/>
  <c r="M667" i="13"/>
  <c r="K529" i="14" l="1"/>
  <c r="L529" i="14" s="1"/>
  <c r="I530" i="14" s="1"/>
  <c r="K511" i="13"/>
  <c r="L511" i="13" s="1"/>
  <c r="I512" i="13" s="1"/>
  <c r="N666" i="13"/>
  <c r="J665" i="13" a="1"/>
  <c r="J665" i="13" s="1"/>
  <c r="M668" i="13"/>
  <c r="J664" i="14" a="1"/>
  <c r="J664" i="14" s="1"/>
  <c r="N665" i="14"/>
  <c r="M669" i="14"/>
  <c r="K530" i="14" l="1"/>
  <c r="L530" i="14" s="1"/>
  <c r="I531" i="14" s="1"/>
  <c r="K512" i="13"/>
  <c r="J665" i="14" a="1"/>
  <c r="J665" i="14" s="1"/>
  <c r="N666" i="14"/>
  <c r="M670" i="14"/>
  <c r="M669" i="13"/>
  <c r="N667" i="13"/>
  <c r="J666" i="13" a="1"/>
  <c r="J666" i="13" s="1"/>
  <c r="K531" i="14" l="1"/>
  <c r="L531" i="14" s="1"/>
  <c r="I532" i="14" s="1"/>
  <c r="N668" i="13"/>
  <c r="J667" i="13" a="1"/>
  <c r="J667" i="13" s="1"/>
  <c r="L512" i="13"/>
  <c r="I513" i="13" s="1"/>
  <c r="M670" i="13"/>
  <c r="J666" i="14" a="1"/>
  <c r="J666" i="14" s="1"/>
  <c r="N667" i="14"/>
  <c r="M671" i="14"/>
  <c r="N669" i="13" l="1"/>
  <c r="J668" i="13" a="1"/>
  <c r="J668" i="13" s="1"/>
  <c r="M672" i="14"/>
  <c r="M671" i="13"/>
  <c r="J667" i="14" a="1"/>
  <c r="J667" i="14" s="1"/>
  <c r="N668" i="14"/>
  <c r="K513" i="13"/>
  <c r="K532" i="14"/>
  <c r="L532" i="14" s="1"/>
  <c r="I533" i="14" s="1"/>
  <c r="K533" i="14" l="1"/>
  <c r="L533" i="14" s="1"/>
  <c r="I534" i="14" s="1"/>
  <c r="J668" i="14" a="1"/>
  <c r="J668" i="14" s="1"/>
  <c r="N669" i="14"/>
  <c r="M673" i="14"/>
  <c r="M672" i="13"/>
  <c r="L513" i="13"/>
  <c r="I514" i="13" s="1"/>
  <c r="N670" i="13"/>
  <c r="J669" i="13" a="1"/>
  <c r="J669" i="13" s="1"/>
  <c r="K534" i="14" l="1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/>
  <c r="L514" i="13" s="1"/>
  <c r="I515" i="13" s="1"/>
  <c r="K535" i="14" l="1"/>
  <c r="L535" i="14" s="1"/>
  <c r="I536" i="14" s="1"/>
  <c r="J670" i="14" a="1"/>
  <c r="J670" i="14" s="1"/>
  <c r="N671" i="14"/>
  <c r="M674" i="13"/>
  <c r="N672" i="13"/>
  <c r="J671" i="13" a="1"/>
  <c r="J671" i="13" s="1"/>
  <c r="K515" i="13"/>
  <c r="L515" i="13" s="1"/>
  <c r="I516" i="13" s="1"/>
  <c r="M675" i="14"/>
  <c r="K516" i="13" l="1"/>
  <c r="L516" i="13" s="1"/>
  <c r="I517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37" i="14" l="1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/>
  <c r="L517" i="13" s="1"/>
  <c r="I518" i="13" s="1"/>
  <c r="K538" i="14" l="1"/>
  <c r="J673" i="14" a="1"/>
  <c r="J673" i="14" s="1"/>
  <c r="N674" i="14"/>
  <c r="M677" i="13"/>
  <c r="K518" i="13"/>
  <c r="L518" i="13" s="1"/>
  <c r="I519" i="13" s="1"/>
  <c r="M678" i="14"/>
  <c r="N675" i="13"/>
  <c r="J674" i="13" a="1"/>
  <c r="J674" i="13" s="1"/>
  <c r="K519" i="13" l="1"/>
  <c r="L519" i="13" s="1"/>
  <c r="I520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M680" i="14" l="1"/>
  <c r="K520" i="13"/>
  <c r="L520" i="13" s="1"/>
  <c r="I521" i="13" s="1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40" i="14" l="1"/>
  <c r="L540" i="14" s="1"/>
  <c r="I541" i="14" s="1"/>
  <c r="K521" i="13"/>
  <c r="L521" i="13" s="1"/>
  <c r="I522" i="13" s="1"/>
  <c r="M680" i="13"/>
  <c r="N678" i="13"/>
  <c r="J677" i="13" a="1"/>
  <c r="J677" i="13" s="1"/>
  <c r="J676" i="14" a="1"/>
  <c r="J676" i="14" s="1"/>
  <c r="N677" i="14"/>
  <c r="M681" i="14"/>
  <c r="K522" i="13" l="1"/>
  <c r="L522" i="13" s="1"/>
  <c r="I523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3" i="13" l="1"/>
  <c r="L523" i="13" s="1"/>
  <c r="I524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43" i="14" l="1"/>
  <c r="L543" i="14" s="1"/>
  <c r="I544" i="14" s="1"/>
  <c r="K524" i="13"/>
  <c r="L524" i="13" s="1"/>
  <c r="I525" i="13" s="1"/>
  <c r="N681" i="13"/>
  <c r="J680" i="13" a="1"/>
  <c r="J680" i="13" s="1"/>
  <c r="M683" i="13"/>
  <c r="M684" i="14"/>
  <c r="J679" i="14" a="1"/>
  <c r="J679" i="14" s="1"/>
  <c r="N680" i="14"/>
  <c r="K525" i="13" l="1"/>
  <c r="L525" i="13" s="1"/>
  <c r="I526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45" i="14" l="1"/>
  <c r="L545" i="14" s="1"/>
  <c r="I546" i="14" s="1"/>
  <c r="K526" i="13"/>
  <c r="M686" i="14"/>
  <c r="M685" i="13"/>
  <c r="N683" i="13"/>
  <c r="J682" i="13" a="1"/>
  <c r="J682" i="13" s="1"/>
  <c r="J681" i="14" a="1"/>
  <c r="J681" i="14" s="1"/>
  <c r="N682" i="14"/>
  <c r="K546" i="14" l="1"/>
  <c r="L546" i="14" s="1"/>
  <c r="I547" i="14" s="1"/>
  <c r="L526" i="13"/>
  <c r="I527" i="13" s="1"/>
  <c r="M687" i="14"/>
  <c r="J682" i="14" a="1"/>
  <c r="J682" i="14" s="1"/>
  <c r="N683" i="14"/>
  <c r="M686" i="13"/>
  <c r="N684" i="13"/>
  <c r="J683" i="13" a="1"/>
  <c r="J683" i="13" s="1"/>
  <c r="K547" i="14" l="1"/>
  <c r="L547" i="14" s="1"/>
  <c r="I548" i="14" s="1"/>
  <c r="N685" i="13"/>
  <c r="J684" i="13" a="1"/>
  <c r="J684" i="13" s="1"/>
  <c r="J683" i="14" a="1"/>
  <c r="J683" i="14" s="1"/>
  <c r="N684" i="14"/>
  <c r="K527" i="13"/>
  <c r="L527" i="13" s="1"/>
  <c r="I528" i="13" s="1"/>
  <c r="M687" i="13"/>
  <c r="M688" i="14"/>
  <c r="K548" i="14" l="1"/>
  <c r="N686" i="13"/>
  <c r="J685" i="13" a="1"/>
  <c r="J685" i="13" s="1"/>
  <c r="K528" i="13"/>
  <c r="L528" i="13" s="1"/>
  <c r="I529" i="13" s="1"/>
  <c r="J684" i="14" a="1"/>
  <c r="J684" i="14" s="1"/>
  <c r="N685" i="14"/>
  <c r="M688" i="13"/>
  <c r="M689" i="14"/>
  <c r="K529" i="13" l="1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<sst xmlns="http://schemas.openxmlformats.org/spreadsheetml/2006/main" count="2812" uniqueCount="876">
  <si>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</si>
  <si>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</si>
  <si>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</si>
  <si>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</si>
  <si>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</si>
  <si>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</si>
  <si>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</si>
  <si>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</si>
  <si>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</si>
  <si>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</si>
  <si>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</si>
  <si>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</si>
  <si>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</si>
  <si>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</si>
  <si>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</si>
  <si>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</si>
  <si>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</si>
  <si>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</si>
  <si>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</si>
  <si>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</si>
  <si>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</si>
  <si>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</si>
  <si>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</si>
  <si>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</si>
  <si>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</si>
  <si>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</si>
  <si>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</si>
  <si>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</si>
  <si>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</si>
  <si>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</si>
  <si>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</si>
  <si>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</si>
  <si>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</si>
  <si>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</si>
  <si>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</si>
  <si>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</si>
  <si>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</si>
  <si>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</si>
  <si>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</si>
  <si>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</si>
  <si>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</si>
  <si>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</si>
  <si>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</si>
  <si>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</si>
  <si>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</si>
  <si>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</si>
  <si>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</si>
  <si>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</si>
  <si>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</si>
  <si>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</si>
  <si>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</si>
  <si>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</si>
  <si>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</si>
  <si>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</si>
  <si>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</si>
  <si>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</si>
  <si>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</si>
  <si>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</si>
  <si>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</si>
  <si>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</si>
  <si>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</si>
  <si>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</si>
  <si>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</si>
  <si>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</si>
  <si>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</si>
  <si>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</si>
  <si>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</si>
  <si>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</si>
  <si>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</si>
  <si>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</si>
  <si>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</si>
  <si>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</si>
  <si>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</si>
  <si>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</si>
  <si>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</si>
  <si>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</si>
  <si>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</si>
  <si>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</si>
  <si>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</si>
  <si>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</si>
  <si>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</si>
  <si>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</si>
  <si>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</si>
  <si>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</si>
  <si>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</si>
  <si>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</si>
  <si>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</si>
  <si>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</si>
  <si>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</si>
  <si>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</si>
  <si>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</si>
  <si>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</si>
  <si>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</si>
  <si>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</si>
  <si>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</si>
  <si>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</si>
  <si>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</si>
  <si>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</si>
  <si>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</si>
  <si>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</si>
  <si>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</si>
  <si>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</si>
  <si>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</si>
  <si>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</si>
  <si>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</si>
  <si>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</si>
  <si>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</si>
  <si>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</si>
  <si>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</si>
  <si>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</si>
  <si>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</si>
  <si>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</si>
  <si>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</si>
  <si>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</si>
  <si>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</si>
  <si>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</si>
  <si>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</si>
  <si>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</si>
  <si>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</si>
  <si>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</si>
  <si>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</si>
  <si>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</si>
  <si>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</si>
  <si>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</si>
  <si>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</si>
  <si>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</si>
  <si>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</si>
  <si>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</si>
  <si>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</si>
  <si>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</si>
  <si>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</si>
  <si>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</si>
  <si>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</si>
  <si>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</si>
  <si>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</si>
  <si>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</si>
  <si>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</si>
  <si>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</si>
  <si>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</si>
  <si>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</si>
  <si>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</si>
  <si>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</si>
  <si>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</si>
  <si>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</si>
  <si>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</si>
  <si>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</si>
  <si>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</si>
  <si>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</si>
  <si>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</si>
  <si>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</si>
  <si>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</si>
  <si>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</si>
  <si>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</si>
  <si>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</si>
  <si>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</si>
  <si>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</si>
  <si>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</si>
  <si>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</si>
  <si>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</si>
  <si>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</si>
  <si>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</si>
  <si>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</si>
  <si>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</si>
  <si>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</si>
  <si>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</si>
  <si>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</si>
  <si>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</si>
  <si>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</si>
  <si>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</si>
  <si>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</si>
  <si>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</si>
  <si>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</si>
  <si>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</si>
  <si>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</si>
  <si>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</si>
  <si>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</si>
  <si>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</si>
  <si>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</si>
  <si>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</si>
  <si>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</si>
  <si>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</si>
  <si>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</si>
  <si>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</si>
  <si>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</si>
  <si>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</si>
  <si>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</si>
  <si>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</si>
  <si>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</si>
  <si>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</si>
  <si>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</si>
  <si>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</si>
  <si>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</si>
  <si>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</si>
  <si>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</si>
  <si>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</si>
  <si>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</si>
  <si>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</si>
  <si>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</si>
  <si>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</si>
  <si>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</si>
  <si>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</si>
  <si>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</si>
  <si>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</si>
  <si>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</si>
  <si>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</si>
  <si>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</si>
  <si>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</si>
  <si>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</si>
  <si>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</si>
  <si>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</si>
  <si>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</si>
  <si>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</si>
  <si>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</si>
  <si>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</si>
  <si>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</si>
  <si>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</si>
  <si>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</si>
  <si>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</si>
  <si>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</si>
  <si>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</si>
  <si>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</si>
  <si>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</si>
  <si>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</si>
  <si>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</si>
  <si>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</si>
  <si>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</si>
  <si>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</si>
  <si>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</si>
  <si>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</si>
  <si>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</si>
  <si>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</si>
  <si>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</si>
  <si>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</si>
  <si>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</si>
  <si>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</si>
  <si>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</si>
  <si>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</si>
  <si>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</si>
  <si>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</si>
  <si>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</si>
  <si>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</si>
  <si>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</si>
  <si>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</si>
  <si>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</si>
  <si>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</si>
  <si>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</si>
  <si>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</si>
  <si>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</si>
  <si>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</si>
  <si>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</si>
  <si>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</si>
  <si>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</si>
  <si>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</si>
  <si>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</si>
  <si>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</si>
  <si>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</si>
  <si>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</si>
  <si>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</si>
  <si>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</si>
  <si>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</si>
  <si>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</si>
  <si>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</si>
  <si>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</si>
  <si>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</si>
  <si>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</si>
  <si>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</si>
  <si>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</si>
  <si>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</si>
  <si>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</si>
  <si>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</si>
  <si>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</si>
  <si>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</si>
  <si>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</si>
  <si>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</si>
  <si>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</si>
  <si>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</si>
  <si>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</si>
  <si>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</si>
  <si>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</si>
  <si>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</si>
  <si>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</si>
  <si>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</si>
  <si>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</si>
  <si>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</si>
  <si>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</si>
  <si>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</si>
  <si>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</si>
  <si>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</si>
  <si>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</si>
  <si>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</si>
  <si>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</si>
  <si>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</si>
  <si>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</si>
  <si>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</si>
  <si>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</si>
  <si>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</si>
  <si>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</si>
  <si>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</si>
  <si>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</si>
  <si>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</si>
  <si>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</si>
  <si>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</si>
  <si>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</si>
  <si>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</si>
  <si>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</si>
  <si>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</si>
  <si>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Amazon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</si>
  <si>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</si>
  <si>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</si>
  <si>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</si>
  <si>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</si>
  <si>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</si>
  <si>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</si>
  <si>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</si>
  <si>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</si>
  <si>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</si>
  <si>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</si>
  <si>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CashApp - Yasmary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</si>
  <si>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</si>
  <si>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</si>
  <si>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</si>
  <si>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</si>
  <si>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</si>
  <si>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</si>
  <si>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</si>
  <si>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</si>
  <si>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Regan Cash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</si>
  <si>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</si>
  <si>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</si>
  <si>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</si>
  <si>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</si>
  <si>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</si>
  <si>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</si>
  <si>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</si>
  <si>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AppleTV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</si>
  <si>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</si>
  <si>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</si>
  <si>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</si>
  <si>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</si>
  <si>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</si>
  <si>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</si>
  <si>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</si>
  <si>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</si>
  <si>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</si>
  <si>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</si>
  <si>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</si>
  <si>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</si>
  <si>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</si>
  <si>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</si>
  <si>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</si>
  <si>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</si>
  <si>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</si>
  <si>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</si>
  <si>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</si>
  <si>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</si>
  <si>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</si>
  <si>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</si>
  <si>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</si>
  <si>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</si>
  <si>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</si>
  <si>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</si>
  <si>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</si>
  <si>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</si>
  <si>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</si>
  <si>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</si>
  <si>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</si>
  <si>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</si>
  <si>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</si>
  <si>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</si>
  <si>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</si>
  <si>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</si>
  <si>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</si>
  <si>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</si>
  <si>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</si>
  <si>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</si>
  <si>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</si>
  <si>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</si>
  <si>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</si>
  <si>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</si>
  <si>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</si>
  <si>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</si>
  <si>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</si>
  <si>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</si>
  <si>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</si>
  <si>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</si>
  <si>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</si>
  <si>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</si>
  <si>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</si>
  <si>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</si>
  <si>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</si>
  <si>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</si>
  <si>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</si>
  <si>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</si>
  <si>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</si>
  <si>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</si>
  <si>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</si>
  <si>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</si>
  <si>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</si>
  <si>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</si>
  <si>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</si>
  <si>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</si>
  <si>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Julie - Can Insruance</t>
  </si>
  <si>
    <t>Lowes</t>
  </si>
  <si>
    <t>Action Network</t>
  </si>
  <si>
    <t>Northfield Park</t>
  </si>
  <si>
    <t>Amazon Digital Services</t>
  </si>
  <si>
    <t>Disney Plus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</si>
  <si>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</si>
  <si>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</si>
  <si>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</si>
  <si>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</si>
  <si>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</si>
  <si>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</si>
  <si>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</si>
  <si>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</si>
  <si>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</si>
  <si>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</si>
  <si>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</si>
  <si>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</si>
  <si>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</si>
  <si>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</si>
  <si>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</si>
  <si>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</si>
  <si>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</si>
  <si>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</si>
  <si>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</si>
  <si>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</si>
  <si>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</si>
  <si>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</si>
  <si>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</si>
  <si>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</si>
  <si>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</si>
  <si>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</si>
  <si>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</si>
  <si>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</si>
  <si>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</si>
  <si>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</si>
  <si>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EZ Pass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</si>
  <si>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</si>
  <si>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</si>
  <si>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</si>
  <si>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</si>
  <si>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</si>
  <si>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</si>
  <si>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</si>
  <si>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</si>
  <si>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</si>
  <si>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</si>
  <si>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</si>
  <si>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</si>
  <si>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</si>
  <si>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</si>
  <si>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</si>
  <si>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</si>
  <si>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</si>
  <si>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</si>
  <si>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First Energy - Main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</si>
  <si>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</si>
  <si>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</si>
  <si>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</si>
  <si>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</si>
  <si>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</si>
  <si>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</si>
  <si>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</si>
  <si>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</si>
  <si>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</si>
  <si>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</si>
  <si>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</si>
  <si>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</si>
  <si>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</si>
  <si>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CashApp - Superbowl Squares</t>
  </si>
  <si>
    <t>Frontier Airlines</t>
  </si>
  <si>
    <t>Home Depot - Kitchen Remodel</t>
  </si>
  <si>
    <t>Shotz Bar</t>
  </si>
  <si>
    <t>Transfer to Venmo - Kathleen Chambers;Challenge</t>
  </si>
  <si>
    <t>CashApp - Starbucks</t>
  </si>
  <si>
    <t>CashApp - McDonalds</t>
  </si>
  <si>
    <t>Sorrento</t>
  </si>
  <si>
    <t>Cash from Casino</t>
  </si>
  <si>
    <t>Garretts Mill Diner</t>
  </si>
  <si>
    <t>Accelerated Fitness</t>
  </si>
  <si>
    <t>Guard Hotel</t>
  </si>
  <si>
    <t>Prime Video</t>
  </si>
  <si>
    <t>Fairview Tavern</t>
  </si>
  <si>
    <t>PJ McIntyres</t>
  </si>
  <si>
    <t>Zack Drzik - Oil Change</t>
  </si>
  <si>
    <t>Winking Lizard</t>
  </si>
  <si>
    <t>January Rent</t>
  </si>
  <si>
    <t>Heinens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</si>
  <si>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</si>
  <si>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</si>
  <si>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</si>
  <si>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</si>
  <si>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</si>
  <si>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</si>
  <si>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</si>
  <si>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</si>
  <si>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</si>
  <si>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</si>
  <si>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</si>
  <si>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</si>
  <si>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</si>
  <si>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</si>
  <si>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</si>
  <si>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</si>
  <si>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</si>
  <si>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</si>
  <si>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</si>
  <si>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</si>
  <si>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</si>
  <si>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</si>
  <si>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</si>
  <si>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</si>
  <si>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</si>
  <si>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</si>
  <si>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</si>
  <si>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</si>
  <si>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</si>
  <si>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</si>
  <si>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</si>
  <si>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</si>
  <si>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</si>
  <si>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</si>
  <si>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</si>
  <si>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</si>
  <si>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</si>
  <si>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</si>
  <si>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</si>
  <si>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</si>
  <si>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</si>
  <si>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</si>
  <si>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</si>
  <si>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</si>
  <si>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</si>
  <si>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</si>
  <si>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</si>
  <si>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</si>
  <si>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</si>
  <si>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</si>
  <si>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</si>
  <si>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</si>
  <si>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</si>
  <si>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</si>
  <si>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</si>
  <si>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</si>
  <si>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</si>
  <si>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</si>
  <si>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</si>
  <si>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</si>
  <si>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</si>
  <si>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</si>
  <si>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</si>
  <si>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</si>
  <si>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</si>
  <si>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</si>
  <si>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</si>
  <si>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</si>
  <si>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</si>
  <si>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</si>
  <si>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</si>
  <si>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</si>
  <si>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</si>
  <si>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</si>
  <si>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</si>
  <si>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</si>
  <si>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</si>
  <si>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</si>
  <si>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</si>
  <si>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</si>
  <si>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</si>
  <si>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</si>
  <si>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</si>
  <si>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</si>
  <si>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</si>
  <si>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</si>
  <si>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</si>
  <si>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</si>
  <si>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</si>
  <si>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</si>
  <si>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</si>
  <si>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</si>
  <si>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</si>
  <si>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</si>
  <si>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</si>
  <si>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</si>
  <si>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</si>
  <si>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</si>
  <si>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</si>
  <si>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</si>
  <si>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</si>
  <si>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</si>
  <si>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</si>
  <si>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</si>
  <si>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</si>
  <si>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</si>
  <si>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</si>
  <si>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</si>
  <si>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</si>
  <si>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</si>
  <si>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</si>
  <si>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</si>
  <si>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</si>
  <si>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</si>
  <si>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</si>
  <si>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</si>
  <si>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</si>
  <si>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</si>
  <si>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</si>
  <si>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</si>
  <si>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</si>
  <si>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</si>
  <si>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</si>
  <si>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</si>
  <si>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</si>
  <si>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</si>
  <si>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</si>
  <si>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</si>
  <si>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</si>
  <si>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</si>
  <si>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</si>
  <si>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</si>
  <si>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</si>
  <si>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</si>
  <si>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</si>
  <si>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</si>
  <si>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</si>
  <si>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</si>
  <si>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</si>
  <si>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</si>
  <si>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</si>
  <si>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</si>
  <si>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</si>
  <si>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</si>
  <si>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</si>
  <si>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</si>
  <si>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</si>
  <si>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</si>
  <si>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</si>
  <si>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</si>
  <si>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</si>
  <si>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</si>
  <si>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</si>
  <si>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</si>
  <si>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</si>
  <si>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</si>
  <si>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</si>
  <si>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</si>
  <si>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</si>
  <si>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</si>
  <si>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</si>
  <si>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</si>
  <si>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</si>
  <si>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</si>
  <si>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</si>
  <si>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</si>
  <si>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</si>
  <si>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</si>
  <si>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</si>
  <si>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</si>
  <si>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</si>
  <si>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</si>
  <si>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</si>
  <si>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</si>
  <si>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</si>
  <si>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</si>
  <si>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</si>
  <si>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</si>
  <si>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</si>
  <si>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</si>
  <si>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</si>
  <si>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</si>
  <si>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</si>
  <si>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</si>
  <si>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</si>
  <si>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</si>
  <si>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</si>
  <si>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</si>
  <si>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</si>
  <si>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</si>
  <si>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</si>
  <si>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</si>
  <si>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</si>
  <si>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</si>
  <si>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</si>
  <si>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</si>
  <si>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</si>
  <si>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</si>
  <si>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</si>
  <si>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</si>
  <si>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</si>
  <si>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</si>
  <si>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</si>
  <si>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</si>
  <si>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</si>
  <si>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</si>
  <si>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</si>
  <si>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</si>
  <si>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</si>
  <si>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</si>
  <si>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</si>
  <si>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</si>
  <si>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</si>
  <si>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</si>
  <si>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</si>
  <si>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</si>
  <si>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</si>
  <si>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</si>
  <si>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</si>
  <si>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</si>
  <si>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</si>
  <si>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</si>
  <si>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</si>
  <si>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</si>
  <si>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</si>
  <si>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</si>
  <si>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</si>
  <si>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</si>
  <si>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</si>
  <si>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</si>
  <si>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</si>
  <si>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</si>
  <si>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</si>
  <si>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</si>
  <si>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</si>
  <si>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</si>
  <si>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</si>
  <si>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</si>
  <si>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</si>
  <si>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</si>
  <si>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</si>
  <si>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</si>
  <si>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</si>
  <si>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</si>
  <si>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</si>
  <si>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</si>
  <si>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</si>
  <si>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</si>
  <si>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</si>
  <si>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</si>
  <si>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</si>
  <si>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</si>
  <si>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</si>
  <si>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</si>
  <si>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</si>
  <si>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</si>
  <si>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</si>
  <si>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</si>
  <si>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</si>
  <si>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</si>
  <si>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</si>
  <si>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</si>
  <si>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</si>
  <si>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</si>
  <si>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</si>
  <si>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</si>
  <si>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</si>
  <si>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</si>
  <si>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</si>
  <si>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</si>
  <si>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</si>
  <si>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</si>
  <si>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</si>
  <si>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</si>
  <si>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</si>
  <si>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</si>
  <si>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</si>
  <si>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</si>
  <si>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</si>
  <si>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</si>
  <si>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</si>
  <si>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</si>
  <si>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</si>
  <si>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</si>
  <si>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</si>
  <si>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</si>
  <si>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</si>
  <si>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</si>
  <si>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</si>
  <si>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</si>
  <si>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</si>
  <si>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</si>
  <si>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</si>
  <si>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</si>
  <si>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</si>
  <si>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</si>
  <si>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</si>
  <si>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</si>
  <si>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</si>
  <si>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</si>
  <si>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</si>
  <si>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</si>
  <si>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</si>
  <si>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</si>
  <si>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</si>
  <si>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</si>
  <si>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</si>
  <si>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</si>
  <si>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</si>
  <si>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</si>
  <si>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</si>
  <si>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</si>
  <si>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</si>
  <si>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</si>
  <si>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</si>
  <si>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</si>
  <si>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</si>
  <si>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</si>
  <si>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</si>
  <si>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</si>
  <si>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</si>
  <si>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</si>
  <si>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</si>
  <si>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</si>
  <si>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</si>
  <si>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</si>
  <si>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</si>
  <si>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</si>
  <si>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</si>
  <si>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</si>
  <si>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</si>
  <si>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</si>
  <si>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</si>
  <si>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</si>
  <si>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</si>
  <si>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</si>
  <si>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</si>
  <si>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</si>
  <si>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</si>
  <si>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</si>
  <si>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</si>
  <si>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</si>
  <si>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</si>
  <si>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</si>
  <si>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</si>
  <si>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</si>
  <si>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</si>
  <si>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</si>
  <si>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</si>
  <si>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</si>
  <si>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</si>
  <si>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</si>
  <si>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</si>
  <si>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</si>
  <si>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</si>
  <si>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</si>
  <si>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Amazon Kindle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</si>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</sst>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81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44" fontId="6" fillId="3" borderId="25" xfId="0" applyNumberFormat="1" applyFont="1" applyFill="1" applyBorder="1" applyAlignment="1">
      <alignment horizontal="center"/>
    </xf>
    <xf numFmtId="10" fontId="6" fillId="3" borderId="25" xfId="0" applyNumberFormat="1" applyFont="1" applyFill="1" applyBorder="1" applyAlignment="1">
      <alignment horizontal="center"/>
    </xf>
    <xf numFmtId="44" fontId="6" fillId="4" borderId="25" xfId="0" applyNumberFormat="1" applyFont="1" applyFill="1" applyBorder="1" applyAlignment="1">
      <alignment horizontal="center"/>
    </xf>
    <xf numFmtId="10" fontId="6" fillId="4" borderId="5" xfId="0" applyNumberFormat="1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44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 applyAlignment="1">
      <alignment horizontal="center"/>
    </xf>
    <xf numFmtId="164" fontId="6" fillId="2" borderId="36" xfId="0" applyFont="1" applyFill="1" applyBorder="1"/>
    <xf numFmtId="44" fontId="6" fillId="3" borderId="37" xfId="0" applyNumberFormat="1" applyFont="1" applyFill="1" applyBorder="1" applyAlignment="1">
      <alignment horizontal="center"/>
    </xf>
    <xf numFmtId="10" fontId="6" fillId="3" borderId="37" xfId="0" applyNumberFormat="1" applyFont="1" applyFill="1" applyBorder="1" applyAlignment="1">
      <alignment horizontal="center"/>
    </xf>
    <xf numFmtId="44" fontId="6" fillId="4" borderId="37" xfId="0" applyNumberFormat="1" applyFont="1" applyFill="1" applyBorder="1" applyAlignment="1">
      <alignment horizontal="center"/>
    </xf>
    <xf numFmtId="10" fontId="6" fillId="4" borderId="38" xfId="0" applyNumberFormat="1" applyFont="1" applyFill="1" applyBorder="1" applyAlignment="1">
      <alignment horizontal="center"/>
    </xf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9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40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41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40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3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4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3" xfId="0" applyNumberFormat="1" applyFont="1" applyFill="1" applyBorder="1" applyAlignment="1">
      <alignment horizontal="center"/>
    </xf>
    <xf numFmtId="44" fontId="11" fillId="9" borderId="45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3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41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41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40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4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4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3" xfId="0" applyNumberFormat="1" applyFont="1" applyFill="1" applyBorder="1"/>
    <xf numFmtId="44" fontId="11" fillId="13" borderId="11" xfId="0" applyNumberFormat="1" applyFont="1" applyFill="1" applyBorder="1"/>
    <xf numFmtId="164" fontId="11" fillId="5" borderId="46" xfId="0" applyFont="1" applyFill="1" applyBorder="1"/>
    <xf numFmtId="1" fontId="11" fillId="5" borderId="46" xfId="0" applyNumberFormat="1" applyFont="1" applyFill="1" applyBorder="1"/>
    <xf numFmtId="16" fontId="11" fillId="5" borderId="46" xfId="0" applyNumberFormat="1" applyFont="1" applyFill="1" applyBorder="1" applyAlignment="1">
      <alignment horizontal="left" vertical="center"/>
    </xf>
    <xf numFmtId="16" fontId="11" fillId="5" borderId="46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5" xfId="0" applyNumberFormat="1" applyFont="1" applyFill="1" applyBorder="1" applyAlignment="1">
      <alignment horizontal="left" vertical="center"/>
    </xf>
    <xf numFmtId="16" fontId="11" fillId="5" borderId="45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5" xfId="0" applyFont="1" applyFill="1" applyBorder="1" applyAlignment="1">
      <alignment horizontal="left" vertical="center"/>
    </xf>
    <xf numFmtId="164" fontId="11" fillId="5" borderId="45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5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5" xfId="0" applyNumberFormat="1" applyFont="1" applyFill="1" applyBorder="1" applyAlignment="1">
      <alignment horizontal="center" vertical="center"/>
    </xf>
    <xf numFmtId="44" fontId="12" fillId="5" borderId="45" xfId="0" applyNumberFormat="1" applyFont="1" applyFill="1" applyBorder="1" applyAlignment="1">
      <alignment horizontal="center"/>
    </xf>
    <xf numFmtId="164" fontId="12" fillId="5" borderId="45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6" xfId="0" applyNumberFormat="1" applyFont="1" applyFill="1" applyBorder="1"/>
    <xf numFmtId="44" fontId="13" fillId="10" borderId="46" xfId="0" applyNumberFormat="1" applyFont="1" applyFill="1" applyBorder="1"/>
    <xf numFmtId="164" fontId="13" fillId="13" borderId="46" xfId="0" applyFont="1" applyFill="1" applyBorder="1"/>
    <xf numFmtId="44" fontId="13" fillId="13" borderId="46" xfId="0" applyNumberFormat="1" applyFont="1" applyFill="1" applyBorder="1"/>
    <xf numFmtId="164" fontId="13" fillId="15" borderId="46" xfId="0" applyFont="1" applyFill="1" applyBorder="1"/>
    <xf numFmtId="44" fontId="13" fillId="15" borderId="46" xfId="0" applyNumberFormat="1" applyFont="1" applyFill="1" applyBorder="1"/>
    <xf numFmtId="164" fontId="13" fillId="8" borderId="46" xfId="0" applyFont="1" applyFill="1" applyBorder="1"/>
    <xf numFmtId="44" fontId="13" fillId="8" borderId="46" xfId="0" applyNumberFormat="1" applyFont="1" applyFill="1" applyBorder="1"/>
    <xf numFmtId="164" fontId="13" fillId="12" borderId="46" xfId="0" applyFont="1" applyFill="1" applyBorder="1"/>
    <xf numFmtId="44" fontId="13" fillId="12" borderId="46" xfId="0" applyNumberFormat="1" applyFont="1" applyFill="1" applyBorder="1"/>
    <xf numFmtId="164" fontId="13" fillId="9" borderId="46" xfId="0" applyFont="1" applyFill="1" applyBorder="1"/>
    <xf numFmtId="44" fontId="13" fillId="9" borderId="46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5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5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5" xfId="0" applyNumberFormat="1" applyFont="1" applyFill="1" applyBorder="1" applyAlignment="1">
      <alignment horizontal="center"/>
    </xf>
    <xf numFmtId="165" fontId="11" fillId="5" borderId="45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5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5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9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7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6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6" xfId="0" applyNumberFormat="1" applyFont="1" applyFill="1" applyBorder="1" applyAlignment="1">
      <alignment horizontal="center"/>
    </xf>
    <xf numFmtId="165" fontId="12" fillId="18" borderId="46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6" xfId="0" applyNumberFormat="1" applyFont="1" applyFill="1" applyBorder="1" applyAlignment="1">
      <alignment horizontal="center"/>
    </xf>
    <xf numFmtId="165" fontId="6" fillId="4" borderId="46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6" xfId="0" applyNumberFormat="1" applyFont="1" applyFill="1" applyBorder="1"/>
    <xf numFmtId="165" fontId="6" fillId="2" borderId="46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7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8" xfId="0" applyNumberFormat="1" applyFont="1" applyBorder="1"/>
    <xf numFmtId="164" fontId="13" fillId="0" borderId="47" xfId="0" applyFont="1" applyBorder="1" applyAlignment="1">
      <alignment horizontal="center"/>
    </xf>
    <xf numFmtId="44" fontId="13" fillId="0" borderId="47" xfId="0" applyNumberFormat="1" applyFont="1" applyBorder="1" applyAlignment="1">
      <alignment horizontal="center"/>
    </xf>
    <xf numFmtId="164" fontId="13" fillId="12" borderId="47" xfId="0" applyFont="1" applyFill="1" applyBorder="1" applyAlignment="1">
      <alignment horizontal="center"/>
    </xf>
    <xf numFmtId="165" fontId="11" fillId="4" borderId="47" xfId="0" applyNumberFormat="1" applyFont="1" applyFill="1" applyBorder="1" applyAlignment="1">
      <alignment horizontal="center"/>
    </xf>
    <xf numFmtId="165" fontId="11" fillId="14" borderId="47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7" xfId="0" applyNumberFormat="1" applyFont="1" applyFill="1" applyBorder="1" applyAlignment="1">
      <alignment horizontal="center"/>
    </xf>
    <xf numFmtId="8" fontId="11" fillId="14" borderId="47" xfId="0" applyNumberFormat="1" applyFont="1" applyFill="1" applyBorder="1" applyAlignment="1">
      <alignment horizontal="center"/>
    </xf>
    <xf numFmtId="8" fontId="11" fillId="3" borderId="47" xfId="0" applyNumberFormat="1" applyFont="1" applyFill="1" applyBorder="1" applyAlignment="1">
      <alignment horizontal="center"/>
    </xf>
    <xf numFmtId="164" fontId="14" fillId="0" borderId="47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50" xfId="0" applyNumberFormat="1" applyFont="1" applyFill="1" applyBorder="1" applyAlignment="1">
      <alignment horizontal="center"/>
    </xf>
    <xf numFmtId="0" fontId="5" fillId="0" borderId="51" xfId="0" applyNumberFormat="1" applyFont="1" applyBorder="1"/>
    <xf numFmtId="0" fontId="5" fillId="0" borderId="52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E13" sqref="E13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35" bestFit="1" customWidth="1"/>
    <col min="4" max="7" width="11.33203125" bestFit="1" customWidth="1"/>
  </cols>
  <sheetData>
    <row r="1" spans="1:3" x14ac:dyDescent="0.3">
      <c r="A1" t="s">
        <v>790</v>
      </c>
      <c r="B1" t="s">
        <v>820</v>
      </c>
      <c r="C1" s="534" t="s">
        <v>844</v>
      </c>
    </row>
    <row r="2" spans="1:3" x14ac:dyDescent="0.3">
      <c r="A2" t="s">
        <v>106</v>
      </c>
      <c r="B2" t="s">
        <v>821</v>
      </c>
      <c r="C2" s="535">
        <v>1975.0252370000001</v>
      </c>
    </row>
    <row r="3" spans="1:3" x14ac:dyDescent="0.3">
      <c r="A3" t="s">
        <v>106</v>
      </c>
      <c r="B3" t="s">
        <v>822</v>
      </c>
      <c r="C3" s="535">
        <v>951.31528000000003</v>
      </c>
    </row>
    <row r="4" spans="1:3" x14ac:dyDescent="0.3">
      <c r="A4" t="s">
        <v>106</v>
      </c>
      <c r="B4" t="s">
        <v>823</v>
      </c>
      <c r="C4" s="535">
        <v>1353.018769</v>
      </c>
    </row>
    <row r="5" spans="1:3" x14ac:dyDescent="0.3">
      <c r="A5" t="s">
        <v>824</v>
      </c>
      <c r="B5" t="s">
        <v>821</v>
      </c>
      <c r="C5" s="535">
        <v>461.22561999999999</v>
      </c>
    </row>
    <row r="6" spans="1:3" x14ac:dyDescent="0.3">
      <c r="A6" t="s">
        <v>824</v>
      </c>
      <c r="B6" t="s">
        <v>822</v>
      </c>
      <c r="C6" s="535">
        <v>733.12704199999996</v>
      </c>
    </row>
    <row r="7" spans="1:3" x14ac:dyDescent="0.3">
      <c r="A7" t="s">
        <v>826</v>
      </c>
      <c r="B7" t="s">
        <v>825</v>
      </c>
      <c r="C7" s="535">
        <v>203.505</v>
      </c>
    </row>
    <row r="8" spans="1:3" x14ac:dyDescent="0.3">
      <c r="A8" t="s">
        <v>826</v>
      </c>
      <c r="B8" t="s">
        <v>827</v>
      </c>
      <c r="C8" s="535">
        <v>1217.0540000000001</v>
      </c>
    </row>
    <row r="9" spans="1:3" x14ac:dyDescent="0.3">
      <c r="A9" t="s">
        <v>826</v>
      </c>
      <c r="B9" t="s">
        <v>828</v>
      </c>
      <c r="C9" s="535">
        <v>138.60499999999999</v>
      </c>
    </row>
    <row r="10" spans="1:3" x14ac:dyDescent="0.3">
      <c r="A10" t="s">
        <v>829</v>
      </c>
      <c r="B10" t="s">
        <v>827</v>
      </c>
      <c r="C10" s="535">
        <v>677.71900000000005</v>
      </c>
    </row>
    <row r="11" spans="1:3" x14ac:dyDescent="0.3">
      <c r="A11" t="s">
        <v>54</v>
      </c>
      <c r="B11" t="s">
        <v>830</v>
      </c>
      <c r="C11" s="535">
        <v>50.346319999999999</v>
      </c>
    </row>
    <row r="12" spans="1:3" x14ac:dyDescent="0.3">
      <c r="A12" t="s">
        <v>54</v>
      </c>
      <c r="B12" t="s">
        <v>831</v>
      </c>
      <c r="C12" s="535">
        <v>32.164059999999999</v>
      </c>
    </row>
    <row r="13" spans="1:3" x14ac:dyDescent="0.3">
      <c r="A13" t="s">
        <v>54</v>
      </c>
      <c r="B13" t="s">
        <v>832</v>
      </c>
      <c r="C13" s="535">
        <v>224.54397</v>
      </c>
    </row>
    <row r="14" spans="1:3" x14ac:dyDescent="0.3">
      <c r="A14" t="s">
        <v>54</v>
      </c>
      <c r="B14" t="s">
        <v>833</v>
      </c>
      <c r="C14" s="535">
        <v>211.67348999999999</v>
      </c>
    </row>
    <row r="15" spans="1:3" x14ac:dyDescent="0.3">
      <c r="A15" t="s">
        <v>54</v>
      </c>
      <c r="B15" t="s">
        <v>834</v>
      </c>
      <c r="C15" s="535">
        <v>204.95385999999999</v>
      </c>
    </row>
    <row r="16" spans="1:3" x14ac:dyDescent="0.3">
      <c r="A16" t="s">
        <v>59</v>
      </c>
      <c r="B16" t="s">
        <v>835</v>
      </c>
      <c r="C16" s="535">
        <v>0.10882</v>
      </c>
    </row>
    <row r="17" spans="1:3" x14ac:dyDescent="0.3">
      <c r="A17" t="s">
        <v>59</v>
      </c>
      <c r="B17" t="s">
        <v>836</v>
      </c>
      <c r="C17" s="535">
        <v>1.6377699999999999</v>
      </c>
    </row>
    <row r="18" spans="1:3" x14ac:dyDescent="0.3">
      <c r="A18" t="s">
        <v>59</v>
      </c>
      <c r="B18" t="s">
        <v>837</v>
      </c>
      <c r="C18" s="535">
        <v>22.54139</v>
      </c>
    </row>
    <row r="19" spans="1:3" x14ac:dyDescent="0.3">
      <c r="A19" t="s">
        <v>59</v>
      </c>
      <c r="B19" t="s">
        <v>838</v>
      </c>
      <c r="C19" s="535">
        <v>5.2892619999999999</v>
      </c>
    </row>
    <row r="20" spans="1:3" x14ac:dyDescent="0.3">
      <c r="A20" t="s">
        <v>59</v>
      </c>
      <c r="B20" t="s">
        <v>839</v>
      </c>
      <c r="C20" s="535">
        <v>32.208689999999997</v>
      </c>
    </row>
    <row r="21" spans="1:3" x14ac:dyDescent="0.3">
      <c r="A21" t="s">
        <v>59</v>
      </c>
      <c r="B21" t="s">
        <v>840</v>
      </c>
      <c r="C21" s="535">
        <v>144.69972000000001</v>
      </c>
    </row>
    <row r="22" spans="1:3" x14ac:dyDescent="0.3">
      <c r="A22" t="s">
        <v>59</v>
      </c>
      <c r="B22" t="s">
        <v>841</v>
      </c>
      <c r="C22" s="535">
        <v>364.74335000000002</v>
      </c>
    </row>
    <row r="23" spans="1:3" x14ac:dyDescent="0.3">
      <c r="A23" s="532" t="s">
        <v>842</v>
      </c>
      <c r="B23" s="532" t="s">
        <v>830</v>
      </c>
      <c r="C23" s="535">
        <v>8.55701</v>
      </c>
    </row>
    <row r="24" spans="1:3" x14ac:dyDescent="0.3">
      <c r="A24" s="532" t="s">
        <v>842</v>
      </c>
      <c r="B24" s="532" t="s">
        <v>832</v>
      </c>
      <c r="C24" s="535">
        <v>25.439640000000001</v>
      </c>
    </row>
    <row r="25" spans="1:3" x14ac:dyDescent="0.3">
      <c r="A25" s="532" t="s">
        <v>842</v>
      </c>
      <c r="B25" s="532" t="s">
        <v>843</v>
      </c>
      <c r="C25" s="535">
        <v>29.35069</v>
      </c>
    </row>
    <row r="26" spans="1:3" x14ac:dyDescent="0.3">
      <c r="A26" s="532" t="s">
        <v>842</v>
      </c>
      <c r="B26" s="532" t="s">
        <v>833</v>
      </c>
      <c r="C26" s="535">
        <v>22.982579999999999</v>
      </c>
    </row>
    <row r="27" spans="1:3" x14ac:dyDescent="0.3">
      <c r="A27" s="532" t="s">
        <v>842</v>
      </c>
      <c r="B27" s="532" t="s">
        <v>834</v>
      </c>
      <c r="C27" s="535">
        <v>18.57837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F35" sqref="F3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2" t="s">
        <v>34</v>
      </c>
      <c r="B1" s="553"/>
      <c r="C1" s="554"/>
      <c r="E1" s="5" t="s">
        <v>35</v>
      </c>
      <c r="F1" s="6">
        <f ca="1">SUM($B$7,$B$19,$B$26,$B$31,$B$38)</f>
        <v>1688600.92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46156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0.82559561516504409</v>
      </c>
      <c r="N2" s="21" t="s">
        <v>42</v>
      </c>
      <c r="O2" s="22">
        <f>B12-O1</f>
        <v>-9575</v>
      </c>
      <c r="P2" s="11"/>
      <c r="Q2" s="23" t="s">
        <v>43</v>
      </c>
      <c r="R2" s="23">
        <f ca="1">E20*(1+$Q$1)</f>
        <v>1730267.6899999997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46156</v>
      </c>
      <c r="E3" s="21" t="s">
        <v>45</v>
      </c>
      <c r="F3" s="22">
        <f ca="1">F1-F2</f>
        <v>1504580.5999999999</v>
      </c>
      <c r="H3" s="17"/>
      <c r="J3" s="18" t="s">
        <v>46</v>
      </c>
      <c r="K3" s="19">
        <v>0.25</v>
      </c>
      <c r="L3" s="20">
        <f>K6/(K5+K6)</f>
        <v>0.17440438483495588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1989807.8434999995</v>
      </c>
    </row>
    <row r="4" spans="1:18" ht="14.4" x14ac:dyDescent="0.3">
      <c r="A4" s="13" t="s">
        <v>49</v>
      </c>
      <c r="B4" s="14">
        <v>0</v>
      </c>
      <c r="C4" s="15">
        <f t="shared" ca="1" si="0"/>
        <v>46156</v>
      </c>
      <c r="F4" s="7"/>
      <c r="H4" s="17"/>
      <c r="J4" s="24"/>
      <c r="K4" s="25"/>
      <c r="L4" s="26"/>
      <c r="N4" s="27" t="s">
        <v>50</v>
      </c>
      <c r="O4" s="28">
        <f>B10-O3</f>
        <v>21717.099999999991</v>
      </c>
      <c r="P4" s="11"/>
      <c r="Q4" s="23" t="s">
        <v>51</v>
      </c>
      <c r="R4" s="23">
        <f t="shared" ca="1" si="1"/>
        <v>2288279.020024999</v>
      </c>
    </row>
    <row r="5" spans="1:18" ht="14.4" x14ac:dyDescent="0.3">
      <c r="A5" s="13" t="s">
        <v>52</v>
      </c>
      <c r="B5" s="14">
        <f ca="1">'Checking Transaction Log'!G1</f>
        <v>6342.9299999999848</v>
      </c>
      <c r="C5" s="15">
        <f t="shared" ca="1" si="0"/>
        <v>46156</v>
      </c>
      <c r="E5" s="555" t="s">
        <v>53</v>
      </c>
      <c r="F5" s="553"/>
      <c r="G5" s="554"/>
      <c r="H5" s="17"/>
      <c r="J5" s="29" t="s">
        <v>54</v>
      </c>
      <c r="K5" s="30">
        <f>B10</f>
        <v>89587.18</v>
      </c>
      <c r="L5" s="20">
        <f ca="1">K5/F3</f>
        <v>5.9542958349988032E-2</v>
      </c>
      <c r="N5" s="5" t="s">
        <v>55</v>
      </c>
      <c r="O5" s="6"/>
      <c r="P5" s="11"/>
      <c r="Q5" s="23" t="s">
        <v>56</v>
      </c>
      <c r="R5" s="23">
        <f t="shared" ca="1" si="1"/>
        <v>2631520.8730287487</v>
      </c>
    </row>
    <row r="6" spans="1:18" ht="14.4" x14ac:dyDescent="0.3">
      <c r="A6" s="13" t="s">
        <v>57</v>
      </c>
      <c r="B6" s="14">
        <f>'Savings Transaction Log'!A3</f>
        <v>20346.010000000002</v>
      </c>
      <c r="C6" s="15">
        <f t="shared" ca="1" si="0"/>
        <v>46156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18925</v>
      </c>
      <c r="L6" s="20">
        <f ca="1">K6/F3</f>
        <v>1.2578256026961934E-2</v>
      </c>
      <c r="N6" s="21" t="s">
        <v>60</v>
      </c>
      <c r="O6" s="22"/>
      <c r="P6" s="11"/>
      <c r="Q6" s="23" t="s">
        <v>61</v>
      </c>
      <c r="R6" s="23">
        <f t="shared" ca="1" si="1"/>
        <v>3026249.0039830608</v>
      </c>
    </row>
    <row r="7" spans="1:18" ht="14.4" x14ac:dyDescent="0.3">
      <c r="A7" s="21" t="s">
        <v>62</v>
      </c>
      <c r="B7" s="33">
        <f ca="1">SUM(B2:B6)</f>
        <v>26788.939999999988</v>
      </c>
      <c r="C7" s="34">
        <f ca="1">B7/F3</f>
        <v>1.7804921849982641E-2</v>
      </c>
      <c r="E7" s="540" t="s">
        <v>851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10346.010000000002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3480186.3545805197</v>
      </c>
    </row>
    <row r="8" spans="1:18" ht="14.4" x14ac:dyDescent="0.3">
      <c r="B8" s="7"/>
      <c r="C8" s="37"/>
      <c r="E8" s="31" t="s">
        <v>857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118858.19</v>
      </c>
      <c r="L8" s="20">
        <f ca="1">K8/F3</f>
        <v>7.8997555863740382E-2</v>
      </c>
      <c r="N8" s="21" t="s">
        <v>69</v>
      </c>
      <c r="O8" s="22">
        <f t="shared" si="2"/>
        <v>12142.099999999991</v>
      </c>
      <c r="P8" s="11"/>
      <c r="Q8" s="23" t="s">
        <v>70</v>
      </c>
      <c r="R8" s="23">
        <f t="shared" ca="1" si="1"/>
        <v>4002214.3077675975</v>
      </c>
    </row>
    <row r="9" spans="1:18" ht="14.4" x14ac:dyDescent="0.3">
      <c r="A9" s="552" t="s">
        <v>71</v>
      </c>
      <c r="B9" s="553"/>
      <c r="C9" s="554"/>
      <c r="E9" s="539" t="s">
        <v>856</v>
      </c>
      <c r="F9" s="537">
        <v>9840</v>
      </c>
      <c r="G9" s="538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4602546.453932737</v>
      </c>
    </row>
    <row r="10" spans="1:18" ht="14.4" x14ac:dyDescent="0.3">
      <c r="A10" s="31" t="s">
        <v>74</v>
      </c>
      <c r="B10" s="14">
        <v>89587.18</v>
      </c>
      <c r="C10" s="15">
        <v>46144</v>
      </c>
      <c r="D10" s="17"/>
      <c r="E10" s="539" t="s">
        <v>852</v>
      </c>
      <c r="F10" s="537">
        <v>11965.33</v>
      </c>
      <c r="G10" s="538">
        <v>46149</v>
      </c>
      <c r="H10" s="17"/>
      <c r="I10" s="7"/>
      <c r="J10" s="18" t="s">
        <v>54</v>
      </c>
      <c r="K10" s="30">
        <f>(K8*K2)-K5</f>
        <v>-443.53749999999127</v>
      </c>
      <c r="L10" s="40">
        <f t="shared" ref="L10:L11" si="3">K10+K5</f>
        <v>89143.642500000002</v>
      </c>
      <c r="P10" s="11"/>
      <c r="Q10" s="23" t="s">
        <v>75</v>
      </c>
      <c r="R10" s="23">
        <f t="shared" ca="1" si="1"/>
        <v>5292928.4220226472</v>
      </c>
    </row>
    <row r="11" spans="1:18" ht="14.4" x14ac:dyDescent="0.3">
      <c r="A11" s="31" t="s">
        <v>76</v>
      </c>
      <c r="B11" s="14">
        <v>12181.44</v>
      </c>
      <c r="C11" s="15">
        <v>46144</v>
      </c>
      <c r="D11" s="17"/>
      <c r="E11" s="539" t="s">
        <v>853</v>
      </c>
      <c r="F11" s="537">
        <v>1040.6300000000001</v>
      </c>
      <c r="G11" s="538">
        <v>46155</v>
      </c>
      <c r="H11" s="17"/>
      <c r="I11" s="7"/>
      <c r="J11" s="43" t="s">
        <v>78</v>
      </c>
      <c r="K11" s="44">
        <f>(K8*K3)-K6</f>
        <v>10789.547500000001</v>
      </c>
      <c r="L11" s="45">
        <f t="shared" si="3"/>
        <v>29714.547500000001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6086867.6853260435</v>
      </c>
    </row>
    <row r="12" spans="1:18" ht="14.4" x14ac:dyDescent="0.3">
      <c r="A12" s="47" t="s">
        <v>81</v>
      </c>
      <c r="B12" s="48">
        <v>18925</v>
      </c>
      <c r="C12" s="15">
        <v>46144</v>
      </c>
      <c r="D12" s="17"/>
      <c r="E12" s="536" t="s">
        <v>854</v>
      </c>
      <c r="F12" s="537">
        <v>3944.13</v>
      </c>
      <c r="G12" s="538">
        <v>46155</v>
      </c>
      <c r="I12" s="7"/>
      <c r="J12" s="49"/>
      <c r="K12" s="25"/>
      <c r="L12" s="50">
        <f ca="1">L11/F3</f>
        <v>1.9749388965935095E-2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36" t="s">
        <v>855</v>
      </c>
      <c r="F13" s="537">
        <v>815.04</v>
      </c>
      <c r="G13" s="538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101768.62</v>
      </c>
      <c r="L15" s="59">
        <f ca="1">K15/F3</f>
        <v>6.7639194603466249E-2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135301.12</v>
      </c>
      <c r="I16" s="7"/>
      <c r="J16" s="18" t="s">
        <v>46</v>
      </c>
      <c r="K16" s="63">
        <f>B12</f>
        <v>18925</v>
      </c>
      <c r="L16" s="20">
        <f ca="1">K16/F3</f>
        <v>1.2578256026961934E-2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1454610.19</v>
      </c>
      <c r="P18" s="11"/>
    </row>
    <row r="19" spans="1:17" ht="14.4" x14ac:dyDescent="0.3">
      <c r="A19" s="68" t="s">
        <v>92</v>
      </c>
      <c r="B19" s="33">
        <f>SUM(B10:B18)</f>
        <v>120693.62</v>
      </c>
      <c r="C19" s="34">
        <f ca="1">B19/F3</f>
        <v>8.0217450630428178E-2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275255.95499999996</v>
      </c>
      <c r="P19" s="73">
        <f t="shared" ref="P19:P32" si="4">O19/$O$18</f>
        <v>0.18923004726097786</v>
      </c>
      <c r="Q19" s="74" t="s">
        <v>97</v>
      </c>
    </row>
    <row r="20" spans="1:17" ht="14.4" x14ac:dyDescent="0.3">
      <c r="B20" s="7"/>
      <c r="C20" s="37"/>
      <c r="E20" s="56">
        <f ca="1">F3</f>
        <v>1504580.5999999999</v>
      </c>
      <c r="F20" s="44">
        <f ca="1">E20-E22</f>
        <v>89578.169999999925</v>
      </c>
      <c r="G20" s="34">
        <f ca="1">(E20-E22)/E22</f>
        <v>6.3306018492137808E-2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256303.22499999998</v>
      </c>
      <c r="P20" s="78">
        <f t="shared" si="4"/>
        <v>0.17620062526854702</v>
      </c>
      <c r="Q20" s="79" t="s">
        <v>101</v>
      </c>
    </row>
    <row r="21" spans="1:17" ht="15.75" customHeight="1" x14ac:dyDescent="0.3">
      <c r="A21" s="552" t="s">
        <v>102</v>
      </c>
      <c r="B21" s="553"/>
      <c r="C21" s="554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0.24770970000000003</v>
      </c>
      <c r="L21" s="11"/>
      <c r="N21" s="27" t="s">
        <v>104</v>
      </c>
      <c r="O21" s="51">
        <f>($B$10+$B$11)*0.25</f>
        <v>25442.154999999999</v>
      </c>
      <c r="P21" s="82">
        <f t="shared" si="4"/>
        <v>1.7490703127825608E-2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416706.47999999992</v>
      </c>
      <c r="C22" s="15">
        <v>46144</v>
      </c>
      <c r="E22" s="56">
        <v>1415002.43</v>
      </c>
      <c r="F22" s="45">
        <f ca="1">((F20/(C2-E21))*365)+E22</f>
        <v>1660837.2574436087</v>
      </c>
      <c r="G22" s="34">
        <f ca="1">(F22-E22)/E22</f>
        <v>0.17373456202729545</v>
      </c>
      <c r="I22" s="7"/>
      <c r="J22" s="81">
        <v>3000000</v>
      </c>
      <c r="K22" s="50">
        <f ca="1">1-($E$20/J22)</f>
        <v>0.49847313333333343</v>
      </c>
      <c r="L22" s="11"/>
      <c r="N22" s="5" t="s">
        <v>108</v>
      </c>
      <c r="O22" s="72">
        <f>($B$22+$B$23)*0.3</f>
        <v>165153.57299999997</v>
      </c>
      <c r="P22" s="73">
        <f t="shared" si="4"/>
        <v>0.1135380283565867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133805.42999999996</v>
      </c>
      <c r="C23" s="15">
        <f>C22</f>
        <v>46144</v>
      </c>
      <c r="E23" s="7"/>
      <c r="G23" s="65"/>
      <c r="I23" s="7"/>
      <c r="J23" s="81">
        <v>4000000</v>
      </c>
      <c r="K23" s="50">
        <f ca="1">1-($E$20/J23)</f>
        <v>0.62385485000000007</v>
      </c>
      <c r="L23" s="11"/>
      <c r="N23" s="13" t="s">
        <v>111</v>
      </c>
      <c r="O23" s="14">
        <f>($B$24+$B$25)*0.3</f>
        <v>153781.93499999997</v>
      </c>
      <c r="P23" s="78">
        <f t="shared" si="4"/>
        <v>0.1057203751611282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392470.39999999991</v>
      </c>
      <c r="C24" s="15">
        <f>C22</f>
        <v>46144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0.6990838800000001</v>
      </c>
      <c r="L24" s="11"/>
      <c r="N24" s="13" t="s">
        <v>113</v>
      </c>
      <c r="O24" s="14">
        <f t="shared" ref="O24:O25" si="5">($B$10+$B$11)*0.25</f>
        <v>25442.154999999999</v>
      </c>
      <c r="P24" s="78">
        <f t="shared" si="4"/>
        <v>1.7490703127825608E-2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120136.05000000005</v>
      </c>
      <c r="C25" s="15">
        <f>C22</f>
        <v>46144</v>
      </c>
      <c r="E25" s="75" t="s">
        <v>34</v>
      </c>
      <c r="F25" s="76">
        <f ca="1">B7</f>
        <v>26788.939999999988</v>
      </c>
      <c r="G25" s="77">
        <f t="shared" ref="G25:G31" ca="1" si="6">F25/SUM($F$25:$F$31)</f>
        <v>1.7484133597824324E-2</v>
      </c>
      <c r="I25" s="7"/>
      <c r="J25" s="84"/>
      <c r="K25" s="25"/>
      <c r="L25" s="11"/>
      <c r="N25" s="27" t="s">
        <v>116</v>
      </c>
      <c r="O25" s="51">
        <f t="shared" si="5"/>
        <v>25442.154999999999</v>
      </c>
      <c r="P25" s="82">
        <f t="shared" si="4"/>
        <v>1.7490703127825608E-2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1063118.3599999999</v>
      </c>
      <c r="C26" s="34">
        <f ca="1">B26/F3</f>
        <v>0.70658784248580631</v>
      </c>
      <c r="E26" s="80" t="s">
        <v>103</v>
      </c>
      <c r="F26" s="30">
        <f>(B11)</f>
        <v>12181.44</v>
      </c>
      <c r="G26" s="20">
        <f t="shared" ca="1" si="6"/>
        <v>7.9503677403391562E-3</v>
      </c>
      <c r="I26" s="7"/>
      <c r="J26" s="49"/>
      <c r="K26" s="25"/>
      <c r="L26" s="11"/>
      <c r="N26" s="5" t="s">
        <v>119</v>
      </c>
      <c r="O26" s="72">
        <f>($B$22+$B$23)*0.2</f>
        <v>110102.38199999998</v>
      </c>
      <c r="P26" s="73">
        <f t="shared" si="4"/>
        <v>7.5692018904391145E-2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89587.18</v>
      </c>
      <c r="G27" s="20">
        <f t="shared" ca="1" si="6"/>
        <v>5.8470182984930945E-2</v>
      </c>
      <c r="I27" s="7"/>
      <c r="J27" s="49"/>
      <c r="K27" s="25"/>
      <c r="L27" s="11"/>
      <c r="N27" s="13" t="s">
        <v>120</v>
      </c>
      <c r="O27" s="14">
        <f>($B$24+$B$25)*0.2</f>
        <v>102521.29</v>
      </c>
      <c r="P27" s="78">
        <f t="shared" si="4"/>
        <v>7.0480250107418818E-2</v>
      </c>
      <c r="Q27" s="79" t="s">
        <v>101</v>
      </c>
    </row>
    <row r="28" spans="1:17" ht="15.75" customHeight="1" x14ac:dyDescent="0.3">
      <c r="A28" s="552" t="s">
        <v>115</v>
      </c>
      <c r="B28" s="553"/>
      <c r="C28" s="554"/>
      <c r="E28" s="80" t="s">
        <v>110</v>
      </c>
      <c r="F28" s="30">
        <f>B12</f>
        <v>18925</v>
      </c>
      <c r="G28" s="20">
        <f t="shared" ca="1" si="6"/>
        <v>1.2351635724997909E-2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10176.862000000001</v>
      </c>
      <c r="P28" s="78">
        <f t="shared" si="4"/>
        <v>6.9962812511302434E-3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1063118.3599999999</v>
      </c>
      <c r="G29" s="20">
        <f t="shared" ca="1" si="6"/>
        <v>0.69385736936735465</v>
      </c>
      <c r="H29" s="86"/>
      <c r="I29" s="7"/>
      <c r="J29" s="49"/>
      <c r="K29" s="25"/>
      <c r="L29" s="11"/>
      <c r="N29" s="27" t="s">
        <v>123</v>
      </c>
      <c r="O29" s="51">
        <f t="shared" si="7"/>
        <v>10176.862000000001</v>
      </c>
      <c r="P29" s="82">
        <f t="shared" si="4"/>
        <v>6.9962812511302434E-3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t="shared" ca="1" si="6"/>
        <v>0.17673980686401508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0.18616548396378274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0.1799825213750596</v>
      </c>
      <c r="E31" s="85" t="s">
        <v>118</v>
      </c>
      <c r="F31" s="44">
        <f>B38-F8-F7</f>
        <v>50786.600000000006</v>
      </c>
      <c r="G31" s="34">
        <f t="shared" ca="1" si="6"/>
        <v>3.3146503720537852E-2</v>
      </c>
      <c r="I31" s="7"/>
      <c r="J31" s="49"/>
      <c r="K31" s="25"/>
      <c r="L31" s="11"/>
      <c r="N31" s="27" t="s">
        <v>127</v>
      </c>
      <c r="O31" s="51">
        <f>($B$10+$B$11)*0.05</f>
        <v>5088.4310000000005</v>
      </c>
      <c r="P31" s="82">
        <f t="shared" si="4"/>
        <v>3.4981406255651217E-3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18925</v>
      </c>
      <c r="P32" s="88">
        <f t="shared" si="4"/>
        <v>1.3010358465865002E-2</v>
      </c>
      <c r="Q32" s="89" t="s">
        <v>59</v>
      </c>
    </row>
    <row r="33" spans="1:16" ht="15.75" customHeight="1" x14ac:dyDescent="0.3">
      <c r="A33" s="552" t="s">
        <v>118</v>
      </c>
      <c r="B33" s="553"/>
      <c r="C33" s="554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557001.33499999996</v>
      </c>
      <c r="P35" s="59">
        <f t="shared" ref="P35:P39" si="8">O35/$O$18</f>
        <v>0.38292137565735052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369819.81799999997</v>
      </c>
      <c r="P36" s="20">
        <f t="shared" si="8"/>
        <v>0.25423980977336613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232977.39599999995</v>
      </c>
      <c r="P37" s="20">
        <f t="shared" si="8"/>
        <v>0.1601648315140704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3.3754655616322592E-2</v>
      </c>
      <c r="D38" s="86"/>
      <c r="E38" s="39"/>
      <c r="F38" s="11"/>
      <c r="G38" s="39"/>
      <c r="I38" s="7"/>
      <c r="N38" s="13" t="s">
        <v>115</v>
      </c>
      <c r="O38" s="14">
        <f>O30+O31</f>
        <v>275886.64099999995</v>
      </c>
      <c r="P38" s="20">
        <f t="shared" si="8"/>
        <v>0.18966362458934785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18925</v>
      </c>
      <c r="P39" s="91">
        <f t="shared" si="8"/>
        <v>1.3010358465865002E-2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9">SUM(O35:O39)</f>
        <v>1454610.19</v>
      </c>
      <c r="P40" s="95">
        <f t="shared" si="9"/>
        <v>0.99999999999999989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S18" sqref="S18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9" t="s">
        <v>36</v>
      </c>
      <c r="C1" s="558"/>
      <c r="D1" s="560" t="s">
        <v>140</v>
      </c>
      <c r="E1" s="554"/>
      <c r="G1" s="96"/>
      <c r="H1" s="557" t="s">
        <v>36</v>
      </c>
      <c r="I1" s="558"/>
      <c r="J1" s="556" t="s">
        <v>140</v>
      </c>
      <c r="K1" s="554"/>
      <c r="M1" s="96"/>
      <c r="N1" s="557" t="s">
        <v>36</v>
      </c>
      <c r="O1" s="558"/>
      <c r="P1" s="556" t="s">
        <v>140</v>
      </c>
      <c r="Q1" s="554"/>
      <c r="S1" s="96"/>
      <c r="T1" s="557" t="s">
        <v>36</v>
      </c>
      <c r="U1" s="558"/>
      <c r="V1" s="556" t="s">
        <v>140</v>
      </c>
      <c r="W1" s="554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71115.72</v>
      </c>
      <c r="E2" s="20"/>
      <c r="G2" s="98" t="s">
        <v>142</v>
      </c>
      <c r="H2" s="99">
        <f>SUM(H4:H24)</f>
        <v>92820</v>
      </c>
      <c r="I2" s="100">
        <f>H2/B2</f>
        <v>0.4532089314948447</v>
      </c>
      <c r="J2" s="101">
        <f>SUM(J4:J24)</f>
        <v>39280.74</v>
      </c>
      <c r="K2" s="102">
        <f>J2/D2</f>
        <v>0.55234960709109038</v>
      </c>
      <c r="M2" s="98" t="s">
        <v>143</v>
      </c>
      <c r="N2" s="99">
        <f>SUM(N4:N20)</f>
        <v>63180</v>
      </c>
      <c r="O2" s="100">
        <f>N2/B2</f>
        <v>0.30848675168976825</v>
      </c>
      <c r="P2" s="101">
        <f>SUM(P4:P20)</f>
        <v>24591.969999999998</v>
      </c>
      <c r="Q2" s="102">
        <f>P2/D2</f>
        <v>0.34580216582212764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7243.0100000000075</v>
      </c>
      <c r="W2" s="102">
        <f>V2/D2</f>
        <v>0.10184822708678204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35488.33</v>
      </c>
      <c r="E4" s="20">
        <f t="shared" ref="E4:E7" si="1">D4/$D$2</f>
        <v>0.49902229774232759</v>
      </c>
      <c r="G4" s="96" t="str">
        <f>'Proposed Budget'!C14</f>
        <v>Rocket Mortgage</v>
      </c>
      <c r="H4" s="111">
        <f>'Proposed Budget'!F14</f>
        <v>15420</v>
      </c>
      <c r="I4" s="112">
        <f t="shared" ref="I4:I24" si="2">H4/$B$2</f>
        <v>7.5290688684017504E-2</v>
      </c>
      <c r="J4" s="113">
        <f>'Monthly Breakdown'!E14</f>
        <v>6357.7999999999993</v>
      </c>
      <c r="K4" s="114">
        <f t="shared" ref="K4:K24" si="3">J4/$D$2</f>
        <v>8.9400768212710202E-2</v>
      </c>
      <c r="M4" s="96" t="str">
        <f>'Proposed Budget'!C6</f>
        <v>Dining Out</v>
      </c>
      <c r="N4" s="111">
        <f>'Proposed Budget'!F6</f>
        <v>14400</v>
      </c>
      <c r="O4" s="112">
        <f t="shared" ref="O4:O19" si="4">N4/$B$2</f>
        <v>7.0310370755502727E-2</v>
      </c>
      <c r="P4" s="113">
        <f>'Monthly Breakdown'!E6</f>
        <v>4770.4399999999996</v>
      </c>
      <c r="Q4" s="114">
        <f t="shared" ref="Q4:Q19" si="5">P4/$D$2</f>
        <v>6.7079964879776216E-2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6">T4/$B$2</f>
        <v>0.23537471803390783</v>
      </c>
      <c r="V4" s="104">
        <f>'Monthly Breakdown'!E46</f>
        <v>16885.949999999997</v>
      </c>
      <c r="W4" s="102">
        <f t="shared" ref="W4:W7" si="7">V4/$D$2</f>
        <v>0.23744328258224759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28218.28</v>
      </c>
      <c r="E5" s="20">
        <f t="shared" si="1"/>
        <v>0.39679384529890155</v>
      </c>
      <c r="G5" s="98" t="str">
        <f>'Proposed Budget'!C5</f>
        <v>Groceries/Household</v>
      </c>
      <c r="H5" s="99">
        <f>'Proposed Budget'!F5</f>
        <v>14400</v>
      </c>
      <c r="I5" s="100">
        <f t="shared" si="2"/>
        <v>7.0310370755502727E-2</v>
      </c>
      <c r="J5" s="101">
        <f>'Monthly Breakdown'!E5</f>
        <v>5220.51</v>
      </c>
      <c r="K5" s="102">
        <f t="shared" si="3"/>
        <v>7.3408664075959584E-2</v>
      </c>
      <c r="M5" s="98" t="str">
        <f>'Proposed Budget'!C9</f>
        <v>Family Entertainment</v>
      </c>
      <c r="N5" s="99">
        <f>'Proposed Budget'!F9</f>
        <v>8400</v>
      </c>
      <c r="O5" s="100">
        <f t="shared" si="4"/>
        <v>4.1014382940709929E-2</v>
      </c>
      <c r="P5" s="101">
        <f>'Monthly Breakdown'!E9</f>
        <v>3782.82</v>
      </c>
      <c r="Q5" s="102">
        <f t="shared" si="5"/>
        <v>5.3192458713769618E-2</v>
      </c>
      <c r="S5" s="98" t="str">
        <f>'Proposed Budget'!C45</f>
        <v>Kids Savings</v>
      </c>
      <c r="T5" s="103">
        <f>'Proposed Budget'!F45</f>
        <v>600</v>
      </c>
      <c r="U5" s="100">
        <f t="shared" si="6"/>
        <v>2.9295987814792804E-3</v>
      </c>
      <c r="V5" s="104">
        <f>'Monthly Breakdown'!E45</f>
        <v>250</v>
      </c>
      <c r="W5" s="102">
        <f t="shared" si="7"/>
        <v>3.515397158321676E-3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5.918677333225341E-2</v>
      </c>
      <c r="G6" s="98" t="str">
        <f>'Proposed Budget'!C28</f>
        <v>GM Financial/Toyota</v>
      </c>
      <c r="H6" s="99">
        <f>'Proposed Budget'!F28</f>
        <v>14400</v>
      </c>
      <c r="I6" s="100">
        <f t="shared" si="2"/>
        <v>7.0310370755502727E-2</v>
      </c>
      <c r="J6" s="101">
        <f>'Monthly Breakdown'!E28</f>
        <v>4721.3600000000006</v>
      </c>
      <c r="K6" s="102">
        <f t="shared" si="3"/>
        <v>6.6389822109654523E-2</v>
      </c>
      <c r="M6" s="98" t="str">
        <f>'Proposed Budget'!C12</f>
        <v>Alcohol/Bars</v>
      </c>
      <c r="N6" s="99">
        <f>'Proposed Budget'!F12</f>
        <v>8400</v>
      </c>
      <c r="O6" s="100">
        <f t="shared" si="4"/>
        <v>4.1014382940709929E-2</v>
      </c>
      <c r="P6" s="101">
        <f>'Monthly Breakdown'!E12</f>
        <v>3116.29</v>
      </c>
      <c r="Q6" s="102">
        <f t="shared" si="5"/>
        <v>4.3819988042025027E-2</v>
      </c>
      <c r="S6" s="98" t="s">
        <v>148</v>
      </c>
      <c r="T6" s="103"/>
      <c r="U6" s="100"/>
      <c r="V6" s="104">
        <f>'Budget Breakdown'!T16</f>
        <v>-1519.3499999999913</v>
      </c>
      <c r="W6" s="102">
        <f t="shared" si="7"/>
        <v>-2.1364474689984033E-2</v>
      </c>
    </row>
    <row r="7" spans="1:23" ht="14.4" x14ac:dyDescent="0.3">
      <c r="A7" s="21" t="s">
        <v>149</v>
      </c>
      <c r="B7" s="33">
        <f>'Proposed Budget'!J22</f>
        <v>9600</v>
      </c>
      <c r="C7" s="115">
        <f t="shared" si="0"/>
        <v>4.6873580503668487E-2</v>
      </c>
      <c r="D7" s="44">
        <f>'Monthly Breakdown'!E52</f>
        <v>3200</v>
      </c>
      <c r="E7" s="34">
        <f t="shared" si="1"/>
        <v>4.4997083626517456E-2</v>
      </c>
      <c r="G7" s="98" t="str">
        <f>'Proposed Budget'!C10</f>
        <v>Miscellaneous Spending</v>
      </c>
      <c r="H7" s="99">
        <f>'Proposed Budget'!F10</f>
        <v>10800</v>
      </c>
      <c r="I7" s="100">
        <f t="shared" si="2"/>
        <v>5.2732778066627045E-2</v>
      </c>
      <c r="J7" s="101">
        <f>'Monthly Breakdown'!E10</f>
        <v>3323.6100000000006</v>
      </c>
      <c r="K7" s="102">
        <f t="shared" si="3"/>
        <v>4.6735236597478032E-2</v>
      </c>
      <c r="M7" s="98" t="str">
        <f>'Proposed Budget'!C38</f>
        <v>Camping/Vacation</v>
      </c>
      <c r="N7" s="99">
        <f>'Proposed Budget'!F38</f>
        <v>4800</v>
      </c>
      <c r="O7" s="100">
        <f t="shared" si="4"/>
        <v>2.3436790251834243E-2</v>
      </c>
      <c r="P7" s="101">
        <f>'Savings Transaction Log'!R5</f>
        <v>3824.78</v>
      </c>
      <c r="Q7" s="102">
        <f t="shared" si="5"/>
        <v>5.3782482972822329E-2</v>
      </c>
      <c r="S7" s="116" t="s">
        <v>150</v>
      </c>
      <c r="T7" s="117"/>
      <c r="U7" s="118"/>
      <c r="V7" s="119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-8373.5899999999983</v>
      </c>
      <c r="W7" s="120">
        <f t="shared" si="7"/>
        <v>-0.11774597796380319</v>
      </c>
    </row>
    <row r="8" spans="1:23" ht="14.4" x14ac:dyDescent="0.3">
      <c r="B8" s="7"/>
      <c r="C8" s="121"/>
      <c r="D8" s="39"/>
      <c r="E8" s="50"/>
      <c r="G8" s="98" t="str">
        <f>'Proposed Budget'!C8</f>
        <v>Gasoline</v>
      </c>
      <c r="H8" s="99">
        <f>'Proposed Budget'!F8</f>
        <v>7200</v>
      </c>
      <c r="I8" s="100">
        <f t="shared" si="2"/>
        <v>3.5155185377751363E-2</v>
      </c>
      <c r="J8" s="101">
        <f>'Monthly Breakdown'!E8</f>
        <v>2723.3599999999997</v>
      </c>
      <c r="K8" s="102">
        <f t="shared" si="3"/>
        <v>3.8294768020347675E-2</v>
      </c>
      <c r="M8" s="98" t="str">
        <f>'Proposed Budget'!C11</f>
        <v>Department Stores/Clothes</v>
      </c>
      <c r="N8" s="99">
        <f>'Proposed Budget'!F11</f>
        <v>4200</v>
      </c>
      <c r="O8" s="100">
        <f t="shared" si="4"/>
        <v>2.0507191470354964E-2</v>
      </c>
      <c r="P8" s="101">
        <f>'Monthly Breakdown'!E11</f>
        <v>2024.2800000000002</v>
      </c>
      <c r="Q8" s="102">
        <f t="shared" si="5"/>
        <v>2.8464592638589612E-2</v>
      </c>
      <c r="T8" s="7"/>
      <c r="U8" s="11"/>
      <c r="V8" s="7"/>
      <c r="W8" s="50"/>
    </row>
    <row r="9" spans="1:23" ht="14.4" x14ac:dyDescent="0.3">
      <c r="D9" s="39"/>
      <c r="E9" s="50"/>
      <c r="G9" s="98" t="str">
        <f>'Proposed Budget'!C23</f>
        <v>Lowes Rewards</v>
      </c>
      <c r="H9" s="99">
        <f>'Proposed Budget'!F23</f>
        <v>4800</v>
      </c>
      <c r="I9" s="100">
        <f t="shared" si="2"/>
        <v>2.3436790251834243E-2</v>
      </c>
      <c r="J9" s="101">
        <f>'Monthly Breakdown'!E23</f>
        <v>2000</v>
      </c>
      <c r="K9" s="102">
        <f t="shared" si="3"/>
        <v>2.8123177266573408E-2</v>
      </c>
      <c r="M9" s="98" t="str">
        <f>'Proposed Budget'!C16</f>
        <v>Verizon Wireless</v>
      </c>
      <c r="N9" s="99">
        <f>'Proposed Budget'!F16</f>
        <v>3240</v>
      </c>
      <c r="O9" s="100">
        <f t="shared" si="4"/>
        <v>1.5819833419988116E-2</v>
      </c>
      <c r="P9" s="101">
        <f>'Monthly Breakdown'!E16</f>
        <v>1284.69</v>
      </c>
      <c r="Q9" s="102">
        <f t="shared" si="5"/>
        <v>1.8064782301297096E-2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98" t="str">
        <f>'Proposed Budget'!C39</f>
        <v>Home Maintenance</v>
      </c>
      <c r="H10" s="99">
        <f>'Proposed Budget'!F39</f>
        <v>4500</v>
      </c>
      <c r="I10" s="100">
        <f t="shared" si="2"/>
        <v>2.1971990861094602E-2</v>
      </c>
      <c r="J10" s="101">
        <f>'Savings Transaction Log'!T5</f>
        <v>9617.66</v>
      </c>
      <c r="K10" s="102">
        <f t="shared" si="3"/>
        <v>0.13523957853481622</v>
      </c>
      <c r="M10" s="98" t="str">
        <f>'Proposed Budget'!C17</f>
        <v>Spectrum TV/Internet</v>
      </c>
      <c r="N10" s="99">
        <f>'Proposed Budget'!F17</f>
        <v>2460</v>
      </c>
      <c r="O10" s="100">
        <f t="shared" si="4"/>
        <v>1.201135500406505E-2</v>
      </c>
      <c r="P10" s="101">
        <f>'Monthly Breakdown'!E17</f>
        <v>828.51</v>
      </c>
      <c r="Q10" s="102">
        <f t="shared" si="5"/>
        <v>1.1650166798564367E-2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98" t="str">
        <f>'Proposed Budget'!C33</f>
        <v>Vehicle Maintenance</v>
      </c>
      <c r="H11" s="99">
        <f>'Proposed Budget'!F33</f>
        <v>4200</v>
      </c>
      <c r="I11" s="100">
        <f t="shared" si="2"/>
        <v>2.0507191470354964E-2</v>
      </c>
      <c r="J11" s="101">
        <f>'Savings Transaction Log'!H5</f>
        <v>529.04999999999995</v>
      </c>
      <c r="K11" s="102">
        <f t="shared" si="3"/>
        <v>7.4392834664403305E-3</v>
      </c>
      <c r="M11" s="98" t="str">
        <f>'Proposed Budget'!C24</f>
        <v>Wells Fargo - Pool</v>
      </c>
      <c r="N11" s="99">
        <f>'Proposed Budget'!F24</f>
        <v>2400</v>
      </c>
      <c r="O11" s="100">
        <f t="shared" si="4"/>
        <v>1.1718395125917122E-2</v>
      </c>
      <c r="P11" s="101">
        <f>'Monthly Breakdown'!E24</f>
        <v>1000</v>
      </c>
      <c r="Q11" s="102">
        <f t="shared" si="5"/>
        <v>1.4061588633286704E-2</v>
      </c>
      <c r="T11" s="7"/>
      <c r="U11" s="11"/>
      <c r="V11" s="7"/>
      <c r="W11" s="50"/>
    </row>
    <row r="12" spans="1:23" ht="14.4" x14ac:dyDescent="0.3">
      <c r="D12" s="39"/>
      <c r="E12" s="50"/>
      <c r="G12" s="98" t="str">
        <f>'Proposed Budget'!C34</f>
        <v>Car Insurance</v>
      </c>
      <c r="H12" s="99">
        <f>'Proposed Budget'!F34</f>
        <v>3840</v>
      </c>
      <c r="I12" s="100">
        <f t="shared" si="2"/>
        <v>1.8749432201467395E-2</v>
      </c>
      <c r="J12" s="101">
        <f>'Savings Transaction Log'!J5</f>
        <v>0</v>
      </c>
      <c r="K12" s="102">
        <f t="shared" si="3"/>
        <v>0</v>
      </c>
      <c r="M12" s="98" t="str">
        <f>'Proposed Budget'!C7</f>
        <v>Misc Food</v>
      </c>
      <c r="N12" s="99">
        <f>'Proposed Budget'!F7</f>
        <v>1800</v>
      </c>
      <c r="O12" s="100">
        <f t="shared" si="4"/>
        <v>8.7887963444378409E-3</v>
      </c>
      <c r="P12" s="101">
        <f>'Monthly Breakdown'!E7</f>
        <v>588.16999999999996</v>
      </c>
      <c r="Q12" s="102">
        <f t="shared" si="5"/>
        <v>8.270604586440241E-3</v>
      </c>
      <c r="T12" s="7"/>
      <c r="U12" s="11"/>
      <c r="V12" s="7"/>
      <c r="W12" s="50"/>
    </row>
    <row r="13" spans="1:23" ht="14.4" x14ac:dyDescent="0.3">
      <c r="A13" s="122"/>
      <c r="D13" s="39"/>
      <c r="E13" s="50"/>
      <c r="G13" s="98" t="str">
        <f>'Proposed Budget'!C18</f>
        <v>First Energy</v>
      </c>
      <c r="H13" s="99">
        <f>'Proposed Budget'!F18</f>
        <v>2160</v>
      </c>
      <c r="I13" s="100">
        <f t="shared" si="2"/>
        <v>1.0546555613325409E-2</v>
      </c>
      <c r="J13" s="101">
        <f>'Monthly Breakdown'!E18</f>
        <v>688.86000000000013</v>
      </c>
      <c r="K13" s="102">
        <f t="shared" si="3"/>
        <v>9.686465945925881E-3</v>
      </c>
      <c r="M13" s="98" t="str">
        <f>'Proposed Budget'!C19</f>
        <v>Vivint Home Security</v>
      </c>
      <c r="N13" s="99">
        <f>'Proposed Budget'!F19</f>
        <v>1680</v>
      </c>
      <c r="O13" s="100">
        <f t="shared" si="4"/>
        <v>8.2028765881419843E-3</v>
      </c>
      <c r="P13" s="101">
        <f>'Monthly Breakdown'!E19</f>
        <v>680.06999999999994</v>
      </c>
      <c r="Q13" s="102">
        <f t="shared" si="5"/>
        <v>9.5628645818392893E-3</v>
      </c>
      <c r="T13" s="7"/>
      <c r="U13" s="11"/>
      <c r="V13" s="7"/>
      <c r="W13" s="50"/>
    </row>
    <row r="14" spans="1:23" ht="14.4" x14ac:dyDescent="0.3">
      <c r="D14" s="39"/>
      <c r="E14" s="50"/>
      <c r="G14" s="98" t="str">
        <f>'Proposed Budget'!C29</f>
        <v>Ohio Turnpike</v>
      </c>
      <c r="H14" s="99">
        <f>'Proposed Budget'!F29</f>
        <v>1440</v>
      </c>
      <c r="I14" s="100">
        <f t="shared" si="2"/>
        <v>7.031037075550273E-3</v>
      </c>
      <c r="J14" s="101">
        <f>'Monthly Breakdown'!E29</f>
        <v>443.73999999999995</v>
      </c>
      <c r="K14" s="102">
        <f t="shared" si="3"/>
        <v>6.2396893401346415E-3</v>
      </c>
      <c r="M14" s="98" t="str">
        <f>'Proposed Budget'!C27</f>
        <v>Streaming/Music</v>
      </c>
      <c r="N14" s="99">
        <f>'Proposed Budget'!F27</f>
        <v>1200</v>
      </c>
      <c r="O14" s="100">
        <f t="shared" si="4"/>
        <v>5.8591975629585609E-3</v>
      </c>
      <c r="P14" s="101">
        <f>'Monthly Breakdown'!E27</f>
        <v>496.02</v>
      </c>
      <c r="Q14" s="102">
        <f t="shared" si="5"/>
        <v>6.9748291938828708E-3</v>
      </c>
      <c r="T14" s="7"/>
      <c r="U14" s="11"/>
      <c r="V14" s="7"/>
      <c r="W14" s="50"/>
    </row>
    <row r="15" spans="1:23" ht="14.4" x14ac:dyDescent="0.3">
      <c r="D15" s="39"/>
      <c r="E15" s="50"/>
      <c r="G15" s="98" t="str">
        <f>'Proposed Budget'!C20</f>
        <v>Columbia Gas</v>
      </c>
      <c r="H15" s="99">
        <f>'Proposed Budget'!F20</f>
        <v>1200</v>
      </c>
      <c r="I15" s="100">
        <f t="shared" si="2"/>
        <v>5.8591975629585609E-3</v>
      </c>
      <c r="J15" s="101">
        <f>'Monthly Breakdown'!E20</f>
        <v>626.88</v>
      </c>
      <c r="K15" s="102">
        <f t="shared" si="3"/>
        <v>8.8149286824347698E-3</v>
      </c>
      <c r="M15" s="98" t="str">
        <f>'Proposed Budget'!C26</f>
        <v>Massage Envy</v>
      </c>
      <c r="N15" s="99">
        <f>'Proposed Budget'!F26</f>
        <v>1020</v>
      </c>
      <c r="O15" s="100">
        <f t="shared" si="4"/>
        <v>4.9803179285147769E-3</v>
      </c>
      <c r="P15" s="101">
        <f>'Monthly Breakdown'!E26</f>
        <v>401.05999999999995</v>
      </c>
      <c r="Q15" s="102">
        <f t="shared" si="5"/>
        <v>5.6395407372659655E-3</v>
      </c>
      <c r="T15" s="7"/>
      <c r="U15" s="11"/>
      <c r="V15" s="7"/>
      <c r="W15" s="50"/>
    </row>
    <row r="16" spans="1:23" ht="14.4" x14ac:dyDescent="0.3">
      <c r="D16" s="39"/>
      <c r="E16" s="50"/>
      <c r="G16" s="98" t="str">
        <f>'Proposed Budget'!C30</f>
        <v>Water Bill - Main</v>
      </c>
      <c r="H16" s="99">
        <f>'Proposed Budget'!F30</f>
        <v>900</v>
      </c>
      <c r="I16" s="100">
        <f t="shared" si="2"/>
        <v>4.3943981722189204E-3</v>
      </c>
      <c r="J16" s="101">
        <f>'Monthly Breakdown'!E30</f>
        <v>353.85</v>
      </c>
      <c r="K16" s="102">
        <f t="shared" si="3"/>
        <v>4.9756931378885007E-3</v>
      </c>
      <c r="M16" s="98" t="str">
        <f>'Proposed Budget'!C22</f>
        <v>Planet Fitness</v>
      </c>
      <c r="N16" s="99">
        <f>'Proposed Budget'!F22</f>
        <v>1740</v>
      </c>
      <c r="O16" s="100">
        <f t="shared" si="4"/>
        <v>8.4958364662899126E-3</v>
      </c>
      <c r="P16" s="101">
        <f>'Monthly Breakdown'!E22</f>
        <v>888.18000000000006</v>
      </c>
      <c r="Q16" s="102">
        <f t="shared" si="5"/>
        <v>1.2489221792312587E-2</v>
      </c>
      <c r="T16" s="7"/>
      <c r="U16" s="11"/>
      <c r="V16" s="7"/>
      <c r="W16" s="50"/>
    </row>
    <row r="17" spans="7:17" ht="14.4" x14ac:dyDescent="0.3">
      <c r="G17" s="98" t="str">
        <f>'Proposed Budget'!C37</f>
        <v>Sanitation - Main</v>
      </c>
      <c r="H17" s="99">
        <f>'Proposed Budget'!F37</f>
        <v>540</v>
      </c>
      <c r="I17" s="100">
        <f t="shared" si="2"/>
        <v>2.6366389033313522E-3</v>
      </c>
      <c r="J17" s="101">
        <f>'Savings Transaction Log'!P5</f>
        <v>185.64</v>
      </c>
      <c r="K17" s="102">
        <f t="shared" si="3"/>
        <v>2.6103933138833437E-3</v>
      </c>
      <c r="M17" s="98" t="str">
        <f>'Proposed Budget'!C15</f>
        <v>EH Roberts</v>
      </c>
      <c r="N17" s="99">
        <f>'Proposed Budget'!F15</f>
        <v>240</v>
      </c>
      <c r="O17" s="100">
        <f t="shared" si="4"/>
        <v>1.1718395125917122E-3</v>
      </c>
      <c r="P17" s="101">
        <f>'Monthly Breakdown'!E15</f>
        <v>71.599999999999994</v>
      </c>
      <c r="Q17" s="102">
        <f t="shared" si="5"/>
        <v>1.0068097461433279E-3</v>
      </c>
    </row>
    <row r="18" spans="7:17" ht="14.4" x14ac:dyDescent="0.3">
      <c r="G18" s="116" t="str">
        <f>'Proposed Budget'!C36</f>
        <v>Garbage</v>
      </c>
      <c r="H18" s="123">
        <f>'Proposed Budget'!F36</f>
        <v>300</v>
      </c>
      <c r="I18" s="118">
        <f t="shared" si="2"/>
        <v>1.4647993907396402E-3</v>
      </c>
      <c r="J18" s="124">
        <f>'Savings Transaction Log'!N5</f>
        <v>126.96000000000001</v>
      </c>
      <c r="K18" s="120">
        <f t="shared" si="3"/>
        <v>1.7852592928820801E-3</v>
      </c>
      <c r="M18" s="98" t="str">
        <f>'Proposed Budget'!C21</f>
        <v>Medical Bills</v>
      </c>
      <c r="N18" s="99">
        <f>'Proposed Budget'!F21</f>
        <v>0</v>
      </c>
      <c r="O18" s="100">
        <f t="shared" si="4"/>
        <v>0</v>
      </c>
      <c r="P18" s="101">
        <f>'Monthly Breakdown'!E21</f>
        <v>835.06</v>
      </c>
      <c r="Q18" s="102">
        <f t="shared" si="5"/>
        <v>1.1742270204112394E-2</v>
      </c>
    </row>
    <row r="19" spans="7:17" ht="14.4" x14ac:dyDescent="0.3">
      <c r="G19" s="125" t="str">
        <f>'Proposed Budget'!C42</f>
        <v>Rental Property Taxes</v>
      </c>
      <c r="H19" s="126">
        <f>'Proposed Budget'!F42</f>
        <v>2760</v>
      </c>
      <c r="I19" s="127">
        <f t="shared" si="2"/>
        <v>1.347615439480469E-2</v>
      </c>
      <c r="J19" s="128">
        <f>'Savings Transaction Log'!Z5</f>
        <v>1276.4000000000001</v>
      </c>
      <c r="K19" s="129">
        <f t="shared" si="3"/>
        <v>1.794821173152715E-2</v>
      </c>
      <c r="M19" s="116" t="str">
        <f>'Proposed Budget'!C25</f>
        <v>Wells Fargo - Deck</v>
      </c>
      <c r="N19" s="123">
        <f>'Proposed Budget'!F25</f>
        <v>7200</v>
      </c>
      <c r="O19" s="118">
        <f t="shared" si="4"/>
        <v>3.5155185377751363E-2</v>
      </c>
      <c r="P19" s="124">
        <f>'Monthly Breakdown'!E25</f>
        <v>0</v>
      </c>
      <c r="Q19" s="120">
        <f t="shared" si="5"/>
        <v>0</v>
      </c>
    </row>
    <row r="20" spans="7:17" ht="14.4" x14ac:dyDescent="0.3">
      <c r="G20" s="98" t="str">
        <f>'Proposed Budget'!C40</f>
        <v>Rental Repairs</v>
      </c>
      <c r="H20" s="99">
        <f>'Proposed Budget'!F40</f>
        <v>1200</v>
      </c>
      <c r="I20" s="100">
        <f t="shared" si="2"/>
        <v>5.8591975629585609E-3</v>
      </c>
      <c r="J20" s="101">
        <f>'Savings Transaction Log'!V5</f>
        <v>0</v>
      </c>
      <c r="K20" s="102">
        <f t="shared" si="3"/>
        <v>0</v>
      </c>
      <c r="N20" s="11"/>
      <c r="O20" s="11"/>
      <c r="P20" s="11"/>
      <c r="Q20" s="11"/>
    </row>
    <row r="21" spans="7:17" ht="15.75" customHeight="1" x14ac:dyDescent="0.3">
      <c r="G21" s="98" t="str">
        <f>'Proposed Budget'!C41</f>
        <v>Rental Insurance</v>
      </c>
      <c r="H21" s="99">
        <f>'Proposed Budget'!F41</f>
        <v>1020</v>
      </c>
      <c r="I21" s="100">
        <f t="shared" si="2"/>
        <v>4.9803179285147769E-3</v>
      </c>
      <c r="J21" s="101">
        <f>'Savings Transaction Log'!X5</f>
        <v>500.5</v>
      </c>
      <c r="K21" s="102">
        <f t="shared" si="3"/>
        <v>7.0378251109599957E-3</v>
      </c>
      <c r="N21" s="39"/>
      <c r="O21" s="50"/>
      <c r="P21" s="39"/>
      <c r="Q21" s="50"/>
    </row>
    <row r="22" spans="7:17" ht="15.75" customHeight="1" x14ac:dyDescent="0.3">
      <c r="G22" s="98" t="str">
        <f>'Proposed Budget'!C31</f>
        <v>Water Bill - Rental</v>
      </c>
      <c r="H22" s="99">
        <f>'Proposed Budget'!F31</f>
        <v>900</v>
      </c>
      <c r="I22" s="100">
        <f t="shared" si="2"/>
        <v>4.3943981722189204E-3</v>
      </c>
      <c r="J22" s="101">
        <f>'Monthly Breakdown'!E31</f>
        <v>271.96000000000004</v>
      </c>
      <c r="K22" s="102">
        <f t="shared" si="3"/>
        <v>3.8241896447086528E-3</v>
      </c>
      <c r="N22" s="39"/>
      <c r="O22" s="50"/>
      <c r="P22" s="39"/>
      <c r="Q22" s="50"/>
    </row>
    <row r="23" spans="7:17" ht="15.75" customHeight="1" x14ac:dyDescent="0.3">
      <c r="G23" s="98" t="str">
        <f>'Proposed Budget'!C43</f>
        <v>Rental Sanitation</v>
      </c>
      <c r="H23" s="99">
        <f>'Proposed Budget'!F43</f>
        <v>540</v>
      </c>
      <c r="I23" s="100">
        <f t="shared" si="2"/>
        <v>2.6366389033313522E-3</v>
      </c>
      <c r="J23" s="101">
        <f>'Savings Transaction Log'!AB5</f>
        <v>185.64</v>
      </c>
      <c r="K23" s="102">
        <f t="shared" si="3"/>
        <v>2.6103933138833437E-3</v>
      </c>
      <c r="N23" s="39"/>
      <c r="O23" s="11"/>
      <c r="P23" s="39"/>
      <c r="Q23" s="50"/>
    </row>
    <row r="24" spans="7:17" ht="15.75" customHeight="1" x14ac:dyDescent="0.3">
      <c r="G24" s="116" t="str">
        <f>'Proposed Budget'!C35</f>
        <v>Rental Garbage</v>
      </c>
      <c r="H24" s="123">
        <f>'Proposed Budget'!F35</f>
        <v>300</v>
      </c>
      <c r="I24" s="118">
        <f t="shared" si="2"/>
        <v>1.4647993907396402E-3</v>
      </c>
      <c r="J24" s="124">
        <f>'Savings Transaction Log'!L5</f>
        <v>126.96000000000001</v>
      </c>
      <c r="K24" s="120">
        <f t="shared" si="3"/>
        <v>1.7852592928820801E-3</v>
      </c>
      <c r="N24" s="39"/>
      <c r="O24" s="11"/>
      <c r="P24" s="39"/>
      <c r="Q24" s="50"/>
    </row>
    <row r="25" spans="7:17" ht="15.75" customHeight="1" x14ac:dyDescent="0.3">
      <c r="N25" s="11"/>
      <c r="O25" s="11"/>
      <c r="P25" s="11"/>
      <c r="Q25" s="11"/>
    </row>
    <row r="26" spans="7:17" ht="15.75" customHeight="1" x14ac:dyDescent="0.3">
      <c r="N26" s="11"/>
      <c r="O26" s="11"/>
      <c r="P26" s="11"/>
      <c r="Q26" s="11"/>
    </row>
    <row r="27" spans="7:17" ht="15.75" customHeight="1" x14ac:dyDescent="0.3">
      <c r="N27" s="11"/>
      <c r="O27" s="11"/>
      <c r="P27" s="11"/>
      <c r="Q27" s="11"/>
    </row>
    <row r="28" spans="7:17" ht="15.75" customHeight="1" x14ac:dyDescent="0.3">
      <c r="N28" s="11"/>
      <c r="O28" s="11"/>
      <c r="P28" s="11"/>
      <c r="Q28" s="11"/>
    </row>
    <row r="29" spans="7:17" ht="15.75" customHeight="1" x14ac:dyDescent="0.3">
      <c r="N29" s="11"/>
      <c r="O29" s="11"/>
      <c r="P29" s="11"/>
      <c r="Q29" s="11"/>
    </row>
    <row r="30" spans="7:17" ht="15.75" customHeight="1" x14ac:dyDescent="0.3"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>
      <c r="N1000" s="11"/>
      <c r="O1000" s="11"/>
      <c r="P1000" s="11"/>
      <c r="Q1000" s="11"/>
    </row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1" t="s">
        <v>151</v>
      </c>
      <c r="B1" s="562"/>
      <c r="C1" s="562"/>
      <c r="D1" s="562"/>
      <c r="E1" s="562"/>
      <c r="F1" s="562"/>
      <c r="G1" s="562"/>
      <c r="H1" s="562"/>
      <c r="I1" s="562"/>
      <c r="J1" s="562"/>
      <c r="K1" s="562"/>
      <c r="L1" s="562"/>
      <c r="M1" s="562"/>
      <c r="N1" s="130"/>
      <c r="O1" s="131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1.25" customHeight="1" x14ac:dyDescent="0.3">
      <c r="A2" s="133"/>
      <c r="B2" s="134"/>
      <c r="C2" s="130"/>
      <c r="D2" s="135" t="s">
        <v>152</v>
      </c>
      <c r="E2" s="136" t="s">
        <v>153</v>
      </c>
      <c r="F2" s="136" t="s">
        <v>154</v>
      </c>
      <c r="G2" s="137" t="s">
        <v>155</v>
      </c>
      <c r="H2" s="130"/>
      <c r="I2" s="138"/>
      <c r="J2" s="136" t="s">
        <v>154</v>
      </c>
      <c r="K2" s="136" t="s">
        <v>153</v>
      </c>
      <c r="L2" s="137" t="s">
        <v>152</v>
      </c>
      <c r="M2" s="133"/>
      <c r="N2" s="130"/>
      <c r="O2" s="131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1.25" customHeight="1" x14ac:dyDescent="0.3">
      <c r="A3" s="133"/>
      <c r="B3" s="134"/>
      <c r="C3" s="139" t="s">
        <v>156</v>
      </c>
      <c r="D3" s="140">
        <f t="shared" ref="D3:F3" si="0">SUM(D5:D61)</f>
        <v>17067.183505159996</v>
      </c>
      <c r="E3" s="141">
        <f t="shared" si="0"/>
        <v>1</v>
      </c>
      <c r="F3" s="142">
        <f t="shared" si="0"/>
        <v>204806.20206191996</v>
      </c>
      <c r="G3" s="143">
        <f>F3/52</f>
        <v>3938.5808088830763</v>
      </c>
      <c r="H3" s="130"/>
      <c r="I3" s="144" t="s">
        <v>157</v>
      </c>
      <c r="J3" s="145">
        <f>L29+L49</f>
        <v>276499.56874399999</v>
      </c>
      <c r="K3" s="146"/>
      <c r="L3" s="147">
        <f>J3/12</f>
        <v>23041.630728666667</v>
      </c>
      <c r="M3" s="133"/>
      <c r="N3" s="130"/>
      <c r="O3" s="131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1.25" customHeight="1" x14ac:dyDescent="0.3">
      <c r="A4" s="133"/>
      <c r="B4" s="134"/>
      <c r="C4" s="130"/>
      <c r="D4" s="148"/>
      <c r="E4" s="149"/>
      <c r="F4" s="148"/>
      <c r="G4" s="148"/>
      <c r="H4" s="130"/>
      <c r="I4" s="150"/>
      <c r="J4" s="151"/>
      <c r="K4" s="152"/>
      <c r="L4" s="153"/>
      <c r="M4" s="133"/>
      <c r="N4" s="130"/>
      <c r="O4" s="131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1.25" customHeight="1" x14ac:dyDescent="0.3">
      <c r="A5" s="135" t="s">
        <v>158</v>
      </c>
      <c r="B5" s="154">
        <v>1</v>
      </c>
      <c r="C5" s="155" t="s">
        <v>159</v>
      </c>
      <c r="D5" s="156">
        <v>1200</v>
      </c>
      <c r="E5" s="157">
        <f t="shared" ref="E5:E12" si="1">D5/$O$24</f>
        <v>7.0310370755502741E-2</v>
      </c>
      <c r="F5" s="156">
        <f t="shared" ref="F5:F12" si="2">D5*12</f>
        <v>14400</v>
      </c>
      <c r="G5" s="158">
        <f t="shared" ref="G5:G12" si="3">F5/52</f>
        <v>276.92307692307691</v>
      </c>
      <c r="H5" s="130"/>
      <c r="I5" s="150" t="s">
        <v>160</v>
      </c>
      <c r="J5" s="151">
        <f>L31+L53+L54+L55</f>
        <v>4120.8999999999996</v>
      </c>
      <c r="K5" s="159">
        <f>J5/J3</f>
        <v>1.4903820713787E-2</v>
      </c>
      <c r="L5" s="153">
        <f t="shared" ref="L5:L6" si="4">J5/12</f>
        <v>343.4083333333333</v>
      </c>
      <c r="M5" s="133"/>
      <c r="N5" s="130"/>
      <c r="O5" s="131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1.25" customHeight="1" x14ac:dyDescent="0.3">
      <c r="A6" s="160" t="s">
        <v>158</v>
      </c>
      <c r="B6" s="161">
        <v>2</v>
      </c>
      <c r="C6" s="162" t="s">
        <v>161</v>
      </c>
      <c r="D6" s="151">
        <v>1200</v>
      </c>
      <c r="E6" s="159">
        <f t="shared" si="1"/>
        <v>7.0310370755502741E-2</v>
      </c>
      <c r="F6" s="151">
        <f t="shared" si="2"/>
        <v>14400</v>
      </c>
      <c r="G6" s="153">
        <f t="shared" si="3"/>
        <v>276.92307692307691</v>
      </c>
      <c r="H6" s="130"/>
      <c r="I6" s="150" t="s">
        <v>162</v>
      </c>
      <c r="J6" s="151">
        <f>L32+L56</f>
        <v>17269.97781208</v>
      </c>
      <c r="K6" s="159">
        <f>J6/J3</f>
        <v>6.2459330010997557E-2</v>
      </c>
      <c r="L6" s="153">
        <f t="shared" si="4"/>
        <v>1439.1648176733333</v>
      </c>
      <c r="M6" s="133"/>
      <c r="N6" s="130"/>
      <c r="O6" s="131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1.25" customHeight="1" x14ac:dyDescent="0.3">
      <c r="A7" s="160" t="s">
        <v>158</v>
      </c>
      <c r="B7" s="161">
        <v>3</v>
      </c>
      <c r="C7" s="162" t="s">
        <v>163</v>
      </c>
      <c r="D7" s="151">
        <v>150</v>
      </c>
      <c r="E7" s="159">
        <f t="shared" si="1"/>
        <v>8.7887963444378426E-3</v>
      </c>
      <c r="F7" s="151">
        <f t="shared" si="2"/>
        <v>1800</v>
      </c>
      <c r="G7" s="153">
        <f t="shared" si="3"/>
        <v>34.615384615384613</v>
      </c>
      <c r="H7" s="130"/>
      <c r="I7" s="144" t="s">
        <v>164</v>
      </c>
      <c r="J7" s="145">
        <f>SUM(J5:J6)</f>
        <v>21390.877812079998</v>
      </c>
      <c r="K7" s="163">
        <f>J7/J3</f>
        <v>7.7363150724784543E-2</v>
      </c>
      <c r="L7" s="147">
        <f>SUM(L5:L6)</f>
        <v>1782.5731510066666</v>
      </c>
      <c r="M7" s="133"/>
      <c r="N7" s="130"/>
      <c r="O7" s="131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1.25" customHeight="1" x14ac:dyDescent="0.3">
      <c r="A8" s="160" t="s">
        <v>158</v>
      </c>
      <c r="B8" s="161">
        <v>4</v>
      </c>
      <c r="C8" s="162" t="s">
        <v>165</v>
      </c>
      <c r="D8" s="151">
        <v>600</v>
      </c>
      <c r="E8" s="159">
        <f t="shared" si="1"/>
        <v>3.515518537775137E-2</v>
      </c>
      <c r="F8" s="151">
        <f t="shared" si="2"/>
        <v>7200</v>
      </c>
      <c r="G8" s="153">
        <f t="shared" si="3"/>
        <v>138.46153846153845</v>
      </c>
      <c r="H8" s="130"/>
      <c r="I8" s="150"/>
      <c r="J8" s="152"/>
      <c r="K8" s="159"/>
      <c r="L8" s="153"/>
      <c r="M8" s="133"/>
      <c r="N8" s="130"/>
      <c r="O8" s="131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1.25" customHeight="1" x14ac:dyDescent="0.3">
      <c r="A9" s="160" t="s">
        <v>158</v>
      </c>
      <c r="B9" s="161">
        <v>5</v>
      </c>
      <c r="C9" s="162" t="s">
        <v>166</v>
      </c>
      <c r="D9" s="151">
        <v>700</v>
      </c>
      <c r="E9" s="159">
        <f t="shared" si="1"/>
        <v>4.1014382940709929E-2</v>
      </c>
      <c r="F9" s="151">
        <f t="shared" si="2"/>
        <v>8400</v>
      </c>
      <c r="G9" s="153">
        <f t="shared" si="3"/>
        <v>161.53846153846155</v>
      </c>
      <c r="H9" s="130"/>
      <c r="I9" s="144" t="s">
        <v>167</v>
      </c>
      <c r="J9" s="145">
        <f>L35+L59</f>
        <v>255924.69093192002</v>
      </c>
      <c r="K9" s="163"/>
      <c r="L9" s="147">
        <f>J9/12</f>
        <v>21327.057577660002</v>
      </c>
      <c r="M9" s="148"/>
      <c r="N9" s="130"/>
      <c r="O9" s="131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1.25" customHeight="1" x14ac:dyDescent="0.3">
      <c r="A10" s="160" t="s">
        <v>158</v>
      </c>
      <c r="B10" s="161">
        <v>6</v>
      </c>
      <c r="C10" s="162" t="s">
        <v>168</v>
      </c>
      <c r="D10" s="151">
        <v>900</v>
      </c>
      <c r="E10" s="159">
        <f t="shared" si="1"/>
        <v>5.2732778066627052E-2</v>
      </c>
      <c r="F10" s="151">
        <f t="shared" si="2"/>
        <v>10800</v>
      </c>
      <c r="G10" s="153">
        <f t="shared" si="3"/>
        <v>207.69230769230768</v>
      </c>
      <c r="H10" s="130"/>
      <c r="I10" s="150"/>
      <c r="J10" s="151"/>
      <c r="K10" s="159"/>
      <c r="L10" s="153"/>
      <c r="M10" s="148"/>
      <c r="N10" s="130"/>
      <c r="O10" s="131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1.25" customHeight="1" x14ac:dyDescent="0.3">
      <c r="A11" s="164" t="s">
        <v>158</v>
      </c>
      <c r="B11" s="165">
        <v>7</v>
      </c>
      <c r="C11" s="166" t="s">
        <v>169</v>
      </c>
      <c r="D11" s="167">
        <v>350</v>
      </c>
      <c r="E11" s="168">
        <f t="shared" si="1"/>
        <v>2.0507191470354964E-2</v>
      </c>
      <c r="F11" s="167">
        <f t="shared" si="2"/>
        <v>4200</v>
      </c>
      <c r="G11" s="169">
        <f t="shared" si="3"/>
        <v>80.769230769230774</v>
      </c>
      <c r="H11" s="130"/>
      <c r="I11" s="150" t="s">
        <v>170</v>
      </c>
      <c r="J11" s="151">
        <f t="shared" ref="J11:J14" si="5">L37+L61</f>
        <v>39427.360000000001</v>
      </c>
      <c r="K11" s="159">
        <f>J11/J9</f>
        <v>0.15405844530447552</v>
      </c>
      <c r="L11" s="153">
        <f t="shared" ref="L11:L16" si="6">J11/12</f>
        <v>3285.6133333333332</v>
      </c>
      <c r="M11" s="133"/>
      <c r="N11" s="130"/>
      <c r="O11" s="131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1.25" customHeight="1" x14ac:dyDescent="0.3">
      <c r="A12" s="170" t="s">
        <v>158</v>
      </c>
      <c r="B12" s="171">
        <v>8</v>
      </c>
      <c r="C12" s="172" t="s">
        <v>171</v>
      </c>
      <c r="D12" s="142">
        <v>700</v>
      </c>
      <c r="E12" s="141">
        <f t="shared" si="1"/>
        <v>4.1014382940709929E-2</v>
      </c>
      <c r="F12" s="142">
        <f t="shared" si="2"/>
        <v>8400</v>
      </c>
      <c r="G12" s="143">
        <f t="shared" si="3"/>
        <v>161.53846153846155</v>
      </c>
      <c r="H12" s="130"/>
      <c r="I12" s="150" t="s">
        <v>172</v>
      </c>
      <c r="J12" s="151">
        <f t="shared" si="5"/>
        <v>7415.6</v>
      </c>
      <c r="K12" s="159">
        <f>J12/J9</f>
        <v>2.8975711460261823E-2</v>
      </c>
      <c r="L12" s="153">
        <f t="shared" si="6"/>
        <v>617.9666666666667</v>
      </c>
      <c r="M12" s="133"/>
      <c r="N12" s="130"/>
      <c r="O12" s="131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1.25" customHeight="1" x14ac:dyDescent="0.3">
      <c r="A13" s="133"/>
      <c r="B13" s="134"/>
      <c r="C13" s="173"/>
      <c r="D13" s="148"/>
      <c r="E13" s="149"/>
      <c r="F13" s="148"/>
      <c r="G13" s="148"/>
      <c r="H13" s="130"/>
      <c r="I13" s="150" t="s">
        <v>173</v>
      </c>
      <c r="J13" s="151">
        <f t="shared" si="5"/>
        <v>3961.26451</v>
      </c>
      <c r="K13" s="159">
        <f>J13/(J9+J6)</f>
        <v>1.4499787013457225E-2</v>
      </c>
      <c r="L13" s="153">
        <f t="shared" si="6"/>
        <v>330.10537583333331</v>
      </c>
      <c r="M13" s="133"/>
      <c r="N13" s="130"/>
      <c r="O13" s="131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1.25" customHeight="1" x14ac:dyDescent="0.3">
      <c r="A14" s="135" t="s">
        <v>174</v>
      </c>
      <c r="B14" s="154">
        <v>9</v>
      </c>
      <c r="C14" s="174" t="s">
        <v>58</v>
      </c>
      <c r="D14" s="156">
        <v>1285</v>
      </c>
      <c r="E14" s="157">
        <f t="shared" ref="E14:E31" si="7">D14/$O$24</f>
        <v>7.5290688684017518E-2</v>
      </c>
      <c r="F14" s="156">
        <f t="shared" ref="F14:F31" si="8">D14*12</f>
        <v>15420</v>
      </c>
      <c r="G14" s="158">
        <f t="shared" ref="G14:G31" si="9">F14/52</f>
        <v>296.53846153846155</v>
      </c>
      <c r="H14" s="130"/>
      <c r="I14" s="150" t="s">
        <v>175</v>
      </c>
      <c r="J14" s="151">
        <f t="shared" si="5"/>
        <v>16938.027560000002</v>
      </c>
      <c r="K14" s="159">
        <f>J14/(J9+J6)</f>
        <v>6.1999846621721456E-2</v>
      </c>
      <c r="L14" s="153">
        <f t="shared" si="6"/>
        <v>1411.5022966666668</v>
      </c>
      <c r="M14" s="133"/>
      <c r="N14" s="130"/>
      <c r="O14" s="131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1.25" customHeight="1" x14ac:dyDescent="0.3">
      <c r="A15" s="160" t="s">
        <v>174</v>
      </c>
      <c r="B15" s="161">
        <v>10</v>
      </c>
      <c r="C15" s="175" t="s">
        <v>176</v>
      </c>
      <c r="D15" s="151">
        <v>20</v>
      </c>
      <c r="E15" s="159">
        <f t="shared" si="7"/>
        <v>1.1718395125917122E-3</v>
      </c>
      <c r="F15" s="151">
        <f t="shared" si="8"/>
        <v>240</v>
      </c>
      <c r="G15" s="153">
        <f t="shared" si="9"/>
        <v>4.615384615384615</v>
      </c>
      <c r="H15" s="130"/>
      <c r="I15" s="150" t="s">
        <v>177</v>
      </c>
      <c r="J15" s="151">
        <f>L41</f>
        <v>833.99680000000001</v>
      </c>
      <c r="K15" s="159">
        <f>J15/J3</f>
        <v>3.0162679956009793E-3</v>
      </c>
      <c r="L15" s="153">
        <f t="shared" si="6"/>
        <v>69.499733333333339</v>
      </c>
      <c r="M15" s="133"/>
      <c r="N15" s="130"/>
      <c r="O15" s="131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1.25" customHeight="1" x14ac:dyDescent="0.3">
      <c r="A16" s="160" t="s">
        <v>174</v>
      </c>
      <c r="B16" s="161">
        <v>11</v>
      </c>
      <c r="C16" s="175" t="s">
        <v>178</v>
      </c>
      <c r="D16" s="151">
        <v>270</v>
      </c>
      <c r="E16" s="159">
        <f t="shared" si="7"/>
        <v>1.5819833419988116E-2</v>
      </c>
      <c r="F16" s="151">
        <f t="shared" si="8"/>
        <v>3240</v>
      </c>
      <c r="G16" s="153">
        <f t="shared" si="9"/>
        <v>62.307692307692307</v>
      </c>
      <c r="H16" s="130"/>
      <c r="I16" s="150" t="s">
        <v>179</v>
      </c>
      <c r="J16" s="151">
        <f>L65</f>
        <v>4326.24</v>
      </c>
      <c r="K16" s="159">
        <f>J16/J9</f>
        <v>1.6904347854232039E-2</v>
      </c>
      <c r="L16" s="153">
        <f t="shared" si="6"/>
        <v>360.52</v>
      </c>
      <c r="M16" s="133"/>
      <c r="N16" s="130"/>
      <c r="O16" s="131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1.25" customHeight="1" x14ac:dyDescent="0.3">
      <c r="A17" s="160" t="s">
        <v>174</v>
      </c>
      <c r="B17" s="161">
        <v>12</v>
      </c>
      <c r="C17" s="162" t="s">
        <v>180</v>
      </c>
      <c r="D17" s="151">
        <v>205</v>
      </c>
      <c r="E17" s="159">
        <f t="shared" si="7"/>
        <v>1.201135500406505E-2</v>
      </c>
      <c r="F17" s="151">
        <f t="shared" si="8"/>
        <v>2460</v>
      </c>
      <c r="G17" s="153">
        <f t="shared" si="9"/>
        <v>47.307692307692307</v>
      </c>
      <c r="H17" s="130"/>
      <c r="I17" s="144" t="s">
        <v>181</v>
      </c>
      <c r="J17" s="145">
        <f>SUM(J11:J16)</f>
        <v>72902.488870000001</v>
      </c>
      <c r="K17" s="163">
        <f>J17/J3</f>
        <v>0.26366221546442098</v>
      </c>
      <c r="L17" s="147">
        <f>SUM(L11:L16)</f>
        <v>6075.2074058333328</v>
      </c>
      <c r="M17" s="133"/>
      <c r="N17" s="130"/>
      <c r="O17" s="131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1.25" customHeight="1" x14ac:dyDescent="0.3">
      <c r="A18" s="160" t="s">
        <v>174</v>
      </c>
      <c r="B18" s="161">
        <v>13</v>
      </c>
      <c r="C18" s="162" t="s">
        <v>182</v>
      </c>
      <c r="D18" s="151">
        <v>180</v>
      </c>
      <c r="E18" s="159">
        <f t="shared" si="7"/>
        <v>1.054655561332541E-2</v>
      </c>
      <c r="F18" s="151">
        <f t="shared" si="8"/>
        <v>2160</v>
      </c>
      <c r="G18" s="153">
        <f t="shared" si="9"/>
        <v>41.53846153846154</v>
      </c>
      <c r="H18" s="130"/>
      <c r="I18" s="150"/>
      <c r="J18" s="151"/>
      <c r="K18" s="159"/>
      <c r="L18" s="153"/>
      <c r="M18" s="133"/>
      <c r="N18" s="130"/>
      <c r="O18" s="131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1.25" customHeight="1" x14ac:dyDescent="0.3">
      <c r="A19" s="160" t="s">
        <v>174</v>
      </c>
      <c r="B19" s="161">
        <v>14</v>
      </c>
      <c r="C19" s="176" t="s">
        <v>183</v>
      </c>
      <c r="D19" s="151">
        <v>140</v>
      </c>
      <c r="E19" s="159">
        <f t="shared" si="7"/>
        <v>8.2028765881419861E-3</v>
      </c>
      <c r="F19" s="151">
        <f t="shared" si="8"/>
        <v>1680</v>
      </c>
      <c r="G19" s="153">
        <f t="shared" si="9"/>
        <v>32.307692307692307</v>
      </c>
      <c r="H19" s="130"/>
      <c r="I19" s="177" t="s">
        <v>184</v>
      </c>
      <c r="J19" s="178">
        <f>L44+L68</f>
        <v>182206.20206191996</v>
      </c>
      <c r="K19" s="179">
        <f>J19/J3</f>
        <v>0.65897463381079435</v>
      </c>
      <c r="L19" s="180"/>
      <c r="M19" s="133"/>
      <c r="N19" s="130"/>
      <c r="O19" s="131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1.25" customHeight="1" x14ac:dyDescent="0.3">
      <c r="A20" s="160" t="s">
        <v>174</v>
      </c>
      <c r="B20" s="161">
        <v>15</v>
      </c>
      <c r="C20" s="162" t="s">
        <v>185</v>
      </c>
      <c r="D20" s="151">
        <v>100</v>
      </c>
      <c r="E20" s="159">
        <f t="shared" si="7"/>
        <v>5.8591975629585609E-3</v>
      </c>
      <c r="F20" s="151">
        <f t="shared" si="8"/>
        <v>1200</v>
      </c>
      <c r="G20" s="153">
        <f t="shared" si="9"/>
        <v>23.076923076923077</v>
      </c>
      <c r="H20" s="130"/>
      <c r="I20" s="150"/>
      <c r="J20" s="151"/>
      <c r="K20" s="159"/>
      <c r="L20" s="153"/>
      <c r="M20" s="133"/>
      <c r="N20" s="130"/>
      <c r="O20" s="131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1.25" customHeight="1" x14ac:dyDescent="0.3">
      <c r="A21" s="160" t="s">
        <v>174</v>
      </c>
      <c r="B21" s="161">
        <v>16</v>
      </c>
      <c r="C21" s="175" t="s">
        <v>186</v>
      </c>
      <c r="D21" s="151">
        <v>0</v>
      </c>
      <c r="E21" s="159">
        <f t="shared" si="7"/>
        <v>0</v>
      </c>
      <c r="F21" s="151">
        <f t="shared" si="8"/>
        <v>0</v>
      </c>
      <c r="G21" s="153">
        <f t="shared" si="9"/>
        <v>0</v>
      </c>
      <c r="H21" s="130"/>
      <c r="I21" s="150" t="s">
        <v>187</v>
      </c>
      <c r="J21" s="151">
        <v>13000</v>
      </c>
      <c r="K21" s="159"/>
      <c r="L21" s="153">
        <f t="shared" ref="L21:L22" si="10">J21/12</f>
        <v>1083.3333333333333</v>
      </c>
      <c r="M21" s="133"/>
      <c r="N21" s="130"/>
      <c r="O21" s="131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1.25" customHeight="1" x14ac:dyDescent="0.3">
      <c r="A22" s="160" t="s">
        <v>174</v>
      </c>
      <c r="B22" s="161">
        <v>17</v>
      </c>
      <c r="C22" s="162" t="s">
        <v>188</v>
      </c>
      <c r="D22" s="151">
        <v>145</v>
      </c>
      <c r="E22" s="159">
        <f t="shared" si="7"/>
        <v>8.4958364662899143E-3</v>
      </c>
      <c r="F22" s="151">
        <f t="shared" si="8"/>
        <v>1740</v>
      </c>
      <c r="G22" s="153">
        <f t="shared" si="9"/>
        <v>33.46153846153846</v>
      </c>
      <c r="H22" s="130"/>
      <c r="I22" s="150" t="s">
        <v>189</v>
      </c>
      <c r="J22" s="151">
        <v>9600</v>
      </c>
      <c r="K22" s="159"/>
      <c r="L22" s="153">
        <f t="shared" si="10"/>
        <v>800</v>
      </c>
      <c r="M22" s="148">
        <f>L22-D31-D35-D40-D41-D42-D43</f>
        <v>240</v>
      </c>
      <c r="N22" s="131">
        <f>M22*12</f>
        <v>2880</v>
      </c>
      <c r="O22" s="131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1.25" customHeight="1" x14ac:dyDescent="0.3">
      <c r="A23" s="160" t="s">
        <v>174</v>
      </c>
      <c r="B23" s="161">
        <v>18</v>
      </c>
      <c r="C23" s="176" t="s">
        <v>190</v>
      </c>
      <c r="D23" s="151">
        <v>400</v>
      </c>
      <c r="E23" s="159">
        <f t="shared" si="7"/>
        <v>2.3436790251834243E-2</v>
      </c>
      <c r="F23" s="151">
        <f t="shared" si="8"/>
        <v>4800</v>
      </c>
      <c r="G23" s="153">
        <f t="shared" si="9"/>
        <v>92.307692307692307</v>
      </c>
      <c r="H23" s="130"/>
      <c r="I23" s="150"/>
      <c r="J23" s="152"/>
      <c r="K23" s="152"/>
      <c r="L23" s="153"/>
      <c r="M23" s="133"/>
      <c r="N23" s="130"/>
      <c r="O23" s="131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1.25" customHeight="1" x14ac:dyDescent="0.3">
      <c r="A24" s="160" t="s">
        <v>174</v>
      </c>
      <c r="B24" s="161">
        <v>19</v>
      </c>
      <c r="C24" s="176" t="s">
        <v>191</v>
      </c>
      <c r="D24" s="151">
        <v>200</v>
      </c>
      <c r="E24" s="159">
        <f t="shared" si="7"/>
        <v>1.1718395125917122E-2</v>
      </c>
      <c r="F24" s="151">
        <f t="shared" si="8"/>
        <v>2400</v>
      </c>
      <c r="G24" s="153">
        <f t="shared" si="9"/>
        <v>46.153846153846153</v>
      </c>
      <c r="H24" s="130"/>
      <c r="I24" s="181" t="s">
        <v>192</v>
      </c>
      <c r="J24" s="182">
        <f>J19+J22+J21</f>
        <v>204806.20206191996</v>
      </c>
      <c r="K24" s="183">
        <f>(J24+J6)/J3</f>
        <v>0.80317007683875097</v>
      </c>
      <c r="L24" s="184">
        <f>J24/12</f>
        <v>17067.183505159996</v>
      </c>
      <c r="M24" s="133"/>
      <c r="N24" s="185">
        <f>J21+J22+N44+N68</f>
        <v>204806.20206191996</v>
      </c>
      <c r="O24" s="131">
        <f>N24/12</f>
        <v>17067.183505159996</v>
      </c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1.25" customHeight="1" x14ac:dyDescent="0.3">
      <c r="A25" s="160" t="s">
        <v>174</v>
      </c>
      <c r="B25" s="161">
        <v>20</v>
      </c>
      <c r="C25" s="176" t="s">
        <v>193</v>
      </c>
      <c r="D25" s="151">
        <v>600</v>
      </c>
      <c r="E25" s="159">
        <f t="shared" si="7"/>
        <v>3.515518537775137E-2</v>
      </c>
      <c r="F25" s="151">
        <f t="shared" si="8"/>
        <v>7200</v>
      </c>
      <c r="G25" s="153">
        <f t="shared" si="9"/>
        <v>138.46153846153845</v>
      </c>
      <c r="H25" s="130"/>
      <c r="I25" s="130"/>
      <c r="J25" s="148"/>
      <c r="K25" s="149"/>
      <c r="L25" s="148"/>
      <c r="M25" s="133"/>
      <c r="N25" s="130"/>
      <c r="O25" s="131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1.25" customHeight="1" x14ac:dyDescent="0.3">
      <c r="A26" s="160" t="s">
        <v>174</v>
      </c>
      <c r="B26" s="161">
        <v>21</v>
      </c>
      <c r="C26" s="175" t="s">
        <v>194</v>
      </c>
      <c r="D26" s="151">
        <v>85</v>
      </c>
      <c r="E26" s="159">
        <f t="shared" si="7"/>
        <v>4.9803179285147769E-3</v>
      </c>
      <c r="F26" s="151">
        <f t="shared" si="8"/>
        <v>1020</v>
      </c>
      <c r="G26" s="153">
        <f t="shared" si="9"/>
        <v>19.615384615384617</v>
      </c>
      <c r="H26" s="130"/>
      <c r="I26" s="130"/>
      <c r="J26" s="148"/>
      <c r="K26" s="149"/>
      <c r="L26" s="148"/>
      <c r="M26" s="133"/>
      <c r="N26" s="130"/>
      <c r="O26" s="131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1.25" customHeight="1" x14ac:dyDescent="0.3">
      <c r="A27" s="160" t="s">
        <v>174</v>
      </c>
      <c r="B27" s="161">
        <v>22</v>
      </c>
      <c r="C27" s="175" t="s">
        <v>195</v>
      </c>
      <c r="D27" s="151">
        <v>100</v>
      </c>
      <c r="E27" s="159">
        <f t="shared" si="7"/>
        <v>5.8591975629585609E-3</v>
      </c>
      <c r="F27" s="151">
        <f t="shared" si="8"/>
        <v>1200</v>
      </c>
      <c r="G27" s="153">
        <f t="shared" si="9"/>
        <v>23.076923076923077</v>
      </c>
      <c r="H27" s="130"/>
      <c r="I27" s="138" t="s">
        <v>196</v>
      </c>
      <c r="J27" s="186">
        <v>50.12</v>
      </c>
      <c r="K27" s="174"/>
      <c r="L27" s="174"/>
      <c r="M27" s="187"/>
      <c r="N27" s="130"/>
      <c r="O27" s="131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1.25" customHeight="1" x14ac:dyDescent="0.3">
      <c r="A28" s="160" t="s">
        <v>174</v>
      </c>
      <c r="B28" s="161">
        <v>23</v>
      </c>
      <c r="C28" s="176" t="s">
        <v>197</v>
      </c>
      <c r="D28" s="151">
        <v>1200</v>
      </c>
      <c r="E28" s="159">
        <f t="shared" si="7"/>
        <v>7.0310370755502741E-2</v>
      </c>
      <c r="F28" s="151">
        <f t="shared" si="8"/>
        <v>14400</v>
      </c>
      <c r="G28" s="153">
        <f t="shared" si="9"/>
        <v>276.92307692307691</v>
      </c>
      <c r="H28" s="130"/>
      <c r="I28" s="150"/>
      <c r="J28" s="152" t="s">
        <v>198</v>
      </c>
      <c r="K28" s="152" t="s">
        <v>153</v>
      </c>
      <c r="L28" s="152" t="s">
        <v>154</v>
      </c>
      <c r="M28" s="188" t="s">
        <v>152</v>
      </c>
      <c r="N28" s="130"/>
      <c r="O28" s="131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1.25" customHeight="1" x14ac:dyDescent="0.3">
      <c r="A29" s="160" t="s">
        <v>174</v>
      </c>
      <c r="B29" s="161">
        <v>24</v>
      </c>
      <c r="C29" s="175" t="s">
        <v>199</v>
      </c>
      <c r="D29" s="151">
        <v>120</v>
      </c>
      <c r="E29" s="159">
        <f t="shared" si="7"/>
        <v>7.031037075550273E-3</v>
      </c>
      <c r="F29" s="151">
        <f t="shared" si="8"/>
        <v>1440</v>
      </c>
      <c r="G29" s="153">
        <f t="shared" si="9"/>
        <v>27.692307692307693</v>
      </c>
      <c r="H29" s="130"/>
      <c r="I29" s="144" t="s">
        <v>157</v>
      </c>
      <c r="J29" s="145">
        <f>J27*80</f>
        <v>4009.6</v>
      </c>
      <c r="K29" s="146"/>
      <c r="L29" s="145">
        <f>J29*26</f>
        <v>104249.59999999999</v>
      </c>
      <c r="M29" s="147">
        <f>L29/12</f>
        <v>8687.4666666666653</v>
      </c>
      <c r="N29" s="130"/>
      <c r="O29" s="131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1.25" customHeight="1" x14ac:dyDescent="0.3">
      <c r="A30" s="160" t="s">
        <v>174</v>
      </c>
      <c r="B30" s="161">
        <v>42</v>
      </c>
      <c r="C30" s="175" t="s">
        <v>200</v>
      </c>
      <c r="D30" s="151">
        <v>75</v>
      </c>
      <c r="E30" s="159">
        <f t="shared" si="7"/>
        <v>4.3943981722189213E-3</v>
      </c>
      <c r="F30" s="151">
        <f t="shared" si="8"/>
        <v>900</v>
      </c>
      <c r="G30" s="153">
        <f t="shared" si="9"/>
        <v>17.307692307692307</v>
      </c>
      <c r="H30" s="130"/>
      <c r="I30" s="150"/>
      <c r="J30" s="151"/>
      <c r="K30" s="152"/>
      <c r="L30" s="151"/>
      <c r="M30" s="153"/>
      <c r="N30" s="130"/>
      <c r="O30" s="131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1.25" customHeight="1" x14ac:dyDescent="0.3">
      <c r="A31" s="170" t="s">
        <v>174</v>
      </c>
      <c r="B31" s="171">
        <v>43</v>
      </c>
      <c r="C31" s="189" t="s">
        <v>201</v>
      </c>
      <c r="D31" s="142">
        <v>75</v>
      </c>
      <c r="E31" s="141">
        <f t="shared" si="7"/>
        <v>4.3943981722189213E-3</v>
      </c>
      <c r="F31" s="142">
        <f t="shared" si="8"/>
        <v>900</v>
      </c>
      <c r="G31" s="143">
        <f t="shared" si="9"/>
        <v>17.307692307692307</v>
      </c>
      <c r="H31" s="130"/>
      <c r="I31" s="150" t="s">
        <v>202</v>
      </c>
      <c r="J31" s="151">
        <v>157.97</v>
      </c>
      <c r="K31" s="159">
        <f>J31/J29</f>
        <v>3.9397944932162809E-2</v>
      </c>
      <c r="L31" s="151">
        <f t="shared" ref="L31:L32" si="11">J31*26</f>
        <v>4107.22</v>
      </c>
      <c r="M31" s="153">
        <f t="shared" ref="M31:M32" si="12">L31/12</f>
        <v>342.26833333333337</v>
      </c>
      <c r="N31" s="130"/>
      <c r="O31" s="131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1.25" customHeight="1" x14ac:dyDescent="0.3">
      <c r="A32" s="133"/>
      <c r="B32" s="134"/>
      <c r="C32" s="130"/>
      <c r="D32" s="148"/>
      <c r="E32" s="149"/>
      <c r="F32" s="148"/>
      <c r="G32" s="148"/>
      <c r="H32" s="130"/>
      <c r="I32" s="150" t="s">
        <v>97</v>
      </c>
      <c r="J32" s="151">
        <f>K32*J29</f>
        <v>200.48000000000002</v>
      </c>
      <c r="K32" s="159">
        <v>0.05</v>
      </c>
      <c r="L32" s="151">
        <f t="shared" si="11"/>
        <v>5212.4800000000005</v>
      </c>
      <c r="M32" s="153">
        <f t="shared" si="12"/>
        <v>434.37333333333339</v>
      </c>
      <c r="N32" s="130"/>
      <c r="O32" s="131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1.25" customHeight="1" x14ac:dyDescent="0.3">
      <c r="A33" s="135" t="s">
        <v>203</v>
      </c>
      <c r="B33" s="154">
        <v>25</v>
      </c>
      <c r="C33" s="155" t="s">
        <v>204</v>
      </c>
      <c r="D33" s="156">
        <v>350</v>
      </c>
      <c r="E33" s="157">
        <f t="shared" ref="E33:E43" si="13">D33/$O$24</f>
        <v>2.0507191470354964E-2</v>
      </c>
      <c r="F33" s="156">
        <f t="shared" ref="F33:F43" si="14">D33*12</f>
        <v>4200</v>
      </c>
      <c r="G33" s="158">
        <f t="shared" ref="G33:G43" si="15">F33/52</f>
        <v>80.769230769230774</v>
      </c>
      <c r="H33" s="130"/>
      <c r="I33" s="144" t="s">
        <v>164</v>
      </c>
      <c r="J33" s="145">
        <f>SUM(J31:J32)</f>
        <v>358.45000000000005</v>
      </c>
      <c r="K33" s="163"/>
      <c r="L33" s="145"/>
      <c r="M33" s="147"/>
      <c r="N33" s="130"/>
      <c r="O33" s="131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1.25" customHeight="1" x14ac:dyDescent="0.3">
      <c r="A34" s="160" t="s">
        <v>203</v>
      </c>
      <c r="B34" s="161">
        <v>26</v>
      </c>
      <c r="C34" s="175" t="s">
        <v>205</v>
      </c>
      <c r="D34" s="151">
        <v>320</v>
      </c>
      <c r="E34" s="159">
        <f t="shared" si="13"/>
        <v>1.8749432201467395E-2</v>
      </c>
      <c r="F34" s="151">
        <f t="shared" si="14"/>
        <v>3840</v>
      </c>
      <c r="G34" s="153">
        <f t="shared" si="15"/>
        <v>73.84615384615384</v>
      </c>
      <c r="H34" s="130"/>
      <c r="I34" s="150"/>
      <c r="J34" s="151"/>
      <c r="K34" s="159"/>
      <c r="L34" s="151"/>
      <c r="M34" s="153"/>
      <c r="N34" s="130"/>
      <c r="O34" s="131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1.25" customHeight="1" x14ac:dyDescent="0.3">
      <c r="A35" s="160" t="s">
        <v>203</v>
      </c>
      <c r="B35" s="161">
        <v>27</v>
      </c>
      <c r="C35" s="175" t="s">
        <v>206</v>
      </c>
      <c r="D35" s="151">
        <v>25</v>
      </c>
      <c r="E35" s="159">
        <f t="shared" si="13"/>
        <v>1.4647993907396402E-3</v>
      </c>
      <c r="F35" s="151">
        <f t="shared" si="14"/>
        <v>300</v>
      </c>
      <c r="G35" s="153">
        <f t="shared" si="15"/>
        <v>5.7692307692307692</v>
      </c>
      <c r="H35" s="130"/>
      <c r="I35" s="144" t="s">
        <v>167</v>
      </c>
      <c r="J35" s="145">
        <f>J29+J30-J31-J32</f>
        <v>3651.15</v>
      </c>
      <c r="K35" s="163">
        <f>J35/J29</f>
        <v>0.9106020550678372</v>
      </c>
      <c r="L35" s="145">
        <f>J35*26</f>
        <v>94929.900000000009</v>
      </c>
      <c r="M35" s="147">
        <f>L35/12</f>
        <v>7910.8250000000007</v>
      </c>
      <c r="N35" s="130"/>
      <c r="O35" s="131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1.25" customHeight="1" x14ac:dyDescent="0.3">
      <c r="A36" s="160" t="s">
        <v>203</v>
      </c>
      <c r="B36" s="161">
        <v>28</v>
      </c>
      <c r="C36" s="175" t="s">
        <v>207</v>
      </c>
      <c r="D36" s="151">
        <v>25</v>
      </c>
      <c r="E36" s="159">
        <f t="shared" si="13"/>
        <v>1.4647993907396402E-3</v>
      </c>
      <c r="F36" s="151">
        <f t="shared" si="14"/>
        <v>300</v>
      </c>
      <c r="G36" s="153">
        <f t="shared" si="15"/>
        <v>5.7692307692307692</v>
      </c>
      <c r="H36" s="130"/>
      <c r="I36" s="150"/>
      <c r="J36" s="151"/>
      <c r="K36" s="159"/>
      <c r="L36" s="151"/>
      <c r="M36" s="153"/>
      <c r="N36" s="130"/>
      <c r="O36" s="131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1.25" customHeight="1" x14ac:dyDescent="0.3">
      <c r="A37" s="160" t="s">
        <v>203</v>
      </c>
      <c r="B37" s="161">
        <v>29</v>
      </c>
      <c r="C37" s="175" t="s">
        <v>208</v>
      </c>
      <c r="D37" s="151">
        <v>45</v>
      </c>
      <c r="E37" s="159">
        <f t="shared" si="13"/>
        <v>2.6366389033313526E-3</v>
      </c>
      <c r="F37" s="151">
        <f t="shared" si="14"/>
        <v>540</v>
      </c>
      <c r="G37" s="153">
        <f t="shared" si="15"/>
        <v>10.384615384615385</v>
      </c>
      <c r="H37" s="130"/>
      <c r="I37" s="150" t="s">
        <v>170</v>
      </c>
      <c r="J37" s="151">
        <v>463.64</v>
      </c>
      <c r="K37" s="159">
        <f>J37/J35</f>
        <v>0.12698464867233611</v>
      </c>
      <c r="L37" s="151">
        <f t="shared" ref="L37:L41" si="16">J37*26</f>
        <v>12054.64</v>
      </c>
      <c r="M37" s="153">
        <f t="shared" ref="M37:M41" si="17">L37/12</f>
        <v>1004.5533333333333</v>
      </c>
      <c r="N37" s="130"/>
      <c r="O37" s="131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1.25" customHeight="1" x14ac:dyDescent="0.3">
      <c r="A38" s="160" t="s">
        <v>203</v>
      </c>
      <c r="B38" s="161">
        <v>30</v>
      </c>
      <c r="C38" s="175" t="s">
        <v>209</v>
      </c>
      <c r="D38" s="151">
        <v>400</v>
      </c>
      <c r="E38" s="159">
        <f t="shared" si="13"/>
        <v>2.3436790251834243E-2</v>
      </c>
      <c r="F38" s="151">
        <f t="shared" si="14"/>
        <v>4800</v>
      </c>
      <c r="G38" s="153">
        <f t="shared" si="15"/>
        <v>92.307692307692307</v>
      </c>
      <c r="H38" s="130"/>
      <c r="I38" s="150" t="s">
        <v>172</v>
      </c>
      <c r="J38" s="151">
        <v>97</v>
      </c>
      <c r="K38" s="159">
        <f>J38/J35</f>
        <v>2.6566972049902084E-2</v>
      </c>
      <c r="L38" s="151">
        <f t="shared" si="16"/>
        <v>2522</v>
      </c>
      <c r="M38" s="153">
        <f t="shared" si="17"/>
        <v>210.16666666666666</v>
      </c>
      <c r="N38" s="130"/>
      <c r="O38" s="131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1.25" customHeight="1" x14ac:dyDescent="0.3">
      <c r="A39" s="160" t="s">
        <v>203</v>
      </c>
      <c r="B39" s="161">
        <v>31</v>
      </c>
      <c r="C39" s="175" t="s">
        <v>210</v>
      </c>
      <c r="D39" s="151">
        <v>375</v>
      </c>
      <c r="E39" s="159">
        <f t="shared" si="13"/>
        <v>2.1971990861094606E-2</v>
      </c>
      <c r="F39" s="151">
        <f t="shared" si="14"/>
        <v>4500</v>
      </c>
      <c r="G39" s="153">
        <f t="shared" si="15"/>
        <v>86.538461538461533</v>
      </c>
      <c r="H39" s="130"/>
      <c r="I39" s="150" t="s">
        <v>173</v>
      </c>
      <c r="J39" s="151">
        <f>(J35+J32)*K39</f>
        <v>55.848635000000002</v>
      </c>
      <c r="K39" s="159">
        <v>1.4500000000000001E-2</v>
      </c>
      <c r="L39" s="151">
        <f t="shared" si="16"/>
        <v>1452.0645100000002</v>
      </c>
      <c r="M39" s="153">
        <f t="shared" si="17"/>
        <v>121.00537583333335</v>
      </c>
      <c r="N39" s="130"/>
      <c r="O39" s="131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1.25" customHeight="1" x14ac:dyDescent="0.3">
      <c r="A40" s="160" t="s">
        <v>203</v>
      </c>
      <c r="B40" s="161">
        <v>32</v>
      </c>
      <c r="C40" s="175" t="s">
        <v>211</v>
      </c>
      <c r="D40" s="151">
        <v>100</v>
      </c>
      <c r="E40" s="159">
        <f t="shared" si="13"/>
        <v>5.8591975629585609E-3</v>
      </c>
      <c r="F40" s="151">
        <f t="shared" si="14"/>
        <v>1200</v>
      </c>
      <c r="G40" s="153">
        <f t="shared" si="15"/>
        <v>23.076923076923077</v>
      </c>
      <c r="H40" s="130"/>
      <c r="I40" s="150" t="s">
        <v>175</v>
      </c>
      <c r="J40" s="151">
        <f>(J35+J32)*K40</f>
        <v>238.80106000000001</v>
      </c>
      <c r="K40" s="159">
        <v>6.2E-2</v>
      </c>
      <c r="L40" s="151">
        <f t="shared" si="16"/>
        <v>6208.8275599999997</v>
      </c>
      <c r="M40" s="153">
        <f t="shared" si="17"/>
        <v>517.40229666666664</v>
      </c>
      <c r="N40" s="130"/>
      <c r="O40" s="131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1.25" customHeight="1" x14ac:dyDescent="0.3">
      <c r="A41" s="160" t="s">
        <v>203</v>
      </c>
      <c r="B41" s="161">
        <v>33</v>
      </c>
      <c r="C41" s="175" t="s">
        <v>212</v>
      </c>
      <c r="D41" s="151">
        <v>85</v>
      </c>
      <c r="E41" s="159">
        <f t="shared" si="13"/>
        <v>4.9803179285147769E-3</v>
      </c>
      <c r="F41" s="151">
        <f t="shared" si="14"/>
        <v>1020</v>
      </c>
      <c r="G41" s="153">
        <f t="shared" si="15"/>
        <v>19.615384615384617</v>
      </c>
      <c r="H41" s="130"/>
      <c r="I41" s="150" t="s">
        <v>177</v>
      </c>
      <c r="J41" s="151">
        <f>K41*J29</f>
        <v>32.076799999999999</v>
      </c>
      <c r="K41" s="159">
        <v>8.0000000000000002E-3</v>
      </c>
      <c r="L41" s="151">
        <f t="shared" si="16"/>
        <v>833.99680000000001</v>
      </c>
      <c r="M41" s="153">
        <f t="shared" si="17"/>
        <v>69.499733333333339</v>
      </c>
      <c r="N41" s="130"/>
      <c r="O41" s="133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1.25" customHeight="1" x14ac:dyDescent="0.3">
      <c r="A42" s="160" t="s">
        <v>203</v>
      </c>
      <c r="B42" s="161">
        <v>34</v>
      </c>
      <c r="C42" s="175" t="s">
        <v>213</v>
      </c>
      <c r="D42" s="151">
        <v>230</v>
      </c>
      <c r="E42" s="159">
        <f t="shared" si="13"/>
        <v>1.3476154394804691E-2</v>
      </c>
      <c r="F42" s="151">
        <f t="shared" si="14"/>
        <v>2760</v>
      </c>
      <c r="G42" s="153">
        <f t="shared" si="15"/>
        <v>53.07692307692308</v>
      </c>
      <c r="H42" s="130"/>
      <c r="I42" s="144" t="s">
        <v>181</v>
      </c>
      <c r="J42" s="145">
        <f>SUM(J37:J41)</f>
        <v>887.36649499999999</v>
      </c>
      <c r="K42" s="163">
        <f>J42/J29</f>
        <v>0.22131047860135675</v>
      </c>
      <c r="L42" s="145"/>
      <c r="M42" s="147"/>
      <c r="N42" s="130"/>
      <c r="O42" s="133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1.25" customHeight="1" x14ac:dyDescent="0.3">
      <c r="A43" s="170" t="s">
        <v>203</v>
      </c>
      <c r="B43" s="171">
        <v>35</v>
      </c>
      <c r="C43" s="189" t="s">
        <v>214</v>
      </c>
      <c r="D43" s="142">
        <v>45</v>
      </c>
      <c r="E43" s="141">
        <f t="shared" si="13"/>
        <v>2.6366389033313526E-3</v>
      </c>
      <c r="F43" s="142">
        <f t="shared" si="14"/>
        <v>540</v>
      </c>
      <c r="G43" s="143">
        <f t="shared" si="15"/>
        <v>10.384615384615385</v>
      </c>
      <c r="H43" s="130"/>
      <c r="I43" s="150"/>
      <c r="J43" s="151"/>
      <c r="K43" s="159"/>
      <c r="L43" s="151"/>
      <c r="M43" s="153"/>
      <c r="N43" s="130"/>
      <c r="O43" s="133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1.25" customHeight="1" x14ac:dyDescent="0.3">
      <c r="A44" s="133"/>
      <c r="B44" s="134"/>
      <c r="C44" s="130"/>
      <c r="D44" s="133"/>
      <c r="E44" s="148"/>
      <c r="F44" s="148"/>
      <c r="G44" s="148"/>
      <c r="H44" s="130"/>
      <c r="I44" s="190" t="s">
        <v>215</v>
      </c>
      <c r="J44" s="191">
        <f>J29-J33-J42</f>
        <v>2763.7835049999994</v>
      </c>
      <c r="K44" s="192">
        <f>(J44+J32)/J29</f>
        <v>0.73929157646648036</v>
      </c>
      <c r="L44" s="191">
        <f>J44*26</f>
        <v>71858.371129999985</v>
      </c>
      <c r="M44" s="193">
        <f>L44/12</f>
        <v>5988.1975941666651</v>
      </c>
      <c r="N44" s="185">
        <f>L44</f>
        <v>71858.371129999985</v>
      </c>
      <c r="O44" s="131">
        <f>N44/26</f>
        <v>2763.7835049999994</v>
      </c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1.25" customHeight="1" x14ac:dyDescent="0.3">
      <c r="A45" s="135" t="s">
        <v>216</v>
      </c>
      <c r="B45" s="154">
        <v>36</v>
      </c>
      <c r="C45" s="174" t="s">
        <v>103</v>
      </c>
      <c r="D45" s="156">
        <f t="shared" ref="D45:D46" si="18">F45/12</f>
        <v>50</v>
      </c>
      <c r="E45" s="157">
        <f t="shared" ref="E45:E46" si="19">D45/$O$24</f>
        <v>2.9295987814792804E-3</v>
      </c>
      <c r="F45" s="156">
        <f>50*12</f>
        <v>600</v>
      </c>
      <c r="G45" s="158">
        <f t="shared" ref="G45:G46" si="20">F45/52</f>
        <v>11.538461538461538</v>
      </c>
      <c r="H45" s="130"/>
      <c r="I45" s="130"/>
      <c r="J45" s="133"/>
      <c r="K45" s="133"/>
      <c r="L45" s="133"/>
      <c r="M45" s="148"/>
      <c r="N45" s="130"/>
      <c r="O45" s="131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1.25" customHeight="1" x14ac:dyDescent="0.3">
      <c r="A46" s="170" t="s">
        <v>216</v>
      </c>
      <c r="B46" s="171">
        <v>37</v>
      </c>
      <c r="C46" s="189" t="s">
        <v>217</v>
      </c>
      <c r="D46" s="142">
        <f t="shared" si="18"/>
        <v>4017.1835051599969</v>
      </c>
      <c r="E46" s="141">
        <f t="shared" si="19"/>
        <v>0.23537471803390783</v>
      </c>
      <c r="F46" s="194">
        <f>(N24-SUM(F5:F45))</f>
        <v>48206.202061919961</v>
      </c>
      <c r="G46" s="143">
        <f t="shared" si="20"/>
        <v>927.04234734461465</v>
      </c>
      <c r="H46" s="130"/>
      <c r="I46" s="130"/>
      <c r="J46" s="133"/>
      <c r="K46" s="133"/>
      <c r="L46" s="133"/>
      <c r="M46" s="148"/>
      <c r="N46" s="130"/>
      <c r="O46" s="131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1.25" customHeight="1" x14ac:dyDescent="0.3">
      <c r="A47" s="133"/>
      <c r="B47" s="134"/>
      <c r="C47" s="130"/>
      <c r="D47" s="148"/>
      <c r="E47" s="149"/>
      <c r="F47" s="148"/>
      <c r="G47" s="148"/>
      <c r="H47" s="130"/>
      <c r="I47" s="138" t="s">
        <v>218</v>
      </c>
      <c r="J47" s="186">
        <v>82.809299999999993</v>
      </c>
      <c r="K47" s="174"/>
      <c r="L47" s="174"/>
      <c r="M47" s="187"/>
      <c r="N47" s="130"/>
      <c r="O47" s="131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1.25" customHeight="1" x14ac:dyDescent="0.3">
      <c r="A48" s="133"/>
      <c r="B48" s="134"/>
      <c r="C48" s="130"/>
      <c r="D48" s="133"/>
      <c r="E48" s="133"/>
      <c r="F48" s="133"/>
      <c r="G48" s="133"/>
      <c r="H48" s="130"/>
      <c r="I48" s="150"/>
      <c r="J48" s="152" t="s">
        <v>198</v>
      </c>
      <c r="K48" s="152" t="s">
        <v>153</v>
      </c>
      <c r="L48" s="152" t="s">
        <v>154</v>
      </c>
      <c r="M48" s="188" t="s">
        <v>152</v>
      </c>
      <c r="N48" s="130"/>
      <c r="O48" s="131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1.25" customHeight="1" x14ac:dyDescent="0.3">
      <c r="A49" s="133"/>
      <c r="B49" s="134"/>
      <c r="C49" s="130"/>
      <c r="D49" s="133"/>
      <c r="E49" s="133"/>
      <c r="F49" s="133"/>
      <c r="G49" s="133"/>
      <c r="H49" s="130"/>
      <c r="I49" s="150" t="s">
        <v>157</v>
      </c>
      <c r="J49" s="151">
        <f>J47*86.67</f>
        <v>7177.0820309999999</v>
      </c>
      <c r="K49" s="152"/>
      <c r="L49" s="151">
        <f>J49*24</f>
        <v>172249.96874400001</v>
      </c>
      <c r="M49" s="153">
        <f>L49/12</f>
        <v>14354.164062000002</v>
      </c>
      <c r="N49" s="130"/>
      <c r="O49" s="131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1.25" customHeight="1" x14ac:dyDescent="0.3">
      <c r="A50" s="133"/>
      <c r="B50" s="134"/>
      <c r="C50" s="130"/>
      <c r="D50" s="133"/>
      <c r="E50" s="133"/>
      <c r="F50" s="133"/>
      <c r="G50" s="133"/>
      <c r="H50" s="130"/>
      <c r="I50" s="150" t="s">
        <v>219</v>
      </c>
      <c r="J50" s="151">
        <v>34</v>
      </c>
      <c r="K50" s="152"/>
      <c r="L50" s="151"/>
      <c r="M50" s="153"/>
      <c r="N50" s="130"/>
      <c r="O50" s="131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1.25" customHeight="1" x14ac:dyDescent="0.3">
      <c r="A51" s="133"/>
      <c r="B51" s="134"/>
      <c r="C51" s="130"/>
      <c r="D51" s="133"/>
      <c r="E51" s="133"/>
      <c r="F51" s="133"/>
      <c r="G51" s="133"/>
      <c r="H51" s="130"/>
      <c r="I51" s="144" t="s">
        <v>220</v>
      </c>
      <c r="J51" s="145">
        <f>J49+J50</f>
        <v>7211.0820309999999</v>
      </c>
      <c r="K51" s="146"/>
      <c r="L51" s="145"/>
      <c r="M51" s="147"/>
      <c r="N51" s="130"/>
      <c r="O51" s="131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1.25" customHeight="1" x14ac:dyDescent="0.3">
      <c r="A52" s="133"/>
      <c r="B52" s="134"/>
      <c r="C52" s="130"/>
      <c r="D52" s="195"/>
      <c r="E52" s="133"/>
      <c r="F52" s="133"/>
      <c r="G52" s="133"/>
      <c r="H52" s="130"/>
      <c r="I52" s="150"/>
      <c r="J52" s="151"/>
      <c r="K52" s="152"/>
      <c r="L52" s="151"/>
      <c r="M52" s="153"/>
      <c r="N52" s="130"/>
      <c r="O52" s="131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1.25" customHeight="1" x14ac:dyDescent="0.3">
      <c r="A53" s="132"/>
      <c r="B53" s="132"/>
      <c r="C53" s="132"/>
      <c r="D53" s="132"/>
      <c r="E53" s="132"/>
      <c r="F53" s="132"/>
      <c r="G53" s="132"/>
      <c r="H53" s="132"/>
      <c r="I53" s="150" t="s">
        <v>221</v>
      </c>
      <c r="J53" s="151">
        <v>9.0500000000000007</v>
      </c>
      <c r="K53" s="159">
        <f>J53/J49</f>
        <v>1.2609581388244274E-3</v>
      </c>
      <c r="L53" s="151">
        <f t="shared" ref="L53:L56" si="21">J53*24</f>
        <v>217.20000000000002</v>
      </c>
      <c r="M53" s="153">
        <f t="shared" ref="M53:M56" si="22">L53/12</f>
        <v>18.100000000000001</v>
      </c>
      <c r="N53" s="130"/>
      <c r="O53" s="131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1.25" customHeight="1" x14ac:dyDescent="0.3">
      <c r="A54" s="132"/>
      <c r="B54" s="132"/>
      <c r="C54" s="132"/>
      <c r="D54" s="132"/>
      <c r="E54" s="132"/>
      <c r="F54" s="132"/>
      <c r="G54" s="132"/>
      <c r="H54" s="132"/>
      <c r="I54" s="150" t="s">
        <v>222</v>
      </c>
      <c r="J54" s="151">
        <v>23.67</v>
      </c>
      <c r="K54" s="159">
        <f>J54/J49</f>
        <v>3.2979976956877561E-3</v>
      </c>
      <c r="L54" s="151">
        <f t="shared" si="21"/>
        <v>568.08000000000004</v>
      </c>
      <c r="M54" s="153">
        <f t="shared" si="22"/>
        <v>47.34</v>
      </c>
      <c r="N54" s="130"/>
      <c r="O54" s="131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1.25" customHeight="1" x14ac:dyDescent="0.3">
      <c r="A55" s="132"/>
      <c r="B55" s="132"/>
      <c r="C55" s="132"/>
      <c r="D55" s="132"/>
      <c r="E55" s="132"/>
      <c r="F55" s="132"/>
      <c r="G55" s="132"/>
      <c r="H55" s="132"/>
      <c r="I55" s="150" t="s">
        <v>223</v>
      </c>
      <c r="J55" s="151">
        <v>-32.15</v>
      </c>
      <c r="K55" s="159">
        <f>J55/J49</f>
        <v>-4.4795363716248985E-3</v>
      </c>
      <c r="L55" s="151">
        <f t="shared" si="21"/>
        <v>-771.59999999999991</v>
      </c>
      <c r="M55" s="153">
        <f t="shared" si="22"/>
        <v>-64.3</v>
      </c>
      <c r="N55" s="130"/>
      <c r="O55" s="131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1.25" customHeight="1" x14ac:dyDescent="0.3">
      <c r="A56" s="132"/>
      <c r="B56" s="132"/>
      <c r="C56" s="132"/>
      <c r="D56" s="132"/>
      <c r="E56" s="132"/>
      <c r="F56" s="132"/>
      <c r="G56" s="132"/>
      <c r="H56" s="132"/>
      <c r="I56" s="150" t="s">
        <v>162</v>
      </c>
      <c r="J56" s="151">
        <f>J49*K56</f>
        <v>502.39574217000006</v>
      </c>
      <c r="K56" s="159">
        <v>7.0000000000000007E-2</v>
      </c>
      <c r="L56" s="151">
        <f t="shared" si="21"/>
        <v>12057.497812080001</v>
      </c>
      <c r="M56" s="153">
        <f t="shared" si="22"/>
        <v>1004.79148434</v>
      </c>
      <c r="N56" s="130"/>
      <c r="O56" s="131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1.25" customHeight="1" x14ac:dyDescent="0.3">
      <c r="A57" s="132"/>
      <c r="B57" s="132"/>
      <c r="C57" s="132"/>
      <c r="D57" s="132"/>
      <c r="E57" s="132"/>
      <c r="F57" s="132"/>
      <c r="G57" s="132"/>
      <c r="H57" s="132"/>
      <c r="I57" s="144" t="s">
        <v>164</v>
      </c>
      <c r="J57" s="145">
        <f>SUM(J53:J56)</f>
        <v>502.96574217000006</v>
      </c>
      <c r="K57" s="146"/>
      <c r="L57" s="145"/>
      <c r="M57" s="147"/>
      <c r="N57" s="131"/>
      <c r="O57" s="131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1.25" customHeight="1" x14ac:dyDescent="0.3">
      <c r="A58" s="132"/>
      <c r="B58" s="132"/>
      <c r="C58" s="132"/>
      <c r="D58" s="132"/>
      <c r="E58" s="132"/>
      <c r="F58" s="132"/>
      <c r="G58" s="132"/>
      <c r="H58" s="132"/>
      <c r="I58" s="150"/>
      <c r="J58" s="151"/>
      <c r="K58" s="152"/>
      <c r="L58" s="151"/>
      <c r="M58" s="153"/>
      <c r="N58" s="131"/>
      <c r="O58" s="131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1.25" customHeight="1" x14ac:dyDescent="0.3">
      <c r="A59" s="132"/>
      <c r="B59" s="132"/>
      <c r="C59" s="132"/>
      <c r="D59" s="132"/>
      <c r="E59" s="132"/>
      <c r="F59" s="132"/>
      <c r="G59" s="132"/>
      <c r="H59" s="132"/>
      <c r="I59" s="144" t="s">
        <v>167</v>
      </c>
      <c r="J59" s="145">
        <f>J51-J57</f>
        <v>6708.1162888299996</v>
      </c>
      <c r="K59" s="146"/>
      <c r="L59" s="145">
        <f>J59*24</f>
        <v>160994.79093192</v>
      </c>
      <c r="M59" s="147">
        <f>L59/12</f>
        <v>13416.232577659999</v>
      </c>
      <c r="N59" s="130"/>
      <c r="O59" s="131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1.25" customHeight="1" x14ac:dyDescent="0.3">
      <c r="A60" s="132"/>
      <c r="B60" s="132"/>
      <c r="C60" s="132"/>
      <c r="D60" s="132"/>
      <c r="E60" s="132"/>
      <c r="F60" s="132"/>
      <c r="G60" s="132"/>
      <c r="H60" s="132"/>
      <c r="I60" s="150"/>
      <c r="J60" s="151"/>
      <c r="K60" s="152"/>
      <c r="L60" s="151"/>
      <c r="M60" s="153"/>
      <c r="N60" s="130"/>
      <c r="O60" s="131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1.25" customHeight="1" x14ac:dyDescent="0.3">
      <c r="A61" s="132"/>
      <c r="B61" s="132"/>
      <c r="C61" s="132"/>
      <c r="D61" s="132"/>
      <c r="E61" s="132"/>
      <c r="F61" s="132"/>
      <c r="G61" s="132"/>
      <c r="H61" s="132"/>
      <c r="I61" s="150" t="s">
        <v>170</v>
      </c>
      <c r="J61" s="151">
        <v>1140.53</v>
      </c>
      <c r="K61" s="159">
        <f>J61/J59</f>
        <v>0.17002239539274985</v>
      </c>
      <c r="L61" s="151">
        <f t="shared" ref="L61:L65" si="23">J61*24</f>
        <v>27372.720000000001</v>
      </c>
      <c r="M61" s="153">
        <f t="shared" ref="M61:M65" si="24">L61/12</f>
        <v>2281.06</v>
      </c>
      <c r="N61" s="130"/>
      <c r="O61" s="131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1.25" customHeight="1" x14ac:dyDescent="0.3">
      <c r="A62" s="132"/>
      <c r="B62" s="132"/>
      <c r="C62" s="132"/>
      <c r="D62" s="132"/>
      <c r="E62" s="132"/>
      <c r="F62" s="132"/>
      <c r="G62" s="132"/>
      <c r="H62" s="132"/>
      <c r="I62" s="150" t="s">
        <v>172</v>
      </c>
      <c r="J62" s="151">
        <v>203.9</v>
      </c>
      <c r="K62" s="159">
        <f>J62/J59</f>
        <v>3.0396014502539783E-2</v>
      </c>
      <c r="L62" s="151">
        <f t="shared" si="23"/>
        <v>4893.6000000000004</v>
      </c>
      <c r="M62" s="153">
        <f t="shared" si="24"/>
        <v>407.8</v>
      </c>
      <c r="N62" s="130"/>
      <c r="O62" s="131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1.25" customHeight="1" x14ac:dyDescent="0.3">
      <c r="A63" s="132"/>
      <c r="B63" s="132"/>
      <c r="C63" s="132"/>
      <c r="D63" s="132"/>
      <c r="E63" s="132"/>
      <c r="F63" s="132"/>
      <c r="G63" s="132"/>
      <c r="H63" s="132"/>
      <c r="I63" s="150" t="s">
        <v>173</v>
      </c>
      <c r="J63" s="151">
        <v>104.55</v>
      </c>
      <c r="K63" s="159">
        <f>J63/J51</f>
        <v>1.4498517635847984E-2</v>
      </c>
      <c r="L63" s="151">
        <f t="shared" si="23"/>
        <v>2509.1999999999998</v>
      </c>
      <c r="M63" s="153">
        <f t="shared" si="24"/>
        <v>209.1</v>
      </c>
      <c r="N63" s="130"/>
      <c r="O63" s="131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1.25" customHeight="1" x14ac:dyDescent="0.3">
      <c r="A64" s="132"/>
      <c r="B64" s="132"/>
      <c r="C64" s="132"/>
      <c r="D64" s="132"/>
      <c r="E64" s="132"/>
      <c r="F64" s="132"/>
      <c r="G64" s="132"/>
      <c r="H64" s="132"/>
      <c r="I64" s="150" t="s">
        <v>175</v>
      </c>
      <c r="J64" s="151">
        <v>447.05</v>
      </c>
      <c r="K64" s="159">
        <f>J64/J51</f>
        <v>6.1994857093312691E-2</v>
      </c>
      <c r="L64" s="151">
        <f t="shared" si="23"/>
        <v>10729.2</v>
      </c>
      <c r="M64" s="153">
        <f t="shared" si="24"/>
        <v>894.1</v>
      </c>
      <c r="N64" s="130"/>
      <c r="O64" s="131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1.25" customHeight="1" x14ac:dyDescent="0.3">
      <c r="A65" s="132"/>
      <c r="B65" s="132"/>
      <c r="C65" s="132"/>
      <c r="D65" s="132"/>
      <c r="E65" s="132"/>
      <c r="F65" s="132"/>
      <c r="G65" s="132"/>
      <c r="H65" s="132"/>
      <c r="I65" s="150" t="s">
        <v>179</v>
      </c>
      <c r="J65" s="151">
        <v>180.26</v>
      </c>
      <c r="K65" s="159">
        <f>J65/J51</f>
        <v>2.4997635476211932E-2</v>
      </c>
      <c r="L65" s="151">
        <f t="shared" si="23"/>
        <v>4326.24</v>
      </c>
      <c r="M65" s="153">
        <f t="shared" si="24"/>
        <v>360.52</v>
      </c>
      <c r="N65" s="130"/>
      <c r="O65" s="131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1.25" customHeight="1" x14ac:dyDescent="0.3">
      <c r="A66" s="132"/>
      <c r="B66" s="132"/>
      <c r="C66" s="132"/>
      <c r="D66" s="132"/>
      <c r="E66" s="132"/>
      <c r="F66" s="132"/>
      <c r="G66" s="132"/>
      <c r="H66" s="132"/>
      <c r="I66" s="144" t="s">
        <v>181</v>
      </c>
      <c r="J66" s="145">
        <f>SUM(J61:J65)</f>
        <v>2076.29</v>
      </c>
      <c r="K66" s="163">
        <f>J66/J49</f>
        <v>0.28929445017235028</v>
      </c>
      <c r="L66" s="145"/>
      <c r="M66" s="147"/>
      <c r="N66" s="130"/>
      <c r="O66" s="13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1.25" customHeight="1" x14ac:dyDescent="0.3">
      <c r="A67" s="132"/>
      <c r="B67" s="132"/>
      <c r="C67" s="132"/>
      <c r="D67" s="132"/>
      <c r="E67" s="132"/>
      <c r="F67" s="132"/>
      <c r="G67" s="132"/>
      <c r="H67" s="132"/>
      <c r="I67" s="150"/>
      <c r="J67" s="151"/>
      <c r="K67" s="152"/>
      <c r="L67" s="151"/>
      <c r="M67" s="153"/>
      <c r="N67" s="130"/>
      <c r="O67" s="131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1.25" customHeight="1" x14ac:dyDescent="0.3">
      <c r="A68" s="132"/>
      <c r="B68" s="132"/>
      <c r="C68" s="132"/>
      <c r="D68" s="132"/>
      <c r="E68" s="132"/>
      <c r="F68" s="132"/>
      <c r="G68" s="132"/>
      <c r="H68" s="132"/>
      <c r="I68" s="190" t="s">
        <v>215</v>
      </c>
      <c r="J68" s="191">
        <f>J49-J57-J66</f>
        <v>4597.8262888299996</v>
      </c>
      <c r="K68" s="192">
        <f>(J68+J56)/J49</f>
        <v>0.71062613036476241</v>
      </c>
      <c r="L68" s="191">
        <f>J68*24</f>
        <v>110347.83093191999</v>
      </c>
      <c r="M68" s="193">
        <f>L68/12</f>
        <v>9195.6525776599992</v>
      </c>
      <c r="N68" s="185">
        <f>L68</f>
        <v>110347.83093191999</v>
      </c>
      <c r="O68" s="131">
        <f>N68/24</f>
        <v>4597.8262888299996</v>
      </c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1.25" customHeight="1" x14ac:dyDescent="0.3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1.25" customHeight="1" x14ac:dyDescent="0.3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1.25" customHeight="1" x14ac:dyDescent="0.3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1.25" customHeight="1" x14ac:dyDescent="0.3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1.25" customHeight="1" x14ac:dyDescent="0.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1.25" customHeight="1" x14ac:dyDescent="0.3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1.25" customHeight="1" x14ac:dyDescent="0.3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1.25" customHeight="1" x14ac:dyDescent="0.3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1.25" customHeight="1" x14ac:dyDescent="0.3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1.25" customHeight="1" x14ac:dyDescent="0.3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1.25" customHeight="1" x14ac:dyDescent="0.3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1.25" customHeight="1" x14ac:dyDescent="0.3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1.25" customHeight="1" x14ac:dyDescent="0.3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1.25" customHeight="1" x14ac:dyDescent="0.3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1.25" customHeight="1" x14ac:dyDescent="0.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1.25" customHeight="1" x14ac:dyDescent="0.3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1.25" customHeight="1" x14ac:dyDescent="0.3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1.25" customHeight="1" x14ac:dyDescent="0.3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1.25" customHeight="1" x14ac:dyDescent="0.3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1.25" customHeight="1" x14ac:dyDescent="0.3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1.25" customHeight="1" x14ac:dyDescent="0.3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1.25" customHeight="1" x14ac:dyDescent="0.3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1.25" customHeight="1" x14ac:dyDescent="0.3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1.25" customHeight="1" x14ac:dyDescent="0.3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1.25" customHeight="1" x14ac:dyDescent="0.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1.25" customHeight="1" x14ac:dyDescent="0.3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1.25" customHeight="1" x14ac:dyDescent="0.3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1.25" customHeight="1" x14ac:dyDescent="0.3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1.25" customHeight="1" x14ac:dyDescent="0.3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1.25" customHeight="1" x14ac:dyDescent="0.3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1.25" customHeight="1" x14ac:dyDescent="0.3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1.25" customHeight="1" x14ac:dyDescent="0.3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1.25" customHeight="1" x14ac:dyDescent="0.3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1.25" customHeight="1" x14ac:dyDescent="0.3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1.25" customHeight="1" x14ac:dyDescent="0.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1.25" customHeight="1" x14ac:dyDescent="0.3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1.25" customHeight="1" x14ac:dyDescent="0.3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1.25" customHeight="1" x14ac:dyDescent="0.3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1.25" customHeight="1" x14ac:dyDescent="0.3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1.25" customHeight="1" x14ac:dyDescent="0.3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1.25" customHeight="1" x14ac:dyDescent="0.3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1.25" customHeight="1" x14ac:dyDescent="0.3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1.25" customHeight="1" x14ac:dyDescent="0.3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1.25" customHeight="1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1.25" customHeight="1" x14ac:dyDescent="0.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1.25" customHeight="1" x14ac:dyDescent="0.3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1.25" customHeight="1" x14ac:dyDescent="0.3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1.25" customHeight="1" x14ac:dyDescent="0.3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1.25" customHeight="1" x14ac:dyDescent="0.3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1.25" customHeight="1" x14ac:dyDescent="0.3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1.25" customHeight="1" x14ac:dyDescent="0.3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1.25" customHeight="1" x14ac:dyDescent="0.3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1.25" customHeight="1" x14ac:dyDescent="0.3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1.25" customHeight="1" x14ac:dyDescent="0.3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1.25" customHeight="1" x14ac:dyDescent="0.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1.25" customHeight="1" x14ac:dyDescent="0.3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1.25" customHeight="1" x14ac:dyDescent="0.3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1.25" customHeight="1" x14ac:dyDescent="0.3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1.25" customHeight="1" x14ac:dyDescent="0.3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1.25" customHeight="1" x14ac:dyDescent="0.3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1.25" customHeight="1" x14ac:dyDescent="0.3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1.25" customHeight="1" x14ac:dyDescent="0.3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1.25" customHeight="1" x14ac:dyDescent="0.3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1.25" customHeight="1" x14ac:dyDescent="0.3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1.25" customHeight="1" x14ac:dyDescent="0.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1.25" customHeight="1" x14ac:dyDescent="0.3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1.25" customHeight="1" x14ac:dyDescent="0.3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1.25" customHeight="1" x14ac:dyDescent="0.3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1.25" customHeight="1" x14ac:dyDescent="0.3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1.25" customHeight="1" x14ac:dyDescent="0.3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1.25" customHeight="1" x14ac:dyDescent="0.3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1.25" customHeight="1" x14ac:dyDescent="0.3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1.25" customHeight="1" x14ac:dyDescent="0.3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1.25" customHeight="1" x14ac:dyDescent="0.3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1.25" customHeight="1" x14ac:dyDescent="0.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1.25" customHeight="1" x14ac:dyDescent="0.3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1.25" customHeight="1" x14ac:dyDescent="0.3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1.25" customHeight="1" x14ac:dyDescent="0.3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1.25" customHeight="1" x14ac:dyDescent="0.3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1.25" customHeight="1" x14ac:dyDescent="0.3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1.25" customHeight="1" x14ac:dyDescent="0.3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1.25" customHeight="1" x14ac:dyDescent="0.3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1.25" customHeight="1" x14ac:dyDescent="0.3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1.25" customHeight="1" x14ac:dyDescent="0.3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1.25" customHeight="1" x14ac:dyDescent="0.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1.25" customHeight="1" x14ac:dyDescent="0.3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1.25" customHeight="1" x14ac:dyDescent="0.3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1.25" customHeight="1" x14ac:dyDescent="0.3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1.25" customHeight="1" x14ac:dyDescent="0.3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1.25" customHeight="1" x14ac:dyDescent="0.3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1.25" customHeight="1" x14ac:dyDescent="0.3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1.25" customHeight="1" x14ac:dyDescent="0.3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1.25" customHeight="1" x14ac:dyDescent="0.3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1.25" customHeight="1" x14ac:dyDescent="0.3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1.25" customHeight="1" x14ac:dyDescent="0.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1.25" customHeight="1" x14ac:dyDescent="0.3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1.25" customHeight="1" x14ac:dyDescent="0.3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1.25" customHeight="1" x14ac:dyDescent="0.3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1.25" customHeight="1" x14ac:dyDescent="0.3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1.25" customHeight="1" x14ac:dyDescent="0.3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1.25" customHeight="1" x14ac:dyDescent="0.3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1.25" customHeight="1" x14ac:dyDescent="0.3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1.25" customHeight="1" x14ac:dyDescent="0.3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1.25" customHeight="1" x14ac:dyDescent="0.3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1.25" customHeight="1" x14ac:dyDescent="0.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1.25" customHeight="1" x14ac:dyDescent="0.3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1.25" customHeight="1" x14ac:dyDescent="0.3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1.25" customHeight="1" x14ac:dyDescent="0.3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1.25" customHeight="1" x14ac:dyDescent="0.3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1.25" customHeight="1" x14ac:dyDescent="0.3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1.25" customHeight="1" x14ac:dyDescent="0.3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1.25" customHeight="1" x14ac:dyDescent="0.3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1.25" customHeight="1" x14ac:dyDescent="0.3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1.25" customHeight="1" x14ac:dyDescent="0.3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1.25" customHeight="1" x14ac:dyDescent="0.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1.25" customHeight="1" x14ac:dyDescent="0.3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1.25" customHeight="1" x14ac:dyDescent="0.3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1.25" customHeight="1" x14ac:dyDescent="0.3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1.25" customHeight="1" x14ac:dyDescent="0.3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1.25" customHeight="1" x14ac:dyDescent="0.3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1.25" customHeight="1" x14ac:dyDescent="0.3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1.25" customHeight="1" x14ac:dyDescent="0.3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1.25" customHeight="1" x14ac:dyDescent="0.3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1.25" customHeight="1" x14ac:dyDescent="0.3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1.25" customHeight="1" x14ac:dyDescent="0.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1.25" customHeight="1" x14ac:dyDescent="0.3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1.25" customHeight="1" x14ac:dyDescent="0.3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1.25" customHeight="1" x14ac:dyDescent="0.3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1.25" customHeight="1" x14ac:dyDescent="0.3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1.25" customHeight="1" x14ac:dyDescent="0.3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1.25" customHeight="1" x14ac:dyDescent="0.3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1.25" customHeight="1" x14ac:dyDescent="0.3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1.25" customHeight="1" x14ac:dyDescent="0.3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1.25" customHeight="1" x14ac:dyDescent="0.3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1.25" customHeight="1" x14ac:dyDescent="0.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1.25" customHeight="1" x14ac:dyDescent="0.3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1.25" customHeight="1" x14ac:dyDescent="0.3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1.25" customHeight="1" x14ac:dyDescent="0.3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1.25" customHeight="1" x14ac:dyDescent="0.3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1.25" customHeight="1" x14ac:dyDescent="0.3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1.25" customHeight="1" x14ac:dyDescent="0.3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1.25" customHeight="1" x14ac:dyDescent="0.3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1.25" customHeight="1" x14ac:dyDescent="0.3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1.25" customHeight="1" x14ac:dyDescent="0.3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1.25" customHeight="1" x14ac:dyDescent="0.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1.25" customHeight="1" x14ac:dyDescent="0.3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1.25" customHeight="1" x14ac:dyDescent="0.3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1.25" customHeight="1" x14ac:dyDescent="0.3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1.25" customHeight="1" x14ac:dyDescent="0.3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1.25" customHeight="1" x14ac:dyDescent="0.3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1.25" customHeight="1" x14ac:dyDescent="0.3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1.25" customHeight="1" x14ac:dyDescent="0.3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1.25" customHeight="1" x14ac:dyDescent="0.3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1.25" customHeight="1" x14ac:dyDescent="0.3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1.25" customHeight="1" x14ac:dyDescent="0.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1.25" customHeight="1" x14ac:dyDescent="0.3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1.25" customHeight="1" x14ac:dyDescent="0.3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1.25" customHeight="1" x14ac:dyDescent="0.3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1.25" customHeight="1" x14ac:dyDescent="0.3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1.25" customHeight="1" x14ac:dyDescent="0.3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1.25" customHeight="1" x14ac:dyDescent="0.3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1.25" customHeight="1" x14ac:dyDescent="0.3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1.25" customHeight="1" x14ac:dyDescent="0.3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1.25" customHeight="1" x14ac:dyDescent="0.3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1.25" customHeight="1" x14ac:dyDescent="0.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1.25" customHeight="1" x14ac:dyDescent="0.3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1.25" customHeight="1" x14ac:dyDescent="0.3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1.25" customHeight="1" x14ac:dyDescent="0.3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1.25" customHeight="1" x14ac:dyDescent="0.3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1.25" customHeight="1" x14ac:dyDescent="0.3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1.25" customHeight="1" x14ac:dyDescent="0.3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1.25" customHeight="1" x14ac:dyDescent="0.3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1.25" customHeight="1" x14ac:dyDescent="0.3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1.25" customHeight="1" x14ac:dyDescent="0.3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1.25" customHeight="1" x14ac:dyDescent="0.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1.25" customHeight="1" x14ac:dyDescent="0.3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1.25" customHeight="1" x14ac:dyDescent="0.3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1.25" customHeight="1" x14ac:dyDescent="0.3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1.25" customHeight="1" x14ac:dyDescent="0.3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1.25" customHeight="1" x14ac:dyDescent="0.3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1.25" customHeight="1" x14ac:dyDescent="0.3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1.25" customHeight="1" x14ac:dyDescent="0.3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1.25" customHeight="1" x14ac:dyDescent="0.3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1.25" customHeight="1" x14ac:dyDescent="0.3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1.25" customHeight="1" x14ac:dyDescent="0.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1.25" customHeight="1" x14ac:dyDescent="0.3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1.25" customHeight="1" x14ac:dyDescent="0.3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1.25" customHeight="1" x14ac:dyDescent="0.3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1.25" customHeight="1" x14ac:dyDescent="0.3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1.25" customHeight="1" x14ac:dyDescent="0.3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1.25" customHeight="1" x14ac:dyDescent="0.3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1.25" customHeight="1" x14ac:dyDescent="0.3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1.25" customHeight="1" x14ac:dyDescent="0.3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1.25" customHeight="1" x14ac:dyDescent="0.3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1.25" customHeight="1" x14ac:dyDescent="0.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1.25" customHeight="1" x14ac:dyDescent="0.3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1.25" customHeight="1" x14ac:dyDescent="0.3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1.25" customHeight="1" x14ac:dyDescent="0.3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1.25" customHeight="1" x14ac:dyDescent="0.3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1.25" customHeight="1" x14ac:dyDescent="0.3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1.25" customHeight="1" x14ac:dyDescent="0.3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1.25" customHeight="1" x14ac:dyDescent="0.3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1.25" customHeight="1" x14ac:dyDescent="0.3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1.25" customHeight="1" x14ac:dyDescent="0.3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1.25" customHeight="1" x14ac:dyDescent="0.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1.25" customHeight="1" x14ac:dyDescent="0.3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1.25" customHeight="1" x14ac:dyDescent="0.3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1.25" customHeight="1" x14ac:dyDescent="0.3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1.25" customHeight="1" x14ac:dyDescent="0.3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1.25" customHeight="1" x14ac:dyDescent="0.3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1.25" customHeight="1" x14ac:dyDescent="0.3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1.25" customHeight="1" x14ac:dyDescent="0.3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1.25" customHeight="1" x14ac:dyDescent="0.3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1.25" customHeight="1" x14ac:dyDescent="0.3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1.25" customHeight="1" x14ac:dyDescent="0.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1.25" customHeight="1" x14ac:dyDescent="0.3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1.25" customHeight="1" x14ac:dyDescent="0.3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1.25" customHeight="1" x14ac:dyDescent="0.3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1.25" customHeight="1" x14ac:dyDescent="0.3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1.25" customHeight="1" x14ac:dyDescent="0.3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1.25" customHeight="1" x14ac:dyDescent="0.3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1.25" customHeight="1" x14ac:dyDescent="0.3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1.25" customHeight="1" x14ac:dyDescent="0.3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1.25" customHeight="1" x14ac:dyDescent="0.3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1.25" customHeight="1" x14ac:dyDescent="0.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1.25" customHeight="1" x14ac:dyDescent="0.3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1.25" customHeight="1" x14ac:dyDescent="0.3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1.25" customHeight="1" x14ac:dyDescent="0.3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1.25" customHeight="1" x14ac:dyDescent="0.3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1.25" customHeight="1" x14ac:dyDescent="0.3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1.25" customHeight="1" x14ac:dyDescent="0.3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1.25" customHeight="1" x14ac:dyDescent="0.3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1.25" customHeight="1" x14ac:dyDescent="0.3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1.25" customHeight="1" x14ac:dyDescent="0.3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1.25" customHeight="1" x14ac:dyDescent="0.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1.25" customHeight="1" x14ac:dyDescent="0.3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1.25" customHeight="1" x14ac:dyDescent="0.3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1.25" customHeight="1" x14ac:dyDescent="0.3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1.25" customHeight="1" x14ac:dyDescent="0.3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1.25" customHeight="1" x14ac:dyDescent="0.3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1.25" customHeight="1" x14ac:dyDescent="0.3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1.25" customHeight="1" x14ac:dyDescent="0.3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1.25" customHeight="1" x14ac:dyDescent="0.3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1.25" customHeight="1" x14ac:dyDescent="0.3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1.25" customHeight="1" x14ac:dyDescent="0.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1.25" customHeight="1" x14ac:dyDescent="0.3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1.25" customHeight="1" x14ac:dyDescent="0.3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1.25" customHeight="1" x14ac:dyDescent="0.3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1.25" customHeight="1" x14ac:dyDescent="0.3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1.25" customHeight="1" x14ac:dyDescent="0.3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1.25" customHeight="1" x14ac:dyDescent="0.3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1.25" customHeight="1" x14ac:dyDescent="0.3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1.25" customHeight="1" x14ac:dyDescent="0.3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1.25" customHeight="1" x14ac:dyDescent="0.3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1.25" customHeight="1" x14ac:dyDescent="0.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1.25" customHeight="1" x14ac:dyDescent="0.3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1.25" customHeight="1" x14ac:dyDescent="0.3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1.25" customHeight="1" x14ac:dyDescent="0.3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1.25" customHeight="1" x14ac:dyDescent="0.3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1.25" customHeight="1" x14ac:dyDescent="0.3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1.25" customHeight="1" x14ac:dyDescent="0.3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1.25" customHeight="1" x14ac:dyDescent="0.3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1.25" customHeight="1" x14ac:dyDescent="0.3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1.25" customHeight="1" x14ac:dyDescent="0.3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1.25" customHeight="1" x14ac:dyDescent="0.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1.25" customHeight="1" x14ac:dyDescent="0.3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1.25" customHeight="1" x14ac:dyDescent="0.3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1.25" customHeight="1" x14ac:dyDescent="0.3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1.25" customHeight="1" x14ac:dyDescent="0.3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1.25" customHeight="1" x14ac:dyDescent="0.3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1.25" customHeight="1" x14ac:dyDescent="0.3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1.25" customHeight="1" x14ac:dyDescent="0.3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1.25" customHeight="1" x14ac:dyDescent="0.3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1.25" customHeight="1" x14ac:dyDescent="0.3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1.25" customHeight="1" x14ac:dyDescent="0.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1.25" customHeight="1" x14ac:dyDescent="0.3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1.25" customHeight="1" x14ac:dyDescent="0.3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1.25" customHeight="1" x14ac:dyDescent="0.3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1.25" customHeight="1" x14ac:dyDescent="0.3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1.25" customHeight="1" x14ac:dyDescent="0.3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1.25" customHeight="1" x14ac:dyDescent="0.3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1.25" customHeight="1" x14ac:dyDescent="0.3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1.25" customHeight="1" x14ac:dyDescent="0.3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1.25" customHeight="1" x14ac:dyDescent="0.3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1.25" customHeight="1" x14ac:dyDescent="0.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1.25" customHeight="1" x14ac:dyDescent="0.3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1.25" customHeight="1" x14ac:dyDescent="0.3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1.25" customHeight="1" x14ac:dyDescent="0.3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1.25" customHeight="1" x14ac:dyDescent="0.3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1.25" customHeight="1" x14ac:dyDescent="0.3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1.25" customHeight="1" x14ac:dyDescent="0.3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1.25" customHeight="1" x14ac:dyDescent="0.3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1.25" customHeight="1" x14ac:dyDescent="0.3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1.25" customHeight="1" x14ac:dyDescent="0.3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1.25" customHeight="1" x14ac:dyDescent="0.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1.25" customHeight="1" x14ac:dyDescent="0.3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1.25" customHeight="1" x14ac:dyDescent="0.3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1.25" customHeight="1" x14ac:dyDescent="0.3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1.25" customHeight="1" x14ac:dyDescent="0.3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1.25" customHeight="1" x14ac:dyDescent="0.3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1.25" customHeight="1" x14ac:dyDescent="0.3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1.25" customHeight="1" x14ac:dyDescent="0.3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1.25" customHeight="1" x14ac:dyDescent="0.3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1.25" customHeight="1" x14ac:dyDescent="0.3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1.25" customHeight="1" x14ac:dyDescent="0.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1.25" customHeight="1" x14ac:dyDescent="0.3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1.25" customHeight="1" x14ac:dyDescent="0.3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1.25" customHeight="1" x14ac:dyDescent="0.3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1.25" customHeight="1" x14ac:dyDescent="0.3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1.25" customHeight="1" x14ac:dyDescent="0.3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1.25" customHeight="1" x14ac:dyDescent="0.3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1.25" customHeight="1" x14ac:dyDescent="0.3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1.25" customHeight="1" x14ac:dyDescent="0.3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1.25" customHeight="1" x14ac:dyDescent="0.3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1.25" customHeight="1" x14ac:dyDescent="0.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1.25" customHeight="1" x14ac:dyDescent="0.3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1.25" customHeight="1" x14ac:dyDescent="0.3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1.25" customHeight="1" x14ac:dyDescent="0.3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1.25" customHeight="1" x14ac:dyDescent="0.3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1.25" customHeight="1" x14ac:dyDescent="0.3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1.25" customHeight="1" x14ac:dyDescent="0.3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1.25" customHeight="1" x14ac:dyDescent="0.3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1.25" customHeight="1" x14ac:dyDescent="0.3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1.25" customHeight="1" x14ac:dyDescent="0.3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1.25" customHeight="1" x14ac:dyDescent="0.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1.25" customHeight="1" x14ac:dyDescent="0.3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1.25" customHeight="1" x14ac:dyDescent="0.3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1.25" customHeight="1" x14ac:dyDescent="0.3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1.25" customHeight="1" x14ac:dyDescent="0.3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1.25" customHeight="1" x14ac:dyDescent="0.3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1.25" customHeight="1" x14ac:dyDescent="0.3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1.25" customHeight="1" x14ac:dyDescent="0.3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1.25" customHeight="1" x14ac:dyDescent="0.3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1.25" customHeight="1" x14ac:dyDescent="0.3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1.25" customHeight="1" x14ac:dyDescent="0.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1.25" customHeight="1" x14ac:dyDescent="0.3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1.25" customHeight="1" x14ac:dyDescent="0.3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1.25" customHeight="1" x14ac:dyDescent="0.3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1.25" customHeight="1" x14ac:dyDescent="0.3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1.25" customHeight="1" x14ac:dyDescent="0.3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1.25" customHeight="1" x14ac:dyDescent="0.3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1.25" customHeight="1" x14ac:dyDescent="0.3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1.25" customHeight="1" x14ac:dyDescent="0.3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1.25" customHeight="1" x14ac:dyDescent="0.3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1.25" customHeight="1" x14ac:dyDescent="0.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1.25" customHeight="1" x14ac:dyDescent="0.3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1.25" customHeight="1" x14ac:dyDescent="0.3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1.25" customHeight="1" x14ac:dyDescent="0.3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1.25" customHeight="1" x14ac:dyDescent="0.3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1.25" customHeight="1" x14ac:dyDescent="0.3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1.25" customHeight="1" x14ac:dyDescent="0.3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1.25" customHeight="1" x14ac:dyDescent="0.3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1.25" customHeight="1" x14ac:dyDescent="0.3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1.25" customHeight="1" x14ac:dyDescent="0.3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1.25" customHeight="1" x14ac:dyDescent="0.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1.25" customHeight="1" x14ac:dyDescent="0.3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1.25" customHeight="1" x14ac:dyDescent="0.3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1.25" customHeight="1" x14ac:dyDescent="0.3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1.25" customHeight="1" x14ac:dyDescent="0.3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1.25" customHeight="1" x14ac:dyDescent="0.3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1.25" customHeight="1" x14ac:dyDescent="0.3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1.25" customHeight="1" x14ac:dyDescent="0.3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1.25" customHeight="1" x14ac:dyDescent="0.3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1.25" customHeight="1" x14ac:dyDescent="0.3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1.25" customHeight="1" x14ac:dyDescent="0.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1.25" customHeight="1" x14ac:dyDescent="0.3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1.25" customHeight="1" x14ac:dyDescent="0.3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1.25" customHeight="1" x14ac:dyDescent="0.3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1.25" customHeight="1" x14ac:dyDescent="0.3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1.25" customHeight="1" x14ac:dyDescent="0.3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1.25" customHeight="1" x14ac:dyDescent="0.3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1.25" customHeight="1" x14ac:dyDescent="0.3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1.25" customHeight="1" x14ac:dyDescent="0.3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1.25" customHeight="1" x14ac:dyDescent="0.3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1.25" customHeight="1" x14ac:dyDescent="0.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1.25" customHeight="1" x14ac:dyDescent="0.3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1.25" customHeight="1" x14ac:dyDescent="0.3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1.25" customHeight="1" x14ac:dyDescent="0.3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1.25" customHeight="1" x14ac:dyDescent="0.3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1.25" customHeight="1" x14ac:dyDescent="0.3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1.25" customHeight="1" x14ac:dyDescent="0.3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1.25" customHeight="1" x14ac:dyDescent="0.3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1.25" customHeight="1" x14ac:dyDescent="0.3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1.25" customHeight="1" x14ac:dyDescent="0.3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1.25" customHeight="1" x14ac:dyDescent="0.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1.25" customHeight="1" x14ac:dyDescent="0.3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1.25" customHeight="1" x14ac:dyDescent="0.3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1.25" customHeight="1" x14ac:dyDescent="0.3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1.25" customHeight="1" x14ac:dyDescent="0.3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1.25" customHeight="1" x14ac:dyDescent="0.3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1.25" customHeight="1" x14ac:dyDescent="0.3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1.25" customHeight="1" x14ac:dyDescent="0.3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1.25" customHeight="1" x14ac:dyDescent="0.3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1.25" customHeight="1" x14ac:dyDescent="0.3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1.25" customHeight="1" x14ac:dyDescent="0.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1.25" customHeight="1" x14ac:dyDescent="0.3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1.25" customHeight="1" x14ac:dyDescent="0.3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1.25" customHeight="1" x14ac:dyDescent="0.3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1.25" customHeight="1" x14ac:dyDescent="0.3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1.25" customHeight="1" x14ac:dyDescent="0.3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1.25" customHeight="1" x14ac:dyDescent="0.3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1.25" customHeight="1" x14ac:dyDescent="0.3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1.25" customHeight="1" x14ac:dyDescent="0.3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1.25" customHeight="1" x14ac:dyDescent="0.3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1.25" customHeight="1" x14ac:dyDescent="0.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1.25" customHeight="1" x14ac:dyDescent="0.3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1.25" customHeight="1" x14ac:dyDescent="0.3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1.25" customHeight="1" x14ac:dyDescent="0.3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1.25" customHeight="1" x14ac:dyDescent="0.3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1.25" customHeight="1" x14ac:dyDescent="0.3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1.25" customHeight="1" x14ac:dyDescent="0.3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1.25" customHeight="1" x14ac:dyDescent="0.3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1.25" customHeight="1" x14ac:dyDescent="0.3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1.25" customHeight="1" x14ac:dyDescent="0.3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1.25" customHeight="1" x14ac:dyDescent="0.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1.25" customHeight="1" x14ac:dyDescent="0.3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1.25" customHeight="1" x14ac:dyDescent="0.3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1.25" customHeight="1" x14ac:dyDescent="0.3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1.25" customHeight="1" x14ac:dyDescent="0.3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1.25" customHeight="1" x14ac:dyDescent="0.3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1.25" customHeight="1" x14ac:dyDescent="0.3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1.25" customHeight="1" x14ac:dyDescent="0.3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1.25" customHeight="1" x14ac:dyDescent="0.3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1.25" customHeight="1" x14ac:dyDescent="0.3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1.25" customHeight="1" x14ac:dyDescent="0.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1.25" customHeight="1" x14ac:dyDescent="0.3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1.25" customHeight="1" x14ac:dyDescent="0.3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1.25" customHeight="1" x14ac:dyDescent="0.3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1.25" customHeight="1" x14ac:dyDescent="0.3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1.25" customHeight="1" x14ac:dyDescent="0.3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1.25" customHeight="1" x14ac:dyDescent="0.3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1.25" customHeight="1" x14ac:dyDescent="0.3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1.25" customHeight="1" x14ac:dyDescent="0.3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1.25" customHeight="1" x14ac:dyDescent="0.3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1.25" customHeight="1" x14ac:dyDescent="0.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1.25" customHeight="1" x14ac:dyDescent="0.3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1.25" customHeight="1" x14ac:dyDescent="0.3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1.25" customHeight="1" x14ac:dyDescent="0.3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1.25" customHeight="1" x14ac:dyDescent="0.3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1.25" customHeight="1" x14ac:dyDescent="0.3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1.25" customHeight="1" x14ac:dyDescent="0.3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1.25" customHeight="1" x14ac:dyDescent="0.3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1.25" customHeight="1" x14ac:dyDescent="0.3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1.25" customHeight="1" x14ac:dyDescent="0.3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1.25" customHeight="1" x14ac:dyDescent="0.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1.25" customHeight="1" x14ac:dyDescent="0.3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1.25" customHeight="1" x14ac:dyDescent="0.3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1.25" customHeight="1" x14ac:dyDescent="0.3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1.25" customHeight="1" x14ac:dyDescent="0.3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1.25" customHeight="1" x14ac:dyDescent="0.3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1.25" customHeight="1" x14ac:dyDescent="0.3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1.25" customHeight="1" x14ac:dyDescent="0.3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1.25" customHeight="1" x14ac:dyDescent="0.3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1.25" customHeight="1" x14ac:dyDescent="0.3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1.25" customHeight="1" x14ac:dyDescent="0.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1.25" customHeight="1" x14ac:dyDescent="0.3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1.25" customHeight="1" x14ac:dyDescent="0.3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1.25" customHeight="1" x14ac:dyDescent="0.3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1.25" customHeight="1" x14ac:dyDescent="0.3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1.25" customHeight="1" x14ac:dyDescent="0.3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1.25" customHeight="1" x14ac:dyDescent="0.3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1.25" customHeight="1" x14ac:dyDescent="0.3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1.25" customHeight="1" x14ac:dyDescent="0.3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1.25" customHeight="1" x14ac:dyDescent="0.3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1.25" customHeight="1" x14ac:dyDescent="0.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1.25" customHeight="1" x14ac:dyDescent="0.3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1.25" customHeight="1" x14ac:dyDescent="0.3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1.25" customHeight="1" x14ac:dyDescent="0.3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1.25" customHeight="1" x14ac:dyDescent="0.3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1.25" customHeight="1" x14ac:dyDescent="0.3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1.25" customHeight="1" x14ac:dyDescent="0.3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1.25" customHeight="1" x14ac:dyDescent="0.3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1.25" customHeight="1" x14ac:dyDescent="0.3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1.25" customHeight="1" x14ac:dyDescent="0.3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1.25" customHeight="1" x14ac:dyDescent="0.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1.25" customHeight="1" x14ac:dyDescent="0.3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1.25" customHeight="1" x14ac:dyDescent="0.3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1.25" customHeight="1" x14ac:dyDescent="0.3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1.25" customHeight="1" x14ac:dyDescent="0.3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1.25" customHeight="1" x14ac:dyDescent="0.3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1.25" customHeight="1" x14ac:dyDescent="0.3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1.25" customHeight="1" x14ac:dyDescent="0.3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1.25" customHeight="1" x14ac:dyDescent="0.3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1.25" customHeight="1" x14ac:dyDescent="0.3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1.25" customHeight="1" x14ac:dyDescent="0.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1.25" customHeight="1" x14ac:dyDescent="0.3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1.25" customHeight="1" x14ac:dyDescent="0.3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1.25" customHeight="1" x14ac:dyDescent="0.3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1.25" customHeight="1" x14ac:dyDescent="0.3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1.25" customHeight="1" x14ac:dyDescent="0.3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1.25" customHeight="1" x14ac:dyDescent="0.3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1.25" customHeight="1" x14ac:dyDescent="0.3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1.25" customHeight="1" x14ac:dyDescent="0.3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1.25" customHeight="1" x14ac:dyDescent="0.3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1.25" customHeight="1" x14ac:dyDescent="0.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1.25" customHeight="1" x14ac:dyDescent="0.3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1.25" customHeight="1" x14ac:dyDescent="0.3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1.25" customHeight="1" x14ac:dyDescent="0.3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1.25" customHeight="1" x14ac:dyDescent="0.3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1.25" customHeight="1" x14ac:dyDescent="0.3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1.25" customHeight="1" x14ac:dyDescent="0.3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1.25" customHeight="1" x14ac:dyDescent="0.3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1.25" customHeight="1" x14ac:dyDescent="0.3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1.25" customHeight="1" x14ac:dyDescent="0.3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1.25" customHeight="1" x14ac:dyDescent="0.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1.25" customHeight="1" x14ac:dyDescent="0.3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1.25" customHeight="1" x14ac:dyDescent="0.3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1.25" customHeight="1" x14ac:dyDescent="0.3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1.25" customHeight="1" x14ac:dyDescent="0.3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1.25" customHeight="1" x14ac:dyDescent="0.3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1.25" customHeight="1" x14ac:dyDescent="0.3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1.25" customHeight="1" x14ac:dyDescent="0.3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1.25" customHeight="1" x14ac:dyDescent="0.3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1.25" customHeight="1" x14ac:dyDescent="0.3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1.25" customHeight="1" x14ac:dyDescent="0.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1.25" customHeight="1" x14ac:dyDescent="0.3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1.25" customHeight="1" x14ac:dyDescent="0.3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1.25" customHeight="1" x14ac:dyDescent="0.3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1.25" customHeight="1" x14ac:dyDescent="0.3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1.25" customHeight="1" x14ac:dyDescent="0.3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1.25" customHeight="1" x14ac:dyDescent="0.3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1.25" customHeight="1" x14ac:dyDescent="0.3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1.25" customHeight="1" x14ac:dyDescent="0.3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1.25" customHeight="1" x14ac:dyDescent="0.3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1.25" customHeight="1" x14ac:dyDescent="0.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1.25" customHeight="1" x14ac:dyDescent="0.3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1.25" customHeight="1" x14ac:dyDescent="0.3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1.25" customHeight="1" x14ac:dyDescent="0.3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1.25" customHeight="1" x14ac:dyDescent="0.3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1.25" customHeight="1" x14ac:dyDescent="0.3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1.25" customHeight="1" x14ac:dyDescent="0.3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1.25" customHeight="1" x14ac:dyDescent="0.3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1.25" customHeight="1" x14ac:dyDescent="0.3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1.25" customHeight="1" x14ac:dyDescent="0.3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1.25" customHeight="1" x14ac:dyDescent="0.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1.25" customHeight="1" x14ac:dyDescent="0.3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1.25" customHeight="1" x14ac:dyDescent="0.3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1.25" customHeight="1" x14ac:dyDescent="0.3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1.25" customHeight="1" x14ac:dyDescent="0.3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1.25" customHeight="1" x14ac:dyDescent="0.3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1.25" customHeight="1" x14ac:dyDescent="0.3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1.25" customHeight="1" x14ac:dyDescent="0.3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1.25" customHeight="1" x14ac:dyDescent="0.3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1.25" customHeight="1" x14ac:dyDescent="0.3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1.25" customHeight="1" x14ac:dyDescent="0.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1.25" customHeight="1" x14ac:dyDescent="0.3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1.25" customHeight="1" x14ac:dyDescent="0.3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1.25" customHeight="1" x14ac:dyDescent="0.3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1.25" customHeight="1" x14ac:dyDescent="0.3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1.25" customHeight="1" x14ac:dyDescent="0.3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1.25" customHeight="1" x14ac:dyDescent="0.3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1.25" customHeight="1" x14ac:dyDescent="0.3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1.25" customHeight="1" x14ac:dyDescent="0.3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1.25" customHeight="1" x14ac:dyDescent="0.3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1.25" customHeight="1" x14ac:dyDescent="0.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1.25" customHeight="1" x14ac:dyDescent="0.3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1.25" customHeight="1" x14ac:dyDescent="0.3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1.25" customHeight="1" x14ac:dyDescent="0.3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1.25" customHeight="1" x14ac:dyDescent="0.3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1.25" customHeight="1" x14ac:dyDescent="0.3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1.25" customHeight="1" x14ac:dyDescent="0.3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1.25" customHeight="1" x14ac:dyDescent="0.3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1.25" customHeight="1" x14ac:dyDescent="0.3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1.25" customHeight="1" x14ac:dyDescent="0.3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1.25" customHeight="1" x14ac:dyDescent="0.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1.25" customHeight="1" x14ac:dyDescent="0.3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1.25" customHeight="1" x14ac:dyDescent="0.3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1.25" customHeight="1" x14ac:dyDescent="0.3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1.25" customHeight="1" x14ac:dyDescent="0.3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1.25" customHeight="1" x14ac:dyDescent="0.3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1.25" customHeight="1" x14ac:dyDescent="0.3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1.25" customHeight="1" x14ac:dyDescent="0.3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1.25" customHeight="1" x14ac:dyDescent="0.3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1.25" customHeight="1" x14ac:dyDescent="0.3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1.25" customHeight="1" x14ac:dyDescent="0.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1.25" customHeight="1" x14ac:dyDescent="0.3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1.25" customHeight="1" x14ac:dyDescent="0.3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1.25" customHeight="1" x14ac:dyDescent="0.3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1.25" customHeight="1" x14ac:dyDescent="0.3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1.25" customHeight="1" x14ac:dyDescent="0.3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1.25" customHeight="1" x14ac:dyDescent="0.3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1.25" customHeight="1" x14ac:dyDescent="0.3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1.25" customHeight="1" x14ac:dyDescent="0.3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1.25" customHeight="1" x14ac:dyDescent="0.3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1.25" customHeight="1" x14ac:dyDescent="0.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1.25" customHeight="1" x14ac:dyDescent="0.3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1.25" customHeight="1" x14ac:dyDescent="0.3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1.25" customHeight="1" x14ac:dyDescent="0.3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1.25" customHeight="1" x14ac:dyDescent="0.3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1.25" customHeight="1" x14ac:dyDescent="0.3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1.25" customHeight="1" x14ac:dyDescent="0.3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1.25" customHeight="1" x14ac:dyDescent="0.3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1.25" customHeight="1" x14ac:dyDescent="0.3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1.25" customHeight="1" x14ac:dyDescent="0.3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1.25" customHeight="1" x14ac:dyDescent="0.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1.25" customHeight="1" x14ac:dyDescent="0.3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1.25" customHeight="1" x14ac:dyDescent="0.3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1.25" customHeight="1" x14ac:dyDescent="0.3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1.25" customHeight="1" x14ac:dyDescent="0.3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1.25" customHeight="1" x14ac:dyDescent="0.3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1.25" customHeight="1" x14ac:dyDescent="0.3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1.25" customHeight="1" x14ac:dyDescent="0.3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1.25" customHeight="1" x14ac:dyDescent="0.3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1.25" customHeight="1" x14ac:dyDescent="0.3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1.25" customHeight="1" x14ac:dyDescent="0.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1.25" customHeight="1" x14ac:dyDescent="0.3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1.25" customHeight="1" x14ac:dyDescent="0.3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1.25" customHeight="1" x14ac:dyDescent="0.3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1.25" customHeight="1" x14ac:dyDescent="0.3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1.25" customHeight="1" x14ac:dyDescent="0.3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1.25" customHeight="1" x14ac:dyDescent="0.3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1.25" customHeight="1" x14ac:dyDescent="0.3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1.25" customHeight="1" x14ac:dyDescent="0.3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1.25" customHeight="1" x14ac:dyDescent="0.3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1.25" customHeight="1" x14ac:dyDescent="0.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1.25" customHeight="1" x14ac:dyDescent="0.3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1.25" customHeight="1" x14ac:dyDescent="0.3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1.25" customHeight="1" x14ac:dyDescent="0.3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1.25" customHeight="1" x14ac:dyDescent="0.3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1.25" customHeight="1" x14ac:dyDescent="0.3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1.25" customHeight="1" x14ac:dyDescent="0.3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1.25" customHeight="1" x14ac:dyDescent="0.3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1.25" customHeight="1" x14ac:dyDescent="0.3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1.25" customHeight="1" x14ac:dyDescent="0.3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1.25" customHeight="1" x14ac:dyDescent="0.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1.25" customHeight="1" x14ac:dyDescent="0.3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1.25" customHeight="1" x14ac:dyDescent="0.3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1.25" customHeight="1" x14ac:dyDescent="0.3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1.25" customHeight="1" x14ac:dyDescent="0.3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1.25" customHeight="1" x14ac:dyDescent="0.3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1.25" customHeight="1" x14ac:dyDescent="0.3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1.25" customHeight="1" x14ac:dyDescent="0.3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1.25" customHeight="1" x14ac:dyDescent="0.3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1.25" customHeight="1" x14ac:dyDescent="0.3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1.25" customHeight="1" x14ac:dyDescent="0.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1.25" customHeight="1" x14ac:dyDescent="0.3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1.25" customHeight="1" x14ac:dyDescent="0.3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1.25" customHeight="1" x14ac:dyDescent="0.3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1.25" customHeight="1" x14ac:dyDescent="0.3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1.25" customHeight="1" x14ac:dyDescent="0.3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1.25" customHeight="1" x14ac:dyDescent="0.3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1.25" customHeight="1" x14ac:dyDescent="0.3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1.25" customHeight="1" x14ac:dyDescent="0.3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1.25" customHeight="1" x14ac:dyDescent="0.3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1.25" customHeight="1" x14ac:dyDescent="0.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1.25" customHeight="1" x14ac:dyDescent="0.3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1.25" customHeight="1" x14ac:dyDescent="0.3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1.25" customHeight="1" x14ac:dyDescent="0.3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1.25" customHeight="1" x14ac:dyDescent="0.3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1.25" customHeight="1" x14ac:dyDescent="0.3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1.25" customHeight="1" x14ac:dyDescent="0.3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1.25" customHeight="1" x14ac:dyDescent="0.3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1.25" customHeight="1" x14ac:dyDescent="0.3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1.25" customHeight="1" x14ac:dyDescent="0.3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1.25" customHeight="1" x14ac:dyDescent="0.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1.25" customHeight="1" x14ac:dyDescent="0.3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1.25" customHeight="1" x14ac:dyDescent="0.3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1.25" customHeight="1" x14ac:dyDescent="0.3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1.25" customHeight="1" x14ac:dyDescent="0.3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1.25" customHeight="1" x14ac:dyDescent="0.3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1.25" customHeight="1" x14ac:dyDescent="0.3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1.25" customHeight="1" x14ac:dyDescent="0.3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1.25" customHeight="1" x14ac:dyDescent="0.3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1.25" customHeight="1" x14ac:dyDescent="0.3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1.25" customHeight="1" x14ac:dyDescent="0.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1.25" customHeight="1" x14ac:dyDescent="0.3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1.25" customHeight="1" x14ac:dyDescent="0.3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1.25" customHeight="1" x14ac:dyDescent="0.3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1.25" customHeight="1" x14ac:dyDescent="0.3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1.25" customHeight="1" x14ac:dyDescent="0.3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1.25" customHeight="1" x14ac:dyDescent="0.3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1.25" customHeight="1" x14ac:dyDescent="0.3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1.25" customHeight="1" x14ac:dyDescent="0.3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1.25" customHeight="1" x14ac:dyDescent="0.3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1.25" customHeight="1" x14ac:dyDescent="0.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1.25" customHeight="1" x14ac:dyDescent="0.3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1.25" customHeight="1" x14ac:dyDescent="0.3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1.25" customHeight="1" x14ac:dyDescent="0.3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1.25" customHeight="1" x14ac:dyDescent="0.3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1.25" customHeight="1" x14ac:dyDescent="0.3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1.25" customHeight="1" x14ac:dyDescent="0.3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1.25" customHeight="1" x14ac:dyDescent="0.3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1.25" customHeight="1" x14ac:dyDescent="0.3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1.25" customHeight="1" x14ac:dyDescent="0.3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1.25" customHeight="1" x14ac:dyDescent="0.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1.25" customHeight="1" x14ac:dyDescent="0.3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1.25" customHeight="1" x14ac:dyDescent="0.3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1.25" customHeight="1" x14ac:dyDescent="0.3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1.25" customHeight="1" x14ac:dyDescent="0.3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1.25" customHeight="1" x14ac:dyDescent="0.3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1.25" customHeight="1" x14ac:dyDescent="0.3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1.25" customHeight="1" x14ac:dyDescent="0.3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1.25" customHeight="1" x14ac:dyDescent="0.3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1.25" customHeight="1" x14ac:dyDescent="0.3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1.25" customHeight="1" x14ac:dyDescent="0.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1.25" customHeight="1" x14ac:dyDescent="0.3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1.25" customHeight="1" x14ac:dyDescent="0.3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1.25" customHeight="1" x14ac:dyDescent="0.3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1.25" customHeight="1" x14ac:dyDescent="0.3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1.25" customHeight="1" x14ac:dyDescent="0.3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1.25" customHeight="1" x14ac:dyDescent="0.3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1.25" customHeight="1" x14ac:dyDescent="0.3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1.25" customHeight="1" x14ac:dyDescent="0.3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1.25" customHeight="1" x14ac:dyDescent="0.3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1.25" customHeight="1" x14ac:dyDescent="0.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1.25" customHeight="1" x14ac:dyDescent="0.3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1.25" customHeight="1" x14ac:dyDescent="0.3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1.25" customHeight="1" x14ac:dyDescent="0.3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1.25" customHeight="1" x14ac:dyDescent="0.3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1.25" customHeight="1" x14ac:dyDescent="0.3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1.25" customHeight="1" x14ac:dyDescent="0.3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1.25" customHeight="1" x14ac:dyDescent="0.3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1.25" customHeight="1" x14ac:dyDescent="0.3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1.25" customHeight="1" x14ac:dyDescent="0.3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1.25" customHeight="1" x14ac:dyDescent="0.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1.25" customHeight="1" x14ac:dyDescent="0.3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1.25" customHeight="1" x14ac:dyDescent="0.3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1.25" customHeight="1" x14ac:dyDescent="0.3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1.25" customHeight="1" x14ac:dyDescent="0.3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1.25" customHeight="1" x14ac:dyDescent="0.3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1.25" customHeight="1" x14ac:dyDescent="0.3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1.25" customHeight="1" x14ac:dyDescent="0.3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1.25" customHeight="1" x14ac:dyDescent="0.3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1.25" customHeight="1" x14ac:dyDescent="0.3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1.25" customHeight="1" x14ac:dyDescent="0.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1.25" customHeight="1" x14ac:dyDescent="0.3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1.25" customHeight="1" x14ac:dyDescent="0.3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1.25" customHeight="1" x14ac:dyDescent="0.3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1.25" customHeight="1" x14ac:dyDescent="0.3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1.25" customHeight="1" x14ac:dyDescent="0.3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1.25" customHeight="1" x14ac:dyDescent="0.3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1.25" customHeight="1" x14ac:dyDescent="0.3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1.25" customHeight="1" x14ac:dyDescent="0.3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1.25" customHeight="1" x14ac:dyDescent="0.3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1.25" customHeight="1" x14ac:dyDescent="0.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1.25" customHeight="1" x14ac:dyDescent="0.3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1.25" customHeight="1" x14ac:dyDescent="0.3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1.25" customHeight="1" x14ac:dyDescent="0.3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1.25" customHeight="1" x14ac:dyDescent="0.3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1.25" customHeight="1" x14ac:dyDescent="0.3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1.25" customHeight="1" x14ac:dyDescent="0.3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1.25" customHeight="1" x14ac:dyDescent="0.3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1.25" customHeight="1" x14ac:dyDescent="0.3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1.25" customHeight="1" x14ac:dyDescent="0.3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1.25" customHeight="1" x14ac:dyDescent="0.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1.25" customHeight="1" x14ac:dyDescent="0.3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1.25" customHeight="1" x14ac:dyDescent="0.3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1.25" customHeight="1" x14ac:dyDescent="0.3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1.25" customHeight="1" x14ac:dyDescent="0.3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1.25" customHeight="1" x14ac:dyDescent="0.3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1.25" customHeight="1" x14ac:dyDescent="0.3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1.25" customHeight="1" x14ac:dyDescent="0.3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1.25" customHeight="1" x14ac:dyDescent="0.3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1.25" customHeight="1" x14ac:dyDescent="0.3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1.25" customHeight="1" x14ac:dyDescent="0.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1.25" customHeight="1" x14ac:dyDescent="0.3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1.25" customHeight="1" x14ac:dyDescent="0.3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1.25" customHeight="1" x14ac:dyDescent="0.3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1.25" customHeight="1" x14ac:dyDescent="0.3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1.25" customHeight="1" x14ac:dyDescent="0.3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1.25" customHeight="1" x14ac:dyDescent="0.3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1.25" customHeight="1" x14ac:dyDescent="0.3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1.25" customHeight="1" x14ac:dyDescent="0.3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1.25" customHeight="1" x14ac:dyDescent="0.3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1.25" customHeight="1" x14ac:dyDescent="0.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1.25" customHeight="1" x14ac:dyDescent="0.3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1.25" customHeight="1" x14ac:dyDescent="0.3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1.25" customHeight="1" x14ac:dyDescent="0.3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1.25" customHeight="1" x14ac:dyDescent="0.3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1.25" customHeight="1" x14ac:dyDescent="0.3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1.25" customHeight="1" x14ac:dyDescent="0.3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1.25" customHeight="1" x14ac:dyDescent="0.3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1.25" customHeight="1" x14ac:dyDescent="0.3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1.25" customHeight="1" x14ac:dyDescent="0.3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1.25" customHeight="1" x14ac:dyDescent="0.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1.25" customHeight="1" x14ac:dyDescent="0.3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1.25" customHeight="1" x14ac:dyDescent="0.3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1.25" customHeight="1" x14ac:dyDescent="0.3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1.25" customHeight="1" x14ac:dyDescent="0.3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1.25" customHeight="1" x14ac:dyDescent="0.3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1.25" customHeight="1" x14ac:dyDescent="0.3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1.25" customHeight="1" x14ac:dyDescent="0.3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1.25" customHeight="1" x14ac:dyDescent="0.3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1.25" customHeight="1" x14ac:dyDescent="0.3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1.25" customHeight="1" x14ac:dyDescent="0.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1.25" customHeight="1" x14ac:dyDescent="0.3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1.25" customHeight="1" x14ac:dyDescent="0.3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1.25" customHeight="1" x14ac:dyDescent="0.3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1.25" customHeight="1" x14ac:dyDescent="0.3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1.25" customHeight="1" x14ac:dyDescent="0.3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1.25" customHeight="1" x14ac:dyDescent="0.3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1.25" customHeight="1" x14ac:dyDescent="0.3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1.25" customHeight="1" x14ac:dyDescent="0.3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1.25" customHeight="1" x14ac:dyDescent="0.3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1.25" customHeight="1" x14ac:dyDescent="0.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1.25" customHeight="1" x14ac:dyDescent="0.3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1.25" customHeight="1" x14ac:dyDescent="0.3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1.25" customHeight="1" x14ac:dyDescent="0.3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1.25" customHeight="1" x14ac:dyDescent="0.3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1.25" customHeight="1" x14ac:dyDescent="0.3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1.25" customHeight="1" x14ac:dyDescent="0.3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1.25" customHeight="1" x14ac:dyDescent="0.3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1.25" customHeight="1" x14ac:dyDescent="0.3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1.25" customHeight="1" x14ac:dyDescent="0.3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1.25" customHeight="1" x14ac:dyDescent="0.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1.25" customHeight="1" x14ac:dyDescent="0.3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1.25" customHeight="1" x14ac:dyDescent="0.3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1.25" customHeight="1" x14ac:dyDescent="0.3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1.25" customHeight="1" x14ac:dyDescent="0.3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1.25" customHeight="1" x14ac:dyDescent="0.3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1.25" customHeight="1" x14ac:dyDescent="0.3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1.25" customHeight="1" x14ac:dyDescent="0.3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1.25" customHeight="1" x14ac:dyDescent="0.3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1.25" customHeight="1" x14ac:dyDescent="0.3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1.25" customHeight="1" x14ac:dyDescent="0.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1.25" customHeight="1" x14ac:dyDescent="0.3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1.25" customHeight="1" x14ac:dyDescent="0.3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1.25" customHeight="1" x14ac:dyDescent="0.3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1.25" customHeight="1" x14ac:dyDescent="0.3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1.25" customHeight="1" x14ac:dyDescent="0.3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1.25" customHeight="1" x14ac:dyDescent="0.3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1.25" customHeight="1" x14ac:dyDescent="0.3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1.25" customHeight="1" x14ac:dyDescent="0.3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1.25" customHeight="1" x14ac:dyDescent="0.3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1.25" customHeight="1" x14ac:dyDescent="0.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1.25" customHeight="1" x14ac:dyDescent="0.3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1.25" customHeight="1" x14ac:dyDescent="0.3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1.25" customHeight="1" x14ac:dyDescent="0.3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1.25" customHeight="1" x14ac:dyDescent="0.3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1.25" customHeight="1" x14ac:dyDescent="0.3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1.25" customHeight="1" x14ac:dyDescent="0.3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1.25" customHeight="1" x14ac:dyDescent="0.3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1.25" customHeight="1" x14ac:dyDescent="0.3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1.25" customHeight="1" x14ac:dyDescent="0.3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1.25" customHeight="1" x14ac:dyDescent="0.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1.25" customHeight="1" x14ac:dyDescent="0.3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1.25" customHeight="1" x14ac:dyDescent="0.3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1.25" customHeight="1" x14ac:dyDescent="0.3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1.25" customHeight="1" x14ac:dyDescent="0.3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1.25" customHeight="1" x14ac:dyDescent="0.3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1.25" customHeight="1" x14ac:dyDescent="0.3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1.25" customHeight="1" x14ac:dyDescent="0.3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1.25" customHeight="1" x14ac:dyDescent="0.3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1.25" customHeight="1" x14ac:dyDescent="0.3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1.25" customHeight="1" x14ac:dyDescent="0.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1.25" customHeight="1" x14ac:dyDescent="0.3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1.25" customHeight="1" x14ac:dyDescent="0.3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1.25" customHeight="1" x14ac:dyDescent="0.3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1.25" customHeight="1" x14ac:dyDescent="0.3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1.25" customHeight="1" x14ac:dyDescent="0.3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1.25" customHeight="1" x14ac:dyDescent="0.3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1.25" customHeight="1" x14ac:dyDescent="0.3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1.25" customHeight="1" x14ac:dyDescent="0.3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1.25" customHeight="1" x14ac:dyDescent="0.3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1.25" customHeight="1" x14ac:dyDescent="0.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1.25" customHeight="1" x14ac:dyDescent="0.3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1.25" customHeight="1" x14ac:dyDescent="0.3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1.25" customHeight="1" x14ac:dyDescent="0.3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1.25" customHeight="1" x14ac:dyDescent="0.3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1.25" customHeight="1" x14ac:dyDescent="0.3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1.25" customHeight="1" x14ac:dyDescent="0.3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1.25" customHeight="1" x14ac:dyDescent="0.3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1.25" customHeight="1" x14ac:dyDescent="0.3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1.25" customHeight="1" x14ac:dyDescent="0.3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1.25" customHeight="1" x14ac:dyDescent="0.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1.25" customHeight="1" x14ac:dyDescent="0.3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1.25" customHeight="1" x14ac:dyDescent="0.3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1.25" customHeight="1" x14ac:dyDescent="0.3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1.25" customHeight="1" x14ac:dyDescent="0.3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1.25" customHeight="1" x14ac:dyDescent="0.3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1.25" customHeight="1" x14ac:dyDescent="0.3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1.25" customHeight="1" x14ac:dyDescent="0.3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1.25" customHeight="1" x14ac:dyDescent="0.3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1.25" customHeight="1" x14ac:dyDescent="0.3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1.25" customHeight="1" x14ac:dyDescent="0.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1.25" customHeight="1" x14ac:dyDescent="0.3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1.25" customHeight="1" x14ac:dyDescent="0.3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1.25" customHeight="1" x14ac:dyDescent="0.3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1.25" customHeight="1" x14ac:dyDescent="0.3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1.25" customHeight="1" x14ac:dyDescent="0.3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1.25" customHeight="1" x14ac:dyDescent="0.3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1.25" customHeight="1" x14ac:dyDescent="0.3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1.25" customHeight="1" x14ac:dyDescent="0.3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1.25" customHeight="1" x14ac:dyDescent="0.3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1.25" customHeight="1" x14ac:dyDescent="0.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1.25" customHeight="1" x14ac:dyDescent="0.3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1.25" customHeight="1" x14ac:dyDescent="0.3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1.25" customHeight="1" x14ac:dyDescent="0.3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1.25" customHeight="1" x14ac:dyDescent="0.3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1.25" customHeight="1" x14ac:dyDescent="0.3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1.25" customHeight="1" x14ac:dyDescent="0.3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1.25" customHeight="1" x14ac:dyDescent="0.3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1.25" customHeight="1" x14ac:dyDescent="0.3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1.25" customHeight="1" x14ac:dyDescent="0.3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1.25" customHeight="1" x14ac:dyDescent="0.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1.25" customHeight="1" x14ac:dyDescent="0.3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1.25" customHeight="1" x14ac:dyDescent="0.3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1.25" customHeight="1" x14ac:dyDescent="0.3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1.25" customHeight="1" x14ac:dyDescent="0.3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1.25" customHeight="1" x14ac:dyDescent="0.3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1.25" customHeight="1" x14ac:dyDescent="0.3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1.25" customHeight="1" x14ac:dyDescent="0.3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1.25" customHeight="1" x14ac:dyDescent="0.3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1.25" customHeight="1" x14ac:dyDescent="0.3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1.25" customHeight="1" x14ac:dyDescent="0.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1.25" customHeight="1" x14ac:dyDescent="0.3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1.25" customHeight="1" x14ac:dyDescent="0.3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1.25" customHeight="1" x14ac:dyDescent="0.3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1.25" customHeight="1" x14ac:dyDescent="0.3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1.25" customHeight="1" x14ac:dyDescent="0.3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1.25" customHeight="1" x14ac:dyDescent="0.3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1.25" customHeight="1" x14ac:dyDescent="0.3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1.25" customHeight="1" x14ac:dyDescent="0.3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1.25" customHeight="1" x14ac:dyDescent="0.3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1.25" customHeight="1" x14ac:dyDescent="0.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1.25" customHeight="1" x14ac:dyDescent="0.3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1.25" customHeight="1" x14ac:dyDescent="0.3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1.25" customHeight="1" x14ac:dyDescent="0.3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1.25" customHeight="1" x14ac:dyDescent="0.3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1.25" customHeight="1" x14ac:dyDescent="0.3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1.25" customHeight="1" x14ac:dyDescent="0.3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1.25" customHeight="1" x14ac:dyDescent="0.3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1.25" customHeight="1" x14ac:dyDescent="0.3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1.25" customHeight="1" x14ac:dyDescent="0.3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1.25" customHeight="1" x14ac:dyDescent="0.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1.25" customHeight="1" x14ac:dyDescent="0.3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1.25" customHeight="1" x14ac:dyDescent="0.3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1.25" customHeight="1" x14ac:dyDescent="0.3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1.25" customHeight="1" x14ac:dyDescent="0.3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1.25" customHeight="1" x14ac:dyDescent="0.3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1.25" customHeight="1" x14ac:dyDescent="0.3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1.25" customHeight="1" x14ac:dyDescent="0.3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33" sqref="G3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96" t="s">
        <v>224</v>
      </c>
      <c r="B1" s="197" t="s">
        <v>225</v>
      </c>
      <c r="C1" s="198" t="s">
        <v>226</v>
      </c>
      <c r="D1" s="199"/>
      <c r="E1" s="200" t="s">
        <v>227</v>
      </c>
      <c r="F1" s="201" t="s">
        <v>228</v>
      </c>
      <c r="G1" s="202" t="s">
        <v>229</v>
      </c>
      <c r="H1" s="203" t="s">
        <v>230</v>
      </c>
      <c r="I1" s="204"/>
      <c r="J1" s="205" t="s">
        <v>231</v>
      </c>
      <c r="K1" s="206" t="s">
        <v>232</v>
      </c>
      <c r="L1" s="207" t="s">
        <v>229</v>
      </c>
      <c r="M1" s="208" t="s">
        <v>233</v>
      </c>
      <c r="N1" s="209"/>
      <c r="O1" s="210" t="s">
        <v>234</v>
      </c>
      <c r="P1" s="211" t="s">
        <v>235</v>
      </c>
      <c r="Q1" s="212" t="s">
        <v>229</v>
      </c>
      <c r="R1" s="209"/>
      <c r="S1" s="204"/>
      <c r="T1" s="209"/>
    </row>
    <row r="2" spans="1:20" ht="11.25" customHeight="1" x14ac:dyDescent="0.3">
      <c r="A2" s="213" t="s">
        <v>236</v>
      </c>
      <c r="B2" s="214">
        <v>2</v>
      </c>
      <c r="C2" s="215">
        <v>2</v>
      </c>
      <c r="D2" s="199" t="s">
        <v>287</v>
      </c>
      <c r="E2" s="216">
        <f>(B2*'Proposed Budget'!$O$68)+(C2*'Proposed Budget'!$O$44)+'Proposed Budget'!$L$21+'Proposed Budget'!$L$22</f>
        <v>16606.55292099333</v>
      </c>
      <c r="F2" s="217">
        <f>SUM('Monthly Breakdown'!I49:I52)</f>
        <v>15639.36</v>
      </c>
      <c r="G2" s="218">
        <f t="shared" ref="G2:G13" si="0">F2-E2</f>
        <v>-967.19292099332961</v>
      </c>
      <c r="H2" s="219">
        <f t="shared" ref="H2:H13" si="1">((F2-E2)/E2)</f>
        <v>-5.8241642657257522E-2</v>
      </c>
      <c r="I2" s="209"/>
      <c r="J2" s="220">
        <f t="shared" ref="J2:K2" si="2">SUM(O20,E20,J20)</f>
        <v>13000</v>
      </c>
      <c r="K2" s="221">
        <f t="shared" si="2"/>
        <v>12394.720000000001</v>
      </c>
      <c r="L2" s="222">
        <f t="shared" ref="L2:L13" si="3">J2-K2</f>
        <v>605.27999999999884</v>
      </c>
      <c r="M2" s="223">
        <f t="shared" ref="M2:M13" si="4">((K2-J2)/J2)</f>
        <v>-4.6559999999999907E-2</v>
      </c>
      <c r="N2" s="209"/>
      <c r="O2" s="224">
        <f t="shared" ref="O2:O13" si="5">E2-O20-E20-J20</f>
        <v>3606.5529209933302</v>
      </c>
      <c r="P2" s="225">
        <f>SUM('Monthly Breakdown'!I45:I46)</f>
        <v>3244.64</v>
      </c>
      <c r="Q2" s="226">
        <f t="shared" ref="Q2:Q13" si="6">P2-O2</f>
        <v>-361.91292099333032</v>
      </c>
      <c r="R2" s="209"/>
      <c r="S2" s="209"/>
      <c r="T2" s="209">
        <f t="shared" ref="T2:T13" si="7">F2-K2-P2</f>
        <v>0</v>
      </c>
    </row>
    <row r="3" spans="1:20" ht="11.25" customHeight="1" x14ac:dyDescent="0.3">
      <c r="A3" s="213" t="s">
        <v>237</v>
      </c>
      <c r="B3" s="214">
        <v>2</v>
      </c>
      <c r="C3" s="215">
        <v>2</v>
      </c>
      <c r="D3" s="199" t="s">
        <v>287</v>
      </c>
      <c r="E3" s="216">
        <f>(B3*'Proposed Budget'!$O$68)+(C3*'Proposed Budget'!$O$44)+'Proposed Budget'!$L$21+'Proposed Budget'!$L$22</f>
        <v>16606.55292099333</v>
      </c>
      <c r="F3" s="217">
        <f>SUM('Monthly Breakdown'!K49:K52)</f>
        <v>16615.62</v>
      </c>
      <c r="G3" s="218">
        <f t="shared" si="0"/>
        <v>9.0670790066687914</v>
      </c>
      <c r="H3" s="219">
        <f t="shared" si="1"/>
        <v>5.4599404523057629E-4</v>
      </c>
      <c r="I3" s="209"/>
      <c r="J3" s="220">
        <f t="shared" ref="J3:K3" si="8">SUM(O21,E21,J21)</f>
        <v>13000</v>
      </c>
      <c r="K3" s="221">
        <f t="shared" si="8"/>
        <v>12800.71</v>
      </c>
      <c r="L3" s="222">
        <f t="shared" si="3"/>
        <v>199.29000000000087</v>
      </c>
      <c r="M3" s="223">
        <f t="shared" si="4"/>
        <v>-1.5330000000000068E-2</v>
      </c>
      <c r="N3" s="209"/>
      <c r="O3" s="224">
        <f t="shared" si="5"/>
        <v>3606.5529209933302</v>
      </c>
      <c r="P3" s="225">
        <f>SUM('Monthly Breakdown'!K45:K46)</f>
        <v>3814.91</v>
      </c>
      <c r="Q3" s="226">
        <f t="shared" si="6"/>
        <v>208.35707900666966</v>
      </c>
      <c r="R3" s="209"/>
      <c r="S3" s="209"/>
      <c r="T3" s="209">
        <f t="shared" si="7"/>
        <v>0</v>
      </c>
    </row>
    <row r="4" spans="1:20" ht="11.25" customHeight="1" x14ac:dyDescent="0.3">
      <c r="A4" s="213" t="s">
        <v>238</v>
      </c>
      <c r="B4" s="214">
        <v>2</v>
      </c>
      <c r="C4" s="215">
        <v>2</v>
      </c>
      <c r="D4" s="199" t="s">
        <v>287</v>
      </c>
      <c r="E4" s="216">
        <f>(B4*'Proposed Budget'!$O$68)+(C4*'Proposed Budget'!$O$44)+'Proposed Budget'!$L$21+'Proposed Budget'!$L$22</f>
        <v>16606.55292099333</v>
      </c>
      <c r="F4" s="217">
        <f>SUM('Monthly Breakdown'!M49:M52)</f>
        <v>16971.29</v>
      </c>
      <c r="G4" s="218">
        <f t="shared" si="0"/>
        <v>364.73707900667068</v>
      </c>
      <c r="H4" s="219">
        <f t="shared" si="1"/>
        <v>2.1963443030105594E-2</v>
      </c>
      <c r="I4" s="209"/>
      <c r="J4" s="220">
        <f t="shared" ref="J4:K4" si="9">SUM(O22,E22,J22)</f>
        <v>13000</v>
      </c>
      <c r="K4" s="221">
        <f t="shared" si="9"/>
        <v>12611.71</v>
      </c>
      <c r="L4" s="222">
        <f t="shared" si="3"/>
        <v>388.29000000000087</v>
      </c>
      <c r="M4" s="223">
        <f t="shared" si="4"/>
        <v>-2.9868461538461604E-2</v>
      </c>
      <c r="N4" s="209"/>
      <c r="O4" s="224">
        <f t="shared" si="5"/>
        <v>3606.5529209933302</v>
      </c>
      <c r="P4" s="225">
        <f>SUM('Monthly Breakdown'!M45:M46)</f>
        <v>4359.58</v>
      </c>
      <c r="Q4" s="226">
        <f t="shared" si="6"/>
        <v>753.02707900666974</v>
      </c>
      <c r="R4" s="209"/>
      <c r="S4" s="209"/>
      <c r="T4" s="209">
        <f t="shared" si="7"/>
        <v>0</v>
      </c>
    </row>
    <row r="5" spans="1:20" ht="11.25" customHeight="1" x14ac:dyDescent="0.3">
      <c r="A5" s="213" t="s">
        <v>239</v>
      </c>
      <c r="B5" s="214">
        <v>2</v>
      </c>
      <c r="C5" s="215">
        <v>3</v>
      </c>
      <c r="D5" s="199" t="s">
        <v>287</v>
      </c>
      <c r="E5" s="216">
        <f>(B5*'Proposed Budget'!$O$68)+(C5*'Proposed Budget'!$O$44)+'Proposed Budget'!$L$21+'Proposed Budget'!$L$22</f>
        <v>19370.33642599333</v>
      </c>
      <c r="F5" s="217">
        <f>SUM('Monthly Breakdown'!O49:O52)</f>
        <v>18875.669999999998</v>
      </c>
      <c r="G5" s="218">
        <f t="shared" si="0"/>
        <v>-494.66642599333136</v>
      </c>
      <c r="H5" s="219">
        <f t="shared" si="1"/>
        <v>-2.5537317221270946E-2</v>
      </c>
      <c r="I5" s="209"/>
      <c r="J5" s="220">
        <f t="shared" ref="J5:K5" si="10">SUM(O23,E23,J23)</f>
        <v>13000</v>
      </c>
      <c r="K5" s="221">
        <f t="shared" si="10"/>
        <v>13208.85</v>
      </c>
      <c r="L5" s="222">
        <f t="shared" si="3"/>
        <v>-208.85000000000036</v>
      </c>
      <c r="M5" s="223">
        <f t="shared" si="4"/>
        <v>1.6065384615384645E-2</v>
      </c>
      <c r="N5" s="209"/>
      <c r="O5" s="224">
        <f t="shared" si="5"/>
        <v>6370.3364259933296</v>
      </c>
      <c r="P5" s="225">
        <f>SUM('Monthly Breakdown'!O45:O46)</f>
        <v>5666.82</v>
      </c>
      <c r="Q5" s="226">
        <f t="shared" si="6"/>
        <v>-703.5164259933299</v>
      </c>
      <c r="R5" s="209"/>
      <c r="S5" s="209"/>
      <c r="T5" s="209">
        <f t="shared" si="7"/>
        <v>0</v>
      </c>
    </row>
    <row r="6" spans="1:20" ht="11.25" customHeight="1" x14ac:dyDescent="0.3">
      <c r="A6" s="213" t="s">
        <v>240</v>
      </c>
      <c r="B6" s="214">
        <v>2</v>
      </c>
      <c r="C6" s="215">
        <v>2</v>
      </c>
      <c r="D6" s="199"/>
      <c r="E6" s="216">
        <f>(B6*'Proposed Budget'!$O$68)+(C6*'Proposed Budget'!$O$44)+'Proposed Budget'!$L$21+'Proposed Budget'!$L$22</f>
        <v>16606.55292099333</v>
      </c>
      <c r="F6" s="217">
        <f>SUM('Monthly Breakdown'!Q49:Q52)</f>
        <v>3013.78</v>
      </c>
      <c r="G6" s="218">
        <f t="shared" si="0"/>
        <v>-13592.77292099333</v>
      </c>
      <c r="H6" s="219">
        <f t="shared" si="1"/>
        <v>-0.81851862849934964</v>
      </c>
      <c r="I6" s="209"/>
      <c r="J6" s="220">
        <f t="shared" ref="J6:K6" si="11">SUM(O24,E24,J24)</f>
        <v>13000</v>
      </c>
      <c r="K6" s="221">
        <f t="shared" si="11"/>
        <v>4483.130000000001</v>
      </c>
      <c r="L6" s="222">
        <f t="shared" si="3"/>
        <v>8516.869999999999</v>
      </c>
      <c r="M6" s="223">
        <f t="shared" si="4"/>
        <v>-0.65514384615384602</v>
      </c>
      <c r="N6" s="209"/>
      <c r="O6" s="224">
        <f t="shared" si="5"/>
        <v>3606.5529209933302</v>
      </c>
      <c r="P6" s="225">
        <f>SUM('Monthly Breakdown'!Q45:Q46)</f>
        <v>50</v>
      </c>
      <c r="Q6" s="226">
        <f t="shared" si="6"/>
        <v>-3556.5529209933302</v>
      </c>
      <c r="R6" s="209"/>
      <c r="S6" s="209"/>
      <c r="T6" s="209">
        <f t="shared" si="7"/>
        <v>-1519.3500000000008</v>
      </c>
    </row>
    <row r="7" spans="1:20" ht="11.25" customHeight="1" x14ac:dyDescent="0.3">
      <c r="A7" s="213" t="s">
        <v>241</v>
      </c>
      <c r="B7" s="214">
        <v>2</v>
      </c>
      <c r="C7" s="215">
        <v>2</v>
      </c>
      <c r="D7" s="199"/>
      <c r="E7" s="216">
        <f>(B7*'Proposed Budget'!$O$68)+(C7*'Proposed Budget'!$O$44)+'Proposed Budget'!$L$21+'Proposed Budget'!$L$22</f>
        <v>16606.55292099333</v>
      </c>
      <c r="F7" s="217">
        <f>SUM('Monthly Breakdown'!S49:S52)</f>
        <v>0</v>
      </c>
      <c r="G7" s="218">
        <f t="shared" si="0"/>
        <v>-16606.55292099333</v>
      </c>
      <c r="H7" s="219">
        <f t="shared" si="1"/>
        <v>-1</v>
      </c>
      <c r="I7" s="209"/>
      <c r="J7" s="220">
        <f t="shared" ref="J7:K7" si="12">SUM(O25,E25,J25)</f>
        <v>13000</v>
      </c>
      <c r="K7" s="221">
        <f t="shared" si="12"/>
        <v>0</v>
      </c>
      <c r="L7" s="222">
        <f t="shared" si="3"/>
        <v>13000</v>
      </c>
      <c r="M7" s="223">
        <f t="shared" si="4"/>
        <v>-1</v>
      </c>
      <c r="N7" s="209"/>
      <c r="O7" s="224">
        <f t="shared" si="5"/>
        <v>3606.5529209933302</v>
      </c>
      <c r="P7" s="225">
        <f>SUM('Monthly Breakdown'!S45:S46)</f>
        <v>0</v>
      </c>
      <c r="Q7" s="226">
        <f t="shared" si="6"/>
        <v>-3606.5529209933302</v>
      </c>
      <c r="R7" s="209"/>
      <c r="S7" s="209"/>
      <c r="T7" s="209">
        <f t="shared" si="7"/>
        <v>0</v>
      </c>
    </row>
    <row r="8" spans="1:20" ht="11.25" customHeight="1" x14ac:dyDescent="0.3">
      <c r="A8" s="213" t="s">
        <v>242</v>
      </c>
      <c r="B8" s="214">
        <v>2</v>
      </c>
      <c r="C8" s="215">
        <v>2</v>
      </c>
      <c r="D8" s="199"/>
      <c r="E8" s="216">
        <f>(B8*'Proposed Budget'!$O$68)+(C8*'Proposed Budget'!$O$44)+'Proposed Budget'!$L$21+'Proposed Budget'!$L$22</f>
        <v>16606.55292099333</v>
      </c>
      <c r="F8" s="217">
        <f>SUM('Monthly Breakdown'!U49:U52)</f>
        <v>0</v>
      </c>
      <c r="G8" s="218">
        <f t="shared" si="0"/>
        <v>-16606.55292099333</v>
      </c>
      <c r="H8" s="219">
        <f t="shared" si="1"/>
        <v>-1</v>
      </c>
      <c r="I8" s="209"/>
      <c r="J8" s="220">
        <f t="shared" ref="J8:K8" si="13">SUM(O26,E26,J26)</f>
        <v>13000</v>
      </c>
      <c r="K8" s="221">
        <f t="shared" si="13"/>
        <v>0</v>
      </c>
      <c r="L8" s="222">
        <f t="shared" si="3"/>
        <v>13000</v>
      </c>
      <c r="M8" s="223">
        <f t="shared" si="4"/>
        <v>-1</v>
      </c>
      <c r="N8" s="209"/>
      <c r="O8" s="224">
        <f t="shared" si="5"/>
        <v>3606.5529209933302</v>
      </c>
      <c r="P8" s="225">
        <f>SUM('Monthly Breakdown'!U45:U46)</f>
        <v>0</v>
      </c>
      <c r="Q8" s="226">
        <f t="shared" si="6"/>
        <v>-3606.5529209933302</v>
      </c>
      <c r="R8" s="209"/>
      <c r="S8" s="209"/>
      <c r="T8" s="209">
        <f t="shared" si="7"/>
        <v>0</v>
      </c>
    </row>
    <row r="9" spans="1:20" ht="11.25" customHeight="1" x14ac:dyDescent="0.3">
      <c r="A9" s="213" t="s">
        <v>243</v>
      </c>
      <c r="B9" s="214">
        <v>2</v>
      </c>
      <c r="C9" s="215">
        <v>2</v>
      </c>
      <c r="D9" s="199"/>
      <c r="E9" s="216">
        <f>(B9*'Proposed Budget'!$O$68)+(C9*'Proposed Budget'!$O$44)+'Proposed Budget'!$L$21+'Proposed Budget'!$L$22</f>
        <v>16606.55292099333</v>
      </c>
      <c r="F9" s="217">
        <f>SUM('Monthly Breakdown'!W49:W52)</f>
        <v>0</v>
      </c>
      <c r="G9" s="218">
        <f t="shared" si="0"/>
        <v>-16606.55292099333</v>
      </c>
      <c r="H9" s="219">
        <f t="shared" si="1"/>
        <v>-1</v>
      </c>
      <c r="I9" s="209"/>
      <c r="J9" s="220">
        <f t="shared" ref="J9:K9" si="14">SUM(O27,E27,J27)</f>
        <v>13000</v>
      </c>
      <c r="K9" s="221">
        <f t="shared" si="14"/>
        <v>0</v>
      </c>
      <c r="L9" s="222">
        <f t="shared" si="3"/>
        <v>13000</v>
      </c>
      <c r="M9" s="223">
        <f t="shared" si="4"/>
        <v>-1</v>
      </c>
      <c r="N9" s="209"/>
      <c r="O9" s="224">
        <f t="shared" si="5"/>
        <v>3606.5529209933302</v>
      </c>
      <c r="P9" s="225">
        <f>SUM('Monthly Breakdown'!W45:W46)</f>
        <v>0</v>
      </c>
      <c r="Q9" s="226">
        <f t="shared" si="6"/>
        <v>-3606.5529209933302</v>
      </c>
      <c r="R9" s="209"/>
      <c r="S9" s="209"/>
      <c r="T9" s="209">
        <f t="shared" si="7"/>
        <v>0</v>
      </c>
    </row>
    <row r="10" spans="1:20" ht="11.25" customHeight="1" x14ac:dyDescent="0.3">
      <c r="A10" s="227" t="s">
        <v>244</v>
      </c>
      <c r="B10" s="214">
        <v>2</v>
      </c>
      <c r="C10" s="215">
        <v>3</v>
      </c>
      <c r="D10" s="199"/>
      <c r="E10" s="216">
        <f>(B10*'Proposed Budget'!$O$68)+(C10*'Proposed Budget'!$O$44)+'Proposed Budget'!$L$21+'Proposed Budget'!$L$22</f>
        <v>19370.33642599333</v>
      </c>
      <c r="F10" s="217">
        <f>SUM('Monthly Breakdown'!Y49:Y52)</f>
        <v>0</v>
      </c>
      <c r="G10" s="218">
        <f t="shared" si="0"/>
        <v>-19370.33642599333</v>
      </c>
      <c r="H10" s="219">
        <f t="shared" si="1"/>
        <v>-1</v>
      </c>
      <c r="I10" s="209"/>
      <c r="J10" s="220">
        <f t="shared" ref="J10:K10" si="15">SUM(O28,E28,J28)</f>
        <v>13000</v>
      </c>
      <c r="K10" s="221">
        <f t="shared" si="15"/>
        <v>0</v>
      </c>
      <c r="L10" s="222">
        <f t="shared" si="3"/>
        <v>13000</v>
      </c>
      <c r="M10" s="223">
        <f t="shared" si="4"/>
        <v>-1</v>
      </c>
      <c r="N10" s="209"/>
      <c r="O10" s="224">
        <f t="shared" si="5"/>
        <v>6370.3364259933296</v>
      </c>
      <c r="P10" s="225">
        <f>SUM('Monthly Breakdown'!Y45:Y46)</f>
        <v>0</v>
      </c>
      <c r="Q10" s="226">
        <f t="shared" si="6"/>
        <v>-6370.3364259933296</v>
      </c>
      <c r="R10" s="209"/>
      <c r="S10" s="209"/>
      <c r="T10" s="209">
        <f t="shared" si="7"/>
        <v>0</v>
      </c>
    </row>
    <row r="11" spans="1:20" ht="11.25" customHeight="1" x14ac:dyDescent="0.3">
      <c r="A11" s="227" t="s">
        <v>245</v>
      </c>
      <c r="B11" s="214">
        <v>2</v>
      </c>
      <c r="C11" s="215">
        <v>2</v>
      </c>
      <c r="D11" s="199"/>
      <c r="E11" s="216">
        <f>(B11*'Proposed Budget'!$O$68)+(C11*'Proposed Budget'!$O$44)+'Proposed Budget'!$L$21+'Proposed Budget'!$L$22</f>
        <v>16606.55292099333</v>
      </c>
      <c r="F11" s="217">
        <f>SUM('Monthly Breakdown'!AA49:AA52)</f>
        <v>0</v>
      </c>
      <c r="G11" s="218">
        <f t="shared" si="0"/>
        <v>-16606.55292099333</v>
      </c>
      <c r="H11" s="219">
        <f t="shared" si="1"/>
        <v>-1</v>
      </c>
      <c r="I11" s="209"/>
      <c r="J11" s="220">
        <f t="shared" ref="J11:K11" si="16">SUM(O29,E29,J29)</f>
        <v>13000</v>
      </c>
      <c r="K11" s="221">
        <f t="shared" si="16"/>
        <v>0</v>
      </c>
      <c r="L11" s="222">
        <f t="shared" si="3"/>
        <v>13000</v>
      </c>
      <c r="M11" s="223">
        <f t="shared" si="4"/>
        <v>-1</v>
      </c>
      <c r="N11" s="209"/>
      <c r="O11" s="224">
        <f t="shared" si="5"/>
        <v>3606.5529209933302</v>
      </c>
      <c r="P11" s="225">
        <f>SUM('Monthly Breakdown'!AA45:AA46)</f>
        <v>0</v>
      </c>
      <c r="Q11" s="226">
        <f t="shared" si="6"/>
        <v>-3606.5529209933302</v>
      </c>
      <c r="R11" s="209"/>
      <c r="S11" s="209"/>
      <c r="T11" s="209">
        <f t="shared" si="7"/>
        <v>0</v>
      </c>
    </row>
    <row r="12" spans="1:20" ht="11.25" customHeight="1" x14ac:dyDescent="0.3">
      <c r="A12" s="227" t="s">
        <v>246</v>
      </c>
      <c r="B12" s="214">
        <v>2</v>
      </c>
      <c r="C12" s="215">
        <v>2</v>
      </c>
      <c r="D12" s="199"/>
      <c r="E12" s="216">
        <f>(B12*'Proposed Budget'!$O$68)+(C12*'Proposed Budget'!$O$44)+'Proposed Budget'!$L$21+'Proposed Budget'!$L$22</f>
        <v>16606.55292099333</v>
      </c>
      <c r="F12" s="217">
        <f>SUM('Monthly Breakdown'!AC49:AC52)</f>
        <v>0</v>
      </c>
      <c r="G12" s="218">
        <f t="shared" si="0"/>
        <v>-16606.55292099333</v>
      </c>
      <c r="H12" s="219">
        <f t="shared" si="1"/>
        <v>-1</v>
      </c>
      <c r="I12" s="209"/>
      <c r="J12" s="220">
        <f t="shared" ref="J12:K12" si="17">SUM(O30,E30,J30)</f>
        <v>13000</v>
      </c>
      <c r="K12" s="221">
        <f t="shared" si="17"/>
        <v>0</v>
      </c>
      <c r="L12" s="222">
        <f t="shared" si="3"/>
        <v>13000</v>
      </c>
      <c r="M12" s="223">
        <f t="shared" si="4"/>
        <v>-1</v>
      </c>
      <c r="N12" s="209"/>
      <c r="O12" s="224">
        <f t="shared" si="5"/>
        <v>3606.5529209933302</v>
      </c>
      <c r="P12" s="225">
        <f>SUM('Monthly Breakdown'!AC45:AC46)</f>
        <v>0</v>
      </c>
      <c r="Q12" s="226">
        <f t="shared" si="6"/>
        <v>-3606.5529209933302</v>
      </c>
      <c r="R12" s="209"/>
      <c r="S12" s="209"/>
      <c r="T12" s="209">
        <f t="shared" si="7"/>
        <v>0</v>
      </c>
    </row>
    <row r="13" spans="1:20" ht="11.25" customHeight="1" x14ac:dyDescent="0.3">
      <c r="A13" s="227" t="s">
        <v>247</v>
      </c>
      <c r="B13" s="214">
        <v>2</v>
      </c>
      <c r="C13" s="215">
        <v>2</v>
      </c>
      <c r="D13" s="199"/>
      <c r="E13" s="216">
        <f>(B13*'Proposed Budget'!$O$68)+(C13*'Proposed Budget'!$O$44)+'Proposed Budget'!$L$21+'Proposed Budget'!$L$22</f>
        <v>16606.55292099333</v>
      </c>
      <c r="F13" s="217">
        <f>SUM('Monthly Breakdown'!AE49:AE52)</f>
        <v>0</v>
      </c>
      <c r="G13" s="218">
        <f t="shared" si="0"/>
        <v>-16606.55292099333</v>
      </c>
      <c r="H13" s="219">
        <f t="shared" si="1"/>
        <v>-1</v>
      </c>
      <c r="I13" s="209"/>
      <c r="J13" s="220">
        <f t="shared" ref="J13:K13" si="18">SUM(O31,E31,J31)</f>
        <v>13000</v>
      </c>
      <c r="K13" s="221">
        <f t="shared" si="18"/>
        <v>0</v>
      </c>
      <c r="L13" s="222">
        <f t="shared" si="3"/>
        <v>13000</v>
      </c>
      <c r="M13" s="223">
        <f t="shared" si="4"/>
        <v>-1</v>
      </c>
      <c r="N13" s="209"/>
      <c r="O13" s="224">
        <f t="shared" si="5"/>
        <v>3606.5529209933302</v>
      </c>
      <c r="P13" s="225">
        <f>SUM('Monthly Breakdown'!AE45:AE46)</f>
        <v>0</v>
      </c>
      <c r="Q13" s="226">
        <f t="shared" si="6"/>
        <v>-3606.5529209933302</v>
      </c>
      <c r="R13" s="209"/>
      <c r="S13" s="209"/>
      <c r="T13" s="209">
        <f t="shared" si="7"/>
        <v>0</v>
      </c>
    </row>
    <row r="14" spans="1:20" ht="11.25" customHeight="1" x14ac:dyDescent="0.3">
      <c r="A14" s="228"/>
      <c r="B14" s="214"/>
      <c r="C14" s="215"/>
      <c r="D14" s="199"/>
      <c r="E14" s="216"/>
      <c r="F14" s="217"/>
      <c r="G14" s="218"/>
      <c r="H14" s="219"/>
      <c r="I14" s="209"/>
      <c r="J14" s="220"/>
      <c r="K14" s="221"/>
      <c r="L14" s="222"/>
      <c r="M14" s="223"/>
      <c r="N14" s="209"/>
      <c r="O14" s="224"/>
      <c r="P14" s="225"/>
      <c r="Q14" s="226"/>
      <c r="R14" s="209"/>
      <c r="S14" s="209"/>
      <c r="T14" s="209"/>
    </row>
    <row r="15" spans="1:20" ht="11.25" customHeight="1" x14ac:dyDescent="0.3">
      <c r="A15" s="228"/>
      <c r="B15" s="214"/>
      <c r="C15" s="215"/>
      <c r="D15" s="199"/>
      <c r="E15" s="216"/>
      <c r="F15" s="217"/>
      <c r="G15" s="218"/>
      <c r="H15" s="219"/>
      <c r="I15" s="209"/>
      <c r="J15" s="220"/>
      <c r="K15" s="221"/>
      <c r="L15" s="222"/>
      <c r="M15" s="223"/>
      <c r="N15" s="209"/>
      <c r="O15" s="224"/>
      <c r="P15" s="225"/>
      <c r="Q15" s="226"/>
      <c r="R15" s="209"/>
      <c r="S15" s="209"/>
      <c r="T15" s="209"/>
    </row>
    <row r="16" spans="1:20" ht="11.25" customHeight="1" x14ac:dyDescent="0.3">
      <c r="A16" s="228" t="s">
        <v>68</v>
      </c>
      <c r="B16" s="214"/>
      <c r="C16" s="215"/>
      <c r="D16" s="199"/>
      <c r="E16" s="216">
        <f>SUM(E2:E6)</f>
        <v>85796.54810996665</v>
      </c>
      <c r="F16" s="216">
        <f>SUM(F2:F6)</f>
        <v>71115.72</v>
      </c>
      <c r="G16" s="216">
        <f>SUM(G2:G6)</f>
        <v>-14680.828109966651</v>
      </c>
      <c r="H16" s="219">
        <f>((SUM(F16))-SUM(E16))/SUM(E16)</f>
        <v>-0.17111210687812317</v>
      </c>
      <c r="I16" s="209"/>
      <c r="J16" s="220">
        <f>SUM(J2:J6)</f>
        <v>65000</v>
      </c>
      <c r="K16" s="220">
        <f>SUM(K2:K6)</f>
        <v>55499.119999999995</v>
      </c>
      <c r="L16" s="220">
        <f>SUM(L2:L6)</f>
        <v>9500.8799999999992</v>
      </c>
      <c r="M16" s="223">
        <f>((K16-SUM(J16))/SUM(J16))</f>
        <v>-0.1461673846153847</v>
      </c>
      <c r="N16" s="209"/>
      <c r="O16" s="224">
        <f>SUM(O2:O6)</f>
        <v>20796.54810996665</v>
      </c>
      <c r="P16" s="224">
        <f>SUM(P2:P6)</f>
        <v>17135.949999999997</v>
      </c>
      <c r="Q16" s="224">
        <f>SUM(Q2:Q6)</f>
        <v>-3660.598109966651</v>
      </c>
      <c r="R16" s="229">
        <f>((P16-SUM(O16))/SUM(O16))</f>
        <v>-0.17601950528570309</v>
      </c>
      <c r="S16" s="209"/>
      <c r="T16" s="209">
        <f>F16-K16-P16</f>
        <v>-1519.3499999999913</v>
      </c>
    </row>
    <row r="19" spans="1:17" ht="11.25" customHeight="1" x14ac:dyDescent="0.3">
      <c r="A19" s="196" t="s">
        <v>224</v>
      </c>
      <c r="B19" s="199"/>
      <c r="C19" s="199"/>
      <c r="D19" s="199"/>
      <c r="E19" s="230" t="s">
        <v>248</v>
      </c>
      <c r="F19" s="231" t="s">
        <v>249</v>
      </c>
      <c r="G19" s="232" t="s">
        <v>229</v>
      </c>
      <c r="H19" s="233" t="s">
        <v>233</v>
      </c>
      <c r="I19" s="209"/>
      <c r="J19" s="234" t="s">
        <v>250</v>
      </c>
      <c r="K19" s="235" t="s">
        <v>251</v>
      </c>
      <c r="L19" s="236" t="s">
        <v>229</v>
      </c>
      <c r="M19" s="237" t="s">
        <v>233</v>
      </c>
      <c r="N19" s="209"/>
      <c r="O19" s="238" t="s">
        <v>252</v>
      </c>
      <c r="P19" s="239" t="s">
        <v>253</v>
      </c>
      <c r="Q19" s="240" t="s">
        <v>229</v>
      </c>
    </row>
    <row r="20" spans="1:17" ht="11.25" customHeight="1" x14ac:dyDescent="0.3">
      <c r="A20" s="213" t="s">
        <v>236</v>
      </c>
      <c r="B20" s="199"/>
      <c r="C20" s="199"/>
      <c r="D20" s="199"/>
      <c r="E20" s="241">
        <f>SUM('Proposed Budget'!$D$14:$D$31)</f>
        <v>5200</v>
      </c>
      <c r="F20" s="242">
        <f>SUM('Monthly Breakdown'!I14:I31)</f>
        <v>4819.04</v>
      </c>
      <c r="G20" s="243">
        <f t="shared" ref="G20:G31" si="19">E20-F20</f>
        <v>380.96000000000004</v>
      </c>
      <c r="H20" s="244">
        <f t="shared" ref="H20:H31" si="20">((F20-E20)/E20)</f>
        <v>-7.3261538461538475E-2</v>
      </c>
      <c r="I20" s="209"/>
      <c r="J20" s="245">
        <f>SUM('Proposed Budget'!$D$5:$D$12)</f>
        <v>5800</v>
      </c>
      <c r="K20" s="246">
        <f>SUM('Monthly Breakdown'!I5:I12)</f>
        <v>5575.68</v>
      </c>
      <c r="L20" s="247">
        <f t="shared" ref="L20:L31" si="21">J20-K20</f>
        <v>224.31999999999971</v>
      </c>
      <c r="M20" s="248">
        <f t="shared" ref="M20:M31" si="22">((K20-J20)/J20)</f>
        <v>-3.8675862068965464E-2</v>
      </c>
      <c r="N20" s="209"/>
      <c r="O20" s="249">
        <f>SUM('Proposed Budget'!$D$33:$D$43)</f>
        <v>2000</v>
      </c>
      <c r="P20" s="250">
        <f>SUM('Monthly Breakdown'!I33:I43)</f>
        <v>2000</v>
      </c>
      <c r="Q20" s="251">
        <f t="shared" ref="Q20:Q31" si="23">O20-P20</f>
        <v>0</v>
      </c>
    </row>
    <row r="21" spans="1:17" ht="11.25" customHeight="1" x14ac:dyDescent="0.3">
      <c r="A21" s="213" t="s">
        <v>237</v>
      </c>
      <c r="B21" s="199"/>
      <c r="C21" s="199"/>
      <c r="D21" s="199"/>
      <c r="E21" s="241">
        <f>SUM('Proposed Budget'!$D$14:$D$31)</f>
        <v>5200</v>
      </c>
      <c r="F21" s="242">
        <f>SUM('Monthly Breakdown'!K14:K31)</f>
        <v>4930.4799999999996</v>
      </c>
      <c r="G21" s="243">
        <f t="shared" si="19"/>
        <v>269.52000000000044</v>
      </c>
      <c r="H21" s="244">
        <f t="shared" si="20"/>
        <v>-5.1830769230769312E-2</v>
      </c>
      <c r="I21" s="209"/>
      <c r="J21" s="245">
        <f>SUM('Proposed Budget'!$D$5:$D$12)</f>
        <v>5800</v>
      </c>
      <c r="K21" s="246">
        <f>SUM('Monthly Breakdown'!K5:K12)</f>
        <v>5870.2300000000005</v>
      </c>
      <c r="L21" s="247">
        <f t="shared" si="21"/>
        <v>-70.230000000000473</v>
      </c>
      <c r="M21" s="248">
        <f t="shared" si="22"/>
        <v>1.2108620689655254E-2</v>
      </c>
      <c r="N21" s="209"/>
      <c r="O21" s="249">
        <f>SUM('Proposed Budget'!$D$33:$D$43)</f>
        <v>2000</v>
      </c>
      <c r="P21" s="250">
        <f>SUM('Monthly Breakdown'!K33:K43)</f>
        <v>2000</v>
      </c>
      <c r="Q21" s="251">
        <f t="shared" si="23"/>
        <v>0</v>
      </c>
    </row>
    <row r="22" spans="1:17" ht="11.25" customHeight="1" x14ac:dyDescent="0.3">
      <c r="A22" s="213" t="s">
        <v>238</v>
      </c>
      <c r="B22" s="199"/>
      <c r="C22" s="199"/>
      <c r="D22" s="199"/>
      <c r="E22" s="241">
        <f>SUM('Proposed Budget'!$D$14:$D$31)</f>
        <v>5200</v>
      </c>
      <c r="F22" s="242">
        <f>SUM('Monthly Breakdown'!M14:M31)</f>
        <v>5444.89</v>
      </c>
      <c r="G22" s="243">
        <f t="shared" si="19"/>
        <v>-244.89000000000033</v>
      </c>
      <c r="H22" s="244">
        <f t="shared" si="20"/>
        <v>4.7094230769230833E-2</v>
      </c>
      <c r="I22" s="209"/>
      <c r="J22" s="245">
        <f>SUM('Proposed Budget'!$D$5:$D$12)</f>
        <v>5800</v>
      </c>
      <c r="K22" s="246">
        <f>SUM('Monthly Breakdown'!M5:M12)</f>
        <v>5166.82</v>
      </c>
      <c r="L22" s="247">
        <f t="shared" si="21"/>
        <v>633.18000000000029</v>
      </c>
      <c r="M22" s="248">
        <f t="shared" si="22"/>
        <v>-0.10916896551724142</v>
      </c>
      <c r="N22" s="209"/>
      <c r="O22" s="249">
        <f>SUM('Proposed Budget'!$D$33:$D$43)</f>
        <v>2000</v>
      </c>
      <c r="P22" s="250">
        <f>SUM('Monthly Breakdown'!M33:M43)</f>
        <v>2000</v>
      </c>
      <c r="Q22" s="251">
        <f t="shared" si="23"/>
        <v>0</v>
      </c>
    </row>
    <row r="23" spans="1:17" ht="11.25" customHeight="1" x14ac:dyDescent="0.3">
      <c r="A23" s="213" t="s">
        <v>239</v>
      </c>
      <c r="B23" s="199"/>
      <c r="C23" s="199"/>
      <c r="D23" s="199"/>
      <c r="E23" s="241">
        <f>SUM('Proposed Budget'!$D$14:$D$31)</f>
        <v>5200</v>
      </c>
      <c r="F23" s="242">
        <f>SUM('Monthly Breakdown'!O14:O31)</f>
        <v>4511.1900000000005</v>
      </c>
      <c r="G23" s="243">
        <f t="shared" si="19"/>
        <v>688.80999999999949</v>
      </c>
      <c r="H23" s="244">
        <f t="shared" si="20"/>
        <v>-0.13246346153846145</v>
      </c>
      <c r="I23" s="209"/>
      <c r="J23" s="245">
        <f>SUM('Proposed Budget'!$D$5:$D$12)</f>
        <v>5800</v>
      </c>
      <c r="K23" s="246">
        <f>SUM('Monthly Breakdown'!O5:O12)</f>
        <v>6697.66</v>
      </c>
      <c r="L23" s="247">
        <f t="shared" si="21"/>
        <v>-897.65999999999985</v>
      </c>
      <c r="M23" s="248">
        <f t="shared" si="22"/>
        <v>0.15476896551724134</v>
      </c>
      <c r="N23" s="209"/>
      <c r="O23" s="249">
        <f>SUM('Proposed Budget'!$D$33:$D$43)</f>
        <v>2000</v>
      </c>
      <c r="P23" s="250">
        <f>SUM('Monthly Breakdown'!O33:O43)</f>
        <v>2000</v>
      </c>
      <c r="Q23" s="251">
        <f t="shared" si="23"/>
        <v>0</v>
      </c>
    </row>
    <row r="24" spans="1:17" ht="11.25" customHeight="1" x14ac:dyDescent="0.3">
      <c r="A24" s="213" t="s">
        <v>240</v>
      </c>
      <c r="B24" s="199"/>
      <c r="C24" s="199"/>
      <c r="D24" s="199"/>
      <c r="E24" s="241">
        <f>SUM('Proposed Budget'!$D$14:$D$31)</f>
        <v>5200</v>
      </c>
      <c r="F24" s="242">
        <f>SUM('Monthly Breakdown'!Q14:Q31)</f>
        <v>2244.0400000000004</v>
      </c>
      <c r="G24" s="243">
        <f t="shared" si="19"/>
        <v>2955.9599999999996</v>
      </c>
      <c r="H24" s="244">
        <f t="shared" si="20"/>
        <v>-0.56845384615384609</v>
      </c>
      <c r="I24" s="209"/>
      <c r="J24" s="245">
        <f>SUM('Proposed Budget'!$D$5:$D$12)</f>
        <v>5800</v>
      </c>
      <c r="K24" s="246">
        <f>SUM('Monthly Breakdown'!Q5:Q12)</f>
        <v>2239.09</v>
      </c>
      <c r="L24" s="247">
        <f t="shared" si="21"/>
        <v>3560.91</v>
      </c>
      <c r="M24" s="248">
        <f t="shared" si="22"/>
        <v>-0.61395</v>
      </c>
      <c r="N24" s="209"/>
      <c r="O24" s="249">
        <f>SUM('Proposed Budget'!$D$33:$D$43)</f>
        <v>2000</v>
      </c>
      <c r="P24" s="250">
        <f>SUM('Monthly Breakdown'!Q33:Q43)</f>
        <v>0</v>
      </c>
      <c r="Q24" s="251">
        <f t="shared" si="23"/>
        <v>2000</v>
      </c>
    </row>
    <row r="25" spans="1:17" ht="11.25" customHeight="1" x14ac:dyDescent="0.3">
      <c r="A25" s="213" t="s">
        <v>241</v>
      </c>
      <c r="B25" s="199"/>
      <c r="C25" s="199"/>
      <c r="D25" s="199"/>
      <c r="E25" s="241">
        <f>SUM('Proposed Budget'!$D$14:$D$31)</f>
        <v>5200</v>
      </c>
      <c r="F25" s="242">
        <f>SUM('Monthly Breakdown'!S14:S31)</f>
        <v>0</v>
      </c>
      <c r="G25" s="243">
        <f t="shared" si="19"/>
        <v>5200</v>
      </c>
      <c r="H25" s="244">
        <f t="shared" si="20"/>
        <v>-1</v>
      </c>
      <c r="I25" s="209"/>
      <c r="J25" s="245">
        <f>SUM('Proposed Budget'!$D$5:$D$12)</f>
        <v>5800</v>
      </c>
      <c r="K25" s="246">
        <f>SUM('Monthly Breakdown'!S5:S12)</f>
        <v>0</v>
      </c>
      <c r="L25" s="247">
        <f t="shared" si="21"/>
        <v>5800</v>
      </c>
      <c r="M25" s="248">
        <f t="shared" si="22"/>
        <v>-1</v>
      </c>
      <c r="N25" s="209"/>
      <c r="O25" s="249">
        <f>SUM('Proposed Budget'!$D$33:$D$43)</f>
        <v>2000</v>
      </c>
      <c r="P25" s="250">
        <f>SUM('Monthly Breakdown'!S33:S43)</f>
        <v>0</v>
      </c>
      <c r="Q25" s="251">
        <f t="shared" si="23"/>
        <v>2000</v>
      </c>
    </row>
    <row r="26" spans="1:17" ht="11.25" customHeight="1" x14ac:dyDescent="0.3">
      <c r="A26" s="213" t="s">
        <v>242</v>
      </c>
      <c r="B26" s="199"/>
      <c r="C26" s="199"/>
      <c r="D26" s="199"/>
      <c r="E26" s="241">
        <f>SUM('Proposed Budget'!$D$14:$D$31)</f>
        <v>5200</v>
      </c>
      <c r="F26" s="242">
        <f>SUM('Monthly Breakdown'!U14:U31)</f>
        <v>0</v>
      </c>
      <c r="G26" s="243">
        <f t="shared" si="19"/>
        <v>5200</v>
      </c>
      <c r="H26" s="244">
        <f t="shared" si="20"/>
        <v>-1</v>
      </c>
      <c r="I26" s="209"/>
      <c r="J26" s="245">
        <f>SUM('Proposed Budget'!$D$5:$D$12)</f>
        <v>5800</v>
      </c>
      <c r="K26" s="246">
        <f>SUM('Monthly Breakdown'!U5:U12)</f>
        <v>0</v>
      </c>
      <c r="L26" s="247">
        <f t="shared" si="21"/>
        <v>5800</v>
      </c>
      <c r="M26" s="248">
        <f t="shared" si="22"/>
        <v>-1</v>
      </c>
      <c r="N26" s="209"/>
      <c r="O26" s="249">
        <f>SUM('Proposed Budget'!$D$33:$D$43)</f>
        <v>2000</v>
      </c>
      <c r="P26" s="250">
        <f>SUM('Monthly Breakdown'!U33:U43)</f>
        <v>0</v>
      </c>
      <c r="Q26" s="251">
        <f t="shared" si="23"/>
        <v>2000</v>
      </c>
    </row>
    <row r="27" spans="1:17" ht="11.25" customHeight="1" x14ac:dyDescent="0.3">
      <c r="A27" s="213" t="s">
        <v>243</v>
      </c>
      <c r="B27" s="199"/>
      <c r="C27" s="199"/>
      <c r="D27" s="199"/>
      <c r="E27" s="241">
        <f>SUM('Proposed Budget'!$D$14:$D$31)</f>
        <v>5200</v>
      </c>
      <c r="F27" s="242">
        <f>SUM('Monthly Breakdown'!W14:W31)</f>
        <v>0</v>
      </c>
      <c r="G27" s="243">
        <f t="shared" si="19"/>
        <v>5200</v>
      </c>
      <c r="H27" s="244">
        <f t="shared" si="20"/>
        <v>-1</v>
      </c>
      <c r="I27" s="209"/>
      <c r="J27" s="245">
        <f>SUM('Proposed Budget'!$D$5:$D$12)</f>
        <v>5800</v>
      </c>
      <c r="K27" s="246">
        <f>SUM('Monthly Breakdown'!W5:W12)</f>
        <v>0</v>
      </c>
      <c r="L27" s="247">
        <f t="shared" si="21"/>
        <v>5800</v>
      </c>
      <c r="M27" s="248">
        <f t="shared" si="22"/>
        <v>-1</v>
      </c>
      <c r="N27" s="209"/>
      <c r="O27" s="249">
        <f>SUM('Proposed Budget'!$D$33:$D$43)</f>
        <v>2000</v>
      </c>
      <c r="P27" s="250">
        <f>SUM('Monthly Breakdown'!W33:W43)</f>
        <v>0</v>
      </c>
      <c r="Q27" s="251">
        <f t="shared" si="23"/>
        <v>2000</v>
      </c>
    </row>
    <row r="28" spans="1:17" ht="11.25" customHeight="1" x14ac:dyDescent="0.3">
      <c r="A28" s="227" t="s">
        <v>244</v>
      </c>
      <c r="B28" s="199"/>
      <c r="C28" s="199"/>
      <c r="D28" s="199"/>
      <c r="E28" s="241">
        <f>SUM('Proposed Budget'!$D$14:$D$31)</f>
        <v>5200</v>
      </c>
      <c r="F28" s="242">
        <f>SUM('Monthly Breakdown'!Y14:Y31)</f>
        <v>0</v>
      </c>
      <c r="G28" s="243">
        <f t="shared" si="19"/>
        <v>5200</v>
      </c>
      <c r="H28" s="244">
        <f t="shared" si="20"/>
        <v>-1</v>
      </c>
      <c r="I28" s="209"/>
      <c r="J28" s="245">
        <f>SUM('Proposed Budget'!$D$5:$D$12)</f>
        <v>5800</v>
      </c>
      <c r="K28" s="246">
        <f>SUM('Monthly Breakdown'!Y5:Y12)</f>
        <v>0</v>
      </c>
      <c r="L28" s="247">
        <f t="shared" si="21"/>
        <v>5800</v>
      </c>
      <c r="M28" s="248">
        <f t="shared" si="22"/>
        <v>-1</v>
      </c>
      <c r="N28" s="209"/>
      <c r="O28" s="249">
        <f>SUM('Proposed Budget'!$D$33:$D$43)</f>
        <v>2000</v>
      </c>
      <c r="P28" s="250">
        <f>SUM('Monthly Breakdown'!Y33:Y43)</f>
        <v>0</v>
      </c>
      <c r="Q28" s="251">
        <f t="shared" si="23"/>
        <v>2000</v>
      </c>
    </row>
    <row r="29" spans="1:17" ht="11.25" customHeight="1" x14ac:dyDescent="0.3">
      <c r="A29" s="227" t="s">
        <v>245</v>
      </c>
      <c r="B29" s="199"/>
      <c r="C29" s="199"/>
      <c r="D29" s="199"/>
      <c r="E29" s="241">
        <f>SUM('Proposed Budget'!$D$14:$D$31)</f>
        <v>5200</v>
      </c>
      <c r="F29" s="242">
        <f>SUM('Monthly Breakdown'!AA14:AA31)</f>
        <v>0</v>
      </c>
      <c r="G29" s="243">
        <f t="shared" si="19"/>
        <v>5200</v>
      </c>
      <c r="H29" s="244">
        <f t="shared" si="20"/>
        <v>-1</v>
      </c>
      <c r="I29" s="209"/>
      <c r="J29" s="245">
        <f>SUM('Proposed Budget'!$D$5:$D$12)</f>
        <v>5800</v>
      </c>
      <c r="K29" s="246">
        <f>SUM('Monthly Breakdown'!AA5:AA12)</f>
        <v>0</v>
      </c>
      <c r="L29" s="247">
        <f t="shared" si="21"/>
        <v>5800</v>
      </c>
      <c r="M29" s="248">
        <f t="shared" si="22"/>
        <v>-1</v>
      </c>
      <c r="N29" s="209"/>
      <c r="O29" s="249">
        <f>SUM('Proposed Budget'!$D$33:$D$43)</f>
        <v>2000</v>
      </c>
      <c r="P29" s="250">
        <f>SUM('Monthly Breakdown'!AA33:AA43)</f>
        <v>0</v>
      </c>
      <c r="Q29" s="251">
        <f t="shared" si="23"/>
        <v>2000</v>
      </c>
    </row>
    <row r="30" spans="1:17" ht="11.25" customHeight="1" x14ac:dyDescent="0.3">
      <c r="A30" s="227" t="s">
        <v>246</v>
      </c>
      <c r="B30" s="199"/>
      <c r="C30" s="199"/>
      <c r="D30" s="199"/>
      <c r="E30" s="241">
        <f>SUM('Proposed Budget'!$D$14:$D$31)</f>
        <v>5200</v>
      </c>
      <c r="F30" s="242">
        <f>SUM('Monthly Breakdown'!AC14:AC31)</f>
        <v>0</v>
      </c>
      <c r="G30" s="243">
        <f t="shared" si="19"/>
        <v>5200</v>
      </c>
      <c r="H30" s="244">
        <f t="shared" si="20"/>
        <v>-1</v>
      </c>
      <c r="I30" s="209"/>
      <c r="J30" s="245">
        <f>SUM('Proposed Budget'!$D$5:$D$12)</f>
        <v>5800</v>
      </c>
      <c r="K30" s="246">
        <f>SUM('Monthly Breakdown'!AC5:AC12)</f>
        <v>0</v>
      </c>
      <c r="L30" s="247">
        <f t="shared" si="21"/>
        <v>5800</v>
      </c>
      <c r="M30" s="248">
        <f t="shared" si="22"/>
        <v>-1</v>
      </c>
      <c r="N30" s="209"/>
      <c r="O30" s="249">
        <f>SUM('Proposed Budget'!$D$33:$D$43)</f>
        <v>2000</v>
      </c>
      <c r="P30" s="250">
        <f>SUM('Monthly Breakdown'!AC33:AC43)</f>
        <v>0</v>
      </c>
      <c r="Q30" s="251">
        <f t="shared" si="23"/>
        <v>2000</v>
      </c>
    </row>
    <row r="31" spans="1:17" ht="11.25" customHeight="1" x14ac:dyDescent="0.3">
      <c r="A31" s="227" t="s">
        <v>247</v>
      </c>
      <c r="B31" s="199"/>
      <c r="C31" s="199"/>
      <c r="D31" s="199"/>
      <c r="E31" s="241">
        <f>SUM('Proposed Budget'!$D$14:$D$31)</f>
        <v>5200</v>
      </c>
      <c r="F31" s="242">
        <f>SUM('Monthly Breakdown'!AE14:AE31)</f>
        <v>0</v>
      </c>
      <c r="G31" s="243">
        <f t="shared" si="19"/>
        <v>5200</v>
      </c>
      <c r="H31" s="244">
        <f t="shared" si="20"/>
        <v>-1</v>
      </c>
      <c r="I31" s="209"/>
      <c r="J31" s="245">
        <f>SUM('Proposed Budget'!$D$5:$D$12)</f>
        <v>5800</v>
      </c>
      <c r="K31" s="246">
        <f>SUM('Monthly Breakdown'!AE5:AE12)</f>
        <v>0</v>
      </c>
      <c r="L31" s="247">
        <f t="shared" si="21"/>
        <v>5800</v>
      </c>
      <c r="M31" s="248">
        <f t="shared" si="22"/>
        <v>-1</v>
      </c>
      <c r="N31" s="209"/>
      <c r="O31" s="249">
        <f>SUM('Proposed Budget'!$D$33:$D$43)</f>
        <v>2000</v>
      </c>
      <c r="P31" s="250">
        <f>SUM('Monthly Breakdown'!AE33:AE43)</f>
        <v>0</v>
      </c>
      <c r="Q31" s="251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28" t="s">
        <v>68</v>
      </c>
      <c r="B34" s="199"/>
      <c r="C34" s="199"/>
      <c r="D34" s="199"/>
      <c r="E34" s="241">
        <f>SUM(E20:E24)</f>
        <v>26000</v>
      </c>
      <c r="F34" s="241">
        <f>SUM(F20:F24)</f>
        <v>21949.64</v>
      </c>
      <c r="G34" s="241">
        <f>SUM(G20:G24)</f>
        <v>4050.3599999999992</v>
      </c>
      <c r="H34" s="244">
        <f>((F34-SUM(E34)))/SUM(E34)</f>
        <v>-0.15578307692307694</v>
      </c>
      <c r="I34" s="209"/>
      <c r="J34" s="245">
        <f>SUM(J20:J24)</f>
        <v>29000</v>
      </c>
      <c r="K34" s="245">
        <f>SUM(K20:K24)</f>
        <v>25549.48</v>
      </c>
      <c r="L34" s="245">
        <f>SUM(L20:L24)</f>
        <v>3450.5199999999995</v>
      </c>
      <c r="M34" s="248">
        <f>((K34-SUM(J34))/SUM(J34))</f>
        <v>-0.11898344827586209</v>
      </c>
      <c r="N34" s="209"/>
      <c r="O34" s="249">
        <f t="shared" ref="O34:Q34" si="24">SUM(O20:O31)</f>
        <v>24000</v>
      </c>
      <c r="P34" s="249">
        <f t="shared" si="24"/>
        <v>8000</v>
      </c>
      <c r="Q34" s="249">
        <f t="shared" si="24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topLeftCell="A5" workbookViewId="0">
      <pane xSplit="8" topLeftCell="I1" activePane="topRight" state="frozen"/>
      <selection pane="topRight" activeCell="R2" sqref="R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52"/>
      <c r="B1" s="253"/>
      <c r="C1" s="254"/>
      <c r="D1" s="255" t="s">
        <v>254</v>
      </c>
      <c r="E1" s="256" t="s">
        <v>68</v>
      </c>
      <c r="F1" s="256" t="s">
        <v>68</v>
      </c>
      <c r="G1" s="257" t="s">
        <v>255</v>
      </c>
      <c r="H1" s="256" t="s">
        <v>254</v>
      </c>
      <c r="I1" s="258">
        <v>46023</v>
      </c>
      <c r="J1" s="258">
        <v>46053</v>
      </c>
      <c r="K1" s="259">
        <v>46054</v>
      </c>
      <c r="L1" s="259">
        <v>46081</v>
      </c>
      <c r="M1" s="260">
        <v>46082</v>
      </c>
      <c r="N1" s="260">
        <v>46112</v>
      </c>
      <c r="O1" s="261">
        <v>46113</v>
      </c>
      <c r="P1" s="261">
        <v>46142</v>
      </c>
      <c r="Q1" s="258">
        <v>46143</v>
      </c>
      <c r="R1" s="258">
        <v>46173</v>
      </c>
      <c r="S1" s="259">
        <v>45809</v>
      </c>
      <c r="T1" s="259">
        <v>45838</v>
      </c>
      <c r="U1" s="260">
        <v>45839</v>
      </c>
      <c r="V1" s="260">
        <v>45869</v>
      </c>
      <c r="W1" s="261">
        <v>45870</v>
      </c>
      <c r="X1" s="261">
        <v>45900</v>
      </c>
      <c r="Y1" s="262">
        <v>45901</v>
      </c>
      <c r="Z1" s="262">
        <v>45930</v>
      </c>
      <c r="AA1" s="263">
        <v>45931</v>
      </c>
      <c r="AB1" s="263">
        <v>45961</v>
      </c>
      <c r="AC1" s="264">
        <v>45962</v>
      </c>
      <c r="AD1" s="264">
        <v>45991</v>
      </c>
      <c r="AE1" s="265">
        <v>45627</v>
      </c>
      <c r="AF1" s="265">
        <v>45657</v>
      </c>
    </row>
    <row r="2" spans="1:32" ht="11.25" customHeight="1" x14ac:dyDescent="0.3">
      <c r="A2" s="266"/>
      <c r="B2" s="266"/>
      <c r="C2" s="267"/>
      <c r="D2" s="268" t="s">
        <v>256</v>
      </c>
      <c r="E2" s="256" t="s">
        <v>257</v>
      </c>
      <c r="F2" s="256" t="s">
        <v>258</v>
      </c>
      <c r="G2" s="257" t="s">
        <v>259</v>
      </c>
      <c r="H2" s="256" t="s">
        <v>260</v>
      </c>
      <c r="I2" s="269" t="s">
        <v>257</v>
      </c>
      <c r="J2" s="269" t="s">
        <v>258</v>
      </c>
      <c r="K2" s="270" t="s">
        <v>257</v>
      </c>
      <c r="L2" s="270" t="s">
        <v>258</v>
      </c>
      <c r="M2" s="271" t="s">
        <v>257</v>
      </c>
      <c r="N2" s="271" t="s">
        <v>258</v>
      </c>
      <c r="O2" s="272" t="s">
        <v>257</v>
      </c>
      <c r="P2" s="272"/>
      <c r="Q2" s="269" t="s">
        <v>257</v>
      </c>
      <c r="R2" s="269" t="s">
        <v>258</v>
      </c>
      <c r="S2" s="270" t="s">
        <v>257</v>
      </c>
      <c r="T2" s="270" t="s">
        <v>258</v>
      </c>
      <c r="U2" s="271" t="s">
        <v>257</v>
      </c>
      <c r="V2" s="271" t="s">
        <v>258</v>
      </c>
      <c r="W2" s="272" t="s">
        <v>257</v>
      </c>
      <c r="X2" s="272" t="s">
        <v>258</v>
      </c>
      <c r="Y2" s="273" t="s">
        <v>257</v>
      </c>
      <c r="Z2" s="273" t="s">
        <v>258</v>
      </c>
      <c r="AA2" s="274" t="s">
        <v>257</v>
      </c>
      <c r="AB2" s="274" t="s">
        <v>258</v>
      </c>
      <c r="AC2" s="275" t="s">
        <v>257</v>
      </c>
      <c r="AD2" s="275" t="s">
        <v>258</v>
      </c>
      <c r="AE2" s="276" t="s">
        <v>257</v>
      </c>
      <c r="AF2" s="276" t="s">
        <v>258</v>
      </c>
    </row>
    <row r="3" spans="1:32" ht="11.25" customHeight="1" x14ac:dyDescent="0.3">
      <c r="A3" s="563" t="s">
        <v>261</v>
      </c>
      <c r="B3" s="564"/>
      <c r="C3" s="277" t="s">
        <v>156</v>
      </c>
      <c r="D3" s="278"/>
      <c r="E3" s="279">
        <f t="shared" ref="E3:F3" si="0">SUM(E5:E46)</f>
        <v>72635.069999999978</v>
      </c>
      <c r="F3" s="279">
        <f t="shared" si="0"/>
        <v>166.79402063998816</v>
      </c>
      <c r="G3" s="280">
        <f>1-((E3/SUM(E3:F3)))</f>
        <v>2.2910679950819413E-3</v>
      </c>
      <c r="H3" s="279">
        <f>SUM(H5:H67)</f>
        <v>17067.183505159996</v>
      </c>
      <c r="I3" s="281">
        <f>SUM(I5:I46)</f>
        <v>15639.36</v>
      </c>
      <c r="J3" s="282"/>
      <c r="K3" s="243">
        <f>SUM(K5:K46)</f>
        <v>16615.620000000003</v>
      </c>
      <c r="L3" s="283"/>
      <c r="M3" s="284">
        <f>SUM(M5:M46)</f>
        <v>16971.29</v>
      </c>
      <c r="N3" s="285"/>
      <c r="O3" s="247">
        <f>SUM(O5:O46)</f>
        <v>18875.669999999998</v>
      </c>
      <c r="P3" s="286"/>
      <c r="Q3" s="281">
        <f>SUM(Q5:Q46)</f>
        <v>4533.130000000001</v>
      </c>
      <c r="R3" s="282"/>
      <c r="S3" s="243">
        <f>SUM(S5:S46)</f>
        <v>0</v>
      </c>
      <c r="T3" s="283"/>
      <c r="U3" s="284">
        <f>SUM(U5:U46)</f>
        <v>0</v>
      </c>
      <c r="V3" s="285"/>
      <c r="W3" s="247">
        <f>SUM(W5:W46)</f>
        <v>0</v>
      </c>
      <c r="X3" s="286"/>
      <c r="Y3" s="287">
        <f>SUM(Y5:Y46)</f>
        <v>0</v>
      </c>
      <c r="Z3" s="288"/>
      <c r="AA3" s="289">
        <f>SUM(AA5:AA46)</f>
        <v>0</v>
      </c>
      <c r="AB3" s="290"/>
      <c r="AC3" s="291">
        <f>SUM(AC5:AC46)</f>
        <v>0</v>
      </c>
      <c r="AD3" s="292"/>
      <c r="AE3" s="293">
        <f>SUM(AE5:AE46)</f>
        <v>0</v>
      </c>
      <c r="AF3" s="294"/>
    </row>
    <row r="4" spans="1:32" ht="11.25" customHeight="1" x14ac:dyDescent="0.3">
      <c r="A4" s="563" t="s">
        <v>262</v>
      </c>
      <c r="B4" s="565"/>
      <c r="C4" s="564"/>
      <c r="D4" s="278"/>
      <c r="E4" s="295"/>
      <c r="F4" s="295"/>
      <c r="G4" s="296"/>
      <c r="H4" s="297"/>
      <c r="I4" s="282"/>
      <c r="J4" s="282"/>
      <c r="K4" s="283"/>
      <c r="L4" s="283"/>
      <c r="M4" s="285"/>
      <c r="N4" s="285"/>
      <c r="O4" s="286"/>
      <c r="P4" s="286"/>
      <c r="Q4" s="282"/>
      <c r="R4" s="282"/>
      <c r="S4" s="283"/>
      <c r="T4" s="283"/>
      <c r="U4" s="285"/>
      <c r="V4" s="285"/>
      <c r="W4" s="286"/>
      <c r="X4" s="286"/>
      <c r="Y4" s="288"/>
      <c r="Z4" s="288"/>
      <c r="AA4" s="290"/>
      <c r="AB4" s="290"/>
      <c r="AC4" s="292"/>
      <c r="AD4" s="292"/>
      <c r="AE4" s="294"/>
      <c r="AF4" s="294"/>
    </row>
    <row r="5" spans="1:32" ht="11.25" customHeight="1" x14ac:dyDescent="0.3">
      <c r="A5" s="295" t="str">
        <f>'Proposed Budget'!A5</f>
        <v>D</v>
      </c>
      <c r="B5" s="266">
        <f>'Proposed Budget'!B5</f>
        <v>1</v>
      </c>
      <c r="C5" s="298" t="str">
        <f>'Proposed Budget'!C5</f>
        <v>Groceries/Household</v>
      </c>
      <c r="D5" s="299">
        <f t="shared" ref="D5:D12" ca="1" si="1">(E5/(TODAY()-$I$1))*30.42</f>
        <v>1194.0444676691732</v>
      </c>
      <c r="E5" s="300">
        <f>I5+K5+M5+O5+Q5+S5+U5+W5+Y5+AA5+AC5+AE5</f>
        <v>5220.51</v>
      </c>
      <c r="F5" s="300">
        <f t="shared" ref="F5:F12" si="2">J5+L5+N5+P5</f>
        <v>95.529999999999973</v>
      </c>
      <c r="G5" s="280">
        <f t="shared" ref="G5:G12" si="3">1-((E5/SUM(E5:F5)))</f>
        <v>1.7970143189291243E-2</v>
      </c>
      <c r="H5" s="300">
        <f>'Proposed Budget'!D5</f>
        <v>1200</v>
      </c>
      <c r="I5" s="281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81">
        <f t="shared" ref="J5:J12" si="4">H5-I5</f>
        <v>132.44000000000005</v>
      </c>
      <c r="K5" s="243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43">
        <f t="shared" ref="L5:L12" si="5">H5-K5</f>
        <v>166.09999999999991</v>
      </c>
      <c r="M5" s="284">
        <f>SUMIFS('Checking Transaction Log'!$E:$E,'Checking Transaction Log'!$C:$C,"&gt;="&amp;M1,'Checking Transaction Log'!$C:$C,"&lt;="&amp;N1,'Checking Transaction Log'!$A:$A,"D",'Checking Transaction Log'!$B:$B,1)</f>
        <v>1318.18</v>
      </c>
      <c r="N5" s="284">
        <f t="shared" ref="N5:N12" si="6">H5-M5</f>
        <v>-118.18000000000006</v>
      </c>
      <c r="O5" s="247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47">
        <f t="shared" ref="P5:P12" si="7">H5-O5</f>
        <v>-84.829999999999927</v>
      </c>
      <c r="Q5" s="281">
        <f>SUMIFS('Checking Transaction Log'!$E:$E,'Checking Transaction Log'!$C:$C,"&gt;="&amp;Q1,'Checking Transaction Log'!$C:$C,"&lt;="&amp;R1,'Checking Transaction Log'!$A:$A,"D",'Checking Transaction Log'!$B:$B,1)</f>
        <v>516.04000000000008</v>
      </c>
      <c r="R5" s="281">
        <f t="shared" ref="R5:R12" si="8">H5-Q5</f>
        <v>683.95999999999992</v>
      </c>
      <c r="S5" s="243">
        <f>SUMIFS('Checking Transaction Log'!$E:$E,'Checking Transaction Log'!$C:$C,"&gt;="&amp;S1,'Checking Transaction Log'!$C:$C,"&lt;="&amp;T1,'Checking Transaction Log'!$A:$A,"D",'Checking Transaction Log'!$B:$B,1)</f>
        <v>0</v>
      </c>
      <c r="T5" s="243">
        <f t="shared" ref="T5:T12" si="9">H5-S5</f>
        <v>1200</v>
      </c>
      <c r="U5" s="284">
        <f>SUMIFS('Checking Transaction Log'!$E:$E,'Checking Transaction Log'!$C:$C,"&gt;="&amp;U1,'Checking Transaction Log'!$C:$C,"&lt;="&amp;V1,'Checking Transaction Log'!$A:$A,"D",'Checking Transaction Log'!$B:$B,1)</f>
        <v>0</v>
      </c>
      <c r="V5" s="284">
        <f t="shared" ref="V5:V12" si="10">H5-U5</f>
        <v>1200</v>
      </c>
      <c r="W5" s="247">
        <f>SUMIFS('Checking Transaction Log'!$E:$E,'Checking Transaction Log'!$C:$C,"&gt;="&amp;W1,'Checking Transaction Log'!$C:$C,"&lt;="&amp;X1,'Checking Transaction Log'!$A:$A,"D",'Checking Transaction Log'!$B:$B,1)</f>
        <v>0</v>
      </c>
      <c r="X5" s="247">
        <f t="shared" ref="X5:X12" si="11">H5-W5</f>
        <v>1200</v>
      </c>
      <c r="Y5" s="287">
        <f>SUMIFS('Checking Transaction Log'!$E:$E,'Checking Transaction Log'!$C:$C,"&gt;="&amp;Y1,'Checking Transaction Log'!$C:$C,"&lt;="&amp;Z1,'Checking Transaction Log'!$A:$A,"D",'Checking Transaction Log'!$B:$B,1)</f>
        <v>0</v>
      </c>
      <c r="Z5" s="287">
        <f t="shared" ref="Z5:Z12" si="12">H5-Y5</f>
        <v>1200</v>
      </c>
      <c r="AA5" s="289">
        <f>SUMIFS('Checking Transaction Log'!$E:$E,'Checking Transaction Log'!$C:$C,"&gt;="&amp;AA1,'Checking Transaction Log'!$C:$C,"&lt;="&amp;AB1,'Checking Transaction Log'!$A:$A,"D",'Checking Transaction Log'!$B:$B,1)</f>
        <v>0</v>
      </c>
      <c r="AB5" s="289">
        <f t="shared" ref="AB5:AB12" si="13">H5-AA5</f>
        <v>1200</v>
      </c>
      <c r="AC5" s="291">
        <f>SUMIFS('Checking Transaction Log'!$E:$E,'Checking Transaction Log'!$C:$C,"&gt;="&amp;AC1,'Checking Transaction Log'!$C:$C,"&lt;="&amp;AD1,'Checking Transaction Log'!$A:$A,"D",'Checking Transaction Log'!$B:$B,1)</f>
        <v>0</v>
      </c>
      <c r="AD5" s="291">
        <f t="shared" ref="AD5:AD12" si="14">H5-AC5</f>
        <v>1200</v>
      </c>
      <c r="AE5" s="293">
        <f>SUMIFS('Checking Transaction Log'!$E:$E,'Checking Transaction Log'!$C:$C,"&gt;="&amp;AE1,'Checking Transaction Log'!$C:$C,"&lt;="&amp;AF1,'Checking Transaction Log'!$A:$A,"D",'Checking Transaction Log'!$B:$B,1)</f>
        <v>0</v>
      </c>
      <c r="AF5" s="293">
        <f t="shared" ref="AF5:AF12" si="15">H5-AE5</f>
        <v>1200</v>
      </c>
    </row>
    <row r="6" spans="1:32" ht="11.25" customHeight="1" x14ac:dyDescent="0.3">
      <c r="A6" s="295" t="str">
        <f>'Proposed Budget'!A6</f>
        <v>D</v>
      </c>
      <c r="B6" s="266">
        <f>'Proposed Budget'!B6</f>
        <v>2</v>
      </c>
      <c r="C6" s="298" t="str">
        <f>'Proposed Budget'!C6</f>
        <v>Dining Out</v>
      </c>
      <c r="D6" s="299">
        <f t="shared" ca="1" si="1"/>
        <v>1091.103645112782</v>
      </c>
      <c r="E6" s="300">
        <f t="shared" ref="E6:E12" si="16">Q6+S6+U6+W6+Y6+AA6+AC6+AE6+I6+K6+M6+O6</f>
        <v>4770.4399999999996</v>
      </c>
      <c r="F6" s="300">
        <f t="shared" si="2"/>
        <v>609.23000000000059</v>
      </c>
      <c r="G6" s="280">
        <f t="shared" si="3"/>
        <v>0.11324672331202479</v>
      </c>
      <c r="H6" s="300">
        <f>'Proposed Budget'!D6</f>
        <v>1200</v>
      </c>
      <c r="I6" s="281">
        <f>SUMIFS('Checking Transaction Log'!E:E,'Checking Transaction Log'!C:C,"&gt;="&amp;I1,'Checking Transaction Log'!C:C,"&lt;="&amp;J1,'Checking Transaction Log'!A:A,"D",'Checking Transaction Log'!B:B,2)</f>
        <v>1061.45</v>
      </c>
      <c r="J6" s="281">
        <f t="shared" si="4"/>
        <v>138.54999999999995</v>
      </c>
      <c r="K6" s="243">
        <f>SUMIFS('Checking Transaction Log'!E:E,'Checking Transaction Log'!C:C,"&gt;="&amp;K1,'Checking Transaction Log'!C:C,"&lt;="&amp;L1,'Checking Transaction Log'!A:A,"D",'Checking Transaction Log'!B:B,2)</f>
        <v>911.68</v>
      </c>
      <c r="L6" s="243">
        <f t="shared" si="5"/>
        <v>288.32000000000005</v>
      </c>
      <c r="M6" s="284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84">
        <f t="shared" si="6"/>
        <v>-33.459999999999582</v>
      </c>
      <c r="O6" s="247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47">
        <f t="shared" si="7"/>
        <v>215.82000000000016</v>
      </c>
      <c r="Q6" s="281">
        <f>SUMIFS('Checking Transaction Log'!$E:$E,'Checking Transaction Log'!$C:$C,"&gt;="&amp;Q1,'Checking Transaction Log'!$C:$C,"&lt;="&amp;R1,'Checking Transaction Log'!$A:$A,"D",'Checking Transaction Log'!$B:$B,2)</f>
        <v>579.67000000000007</v>
      </c>
      <c r="R6" s="281">
        <f t="shared" si="8"/>
        <v>620.32999999999993</v>
      </c>
      <c r="S6" s="243">
        <f>SUMIFS('Checking Transaction Log'!$E:$E,'Checking Transaction Log'!$C:$C,"&gt;="&amp;S1,'Checking Transaction Log'!$C:$C,"&lt;="&amp;T1,'Checking Transaction Log'!$A:$A,"D",'Checking Transaction Log'!$B:$B,2)</f>
        <v>0</v>
      </c>
      <c r="T6" s="243">
        <f t="shared" si="9"/>
        <v>1200</v>
      </c>
      <c r="U6" s="284">
        <f>SUMIFS('Checking Transaction Log'!$E:$E,'Checking Transaction Log'!$C:$C,"&gt;="&amp;U1,'Checking Transaction Log'!$C:$C,"&lt;="&amp;V1,'Checking Transaction Log'!$A:$A,"D",'Checking Transaction Log'!$B:$B,2)</f>
        <v>0</v>
      </c>
      <c r="V6" s="284">
        <f t="shared" si="10"/>
        <v>1200</v>
      </c>
      <c r="W6" s="247">
        <f>SUMIFS('Checking Transaction Log'!$E:$E,'Checking Transaction Log'!$C:$C,"&gt;="&amp;W1,'Checking Transaction Log'!$C:$C,"&lt;="&amp;X1,'Checking Transaction Log'!$A:$A,"D",'Checking Transaction Log'!$B:$B,2)</f>
        <v>0</v>
      </c>
      <c r="X6" s="247">
        <f t="shared" si="11"/>
        <v>1200</v>
      </c>
      <c r="Y6" s="287">
        <f>SUMIFS('Checking Transaction Log'!$E:$E,'Checking Transaction Log'!$C:$C,"&gt;="&amp;Y1,'Checking Transaction Log'!$C:$C,"&lt;="&amp;Z1,'Checking Transaction Log'!$A:$A,"D",'Checking Transaction Log'!$B:$B,2)</f>
        <v>0</v>
      </c>
      <c r="Z6" s="287">
        <f t="shared" si="12"/>
        <v>1200</v>
      </c>
      <c r="AA6" s="289">
        <f>SUMIFS('Checking Transaction Log'!$E:$E,'Checking Transaction Log'!$C:$C,"&gt;="&amp;AA1,'Checking Transaction Log'!$C:$C,"&lt;="&amp;AB1,'Checking Transaction Log'!$A:$A,"D",'Checking Transaction Log'!$B:$B,2)</f>
        <v>0</v>
      </c>
      <c r="AB6" s="289">
        <f t="shared" si="13"/>
        <v>1200</v>
      </c>
      <c r="AC6" s="291">
        <f>SUMIFS('Checking Transaction Log'!$E:$E,'Checking Transaction Log'!$C:$C,"&gt;="&amp;AC1,'Checking Transaction Log'!$C:$C,"&lt;="&amp;AD1,'Checking Transaction Log'!$A:$A,"D",'Checking Transaction Log'!$B:$B,2)</f>
        <v>0</v>
      </c>
      <c r="AD6" s="291">
        <f t="shared" si="14"/>
        <v>1200</v>
      </c>
      <c r="AE6" s="293">
        <f>SUMIFS('Checking Transaction Log'!$E:$E,'Checking Transaction Log'!$C:$C,"&gt;="&amp;AE1,'Checking Transaction Log'!$C:$C,"&lt;="&amp;AF1,'Checking Transaction Log'!$A:$A,"D",'Checking Transaction Log'!$B:$B,2)</f>
        <v>0</v>
      </c>
      <c r="AF6" s="293">
        <f t="shared" si="15"/>
        <v>1200</v>
      </c>
    </row>
    <row r="7" spans="1:32" ht="11.25" customHeight="1" x14ac:dyDescent="0.3">
      <c r="A7" s="295" t="str">
        <f>'Proposed Budget'!A7</f>
        <v>D</v>
      </c>
      <c r="B7" s="266">
        <f>'Proposed Budget'!B7</f>
        <v>3</v>
      </c>
      <c r="C7" s="298" t="str">
        <f>'Proposed Budget'!C7</f>
        <v>Misc Food</v>
      </c>
      <c r="D7" s="299">
        <f t="shared" ca="1" si="1"/>
        <v>134.52730375939851</v>
      </c>
      <c r="E7" s="300">
        <f t="shared" si="16"/>
        <v>588.16999999999996</v>
      </c>
      <c r="F7" s="300">
        <f t="shared" si="2"/>
        <v>99.54000000000002</v>
      </c>
      <c r="G7" s="280">
        <f t="shared" si="3"/>
        <v>0.1447412426749648</v>
      </c>
      <c r="H7" s="300">
        <f>'Proposed Budget'!D7</f>
        <v>150</v>
      </c>
      <c r="I7" s="281">
        <f>SUMIFS('Checking Transaction Log'!E:E,'Checking Transaction Log'!C:C,"&gt;="&amp;I1,'Checking Transaction Log'!C:C,"&lt;="&amp;J1,'Checking Transaction Log'!A:A,"D",'Checking Transaction Log'!B:B,3)</f>
        <v>144.51</v>
      </c>
      <c r="J7" s="281">
        <f t="shared" si="4"/>
        <v>5.4900000000000091</v>
      </c>
      <c r="K7" s="243">
        <f>SUMIFS('Checking Transaction Log'!E:E,'Checking Transaction Log'!C:C,"&gt;="&amp;K1,'Checking Transaction Log'!C:C,"&lt;="&amp;L1,'Checking Transaction Log'!A:A,"D",'Checking Transaction Log'!B:B,3)</f>
        <v>90.76</v>
      </c>
      <c r="L7" s="243">
        <f t="shared" si="5"/>
        <v>59.239999999999995</v>
      </c>
      <c r="M7" s="284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84">
        <f t="shared" si="6"/>
        <v>-23.53</v>
      </c>
      <c r="O7" s="247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47">
        <f t="shared" si="7"/>
        <v>58.340000000000018</v>
      </c>
      <c r="Q7" s="281">
        <f>SUMIFS('Checking Transaction Log'!$E:$E,'Checking Transaction Log'!$C:$C,"&gt;="&amp;Q1,'Checking Transaction Log'!$C:$C,"&lt;="&amp;R1,'Checking Transaction Log'!$A:$A,"D",'Checking Transaction Log'!$B:$B,3)</f>
        <v>87.710000000000008</v>
      </c>
      <c r="R7" s="281">
        <f t="shared" si="8"/>
        <v>62.289999999999992</v>
      </c>
      <c r="S7" s="243">
        <f>SUMIFS('Checking Transaction Log'!$E:$E,'Checking Transaction Log'!$C:$C,"&gt;="&amp;S1,'Checking Transaction Log'!$C:$C,"&lt;="&amp;T1,'Checking Transaction Log'!$A:$A,"D",'Checking Transaction Log'!$B:$B,3)</f>
        <v>0</v>
      </c>
      <c r="T7" s="243">
        <f t="shared" si="9"/>
        <v>150</v>
      </c>
      <c r="U7" s="284">
        <f>SUMIFS('Checking Transaction Log'!$E:$E,'Checking Transaction Log'!$C:$C,"&gt;="&amp;U1,'Checking Transaction Log'!$C:$C,"&lt;="&amp;V1,'Checking Transaction Log'!$A:$A,"D",'Checking Transaction Log'!$B:$B,3)</f>
        <v>0</v>
      </c>
      <c r="V7" s="284">
        <f t="shared" si="10"/>
        <v>150</v>
      </c>
      <c r="W7" s="247">
        <f>SUMIFS('Checking Transaction Log'!$E:$E,'Checking Transaction Log'!$C:$C,"&gt;="&amp;W1,'Checking Transaction Log'!$C:$C,"&lt;="&amp;X1,'Checking Transaction Log'!$A:$A,"D",'Checking Transaction Log'!$B:$B,3)</f>
        <v>0</v>
      </c>
      <c r="X7" s="247">
        <f t="shared" si="11"/>
        <v>150</v>
      </c>
      <c r="Y7" s="287">
        <f>SUMIFS('Checking Transaction Log'!$E:$E,'Checking Transaction Log'!$C:$C,"&gt;="&amp;Y1,'Checking Transaction Log'!$C:$C,"&lt;="&amp;Z1,'Checking Transaction Log'!$A:$A,"D",'Checking Transaction Log'!$B:$B,3)</f>
        <v>0</v>
      </c>
      <c r="Z7" s="287">
        <f t="shared" si="12"/>
        <v>150</v>
      </c>
      <c r="AA7" s="289">
        <f>SUMIFS('Checking Transaction Log'!$E:$E,'Checking Transaction Log'!$C:$C,"&gt;="&amp;AA1,'Checking Transaction Log'!$C:$C,"&lt;="&amp;AB1,'Checking Transaction Log'!$A:$A,"D",'Checking Transaction Log'!$B:$B,3)</f>
        <v>0</v>
      </c>
      <c r="AB7" s="289">
        <f t="shared" si="13"/>
        <v>150</v>
      </c>
      <c r="AC7" s="291">
        <f>SUMIFS('Checking Transaction Log'!$E:$E,'Checking Transaction Log'!$C:$C,"&gt;="&amp;AC1,'Checking Transaction Log'!$C:$C,"&lt;="&amp;AD1,'Checking Transaction Log'!$A:$A,"D",'Checking Transaction Log'!$B:$B,3)</f>
        <v>0</v>
      </c>
      <c r="AD7" s="291">
        <f t="shared" si="14"/>
        <v>150</v>
      </c>
      <c r="AE7" s="293">
        <f>SUMIFS('Checking Transaction Log'!$E:$E,'Checking Transaction Log'!$C:$C,"&gt;="&amp;AE1,'Checking Transaction Log'!$C:$C,"&lt;="&amp;AF1,'Checking Transaction Log'!$A:$A,"D",'Checking Transaction Log'!$B:$B,3)</f>
        <v>0</v>
      </c>
      <c r="AF7" s="293">
        <f t="shared" si="15"/>
        <v>150</v>
      </c>
    </row>
    <row r="8" spans="1:32" ht="11.25" customHeight="1" x14ac:dyDescent="0.3">
      <c r="A8" s="295" t="str">
        <f>'Proposed Budget'!A8</f>
        <v>D</v>
      </c>
      <c r="B8" s="266">
        <f>'Proposed Budget'!B8</f>
        <v>4</v>
      </c>
      <c r="C8" s="298" t="str">
        <f>'Proposed Budget'!C8</f>
        <v>Gasoline</v>
      </c>
      <c r="D8" s="299">
        <f t="shared" ca="1" si="1"/>
        <v>622.89181353383458</v>
      </c>
      <c r="E8" s="300">
        <f t="shared" si="16"/>
        <v>2723.3599999999997</v>
      </c>
      <c r="F8" s="300">
        <f t="shared" si="2"/>
        <v>-1.9300000000000637</v>
      </c>
      <c r="G8" s="280">
        <f t="shared" si="3"/>
        <v>-7.0918597943014916E-4</v>
      </c>
      <c r="H8" s="300">
        <f>'Proposed Budget'!D8</f>
        <v>600</v>
      </c>
      <c r="I8" s="281">
        <f>SUMIFS('Checking Transaction Log'!E:E,'Checking Transaction Log'!C:C,"&gt;="&amp;I1,'Checking Transaction Log'!C:C,"&lt;="&amp;J1,'Checking Transaction Log'!A:A,"D",'Checking Transaction Log'!B:B,4)</f>
        <v>561.41</v>
      </c>
      <c r="J8" s="281">
        <f t="shared" si="4"/>
        <v>38.590000000000032</v>
      </c>
      <c r="K8" s="243">
        <f>SUMIFS('Checking Transaction Log'!E:E,'Checking Transaction Log'!C:C,"&gt;="&amp;K1,'Checking Transaction Log'!C:C,"&lt;="&amp;L1,'Checking Transaction Log'!A:A,"D",'Checking Transaction Log'!B:B,4)</f>
        <v>710.78</v>
      </c>
      <c r="L8" s="243">
        <f t="shared" si="5"/>
        <v>-110.77999999999997</v>
      </c>
      <c r="M8" s="284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84">
        <f t="shared" si="6"/>
        <v>62.589999999999918</v>
      </c>
      <c r="O8" s="247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47">
        <f t="shared" si="7"/>
        <v>7.6699999999999591</v>
      </c>
      <c r="Q8" s="281">
        <f>SUMIFS('Checking Transaction Log'!$E:$E,'Checking Transaction Log'!$C:$C,"&gt;="&amp;Q1,'Checking Transaction Log'!$C:$C,"&lt;="&amp;R1,'Checking Transaction Log'!$A:$A,"D",'Checking Transaction Log'!$B:$B,4)</f>
        <v>321.43</v>
      </c>
      <c r="R8" s="281">
        <f t="shared" si="8"/>
        <v>278.57</v>
      </c>
      <c r="S8" s="243">
        <f>SUMIFS('Checking Transaction Log'!$E:$E,'Checking Transaction Log'!$C:$C,"&gt;="&amp;S1,'Checking Transaction Log'!$C:$C,"&lt;="&amp;T1,'Checking Transaction Log'!$A:$A,"D",'Checking Transaction Log'!$B:$B,4)</f>
        <v>0</v>
      </c>
      <c r="T8" s="243">
        <f t="shared" si="9"/>
        <v>600</v>
      </c>
      <c r="U8" s="284">
        <f>SUMIFS('Checking Transaction Log'!$E:$E,'Checking Transaction Log'!$C:$C,"&gt;="&amp;U1,'Checking Transaction Log'!$C:$C,"&lt;="&amp;V1,'Checking Transaction Log'!$A:$A,"D",'Checking Transaction Log'!$B:$B,4)</f>
        <v>0</v>
      </c>
      <c r="V8" s="284">
        <f t="shared" si="10"/>
        <v>600</v>
      </c>
      <c r="W8" s="247">
        <f>SUMIFS('Checking Transaction Log'!$E:$E,'Checking Transaction Log'!$C:$C,"&gt;="&amp;W1,'Checking Transaction Log'!$C:$C,"&lt;="&amp;X1,'Checking Transaction Log'!$A:$A,"D",'Checking Transaction Log'!$B:$B,4)</f>
        <v>0</v>
      </c>
      <c r="X8" s="247">
        <f t="shared" si="11"/>
        <v>600</v>
      </c>
      <c r="Y8" s="287">
        <f>SUMIFS('Checking Transaction Log'!$E:$E,'Checking Transaction Log'!$C:$C,"&gt;="&amp;Y1,'Checking Transaction Log'!$C:$C,"&lt;="&amp;Z1,'Checking Transaction Log'!$A:$A,"D",'Checking Transaction Log'!$B:$B,4)</f>
        <v>0</v>
      </c>
      <c r="Z8" s="287">
        <f t="shared" si="12"/>
        <v>600</v>
      </c>
      <c r="AA8" s="289">
        <f>SUMIFS('Checking Transaction Log'!$E:$E,'Checking Transaction Log'!$C:$C,"&gt;="&amp;AA1,'Checking Transaction Log'!$C:$C,"&lt;="&amp;AB1,'Checking Transaction Log'!$A:$A,"D",'Checking Transaction Log'!$B:$B,4)</f>
        <v>0</v>
      </c>
      <c r="AB8" s="289">
        <f t="shared" si="13"/>
        <v>600</v>
      </c>
      <c r="AC8" s="291">
        <f>SUMIFS('Checking Transaction Log'!$E:$E,'Checking Transaction Log'!$C:$C,"&gt;="&amp;AC1,'Checking Transaction Log'!$C:$C,"&lt;="&amp;AD1,'Checking Transaction Log'!$A:$A,"D",'Checking Transaction Log'!$B:$B,4)</f>
        <v>0</v>
      </c>
      <c r="AD8" s="291">
        <f t="shared" si="14"/>
        <v>600</v>
      </c>
      <c r="AE8" s="293">
        <f>SUMIFS('Checking Transaction Log'!$E:$E,'Checking Transaction Log'!$C:$C,"&gt;="&amp;AE1,'Checking Transaction Log'!$C:$C,"&lt;="&amp;AF1,'Checking Transaction Log'!$A:$A,"D",'Checking Transaction Log'!$B:$B,4)</f>
        <v>0</v>
      </c>
      <c r="AF8" s="293">
        <f t="shared" si="15"/>
        <v>600</v>
      </c>
    </row>
    <row r="9" spans="1:32" ht="11.25" customHeight="1" x14ac:dyDescent="0.3">
      <c r="A9" s="295" t="str">
        <f>'Proposed Budget'!A9</f>
        <v>D</v>
      </c>
      <c r="B9" s="266">
        <f>'Proposed Budget'!B9</f>
        <v>5</v>
      </c>
      <c r="C9" s="298" t="str">
        <f>'Proposed Budget'!C9</f>
        <v>Family Entertainment</v>
      </c>
      <c r="D9" s="299">
        <f t="shared" ca="1" si="1"/>
        <v>865.21341654135347</v>
      </c>
      <c r="E9" s="300">
        <f t="shared" si="16"/>
        <v>3782.82</v>
      </c>
      <c r="F9" s="300">
        <f t="shared" si="2"/>
        <v>-888.01</v>
      </c>
      <c r="G9" s="280">
        <f t="shared" si="3"/>
        <v>-0.30675933826399637</v>
      </c>
      <c r="H9" s="300">
        <f>'Proposed Budget'!D9</f>
        <v>700</v>
      </c>
      <c r="I9" s="281">
        <f>SUMIFS('Checking Transaction Log'!E:E,'Checking Transaction Log'!C:C,"&gt;="&amp;I1,'Checking Transaction Log'!C:C,"&lt;="&amp;J1,'Checking Transaction Log'!A:A,"D",'Checking Transaction Log'!B:B,5)</f>
        <v>717.1</v>
      </c>
      <c r="J9" s="281">
        <f t="shared" si="4"/>
        <v>-17.100000000000023</v>
      </c>
      <c r="K9" s="243">
        <f>SUMIFS('Checking Transaction Log'!E:E,'Checking Transaction Log'!C:C,"&gt;="&amp;K1,'Checking Transaction Log'!C:C,"&lt;="&amp;L1,'Checking Transaction Log'!A:A,"D",'Checking Transaction Log'!B:B,5)</f>
        <v>780.14</v>
      </c>
      <c r="L9" s="243">
        <f t="shared" si="5"/>
        <v>-80.139999999999986</v>
      </c>
      <c r="M9" s="284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84">
        <f t="shared" si="6"/>
        <v>183.21000000000004</v>
      </c>
      <c r="O9" s="247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47">
        <f t="shared" si="7"/>
        <v>-973.98</v>
      </c>
      <c r="Q9" s="281">
        <f>SUMIFS('Checking Transaction Log'!$E:$E,'Checking Transaction Log'!$C:$C,"&gt;="&amp;Q1,'Checking Transaction Log'!$C:$C,"&lt;="&amp;R1,'Checking Transaction Log'!$A:$A,"D",'Checking Transaction Log'!$B:$B,5)</f>
        <v>94.81</v>
      </c>
      <c r="R9" s="281">
        <f t="shared" si="8"/>
        <v>605.19000000000005</v>
      </c>
      <c r="S9" s="243">
        <f>SUMIFS('Checking Transaction Log'!$E:$E,'Checking Transaction Log'!$C:$C,"&gt;="&amp;S1,'Checking Transaction Log'!$C:$C,"&lt;="&amp;T1,'Checking Transaction Log'!$A:$A,"D",'Checking Transaction Log'!$B:$B,5)</f>
        <v>0</v>
      </c>
      <c r="T9" s="243">
        <f t="shared" si="9"/>
        <v>700</v>
      </c>
      <c r="U9" s="284">
        <f>SUMIFS('Checking Transaction Log'!$E:$E,'Checking Transaction Log'!$C:$C,"&gt;="&amp;U1,'Checking Transaction Log'!$C:$C,"&lt;="&amp;V1,'Checking Transaction Log'!$A:$A,"D",'Checking Transaction Log'!$B:$B,5)</f>
        <v>0</v>
      </c>
      <c r="V9" s="284">
        <f t="shared" si="10"/>
        <v>700</v>
      </c>
      <c r="W9" s="247">
        <f>SUMIFS('Checking Transaction Log'!$E:$E,'Checking Transaction Log'!$C:$C,"&gt;="&amp;W1,'Checking Transaction Log'!$C:$C,"&lt;="&amp;X1,'Checking Transaction Log'!$A:$A,"D",'Checking Transaction Log'!$B:$B,5)</f>
        <v>0</v>
      </c>
      <c r="X9" s="247">
        <f t="shared" si="11"/>
        <v>700</v>
      </c>
      <c r="Y9" s="287">
        <f>SUMIFS('Checking Transaction Log'!$E:$E,'Checking Transaction Log'!$C:$C,"&gt;="&amp;Y1,'Checking Transaction Log'!$C:$C,"&lt;="&amp;Z1,'Checking Transaction Log'!$A:$A,"D",'Checking Transaction Log'!$B:$B,5)</f>
        <v>0</v>
      </c>
      <c r="Z9" s="287">
        <f t="shared" si="12"/>
        <v>700</v>
      </c>
      <c r="AA9" s="289">
        <f>SUMIFS('Checking Transaction Log'!$E:$E,'Checking Transaction Log'!$C:$C,"&gt;="&amp;AA1,'Checking Transaction Log'!$C:$C,"&lt;="&amp;AB1,'Checking Transaction Log'!$A:$A,"D",'Checking Transaction Log'!$B:$B,5)</f>
        <v>0</v>
      </c>
      <c r="AB9" s="289">
        <f t="shared" si="13"/>
        <v>700</v>
      </c>
      <c r="AC9" s="291">
        <f>SUMIFS('Checking Transaction Log'!$E:$E,'Checking Transaction Log'!$C:$C,"&gt;="&amp;AC1,'Checking Transaction Log'!$C:$C,"&lt;="&amp;AD1,'Checking Transaction Log'!$A:$A,"D",'Checking Transaction Log'!$B:$B,5)</f>
        <v>0</v>
      </c>
      <c r="AD9" s="291">
        <f t="shared" si="14"/>
        <v>700</v>
      </c>
      <c r="AE9" s="293">
        <f>SUMIFS('Checking Transaction Log'!$E:$E,'Checking Transaction Log'!$C:$C,"&gt;="&amp;AE1,'Checking Transaction Log'!$C:$C,"&lt;="&amp;AF1,'Checking Transaction Log'!$A:$A,"D",'Checking Transaction Log'!$B:$B,5)</f>
        <v>0</v>
      </c>
      <c r="AF9" s="293">
        <f t="shared" si="15"/>
        <v>700</v>
      </c>
    </row>
    <row r="10" spans="1:32" ht="11.25" customHeight="1" x14ac:dyDescent="0.3">
      <c r="A10" s="295" t="str">
        <f>'Proposed Budget'!A10</f>
        <v>D</v>
      </c>
      <c r="B10" s="266">
        <f>'Proposed Budget'!B10</f>
        <v>6</v>
      </c>
      <c r="C10" s="298" t="str">
        <f>'Proposed Budget'!C10</f>
        <v>Miscellaneous Spending</v>
      </c>
      <c r="D10" s="299">
        <f t="shared" ca="1" si="1"/>
        <v>760.18207669172955</v>
      </c>
      <c r="E10" s="300">
        <f t="shared" si="16"/>
        <v>3323.6100000000006</v>
      </c>
      <c r="F10" s="300">
        <f t="shared" si="2"/>
        <v>520.62999999999977</v>
      </c>
      <c r="G10" s="280">
        <f t="shared" si="3"/>
        <v>0.13543119056042274</v>
      </c>
      <c r="H10" s="300">
        <f>'Proposed Budget'!D10</f>
        <v>900</v>
      </c>
      <c r="I10" s="281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81">
        <f t="shared" si="4"/>
        <v>185.87999999999988</v>
      </c>
      <c r="K10" s="243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43">
        <f t="shared" si="5"/>
        <v>206.92000000000007</v>
      </c>
      <c r="M10" s="284">
        <f>SUMIFS('Checking Transaction Log'!$E:$E,'Checking Transaction Log'!$C:$C,"&gt;="&amp;M1,'Checking Transaction Log'!$C:$C,"&lt;="&amp;N1,'Checking Transaction Log'!$A:$A,"D",'Checking Transaction Log'!$B:$B,6)</f>
        <v>525.38</v>
      </c>
      <c r="N10" s="284">
        <f t="shared" si="6"/>
        <v>374.62</v>
      </c>
      <c r="O10" s="247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47">
        <f t="shared" si="7"/>
        <v>-246.79000000000019</v>
      </c>
      <c r="Q10" s="281">
        <f>SUMIFS('Checking Transaction Log'!$E:$E,'Checking Transaction Log'!$C:$C,"&gt;="&amp;Q1,'Checking Transaction Log'!$C:$C,"&lt;="&amp;R1,'Checking Transaction Log'!$A:$A,"D",'Checking Transaction Log'!$B:$B,6)</f>
        <v>244.24</v>
      </c>
      <c r="R10" s="281">
        <f t="shared" si="8"/>
        <v>655.76</v>
      </c>
      <c r="S10" s="243">
        <f>SUMIFS('Checking Transaction Log'!$E:$E,'Checking Transaction Log'!$C:$C,"&gt;="&amp;S1,'Checking Transaction Log'!$C:$C,"&lt;="&amp;T1,'Checking Transaction Log'!$A:$A,"D",'Checking Transaction Log'!$B:$B,6)</f>
        <v>0</v>
      </c>
      <c r="T10" s="243">
        <f t="shared" si="9"/>
        <v>900</v>
      </c>
      <c r="U10" s="284">
        <f>SUMIFS('Checking Transaction Log'!$E:$E,'Checking Transaction Log'!$C:$C,"&gt;="&amp;U1,'Checking Transaction Log'!$C:$C,"&lt;="&amp;V1,'Checking Transaction Log'!$A:$A,"D",'Checking Transaction Log'!$B:$B,6)</f>
        <v>0</v>
      </c>
      <c r="V10" s="284">
        <f t="shared" si="10"/>
        <v>900</v>
      </c>
      <c r="W10" s="247">
        <f>SUMIFS('Checking Transaction Log'!$E:$E,'Checking Transaction Log'!$C:$C,"&gt;="&amp;W1,'Checking Transaction Log'!$C:$C,"&lt;="&amp;X1,'Checking Transaction Log'!$A:$A,"D",'Checking Transaction Log'!$B:$B,6)</f>
        <v>0</v>
      </c>
      <c r="X10" s="247">
        <f t="shared" si="11"/>
        <v>900</v>
      </c>
      <c r="Y10" s="287">
        <f>SUMIFS('Checking Transaction Log'!$E:$E,'Checking Transaction Log'!$C:$C,"&gt;="&amp;Y1,'Checking Transaction Log'!$C:$C,"&lt;="&amp;Z1,'Checking Transaction Log'!$A:$A,"D",'Checking Transaction Log'!$B:$B,6)</f>
        <v>0</v>
      </c>
      <c r="Z10" s="287">
        <f t="shared" si="12"/>
        <v>900</v>
      </c>
      <c r="AA10" s="289">
        <f>SUMIFS('Checking Transaction Log'!$E:$E,'Checking Transaction Log'!$C:$C,"&gt;="&amp;AA1,'Checking Transaction Log'!$C:$C,"&lt;="&amp;AB1,'Checking Transaction Log'!$A:$A,"D",'Checking Transaction Log'!$B:$B,6)</f>
        <v>0</v>
      </c>
      <c r="AB10" s="289">
        <f t="shared" si="13"/>
        <v>900</v>
      </c>
      <c r="AC10" s="291">
        <f>SUMIFS('Checking Transaction Log'!$E:$E,'Checking Transaction Log'!$C:$C,"&gt;="&amp;AC1,'Checking Transaction Log'!$C:$C,"&lt;="&amp;AD1,'Checking Transaction Log'!$A:$A,"D",'Checking Transaction Log'!$B:$B,6)</f>
        <v>0</v>
      </c>
      <c r="AD10" s="291">
        <f t="shared" si="14"/>
        <v>900</v>
      </c>
      <c r="AE10" s="293">
        <f>SUMIFS('Checking Transaction Log'!$E:$E,'Checking Transaction Log'!$C:$C,"&gt;="&amp;AE1,'Checking Transaction Log'!$C:$C,"&lt;="&amp;AF1,'Checking Transaction Log'!$A:$A,"D",'Checking Transaction Log'!$B:$B,6)</f>
        <v>0</v>
      </c>
      <c r="AF10" s="293">
        <f t="shared" si="15"/>
        <v>900</v>
      </c>
    </row>
    <row r="11" spans="1:32" ht="11.25" customHeight="1" x14ac:dyDescent="0.3">
      <c r="A11" s="295" t="str">
        <f>'Proposed Budget'!A11</f>
        <v>D</v>
      </c>
      <c r="B11" s="266">
        <f>'Proposed Budget'!B11</f>
        <v>7</v>
      </c>
      <c r="C11" s="298" t="str">
        <f>'Proposed Budget'!C11</f>
        <v>Department Stores/Clothes</v>
      </c>
      <c r="D11" s="299">
        <f t="shared" ca="1" si="1"/>
        <v>462.99697443609034</v>
      </c>
      <c r="E11" s="300">
        <f t="shared" si="16"/>
        <v>2024.2800000000002</v>
      </c>
      <c r="F11" s="300">
        <f t="shared" si="2"/>
        <v>-387.74999999999989</v>
      </c>
      <c r="G11" s="280">
        <f t="shared" si="3"/>
        <v>-0.23693424501842308</v>
      </c>
      <c r="H11" s="300">
        <f>'Proposed Budget'!D11</f>
        <v>350</v>
      </c>
      <c r="I11" s="281">
        <f>SUMIFS('Checking Transaction Log'!E:E,'Checking Transaction Log'!C:C,"&gt;="&amp;I1,'Checking Transaction Log'!C:C,"&lt;="&amp;J1,'Checking Transaction Log'!A:A,"D",'Checking Transaction Log'!B:B,7)</f>
        <v>626.04</v>
      </c>
      <c r="J11" s="281">
        <f t="shared" si="4"/>
        <v>-276.03999999999996</v>
      </c>
      <c r="K11" s="243">
        <f>SUMIFS('Checking Transaction Log'!E:E,'Checking Transaction Log'!C:C,"&gt;="&amp;K1,'Checking Transaction Log'!C:C,"&lt;="&amp;L1,'Checking Transaction Log'!A:A,"D",'Checking Transaction Log'!B:B,7)</f>
        <v>670.18</v>
      </c>
      <c r="L11" s="243">
        <f t="shared" si="5"/>
        <v>-320.17999999999995</v>
      </c>
      <c r="M11" s="284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84">
        <f t="shared" si="6"/>
        <v>128.35000000000002</v>
      </c>
      <c r="O11" s="247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47">
        <f t="shared" si="7"/>
        <v>80.12</v>
      </c>
      <c r="Q11" s="281">
        <f>SUMIFS('Checking Transaction Log'!$E:$E,'Checking Transaction Log'!$C:$C,"&gt;="&amp;Q1,'Checking Transaction Log'!$C:$C,"&lt;="&amp;R1,'Checking Transaction Log'!$A:$A,"D",'Checking Transaction Log'!$B:$B,7)</f>
        <v>236.53</v>
      </c>
      <c r="R11" s="281">
        <f t="shared" si="8"/>
        <v>113.47</v>
      </c>
      <c r="S11" s="243">
        <f>SUMIFS('Checking Transaction Log'!$E:$E,'Checking Transaction Log'!$C:$C,"&gt;="&amp;S1,'Checking Transaction Log'!$C:$C,"&lt;="&amp;T1,'Checking Transaction Log'!$A:$A,"D",'Checking Transaction Log'!$B:$B,7)</f>
        <v>0</v>
      </c>
      <c r="T11" s="243">
        <f t="shared" si="9"/>
        <v>350</v>
      </c>
      <c r="U11" s="284">
        <f>SUMIFS('Checking Transaction Log'!$E:$E,'Checking Transaction Log'!$C:$C,"&gt;="&amp;U1,'Checking Transaction Log'!$C:$C,"&lt;="&amp;V1,'Checking Transaction Log'!$A:$A,"D",'Checking Transaction Log'!$B:$B,7)</f>
        <v>0</v>
      </c>
      <c r="V11" s="284">
        <f t="shared" si="10"/>
        <v>350</v>
      </c>
      <c r="W11" s="247">
        <f>SUMIFS('Checking Transaction Log'!$E:$E,'Checking Transaction Log'!$C:$C,"&gt;="&amp;W1,'Checking Transaction Log'!$C:$C,"&lt;="&amp;X1,'Checking Transaction Log'!$A:$A,"D",'Checking Transaction Log'!$B:$B,7)</f>
        <v>0</v>
      </c>
      <c r="X11" s="247">
        <f t="shared" si="11"/>
        <v>350</v>
      </c>
      <c r="Y11" s="287">
        <f>SUMIFS('Checking Transaction Log'!$E:$E,'Checking Transaction Log'!$C:$C,"&gt;="&amp;Y1,'Checking Transaction Log'!$C:$C,"&lt;="&amp;Z1,'Checking Transaction Log'!$A:$A,"D",'Checking Transaction Log'!$B:$B,7)</f>
        <v>0</v>
      </c>
      <c r="Z11" s="287">
        <f t="shared" si="12"/>
        <v>350</v>
      </c>
      <c r="AA11" s="289">
        <f>SUMIFS('Checking Transaction Log'!$E:$E,'Checking Transaction Log'!$C:$C,"&gt;="&amp;AA1,'Checking Transaction Log'!$C:$C,"&lt;="&amp;AB1,'Checking Transaction Log'!$A:$A,"D",'Checking Transaction Log'!$B:$B,7)</f>
        <v>0</v>
      </c>
      <c r="AB11" s="289">
        <f t="shared" si="13"/>
        <v>350</v>
      </c>
      <c r="AC11" s="291">
        <f>SUMIFS('Checking Transaction Log'!$E:$E,'Checking Transaction Log'!$C:$C,"&gt;="&amp;AC1,'Checking Transaction Log'!$C:$C,"&lt;="&amp;AD1,'Checking Transaction Log'!$A:$A,"D",'Checking Transaction Log'!$B:$B,7)</f>
        <v>0</v>
      </c>
      <c r="AD11" s="291">
        <f t="shared" si="14"/>
        <v>350</v>
      </c>
      <c r="AE11" s="293">
        <f>SUMIFS('Checking Transaction Log'!$E:$E,'Checking Transaction Log'!$C:$C,"&gt;="&amp;AE1,'Checking Transaction Log'!$C:$C,"&lt;="&amp;AF1,'Checking Transaction Log'!$A:$A,"D",'Checking Transaction Log'!$B:$B,7)</f>
        <v>0</v>
      </c>
      <c r="AF11" s="293">
        <f t="shared" si="15"/>
        <v>350</v>
      </c>
    </row>
    <row r="12" spans="1:32" ht="11.25" customHeight="1" x14ac:dyDescent="0.3">
      <c r="A12" s="295" t="str">
        <f>'Proposed Budget'!A12</f>
        <v>D</v>
      </c>
      <c r="B12" s="266">
        <f>'Proposed Budget'!B12</f>
        <v>8</v>
      </c>
      <c r="C12" s="298" t="str">
        <f>'Proposed Budget'!C12</f>
        <v>Alcohol/Bars</v>
      </c>
      <c r="D12" s="299">
        <f t="shared" ca="1" si="1"/>
        <v>712.76347218045112</v>
      </c>
      <c r="E12" s="300">
        <f t="shared" si="16"/>
        <v>3116.29</v>
      </c>
      <c r="F12" s="300">
        <f t="shared" si="2"/>
        <v>-157.63000000000011</v>
      </c>
      <c r="G12" s="280">
        <f t="shared" si="3"/>
        <v>-5.3277497245374672E-2</v>
      </c>
      <c r="H12" s="300">
        <f>'Proposed Budget'!D12</f>
        <v>700</v>
      </c>
      <c r="I12" s="281">
        <f>SUMIFS('Checking Transaction Log'!E:E,'Checking Transaction Log'!C:C,"&gt;="&amp;I1,'Checking Transaction Log'!C:C,"&lt;="&amp;J1,'Checking Transaction Log'!A:A,"D",'Checking Transaction Log'!B:B,8)</f>
        <v>683.49</v>
      </c>
      <c r="J12" s="281">
        <f t="shared" si="4"/>
        <v>16.509999999999991</v>
      </c>
      <c r="K12" s="243">
        <f>SUMIFS('Checking Transaction Log'!E:E,'Checking Transaction Log'!C:C,"&gt;="&amp;K1,'Checking Transaction Log'!C:C,"&lt;="&amp;L1,'Checking Transaction Log'!A:A,"D",'Checking Transaction Log'!B:B,8)</f>
        <v>979.71</v>
      </c>
      <c r="L12" s="243">
        <f t="shared" si="5"/>
        <v>-279.71000000000004</v>
      </c>
      <c r="M12" s="284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84">
        <f t="shared" si="6"/>
        <v>59.579999999999814</v>
      </c>
      <c r="O12" s="247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47">
        <f t="shared" si="7"/>
        <v>45.990000000000123</v>
      </c>
      <c r="Q12" s="281">
        <f>SUMIFS('Checking Transaction Log'!$E:$E,'Checking Transaction Log'!$C:$C,"&gt;="&amp;Q1,'Checking Transaction Log'!$C:$C,"&lt;="&amp;R1,'Checking Transaction Log'!$A:$A,"D",'Checking Transaction Log'!$B:$B,8)</f>
        <v>158.66000000000003</v>
      </c>
      <c r="R12" s="281">
        <f t="shared" si="8"/>
        <v>541.33999999999992</v>
      </c>
      <c r="S12" s="243">
        <f>SUMIFS('Checking Transaction Log'!$E:$E,'Checking Transaction Log'!$C:$C,"&gt;="&amp;S1,'Checking Transaction Log'!$C:$C,"&lt;="&amp;T1,'Checking Transaction Log'!$A:$A,"D",'Checking Transaction Log'!$B:$B,8)</f>
        <v>0</v>
      </c>
      <c r="T12" s="243">
        <f t="shared" si="9"/>
        <v>700</v>
      </c>
      <c r="U12" s="284">
        <f>SUMIFS('Checking Transaction Log'!$E:$E,'Checking Transaction Log'!$C:$C,"&gt;="&amp;U1,'Checking Transaction Log'!$C:$C,"&lt;="&amp;V1,'Checking Transaction Log'!$A:$A,"D",'Checking Transaction Log'!$B:$B,8)</f>
        <v>0</v>
      </c>
      <c r="V12" s="284">
        <f t="shared" si="10"/>
        <v>700</v>
      </c>
      <c r="W12" s="247">
        <f>SUMIFS('Checking Transaction Log'!$E:$E,'Checking Transaction Log'!$C:$C,"&gt;="&amp;W1,'Checking Transaction Log'!$C:$C,"&lt;="&amp;X1,'Checking Transaction Log'!$A:$A,"D",'Checking Transaction Log'!$B:$B,8)</f>
        <v>0</v>
      </c>
      <c r="X12" s="247">
        <f t="shared" si="11"/>
        <v>700</v>
      </c>
      <c r="Y12" s="287">
        <f>SUMIFS('Checking Transaction Log'!$E:$E,'Checking Transaction Log'!$C:$C,"&gt;="&amp;Y1,'Checking Transaction Log'!$C:$C,"&lt;="&amp;Z1,'Checking Transaction Log'!$A:$A,"D",'Checking Transaction Log'!$B:$B,8)</f>
        <v>0</v>
      </c>
      <c r="Z12" s="287">
        <f t="shared" si="12"/>
        <v>700</v>
      </c>
      <c r="AA12" s="289">
        <f>SUMIFS('Checking Transaction Log'!$E:$E,'Checking Transaction Log'!$C:$C,"&gt;="&amp;AA1,'Checking Transaction Log'!$C:$C,"&lt;="&amp;AB1,'Checking Transaction Log'!$A:$A,"D",'Checking Transaction Log'!$B:$B,8)</f>
        <v>0</v>
      </c>
      <c r="AB12" s="289">
        <f t="shared" si="13"/>
        <v>700</v>
      </c>
      <c r="AC12" s="291">
        <f>SUMIFS('Checking Transaction Log'!$E:$E,'Checking Transaction Log'!$C:$C,"&gt;="&amp;AC1,'Checking Transaction Log'!$C:$C,"&lt;="&amp;AD1,'Checking Transaction Log'!$A:$A,"D",'Checking Transaction Log'!$B:$B,8)</f>
        <v>0</v>
      </c>
      <c r="AD12" s="291">
        <f t="shared" si="14"/>
        <v>700</v>
      </c>
      <c r="AE12" s="293">
        <f>SUMIFS('Checking Transaction Log'!$E:$E,'Checking Transaction Log'!$C:$C,"&gt;="&amp;AE1,'Checking Transaction Log'!$C:$C,"&lt;="&amp;AF1,'Checking Transaction Log'!$A:$A,"D",'Checking Transaction Log'!$B:$B,8)</f>
        <v>0</v>
      </c>
      <c r="AF12" s="293">
        <f t="shared" si="15"/>
        <v>700</v>
      </c>
    </row>
    <row r="13" spans="1:32" ht="11.25" customHeight="1" x14ac:dyDescent="0.3">
      <c r="A13" s="295"/>
      <c r="B13" s="266"/>
      <c r="C13" s="298"/>
      <c r="D13" s="299"/>
      <c r="E13" s="301"/>
      <c r="F13" s="301"/>
      <c r="G13" s="280"/>
      <c r="H13" s="300"/>
      <c r="I13" s="281"/>
      <c r="J13" s="281"/>
      <c r="K13" s="243"/>
      <c r="L13" s="243"/>
      <c r="M13" s="284"/>
      <c r="N13" s="284"/>
      <c r="O13" s="247"/>
      <c r="P13" s="247"/>
      <c r="Q13" s="281"/>
      <c r="R13" s="281"/>
      <c r="S13" s="243"/>
      <c r="T13" s="243"/>
      <c r="U13" s="284"/>
      <c r="V13" s="284"/>
      <c r="W13" s="247"/>
      <c r="X13" s="247"/>
      <c r="Y13" s="287"/>
      <c r="Z13" s="287"/>
      <c r="AA13" s="289"/>
      <c r="AB13" s="289"/>
      <c r="AC13" s="291"/>
      <c r="AD13" s="291"/>
      <c r="AE13" s="293"/>
      <c r="AF13" s="293"/>
    </row>
    <row r="14" spans="1:32" ht="11.25" customHeight="1" x14ac:dyDescent="0.3">
      <c r="A14" s="295" t="str">
        <f>'Proposed Budget'!A14</f>
        <v>F</v>
      </c>
      <c r="B14" s="266">
        <f>'Proposed Budget'!B14</f>
        <v>9</v>
      </c>
      <c r="C14" s="298" t="str">
        <f>'Proposed Budget'!C14</f>
        <v>Rocket Mortgage</v>
      </c>
      <c r="D14" s="299">
        <f t="shared" ref="D14:D31" ca="1" si="17">(E14/(TODAY()-$I$1))*30.42</f>
        <v>1454.1674887218044</v>
      </c>
      <c r="E14" s="300">
        <f t="shared" ref="E14:E31" si="18">Q14+S14+U14+W14+Y14+AA14+AC14+AE14+I14+K14+M14+O14</f>
        <v>6357.7999999999993</v>
      </c>
      <c r="F14" s="300">
        <f t="shared" ref="F14:F31" si="19">J14+L14+N14+P14</f>
        <v>13.880000000000109</v>
      </c>
      <c r="G14" s="280">
        <f t="shared" ref="G14:G31" si="20">1-((E14/SUM(E14:F14)))</f>
        <v>2.1783893729754311E-3</v>
      </c>
      <c r="H14" s="300">
        <f>'Proposed Budget'!D14</f>
        <v>1285</v>
      </c>
      <c r="I14" s="281">
        <f>SUMIFS('Checking Transaction Log'!E:E,'Checking Transaction Log'!C:C,"&gt;="&amp;I1,'Checking Transaction Log'!C:C,"&lt;="&amp;J1,'Checking Transaction Log'!A:A,"F",'Checking Transaction Log'!B:B,9)</f>
        <v>1281.53</v>
      </c>
      <c r="J14" s="281">
        <f t="shared" ref="J14:J31" si="21">H14-I14</f>
        <v>3.4700000000000273</v>
      </c>
      <c r="K14" s="243">
        <f>SUMIFS('Checking Transaction Log'!E:E,'Checking Transaction Log'!C:C,"&gt;="&amp;K1,'Checking Transaction Log'!C:C,"&lt;="&amp;L1,'Checking Transaction Log'!A:A,"F",'Checking Transaction Log'!B:B,9)</f>
        <v>1281.53</v>
      </c>
      <c r="L14" s="243">
        <f t="shared" ref="L14:L31" si="22">H14-K14</f>
        <v>3.4700000000000273</v>
      </c>
      <c r="M14" s="284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84">
        <f t="shared" ref="N14:N31" si="23">H14-M14</f>
        <v>3.4700000000000273</v>
      </c>
      <c r="O14" s="247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47">
        <f t="shared" ref="P14:P31" si="24">H14-O14</f>
        <v>3.4700000000000273</v>
      </c>
      <c r="Q14" s="281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81">
        <f t="shared" ref="R14:R31" si="25">H14-Q14</f>
        <v>53.319999999999936</v>
      </c>
      <c r="S14" s="243">
        <f>SUMIFS('Checking Transaction Log'!$E:$E,'Checking Transaction Log'!$C:$C,"&gt;="&amp;S1,'Checking Transaction Log'!$C:$C,"&lt;="&amp;T1,'Checking Transaction Log'!$A:$A,"F",'Checking Transaction Log'!$B:$B,9)</f>
        <v>0</v>
      </c>
      <c r="T14" s="243">
        <f t="shared" ref="T14:T31" si="26">H14-S14</f>
        <v>1285</v>
      </c>
      <c r="U14" s="284">
        <f>SUMIFS('Checking Transaction Log'!$E:$E,'Checking Transaction Log'!$C:$C,"&gt;="&amp;U1,'Checking Transaction Log'!$C:$C,"&lt;="&amp;V1,'Checking Transaction Log'!$A:$A,"F",'Checking Transaction Log'!$B:$B,9)</f>
        <v>0</v>
      </c>
      <c r="V14" s="284">
        <f t="shared" ref="V14:V31" si="27">H14-U14</f>
        <v>1285</v>
      </c>
      <c r="W14" s="247">
        <f>SUMIFS('Checking Transaction Log'!$E:$E,'Checking Transaction Log'!$C:$C,"&gt;="&amp;W1,'Checking Transaction Log'!$C:$C,"&lt;="&amp;X1,'Checking Transaction Log'!$A:$A,"F",'Checking Transaction Log'!$B:$B,9)</f>
        <v>0</v>
      </c>
      <c r="X14" s="247">
        <f t="shared" ref="X14:X31" si="28">H14-W14</f>
        <v>1285</v>
      </c>
      <c r="Y14" s="287">
        <f>SUMIFS('Checking Transaction Log'!$E:$E,'Checking Transaction Log'!$C:$C,"&gt;="&amp;Y1,'Checking Transaction Log'!$C:$C,"&lt;="&amp;Z1,'Checking Transaction Log'!$A:$A,"F",'Checking Transaction Log'!$B:$B,9)</f>
        <v>0</v>
      </c>
      <c r="Z14" s="287">
        <f t="shared" ref="Z14:Z31" si="29">H14-Y14</f>
        <v>1285</v>
      </c>
      <c r="AA14" s="289">
        <f>SUMIFS('Checking Transaction Log'!$E:$E,'Checking Transaction Log'!$C:$C,"&gt;="&amp;AA1,'Checking Transaction Log'!$C:$C,"&lt;="&amp;AB1,'Checking Transaction Log'!$A:$A,"F",'Checking Transaction Log'!$B:$B,9)</f>
        <v>0</v>
      </c>
      <c r="AB14" s="289">
        <f t="shared" ref="AB14:AB31" si="30">H14-AA14</f>
        <v>1285</v>
      </c>
      <c r="AC14" s="291">
        <f>SUMIFS('Checking Transaction Log'!$E:$E,'Checking Transaction Log'!$C:$C,"&gt;="&amp;AC1,'Checking Transaction Log'!$C:$C,"&lt;="&amp;AD1,'Checking Transaction Log'!$A:$A,"F",'Checking Transaction Log'!$B:$B,9)</f>
        <v>0</v>
      </c>
      <c r="AD14" s="291">
        <f t="shared" ref="AD14:AD31" si="31">H14-AC14</f>
        <v>1285</v>
      </c>
      <c r="AE14" s="293">
        <f>SUMIFS('Checking Transaction Log'!$E:$E,'Checking Transaction Log'!$C:$C,"&gt;="&amp;AE1,'Checking Transaction Log'!$C:$C,"&lt;="&amp;AF1,'Checking Transaction Log'!$A:$A,"F",'Checking Transaction Log'!$B:$B,9)</f>
        <v>0</v>
      </c>
      <c r="AF14" s="293">
        <f t="shared" ref="AF14:AF31" si="32">H14-AE14</f>
        <v>1285</v>
      </c>
    </row>
    <row r="15" spans="1:32" ht="11.25" customHeight="1" x14ac:dyDescent="0.3">
      <c r="A15" s="295" t="str">
        <f>'Proposed Budget'!A15</f>
        <v>F</v>
      </c>
      <c r="B15" s="266">
        <f>'Proposed Budget'!B15</f>
        <v>10</v>
      </c>
      <c r="C15" s="298" t="str">
        <f>'Proposed Budget'!C15</f>
        <v>EH Roberts</v>
      </c>
      <c r="D15" s="299">
        <f t="shared" ca="1" si="17"/>
        <v>16.376481203007518</v>
      </c>
      <c r="E15" s="300">
        <f t="shared" si="18"/>
        <v>71.599999999999994</v>
      </c>
      <c r="F15" s="300">
        <f t="shared" si="19"/>
        <v>8.4000000000000057</v>
      </c>
      <c r="G15" s="280">
        <f t="shared" si="20"/>
        <v>0.10500000000000009</v>
      </c>
      <c r="H15" s="300">
        <f>'Proposed Budget'!D15</f>
        <v>20</v>
      </c>
      <c r="I15" s="281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81">
        <f t="shared" si="21"/>
        <v>2.1000000000000014</v>
      </c>
      <c r="K15" s="243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43">
        <f t="shared" si="22"/>
        <v>2.1000000000000014</v>
      </c>
      <c r="M15" s="284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84">
        <f t="shared" si="23"/>
        <v>2.1000000000000014</v>
      </c>
      <c r="O15" s="247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47">
        <f t="shared" si="24"/>
        <v>2.1000000000000014</v>
      </c>
      <c r="Q15" s="281">
        <f>SUMIFS('Checking Transaction Log'!$E:$E,'Checking Transaction Log'!$C:$C,"&gt;="&amp;Q1,'Checking Transaction Log'!$C:$C,"&lt;="&amp;R1,'Checking Transaction Log'!$A:$A,"F",'Checking Transaction Log'!$B:$B,10)</f>
        <v>0</v>
      </c>
      <c r="R15" s="281">
        <f t="shared" si="25"/>
        <v>20</v>
      </c>
      <c r="S15" s="243">
        <f>SUMIFS('Checking Transaction Log'!$E:$E,'Checking Transaction Log'!$C:$C,"&gt;="&amp;S1,'Checking Transaction Log'!$C:$C,"&lt;="&amp;T1,'Checking Transaction Log'!$A:$A,"F",'Checking Transaction Log'!$B:$B,10)</f>
        <v>0</v>
      </c>
      <c r="T15" s="243">
        <f t="shared" si="26"/>
        <v>20</v>
      </c>
      <c r="U15" s="284">
        <f>SUMIFS('Checking Transaction Log'!$E:$E,'Checking Transaction Log'!$C:$C,"&gt;="&amp;U1,'Checking Transaction Log'!$C:$C,"&lt;="&amp;V1,'Checking Transaction Log'!$A:$A,"F",'Checking Transaction Log'!$B:$B,10)</f>
        <v>0</v>
      </c>
      <c r="V15" s="284">
        <f t="shared" si="27"/>
        <v>20</v>
      </c>
      <c r="W15" s="247">
        <f>SUMIFS('Checking Transaction Log'!$E:$E,'Checking Transaction Log'!$C:$C,"&gt;="&amp;W1,'Checking Transaction Log'!$C:$C,"&lt;="&amp;X1,'Checking Transaction Log'!$A:$A,"F",'Checking Transaction Log'!$B:$B,10)</f>
        <v>0</v>
      </c>
      <c r="X15" s="247">
        <f t="shared" si="28"/>
        <v>20</v>
      </c>
      <c r="Y15" s="287">
        <f>SUMIFS('Checking Transaction Log'!$E:$E,'Checking Transaction Log'!$C:$C,"&gt;="&amp;Y1,'Checking Transaction Log'!$C:$C,"&lt;="&amp;Z1,'Checking Transaction Log'!$A:$A,"F",'Checking Transaction Log'!$B:$B,10)</f>
        <v>0</v>
      </c>
      <c r="Z15" s="287">
        <f t="shared" si="29"/>
        <v>20</v>
      </c>
      <c r="AA15" s="289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89">
        <f t="shared" si="30"/>
        <v>20</v>
      </c>
      <c r="AC15" s="291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91">
        <f t="shared" si="31"/>
        <v>20</v>
      </c>
      <c r="AE15" s="293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93">
        <f t="shared" si="32"/>
        <v>20</v>
      </c>
    </row>
    <row r="16" spans="1:32" ht="11.25" customHeight="1" x14ac:dyDescent="0.3">
      <c r="A16" s="295" t="str">
        <f>'Proposed Budget'!A16</f>
        <v>F</v>
      </c>
      <c r="B16" s="266">
        <f>'Proposed Budget'!B16</f>
        <v>11</v>
      </c>
      <c r="C16" s="298" t="str">
        <f>'Proposed Budget'!C16</f>
        <v>Verizon Wireless</v>
      </c>
      <c r="D16" s="299">
        <f t="shared" ca="1" si="17"/>
        <v>293.83661503759402</v>
      </c>
      <c r="E16" s="300">
        <f t="shared" si="18"/>
        <v>1284.69</v>
      </c>
      <c r="F16" s="300">
        <f t="shared" si="19"/>
        <v>-204.69000000000005</v>
      </c>
      <c r="G16" s="280">
        <f t="shared" si="20"/>
        <v>-0.18952777777777774</v>
      </c>
      <c r="H16" s="300">
        <f>'Proposed Budget'!D16</f>
        <v>270</v>
      </c>
      <c r="I16" s="281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81">
        <f t="shared" si="21"/>
        <v>2.0400000000000205</v>
      </c>
      <c r="K16" s="243">
        <f>SUMIFS('Checking Transaction Log'!E:E,'Checking Transaction Log'!C:C,"&gt;="&amp;K1,'Checking Transaction Log'!C:C,"&lt;="&amp;L1,'Checking Transaction Log'!A:A,"F",'Checking Transaction Log'!B:B,11)</f>
        <v>480.91</v>
      </c>
      <c r="L16" s="243">
        <f t="shared" si="22"/>
        <v>-210.91000000000003</v>
      </c>
      <c r="M16" s="284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84">
        <f t="shared" si="23"/>
        <v>2.089999999999975</v>
      </c>
      <c r="O16" s="247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47">
        <f t="shared" si="24"/>
        <v>2.089999999999975</v>
      </c>
      <c r="Q16" s="281">
        <f>SUMIFS('Checking Transaction Log'!$E:$E,'Checking Transaction Log'!$C:$C,"&gt;="&amp;Q1,'Checking Transaction Log'!$C:$C,"&lt;="&amp;R1,'Checking Transaction Log'!$A:$A,"F",'Checking Transaction Log'!$B:$B,11)</f>
        <v>0</v>
      </c>
      <c r="R16" s="281">
        <f t="shared" si="25"/>
        <v>270</v>
      </c>
      <c r="S16" s="243">
        <f>SUMIFS('Checking Transaction Log'!$E:$E,'Checking Transaction Log'!$C:$C,"&gt;="&amp;S1,'Checking Transaction Log'!$C:$C,"&lt;="&amp;T1,'Checking Transaction Log'!$A:$A,"F",'Checking Transaction Log'!$B:$B,11)</f>
        <v>0</v>
      </c>
      <c r="T16" s="243">
        <f t="shared" si="26"/>
        <v>270</v>
      </c>
      <c r="U16" s="284">
        <f>SUMIFS('Checking Transaction Log'!$E:$E,'Checking Transaction Log'!$C:$C,"&gt;="&amp;U1,'Checking Transaction Log'!$C:$C,"&lt;="&amp;V1,'Checking Transaction Log'!$A:$A,"F",'Checking Transaction Log'!$B:$B,11)</f>
        <v>0</v>
      </c>
      <c r="V16" s="284">
        <f t="shared" si="27"/>
        <v>270</v>
      </c>
      <c r="W16" s="247">
        <f>SUMIFS('Checking Transaction Log'!$E:$E,'Checking Transaction Log'!$C:$C,"&gt;="&amp;W1,'Checking Transaction Log'!$C:$C,"&lt;="&amp;X1,'Checking Transaction Log'!$A:$A,"F",'Checking Transaction Log'!$B:$B,11)</f>
        <v>0</v>
      </c>
      <c r="X16" s="247">
        <f t="shared" si="28"/>
        <v>270</v>
      </c>
      <c r="Y16" s="287">
        <f>SUMIFS('Checking Transaction Log'!$E:$E,'Checking Transaction Log'!$C:$C,"&gt;="&amp;Y1,'Checking Transaction Log'!$C:$C,"&lt;="&amp;Z1,'Checking Transaction Log'!$A:$A,"F",'Checking Transaction Log'!$B:$B,11)</f>
        <v>0</v>
      </c>
      <c r="Z16" s="287">
        <f t="shared" si="29"/>
        <v>270</v>
      </c>
      <c r="AA16" s="289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89">
        <f t="shared" si="30"/>
        <v>270</v>
      </c>
      <c r="AC16" s="291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91">
        <f t="shared" si="31"/>
        <v>270</v>
      </c>
      <c r="AE16" s="293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93">
        <f t="shared" si="32"/>
        <v>270</v>
      </c>
    </row>
    <row r="17" spans="1:32" ht="11.25" customHeight="1" x14ac:dyDescent="0.3">
      <c r="A17" s="295" t="str">
        <f>'Proposed Budget'!A17</f>
        <v>F</v>
      </c>
      <c r="B17" s="266">
        <f>'Proposed Budget'!B17</f>
        <v>12</v>
      </c>
      <c r="C17" s="298" t="str">
        <f>'Proposed Budget'!C17</f>
        <v>Spectrum TV/Internet</v>
      </c>
      <c r="D17" s="299">
        <f t="shared" ca="1" si="17"/>
        <v>189.49830225563909</v>
      </c>
      <c r="E17" s="300">
        <f t="shared" si="18"/>
        <v>828.51</v>
      </c>
      <c r="F17" s="300">
        <f t="shared" si="19"/>
        <v>-8.5100000000000193</v>
      </c>
      <c r="G17" s="280">
        <f t="shared" si="20"/>
        <v>-1.037804878048787E-2</v>
      </c>
      <c r="H17" s="300">
        <f>'Proposed Budget'!D17</f>
        <v>205</v>
      </c>
      <c r="I17" s="281">
        <f>SUMIFS('Checking Transaction Log'!E:E,'Checking Transaction Log'!C:C,"&gt;="&amp;I1,'Checking Transaction Log'!C:C,"&lt;="&amp;J1,'Checking Transaction Log'!A:A,"F",'Checking Transaction Log'!B:B,12)</f>
        <v>204.83</v>
      </c>
      <c r="J17" s="281">
        <f t="shared" si="21"/>
        <v>0.16999999999998749</v>
      </c>
      <c r="K17" s="243">
        <f>SUMIFS('Checking Transaction Log'!E:E,'Checking Transaction Log'!C:C,"&gt;="&amp;K1,'Checking Transaction Log'!C:C,"&lt;="&amp;L1,'Checking Transaction Log'!A:A,"F",'Checking Transaction Log'!B:B,12)</f>
        <v>204.47</v>
      </c>
      <c r="L17" s="243">
        <f t="shared" si="22"/>
        <v>0.53000000000000114</v>
      </c>
      <c r="M17" s="284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84">
        <f t="shared" si="23"/>
        <v>0.53000000000000114</v>
      </c>
      <c r="O17" s="247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47">
        <f t="shared" si="24"/>
        <v>-9.7400000000000091</v>
      </c>
      <c r="Q17" s="281">
        <f>SUMIFS('Checking Transaction Log'!$E:$E,'Checking Transaction Log'!$C:$C,"&gt;="&amp;Q1,'Checking Transaction Log'!$C:$C,"&lt;="&amp;R1,'Checking Transaction Log'!$A:$A,"F",'Checking Transaction Log'!$B:$B,12)</f>
        <v>0</v>
      </c>
      <c r="R17" s="281">
        <f t="shared" si="25"/>
        <v>205</v>
      </c>
      <c r="S17" s="243">
        <f>SUMIFS('Checking Transaction Log'!$E:$E,'Checking Transaction Log'!$C:$C,"&gt;="&amp;S1,'Checking Transaction Log'!$C:$C,"&lt;="&amp;T1,'Checking Transaction Log'!$A:$A,"F",'Checking Transaction Log'!$B:$B,12)</f>
        <v>0</v>
      </c>
      <c r="T17" s="243">
        <f t="shared" si="26"/>
        <v>205</v>
      </c>
      <c r="U17" s="284">
        <f>SUMIFS('Checking Transaction Log'!$E:$E,'Checking Transaction Log'!$C:$C,"&gt;="&amp;U1,'Checking Transaction Log'!$C:$C,"&lt;="&amp;V1,'Checking Transaction Log'!$A:$A,"F",'Checking Transaction Log'!$B:$B,12)</f>
        <v>0</v>
      </c>
      <c r="V17" s="284">
        <f t="shared" si="27"/>
        <v>205</v>
      </c>
      <c r="W17" s="247">
        <f>SUMIFS('Checking Transaction Log'!$E:$E,'Checking Transaction Log'!$C:$C,"&gt;="&amp;W1,'Checking Transaction Log'!$C:$C,"&lt;="&amp;X1,'Checking Transaction Log'!$A:$A,"F",'Checking Transaction Log'!$B:$B,12)</f>
        <v>0</v>
      </c>
      <c r="X17" s="247">
        <f t="shared" si="28"/>
        <v>205</v>
      </c>
      <c r="Y17" s="287">
        <f>SUMIFS('Checking Transaction Log'!$E:$E,'Checking Transaction Log'!$C:$C,"&gt;="&amp;Y1,'Checking Transaction Log'!$C:$C,"&lt;="&amp;Z1,'Checking Transaction Log'!$A:$A,"F",'Checking Transaction Log'!$B:$B,12)</f>
        <v>0</v>
      </c>
      <c r="Z17" s="287">
        <f t="shared" si="29"/>
        <v>205</v>
      </c>
      <c r="AA17" s="289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89">
        <f t="shared" si="30"/>
        <v>205</v>
      </c>
      <c r="AC17" s="291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91">
        <f t="shared" si="31"/>
        <v>205</v>
      </c>
      <c r="AE17" s="293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93">
        <f t="shared" si="32"/>
        <v>205</v>
      </c>
    </row>
    <row r="18" spans="1:32" ht="11.25" customHeight="1" x14ac:dyDescent="0.3">
      <c r="A18" s="295" t="str">
        <f>'Proposed Budget'!A18</f>
        <v>F</v>
      </c>
      <c r="B18" s="266">
        <f>'Proposed Budget'!B18</f>
        <v>13</v>
      </c>
      <c r="C18" s="298" t="str">
        <f>'Proposed Budget'!C18</f>
        <v>First Energy</v>
      </c>
      <c r="D18" s="299">
        <f t="shared" ca="1" si="17"/>
        <v>157.55730225563914</v>
      </c>
      <c r="E18" s="300">
        <f t="shared" si="18"/>
        <v>688.86000000000013</v>
      </c>
      <c r="F18" s="300">
        <f t="shared" si="19"/>
        <v>153.32</v>
      </c>
      <c r="G18" s="280">
        <f t="shared" si="20"/>
        <v>0.18205134294331371</v>
      </c>
      <c r="H18" s="300">
        <f>'Proposed Budget'!D18</f>
        <v>180</v>
      </c>
      <c r="I18" s="281">
        <f>SUMIFS('Checking Transaction Log'!E:E,'Checking Transaction Log'!C:C,"&gt;="&amp;I1,'Checking Transaction Log'!C:C,"&lt;="&amp;J1,'Checking Transaction Log'!A:A,"F",'Checking Transaction Log'!B:B,13)</f>
        <v>167.42</v>
      </c>
      <c r="J18" s="281">
        <f t="shared" si="21"/>
        <v>12.580000000000013</v>
      </c>
      <c r="K18" s="243">
        <f>SUMIFS('Checking Transaction Log'!E:E,'Checking Transaction Log'!C:C,"&gt;="&amp;K1,'Checking Transaction Log'!C:C,"&lt;="&amp;L1,'Checking Transaction Log'!A:A,"F",'Checking Transaction Log'!B:B,13)</f>
        <v>159.35</v>
      </c>
      <c r="L18" s="243">
        <f t="shared" si="22"/>
        <v>20.650000000000006</v>
      </c>
      <c r="M18" s="284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84">
        <f t="shared" si="23"/>
        <v>45.069999999999993</v>
      </c>
      <c r="O18" s="247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47">
        <f t="shared" si="24"/>
        <v>75.02</v>
      </c>
      <c r="Q18" s="281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81">
        <f t="shared" si="25"/>
        <v>57.819999999999993</v>
      </c>
      <c r="S18" s="243">
        <f>SUMIFS('Checking Transaction Log'!$E:$E,'Checking Transaction Log'!$C:$C,"&gt;="&amp;S1,'Checking Transaction Log'!$C:$C,"&lt;="&amp;T1,'Checking Transaction Log'!$A:$A,"F",'Checking Transaction Log'!$B:$B,13)</f>
        <v>0</v>
      </c>
      <c r="T18" s="243">
        <f t="shared" si="26"/>
        <v>180</v>
      </c>
      <c r="U18" s="284">
        <f>SUMIFS('Checking Transaction Log'!$E:$E,'Checking Transaction Log'!$C:$C,"&gt;="&amp;U1,'Checking Transaction Log'!$C:$C,"&lt;="&amp;V1,'Checking Transaction Log'!$A:$A,"F",'Checking Transaction Log'!$B:$B,13)</f>
        <v>0</v>
      </c>
      <c r="V18" s="284">
        <f t="shared" si="27"/>
        <v>180</v>
      </c>
      <c r="W18" s="247">
        <f>SUMIFS('Checking Transaction Log'!$E:$E,'Checking Transaction Log'!$C:$C,"&gt;="&amp;W1,'Checking Transaction Log'!$C:$C,"&lt;="&amp;X1,'Checking Transaction Log'!$A:$A,"F",'Checking Transaction Log'!$B:$B,13)</f>
        <v>0</v>
      </c>
      <c r="X18" s="247">
        <f t="shared" si="28"/>
        <v>180</v>
      </c>
      <c r="Y18" s="287">
        <f>SUMIFS('Checking Transaction Log'!$E:$E,'Checking Transaction Log'!$C:$C,"&gt;="&amp;Y1,'Checking Transaction Log'!$C:$C,"&lt;="&amp;Z1,'Checking Transaction Log'!$A:$A,"F",'Checking Transaction Log'!$B:$B,13)</f>
        <v>0</v>
      </c>
      <c r="Z18" s="287">
        <f t="shared" si="29"/>
        <v>180</v>
      </c>
      <c r="AA18" s="289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89">
        <f t="shared" si="30"/>
        <v>180</v>
      </c>
      <c r="AC18" s="291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91">
        <f t="shared" si="31"/>
        <v>180</v>
      </c>
      <c r="AE18" s="293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93">
        <f t="shared" si="32"/>
        <v>180</v>
      </c>
    </row>
    <row r="19" spans="1:32" ht="11.25" customHeight="1" x14ac:dyDescent="0.3">
      <c r="A19" s="295" t="str">
        <f>'Proposed Budget'!A19</f>
        <v>F</v>
      </c>
      <c r="B19" s="266">
        <f>'Proposed Budget'!B19</f>
        <v>14</v>
      </c>
      <c r="C19" s="298" t="str">
        <f>'Proposed Budget'!C19</f>
        <v>Vivint Home Security</v>
      </c>
      <c r="D19" s="299">
        <f t="shared" ca="1" si="17"/>
        <v>155.54683759398498</v>
      </c>
      <c r="E19" s="300">
        <f t="shared" si="18"/>
        <v>680.06999999999994</v>
      </c>
      <c r="F19" s="300">
        <f t="shared" si="19"/>
        <v>16.849999999999994</v>
      </c>
      <c r="G19" s="280">
        <f t="shared" si="20"/>
        <v>2.4177810939562727E-2</v>
      </c>
      <c r="H19" s="300">
        <f>'Proposed Budget'!D19</f>
        <v>140</v>
      </c>
      <c r="I19" s="281">
        <f>SUMIFS('Checking Transaction Log'!E:E,'Checking Transaction Log'!C:C,"&gt;="&amp;I1,'Checking Transaction Log'!C:C,"&lt;="&amp;J1,'Checking Transaction Log'!A:A,"F",'Checking Transaction Log'!B:B,14)</f>
        <v>135.41</v>
      </c>
      <c r="J19" s="281">
        <f t="shared" si="21"/>
        <v>4.5900000000000034</v>
      </c>
      <c r="K19" s="243">
        <f>SUMIFS('Checking Transaction Log'!E:E,'Checking Transaction Log'!C:C,"&gt;="&amp;K1,'Checking Transaction Log'!C:C,"&lt;="&amp;L1,'Checking Transaction Log'!A:A,"F",'Checking Transaction Log'!B:B,14)</f>
        <v>135.41</v>
      </c>
      <c r="L19" s="243">
        <f t="shared" si="22"/>
        <v>4.5900000000000034</v>
      </c>
      <c r="M19" s="284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84">
        <f t="shared" si="23"/>
        <v>4.5900000000000034</v>
      </c>
      <c r="O19" s="247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47">
        <f t="shared" si="24"/>
        <v>3.0799999999999841</v>
      </c>
      <c r="Q19" s="281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81">
        <f t="shared" si="25"/>
        <v>3.0799999999999841</v>
      </c>
      <c r="S19" s="243">
        <f>SUMIFS('Checking Transaction Log'!$E:$E,'Checking Transaction Log'!$C:$C,"&gt;="&amp;S1,'Checking Transaction Log'!$C:$C,"&lt;="&amp;T1,'Checking Transaction Log'!$A:$A,"F",'Checking Transaction Log'!$B:$B,14)</f>
        <v>0</v>
      </c>
      <c r="T19" s="243">
        <f t="shared" si="26"/>
        <v>140</v>
      </c>
      <c r="U19" s="284">
        <f>SUMIFS('Checking Transaction Log'!$E:$E,'Checking Transaction Log'!$C:$C,"&gt;="&amp;U1,'Checking Transaction Log'!$C:$C,"&lt;="&amp;V1,'Checking Transaction Log'!$A:$A,"F",'Checking Transaction Log'!$B:$B,14)</f>
        <v>0</v>
      </c>
      <c r="V19" s="284">
        <f t="shared" si="27"/>
        <v>140</v>
      </c>
      <c r="W19" s="247">
        <f>SUMIFS('Checking Transaction Log'!$E:$E,'Checking Transaction Log'!$C:$C,"&gt;="&amp;W1,'Checking Transaction Log'!$C:$C,"&lt;="&amp;X1,'Checking Transaction Log'!$A:$A,"F",'Checking Transaction Log'!$B:$B,14)</f>
        <v>0</v>
      </c>
      <c r="X19" s="247">
        <f t="shared" si="28"/>
        <v>140</v>
      </c>
      <c r="Y19" s="287">
        <f>SUMIFS('Checking Transaction Log'!$E:$E,'Checking Transaction Log'!$C:$C,"&gt;="&amp;Y1,'Checking Transaction Log'!$C:$C,"&lt;="&amp;Z1,'Checking Transaction Log'!$A:$A,"F",'Checking Transaction Log'!$B:$B,14)</f>
        <v>0</v>
      </c>
      <c r="Z19" s="287">
        <f t="shared" si="29"/>
        <v>140</v>
      </c>
      <c r="AA19" s="289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89">
        <f t="shared" si="30"/>
        <v>140</v>
      </c>
      <c r="AC19" s="291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91">
        <f t="shared" si="31"/>
        <v>140</v>
      </c>
      <c r="AE19" s="293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93">
        <f t="shared" si="32"/>
        <v>140</v>
      </c>
    </row>
    <row r="20" spans="1:32" ht="11.25" customHeight="1" x14ac:dyDescent="0.3">
      <c r="A20" s="295" t="str">
        <f>'Proposed Budget'!A20</f>
        <v>F</v>
      </c>
      <c r="B20" s="266">
        <f>'Proposed Budget'!B20</f>
        <v>15</v>
      </c>
      <c r="C20" s="298" t="str">
        <f>'Proposed Budget'!C20</f>
        <v>Columbia Gas</v>
      </c>
      <c r="D20" s="299">
        <f t="shared" ca="1" si="17"/>
        <v>143.38112481203007</v>
      </c>
      <c r="E20" s="300">
        <f t="shared" si="18"/>
        <v>626.88</v>
      </c>
      <c r="F20" s="300">
        <f t="shared" si="19"/>
        <v>-226.88</v>
      </c>
      <c r="G20" s="280">
        <f t="shared" si="20"/>
        <v>-0.56719999999999993</v>
      </c>
      <c r="H20" s="300">
        <f>'Proposed Budget'!D20</f>
        <v>100</v>
      </c>
      <c r="I20" s="281">
        <f>SUMIFS('Checking Transaction Log'!E:E,'Checking Transaction Log'!C:C,"&gt;="&amp;I1,'Checking Transaction Log'!C:C,"&lt;="&amp;J1,'Checking Transaction Log'!A:A,"F",'Checking Transaction Log'!B:B,15)</f>
        <v>132.4</v>
      </c>
      <c r="J20" s="281">
        <f t="shared" si="21"/>
        <v>-32.400000000000006</v>
      </c>
      <c r="K20" s="243">
        <f>SUMIFS('Checking Transaction Log'!E:E,'Checking Transaction Log'!C:C,"&gt;="&amp;K1,'Checking Transaction Log'!C:C,"&lt;="&amp;L1,'Checking Transaction Log'!A:A,"F",'Checking Transaction Log'!B:B,15)</f>
        <v>188.16</v>
      </c>
      <c r="L20" s="243">
        <f t="shared" si="22"/>
        <v>-88.16</v>
      </c>
      <c r="M20" s="284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84">
        <f t="shared" si="23"/>
        <v>-75.09</v>
      </c>
      <c r="O20" s="247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47">
        <f t="shared" si="24"/>
        <v>-31.22999999999999</v>
      </c>
      <c r="Q20" s="281">
        <f>SUMIFS('Checking Transaction Log'!$E:$E,'Checking Transaction Log'!$C:$C,"&gt;="&amp;Q1,'Checking Transaction Log'!$C:$C,"&lt;="&amp;R1,'Checking Transaction Log'!$A:$A,"F",'Checking Transaction Log'!$B:$B,15)</f>
        <v>0</v>
      </c>
      <c r="R20" s="281">
        <f t="shared" si="25"/>
        <v>100</v>
      </c>
      <c r="S20" s="243">
        <f>SUMIFS('Checking Transaction Log'!$E:$E,'Checking Transaction Log'!$C:$C,"&gt;="&amp;S1,'Checking Transaction Log'!$C:$C,"&lt;="&amp;T1,'Checking Transaction Log'!$A:$A,"F",'Checking Transaction Log'!$B:$B,15)</f>
        <v>0</v>
      </c>
      <c r="T20" s="243">
        <f t="shared" si="26"/>
        <v>100</v>
      </c>
      <c r="U20" s="284">
        <f>SUMIFS('Checking Transaction Log'!$E:$E,'Checking Transaction Log'!$C:$C,"&gt;="&amp;U1,'Checking Transaction Log'!$C:$C,"&lt;="&amp;V1,'Checking Transaction Log'!$A:$A,"F",'Checking Transaction Log'!$B:$B,15)</f>
        <v>0</v>
      </c>
      <c r="V20" s="284">
        <f t="shared" si="27"/>
        <v>100</v>
      </c>
      <c r="W20" s="247">
        <f>SUMIFS('Checking Transaction Log'!$E:$E,'Checking Transaction Log'!$C:$C,"&gt;="&amp;W1,'Checking Transaction Log'!$C:$C,"&lt;="&amp;X1,'Checking Transaction Log'!$A:$A,"F",'Checking Transaction Log'!$B:$B,15)</f>
        <v>0</v>
      </c>
      <c r="X20" s="247">
        <f t="shared" si="28"/>
        <v>100</v>
      </c>
      <c r="Y20" s="287">
        <f>SUMIFS('Checking Transaction Log'!$E:$E,'Checking Transaction Log'!$C:$C,"&gt;="&amp;Y1,'Checking Transaction Log'!$C:$C,"&lt;="&amp;Z1,'Checking Transaction Log'!$A:$A,"F",'Checking Transaction Log'!$B:$B,15)</f>
        <v>0</v>
      </c>
      <c r="Z20" s="287">
        <f t="shared" si="29"/>
        <v>100</v>
      </c>
      <c r="AA20" s="289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89">
        <f t="shared" si="30"/>
        <v>100</v>
      </c>
      <c r="AC20" s="291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91">
        <f t="shared" si="31"/>
        <v>100</v>
      </c>
      <c r="AE20" s="293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93">
        <f t="shared" si="32"/>
        <v>100</v>
      </c>
    </row>
    <row r="21" spans="1:32" ht="11.25" customHeight="1" x14ac:dyDescent="0.3">
      <c r="A21" s="295" t="str">
        <f>'Proposed Budget'!A21</f>
        <v>F</v>
      </c>
      <c r="B21" s="266">
        <f>'Proposed Budget'!B21</f>
        <v>16</v>
      </c>
      <c r="C21" s="298" t="str">
        <f>'Proposed Budget'!C21</f>
        <v>Medical Bills</v>
      </c>
      <c r="D21" s="299">
        <f t="shared" ca="1" si="17"/>
        <v>190.99643007518799</v>
      </c>
      <c r="E21" s="300">
        <f t="shared" si="18"/>
        <v>835.06</v>
      </c>
      <c r="F21" s="300">
        <f t="shared" si="19"/>
        <v>-835.06</v>
      </c>
      <c r="G21" s="280" t="e">
        <f t="shared" si="20"/>
        <v>#DIV/0!</v>
      </c>
      <c r="H21" s="300">
        <f>'Proposed Budget'!D21</f>
        <v>0</v>
      </c>
      <c r="I21" s="281">
        <f>SUMIFS('Checking Transaction Log'!E:E,'Checking Transaction Log'!C:C,"&gt;="&amp;I1,'Checking Transaction Log'!C:C,"&lt;="&amp;J1,'Checking Transaction Log'!A:A,"F",'Checking Transaction Log'!B:B,16)</f>
        <v>0</v>
      </c>
      <c r="J21" s="281">
        <f t="shared" si="21"/>
        <v>0</v>
      </c>
      <c r="K21" s="243">
        <f>SUMIFS('Checking Transaction Log'!E:E,'Checking Transaction Log'!C:C,"&gt;="&amp;K1,'Checking Transaction Log'!C:C,"&lt;="&amp;L1,'Checking Transaction Log'!A:A,"F",'Checking Transaction Log'!B:B,16)</f>
        <v>0</v>
      </c>
      <c r="L21" s="243">
        <f t="shared" si="22"/>
        <v>0</v>
      </c>
      <c r="M21" s="284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84">
        <f t="shared" si="23"/>
        <v>-820.06</v>
      </c>
      <c r="O21" s="247">
        <f>SUMIFS('Checking Transaction Log'!$E:$E,'Checking Transaction Log'!$C:$C,"&gt;="&amp;O1,'Checking Transaction Log'!$C:$C,"&lt;="&amp;P1,'Checking Transaction Log'!$A:$A,"F",'Checking Transaction Log'!$B:$B,16)</f>
        <v>15</v>
      </c>
      <c r="P21" s="247">
        <f t="shared" si="24"/>
        <v>-15</v>
      </c>
      <c r="Q21" s="281">
        <f>SUMIFS('Checking Transaction Log'!$E:$E,'Checking Transaction Log'!$C:$C,"&gt;="&amp;Q1,'Checking Transaction Log'!$C:$C,"&lt;="&amp;R1,'Checking Transaction Log'!$A:$A,"F",'Checking Transaction Log'!$B:$B,16)</f>
        <v>0</v>
      </c>
      <c r="R21" s="281">
        <f t="shared" si="25"/>
        <v>0</v>
      </c>
      <c r="S21" s="243">
        <f>SUMIFS('Checking Transaction Log'!$E:$E,'Checking Transaction Log'!$C:$C,"&gt;="&amp;S1,'Checking Transaction Log'!$C:$C,"&lt;="&amp;T1,'Checking Transaction Log'!$A:$A,"F",'Checking Transaction Log'!$B:$B,16)</f>
        <v>0</v>
      </c>
      <c r="T21" s="243">
        <f t="shared" si="26"/>
        <v>0</v>
      </c>
      <c r="U21" s="284">
        <f>SUMIFS('Checking Transaction Log'!$E:$E,'Checking Transaction Log'!$C:$C,"&gt;="&amp;U1,'Checking Transaction Log'!$C:$C,"&lt;="&amp;V1,'Checking Transaction Log'!$A:$A,"F",'Checking Transaction Log'!$B:$B,16)</f>
        <v>0</v>
      </c>
      <c r="V21" s="284">
        <f t="shared" si="27"/>
        <v>0</v>
      </c>
      <c r="W21" s="247">
        <f>SUMIFS('Checking Transaction Log'!$E:$E,'Checking Transaction Log'!$C:$C,"&gt;="&amp;W1,'Checking Transaction Log'!$C:$C,"&lt;="&amp;X1,'Checking Transaction Log'!$A:$A,"F",'Checking Transaction Log'!$B:$B,16)</f>
        <v>0</v>
      </c>
      <c r="X21" s="247">
        <f t="shared" si="28"/>
        <v>0</v>
      </c>
      <c r="Y21" s="287">
        <f>SUMIFS('Checking Transaction Log'!$E:$E,'Checking Transaction Log'!$C:$C,"&gt;="&amp;Y1,'Checking Transaction Log'!$C:$C,"&lt;="&amp;Z1,'Checking Transaction Log'!$A:$A,"F",'Checking Transaction Log'!$B:$B,16)</f>
        <v>0</v>
      </c>
      <c r="Z21" s="287">
        <f t="shared" si="29"/>
        <v>0</v>
      </c>
      <c r="AA21" s="289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89">
        <f t="shared" si="30"/>
        <v>0</v>
      </c>
      <c r="AC21" s="291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91">
        <f t="shared" si="31"/>
        <v>0</v>
      </c>
      <c r="AE21" s="293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93">
        <f t="shared" si="32"/>
        <v>0</v>
      </c>
    </row>
    <row r="22" spans="1:32" ht="11.25" customHeight="1" x14ac:dyDescent="0.3">
      <c r="A22" s="295" t="str">
        <f>'Proposed Budget'!A22</f>
        <v>F</v>
      </c>
      <c r="B22" s="266">
        <f>'Proposed Budget'!B22</f>
        <v>17</v>
      </c>
      <c r="C22" s="298" t="str">
        <f>'Proposed Budget'!C22</f>
        <v>Planet Fitness</v>
      </c>
      <c r="D22" s="299">
        <f t="shared" ca="1" si="17"/>
        <v>203.1461323308271</v>
      </c>
      <c r="E22" s="300">
        <f t="shared" si="18"/>
        <v>888.18000000000006</v>
      </c>
      <c r="F22" s="300">
        <f t="shared" si="19"/>
        <v>-209.18</v>
      </c>
      <c r="G22" s="280">
        <f t="shared" si="20"/>
        <v>-0.30807069219440364</v>
      </c>
      <c r="H22" s="300">
        <f>'Proposed Budget'!D22</f>
        <v>145</v>
      </c>
      <c r="I22" s="281">
        <f>SUMIFS('Checking Transaction Log'!E:E,'Checking Transaction Log'!C:C,"&gt;="&amp;I1,'Checking Transaction Log'!C:C,"&lt;="&amp;J1,'Checking Transaction Log'!A:A,"F",'Checking Transaction Log'!B:B,17)</f>
        <v>281.25</v>
      </c>
      <c r="J22" s="281">
        <f t="shared" si="21"/>
        <v>-136.25</v>
      </c>
      <c r="K22" s="243">
        <f>SUMIFS('Checking Transaction Log'!E:E,'Checking Transaction Log'!C:C,"&gt;="&amp;K1,'Checking Transaction Log'!C:C,"&lt;="&amp;L1,'Checking Transaction Log'!A:A,"F",'Checking Transaction Log'!B:B,17)</f>
        <v>183.19</v>
      </c>
      <c r="L22" s="243">
        <f t="shared" si="22"/>
        <v>-38.19</v>
      </c>
      <c r="M22" s="284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84">
        <f t="shared" si="23"/>
        <v>-38.090000000000003</v>
      </c>
      <c r="O22" s="247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47">
        <f t="shared" si="24"/>
        <v>3.3499999999999943</v>
      </c>
      <c r="Q22" s="281">
        <f>SUMIFS('Checking Transaction Log'!$E:$E,'Checking Transaction Log'!$C:$C,"&gt;="&amp;Q1,'Checking Transaction Log'!$C:$C,"&lt;="&amp;R1,'Checking Transaction Log'!$A:$A,"F",'Checking Transaction Log'!$B:$B,17)</f>
        <v>99</v>
      </c>
      <c r="R22" s="281">
        <f t="shared" si="25"/>
        <v>46</v>
      </c>
      <c r="S22" s="243">
        <f>SUMIFS('Checking Transaction Log'!$E:$E,'Checking Transaction Log'!$C:$C,"&gt;="&amp;S1,'Checking Transaction Log'!$C:$C,"&lt;="&amp;T1,'Checking Transaction Log'!$A:$A,"F",'Checking Transaction Log'!$B:$B,17)</f>
        <v>0</v>
      </c>
      <c r="T22" s="243">
        <f t="shared" si="26"/>
        <v>145</v>
      </c>
      <c r="U22" s="284">
        <f>SUMIFS('Checking Transaction Log'!$E:$E,'Checking Transaction Log'!$C:$C,"&gt;="&amp;U1,'Checking Transaction Log'!$C:$C,"&lt;="&amp;V1,'Checking Transaction Log'!$A:$A,"F",'Checking Transaction Log'!$B:$B,17)</f>
        <v>0</v>
      </c>
      <c r="V22" s="284">
        <f t="shared" si="27"/>
        <v>145</v>
      </c>
      <c r="W22" s="247">
        <f>SUMIFS('Checking Transaction Log'!$E:$E,'Checking Transaction Log'!$C:$C,"&gt;="&amp;W1,'Checking Transaction Log'!$C:$C,"&lt;="&amp;X1,'Checking Transaction Log'!$A:$A,"F",'Checking Transaction Log'!$B:$B,17)</f>
        <v>0</v>
      </c>
      <c r="X22" s="247">
        <f t="shared" si="28"/>
        <v>145</v>
      </c>
      <c r="Y22" s="287">
        <f>SUMIFS('Checking Transaction Log'!$E:$E,'Checking Transaction Log'!$C:$C,"&gt;="&amp;Y1,'Checking Transaction Log'!$C:$C,"&lt;="&amp;Z1,'Checking Transaction Log'!$A:$A,"F",'Checking Transaction Log'!$B:$B,17)</f>
        <v>0</v>
      </c>
      <c r="Z22" s="287">
        <f t="shared" si="29"/>
        <v>145</v>
      </c>
      <c r="AA22" s="289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89">
        <f t="shared" si="30"/>
        <v>145</v>
      </c>
      <c r="AC22" s="291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91">
        <f t="shared" si="31"/>
        <v>145</v>
      </c>
      <c r="AE22" s="293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93">
        <f t="shared" si="32"/>
        <v>145</v>
      </c>
    </row>
    <row r="23" spans="1:32" ht="11.25" customHeight="1" x14ac:dyDescent="0.3">
      <c r="A23" s="295" t="str">
        <f>'Proposed Budget'!A23</f>
        <v>F</v>
      </c>
      <c r="B23" s="266">
        <f>'Proposed Budget'!B23</f>
        <v>18</v>
      </c>
      <c r="C23" s="298" t="str">
        <f>'Proposed Budget'!C23</f>
        <v>Lowes Rewards</v>
      </c>
      <c r="D23" s="299">
        <f t="shared" ca="1" si="17"/>
        <v>457.44360902255642</v>
      </c>
      <c r="E23" s="300">
        <f t="shared" si="18"/>
        <v>2000</v>
      </c>
      <c r="F23" s="300">
        <f t="shared" si="19"/>
        <v>0</v>
      </c>
      <c r="G23" s="280">
        <f t="shared" si="20"/>
        <v>0</v>
      </c>
      <c r="H23" s="300">
        <f>'Proposed Budget'!D23</f>
        <v>400</v>
      </c>
      <c r="I23" s="281">
        <f>SUMIFS('Checking Transaction Log'!E:E,'Checking Transaction Log'!C:C,"&gt;="&amp;I1,'Checking Transaction Log'!C:C,"&lt;="&amp;J1,'Checking Transaction Log'!A:A,"F",'Checking Transaction Log'!B:B,18)</f>
        <v>400</v>
      </c>
      <c r="J23" s="281">
        <f t="shared" si="21"/>
        <v>0</v>
      </c>
      <c r="K23" s="243">
        <f>SUMIFS('Checking Transaction Log'!E:E,'Checking Transaction Log'!C:C,"&gt;="&amp;K1,'Checking Transaction Log'!C:C,"&lt;="&amp;L1,'Checking Transaction Log'!A:A,"F",'Checking Transaction Log'!B:B,18)</f>
        <v>400</v>
      </c>
      <c r="L23" s="243">
        <f t="shared" si="22"/>
        <v>0</v>
      </c>
      <c r="M23" s="284">
        <f>SUMIFS('Checking Transaction Log'!$E:$E,'Checking Transaction Log'!$C:$C,"&gt;="&amp;M1,'Checking Transaction Log'!$C:$C,"&lt;="&amp;N1,'Checking Transaction Log'!$A:$A,"F",'Checking Transaction Log'!$B:$B,18)</f>
        <v>400</v>
      </c>
      <c r="N23" s="284">
        <f t="shared" si="23"/>
        <v>0</v>
      </c>
      <c r="O23" s="247">
        <f>SUMIFS('Checking Transaction Log'!$E:$E,'Checking Transaction Log'!$C:$C,"&gt;="&amp;O1,'Checking Transaction Log'!$C:$C,"&lt;="&amp;P1,'Checking Transaction Log'!$A:$A,"F",'Checking Transaction Log'!$B:$B,18)</f>
        <v>400</v>
      </c>
      <c r="P23" s="247">
        <f t="shared" si="24"/>
        <v>0</v>
      </c>
      <c r="Q23" s="281">
        <f>SUMIFS('Checking Transaction Log'!$E:$E,'Checking Transaction Log'!$C:$C,"&gt;="&amp;Q1,'Checking Transaction Log'!$C:$C,"&lt;="&amp;R1,'Checking Transaction Log'!$A:$A,"F",'Checking Transaction Log'!$B:$B,18)</f>
        <v>400</v>
      </c>
      <c r="R23" s="281">
        <f t="shared" si="25"/>
        <v>0</v>
      </c>
      <c r="S23" s="243">
        <f>SUMIFS('Checking Transaction Log'!$E:$E,'Checking Transaction Log'!$C:$C,"&gt;="&amp;S1,'Checking Transaction Log'!$C:$C,"&lt;="&amp;T1,'Checking Transaction Log'!$A:$A,"F",'Checking Transaction Log'!$B:$B,18)</f>
        <v>0</v>
      </c>
      <c r="T23" s="243">
        <f t="shared" si="26"/>
        <v>400</v>
      </c>
      <c r="U23" s="284">
        <f>SUMIFS('Checking Transaction Log'!$E:$E,'Checking Transaction Log'!$C:$C,"&gt;="&amp;U1,'Checking Transaction Log'!$C:$C,"&lt;="&amp;V1,'Checking Transaction Log'!$A:$A,"F",'Checking Transaction Log'!$B:$B,18)</f>
        <v>0</v>
      </c>
      <c r="V23" s="284">
        <f t="shared" si="27"/>
        <v>400</v>
      </c>
      <c r="W23" s="247">
        <f>SUMIFS('Checking Transaction Log'!$E:$E,'Checking Transaction Log'!$C:$C,"&gt;="&amp;W1,'Checking Transaction Log'!$C:$C,"&lt;="&amp;X1,'Checking Transaction Log'!$A:$A,"F",'Checking Transaction Log'!$B:$B,18)</f>
        <v>0</v>
      </c>
      <c r="X23" s="247">
        <f t="shared" si="28"/>
        <v>400</v>
      </c>
      <c r="Y23" s="287">
        <f>SUMIFS('Checking Transaction Log'!$E:$E,'Checking Transaction Log'!$C:$C,"&gt;="&amp;Y1,'Checking Transaction Log'!$C:$C,"&lt;="&amp;Z1,'Checking Transaction Log'!$A:$A,"F",'Checking Transaction Log'!$B:$B,18)</f>
        <v>0</v>
      </c>
      <c r="Z23" s="287">
        <f t="shared" si="29"/>
        <v>400</v>
      </c>
      <c r="AA23" s="289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89">
        <f t="shared" si="30"/>
        <v>400</v>
      </c>
      <c r="AC23" s="291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91">
        <f t="shared" si="31"/>
        <v>400</v>
      </c>
      <c r="AE23" s="293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93">
        <f t="shared" si="32"/>
        <v>400</v>
      </c>
    </row>
    <row r="24" spans="1:32" ht="11.25" customHeight="1" x14ac:dyDescent="0.3">
      <c r="A24" s="295" t="str">
        <f>'Proposed Budget'!A24</f>
        <v>F</v>
      </c>
      <c r="B24" s="266">
        <f>'Proposed Budget'!B24</f>
        <v>19</v>
      </c>
      <c r="C24" s="298" t="str">
        <f>'Proposed Budget'!C24</f>
        <v>Wells Fargo - Pool</v>
      </c>
      <c r="D24" s="299">
        <f t="shared" ca="1" si="17"/>
        <v>228.72180451127821</v>
      </c>
      <c r="E24" s="300">
        <f t="shared" si="18"/>
        <v>1000</v>
      </c>
      <c r="F24" s="300">
        <f t="shared" si="19"/>
        <v>0</v>
      </c>
      <c r="G24" s="280">
        <f t="shared" si="20"/>
        <v>0</v>
      </c>
      <c r="H24" s="300">
        <f>'Proposed Budget'!D24</f>
        <v>200</v>
      </c>
      <c r="I24" s="281">
        <f>SUMIFS('Checking Transaction Log'!E:E,'Checking Transaction Log'!C:C,"&gt;="&amp;I1,'Checking Transaction Log'!C:C,"&lt;="&amp;J1,'Checking Transaction Log'!A:A,"F",'Checking Transaction Log'!B:B,19)</f>
        <v>200</v>
      </c>
      <c r="J24" s="281">
        <f t="shared" si="21"/>
        <v>0</v>
      </c>
      <c r="K24" s="243">
        <f>SUMIFS('Checking Transaction Log'!E:E,'Checking Transaction Log'!C:C,"&gt;="&amp;K1,'Checking Transaction Log'!C:C,"&lt;="&amp;L1,'Checking Transaction Log'!A:A,"F",'Checking Transaction Log'!B:B,19)</f>
        <v>200</v>
      </c>
      <c r="L24" s="243">
        <f t="shared" si="22"/>
        <v>0</v>
      </c>
      <c r="M24" s="284">
        <f>SUMIFS('Checking Transaction Log'!$E:$E,'Checking Transaction Log'!$C:$C,"&gt;="&amp;M1,'Checking Transaction Log'!$C:$C,"&lt;="&amp;N1,'Checking Transaction Log'!$A:$A,"F",'Checking Transaction Log'!$B:$B,19)</f>
        <v>200</v>
      </c>
      <c r="N24" s="284">
        <f t="shared" si="23"/>
        <v>0</v>
      </c>
      <c r="O24" s="247">
        <f>SUMIFS('Checking Transaction Log'!$E:$E,'Checking Transaction Log'!$C:$C,"&gt;="&amp;O1,'Checking Transaction Log'!$C:$C,"&lt;="&amp;P1,'Checking Transaction Log'!$A:$A,"F",'Checking Transaction Log'!$B:$B,19)</f>
        <v>200</v>
      </c>
      <c r="P24" s="247">
        <f t="shared" si="24"/>
        <v>0</v>
      </c>
      <c r="Q24" s="281">
        <f>SUMIFS('Checking Transaction Log'!$E:$E,'Checking Transaction Log'!$C:$C,"&gt;="&amp;Q1,'Checking Transaction Log'!$C:$C,"&lt;="&amp;R1,'Checking Transaction Log'!$A:$A,"F",'Checking Transaction Log'!$B:$B,19)</f>
        <v>200</v>
      </c>
      <c r="R24" s="281">
        <f t="shared" si="25"/>
        <v>0</v>
      </c>
      <c r="S24" s="243">
        <f>SUMIFS('Checking Transaction Log'!$E:$E,'Checking Transaction Log'!$C:$C,"&gt;="&amp;S1,'Checking Transaction Log'!$C:$C,"&lt;="&amp;T1,'Checking Transaction Log'!$A:$A,"F",'Checking Transaction Log'!$B:$B,19)</f>
        <v>0</v>
      </c>
      <c r="T24" s="243">
        <f t="shared" si="26"/>
        <v>200</v>
      </c>
      <c r="U24" s="284">
        <f>SUMIFS('Checking Transaction Log'!$E:$E,'Checking Transaction Log'!$C:$C,"&gt;="&amp;U1,'Checking Transaction Log'!$C:$C,"&lt;="&amp;V1,'Checking Transaction Log'!$A:$A,"F",'Checking Transaction Log'!$B:$B,19)</f>
        <v>0</v>
      </c>
      <c r="V24" s="284">
        <f t="shared" si="27"/>
        <v>200</v>
      </c>
      <c r="W24" s="247">
        <f>SUMIFS('Checking Transaction Log'!$E:$E,'Checking Transaction Log'!$C:$C,"&gt;="&amp;W1,'Checking Transaction Log'!$C:$C,"&lt;="&amp;X1,'Checking Transaction Log'!$A:$A,"F",'Checking Transaction Log'!$B:$B,19)</f>
        <v>0</v>
      </c>
      <c r="X24" s="247">
        <f t="shared" si="28"/>
        <v>200</v>
      </c>
      <c r="Y24" s="287">
        <f>SUMIFS('Checking Transaction Log'!$E:$E,'Checking Transaction Log'!$C:$C,"&gt;="&amp;Y1,'Checking Transaction Log'!$C:$C,"&lt;="&amp;Z1,'Checking Transaction Log'!$A:$A,"F",'Checking Transaction Log'!$B:$B,19)</f>
        <v>0</v>
      </c>
      <c r="Z24" s="287">
        <f t="shared" si="29"/>
        <v>200</v>
      </c>
      <c r="AA24" s="289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89">
        <f t="shared" si="30"/>
        <v>200</v>
      </c>
      <c r="AC24" s="291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91">
        <f t="shared" si="31"/>
        <v>200</v>
      </c>
      <c r="AE24" s="293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93">
        <f t="shared" si="32"/>
        <v>200</v>
      </c>
    </row>
    <row r="25" spans="1:32" ht="11.25" customHeight="1" x14ac:dyDescent="0.3">
      <c r="A25" s="295" t="str">
        <f>'Proposed Budget'!A25</f>
        <v>F</v>
      </c>
      <c r="B25" s="266">
        <f>'Proposed Budget'!B25</f>
        <v>20</v>
      </c>
      <c r="C25" s="298" t="str">
        <f>'Proposed Budget'!C25</f>
        <v>Wells Fargo - Deck</v>
      </c>
      <c r="D25" s="299">
        <f t="shared" ca="1" si="17"/>
        <v>0</v>
      </c>
      <c r="E25" s="300">
        <f t="shared" si="18"/>
        <v>0</v>
      </c>
      <c r="F25" s="300">
        <f t="shared" si="19"/>
        <v>2400</v>
      </c>
      <c r="G25" s="280">
        <f t="shared" si="20"/>
        <v>1</v>
      </c>
      <c r="H25" s="300">
        <f>'Proposed Budget'!D25</f>
        <v>600</v>
      </c>
      <c r="I25" s="281">
        <f>SUMIFS('Checking Transaction Log'!E:E,'Checking Transaction Log'!C:C,"&gt;="&amp;I1,'Checking Transaction Log'!C:C,"&lt;="&amp;J1,'Checking Transaction Log'!A:A,"F",'Checking Transaction Log'!B:B,20)</f>
        <v>0</v>
      </c>
      <c r="J25" s="281">
        <f t="shared" si="21"/>
        <v>600</v>
      </c>
      <c r="K25" s="243">
        <f>SUMIFS('Checking Transaction Log'!E:E,'Checking Transaction Log'!C:C,"&gt;="&amp;K1,'Checking Transaction Log'!C:C,"&lt;="&amp;L1,'Checking Transaction Log'!A:A,"F",'Checking Transaction Log'!B:B,20)</f>
        <v>0</v>
      </c>
      <c r="L25" s="243">
        <f t="shared" si="22"/>
        <v>600</v>
      </c>
      <c r="M25" s="284">
        <f>SUMIFS('Checking Transaction Log'!$E:$E,'Checking Transaction Log'!$C:$C,"&gt;="&amp;M1,'Checking Transaction Log'!$C:$C,"&lt;="&amp;N1,'Checking Transaction Log'!$A:$A,"F",'Checking Transaction Log'!$B:$B,20)</f>
        <v>0</v>
      </c>
      <c r="N25" s="284">
        <f t="shared" si="23"/>
        <v>600</v>
      </c>
      <c r="O25" s="247">
        <f>SUMIFS('Checking Transaction Log'!$E:$E,'Checking Transaction Log'!$C:$C,"&gt;="&amp;O1,'Checking Transaction Log'!$C:$C,"&lt;="&amp;P1,'Checking Transaction Log'!$A:$A,"F",'Checking Transaction Log'!$B:$B,20)</f>
        <v>0</v>
      </c>
      <c r="P25" s="247">
        <f t="shared" si="24"/>
        <v>600</v>
      </c>
      <c r="Q25" s="281">
        <f>SUMIFS('Checking Transaction Log'!$E:$E,'Checking Transaction Log'!$C:$C,"&gt;="&amp;Q1,'Checking Transaction Log'!$C:$C,"&lt;="&amp;R1,'Checking Transaction Log'!$A:$A,"F",'Checking Transaction Log'!$B:$B,20)</f>
        <v>0</v>
      </c>
      <c r="R25" s="281">
        <f t="shared" si="25"/>
        <v>600</v>
      </c>
      <c r="S25" s="243">
        <f>SUMIFS('Checking Transaction Log'!$E:$E,'Checking Transaction Log'!$C:$C,"&gt;="&amp;S1,'Checking Transaction Log'!$C:$C,"&lt;="&amp;T1,'Checking Transaction Log'!$A:$A,"F",'Checking Transaction Log'!$B:$B,20)</f>
        <v>0</v>
      </c>
      <c r="T25" s="243">
        <f t="shared" si="26"/>
        <v>600</v>
      </c>
      <c r="U25" s="284">
        <f>SUMIFS('Checking Transaction Log'!$E:$E,'Checking Transaction Log'!$C:$C,"&gt;="&amp;U1,'Checking Transaction Log'!$C:$C,"&lt;="&amp;V1,'Checking Transaction Log'!$A:$A,"F",'Checking Transaction Log'!$B:$B,20)</f>
        <v>0</v>
      </c>
      <c r="V25" s="284">
        <f t="shared" si="27"/>
        <v>600</v>
      </c>
      <c r="W25" s="247">
        <f>SUMIFS('Checking Transaction Log'!$E:$E,'Checking Transaction Log'!$C:$C,"&gt;="&amp;W1,'Checking Transaction Log'!$C:$C,"&lt;="&amp;X1,'Checking Transaction Log'!$A:$A,"F",'Checking Transaction Log'!$B:$B,20)</f>
        <v>0</v>
      </c>
      <c r="X25" s="247">
        <f t="shared" si="28"/>
        <v>600</v>
      </c>
      <c r="Y25" s="287">
        <f>SUMIFS('Checking Transaction Log'!$E:$E,'Checking Transaction Log'!$C:$C,"&gt;="&amp;Y1,'Checking Transaction Log'!$C:$C,"&lt;="&amp;Z1,'Checking Transaction Log'!$A:$A,"F",'Checking Transaction Log'!$B:$B,20)</f>
        <v>0</v>
      </c>
      <c r="Z25" s="287">
        <f t="shared" si="29"/>
        <v>600</v>
      </c>
      <c r="AA25" s="289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89">
        <f t="shared" si="30"/>
        <v>600</v>
      </c>
      <c r="AC25" s="291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91">
        <f t="shared" si="31"/>
        <v>600</v>
      </c>
      <c r="AE25" s="293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93">
        <f t="shared" si="32"/>
        <v>600</v>
      </c>
    </row>
    <row r="26" spans="1:32" ht="11.25" customHeight="1" x14ac:dyDescent="0.3">
      <c r="A26" s="295" t="str">
        <f>'Proposed Budget'!A26</f>
        <v>F</v>
      </c>
      <c r="B26" s="266">
        <f>'Proposed Budget'!B26</f>
        <v>21</v>
      </c>
      <c r="C26" s="298" t="str">
        <f>'Proposed Budget'!C26</f>
        <v>Massage Envy</v>
      </c>
      <c r="D26" s="299">
        <f t="shared" ca="1" si="17"/>
        <v>91.731166917293223</v>
      </c>
      <c r="E26" s="300">
        <f t="shared" si="18"/>
        <v>401.05999999999995</v>
      </c>
      <c r="F26" s="300">
        <f t="shared" si="19"/>
        <v>-61.059999999999988</v>
      </c>
      <c r="G26" s="280">
        <f t="shared" si="20"/>
        <v>-0.1795882352941176</v>
      </c>
      <c r="H26" s="300">
        <f>'Proposed Budget'!D26</f>
        <v>85</v>
      </c>
      <c r="I26" s="281">
        <f>SUMIFS('Checking Transaction Log'!E:E,'Checking Transaction Log'!C:C,"&gt;="&amp;I1,'Checking Transaction Log'!C:C,"&lt;="&amp;J1,'Checking Transaction Log'!A:A,"F",'Checking Transaction Log'!B:B,21)</f>
        <v>100.79</v>
      </c>
      <c r="J26" s="281">
        <f t="shared" si="21"/>
        <v>-15.790000000000006</v>
      </c>
      <c r="K26" s="243">
        <f>SUMIFS('Checking Transaction Log'!E:E,'Checking Transaction Log'!C:C,"&gt;="&amp;K1,'Checking Transaction Log'!C:C,"&lt;="&amp;L1,'Checking Transaction Log'!A:A,"F",'Checking Transaction Log'!B:B,21)</f>
        <v>108.35</v>
      </c>
      <c r="L26" s="243">
        <f t="shared" si="22"/>
        <v>-23.349999999999994</v>
      </c>
      <c r="M26" s="284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84">
        <f t="shared" si="23"/>
        <v>-31.319999999999993</v>
      </c>
      <c r="O26" s="247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47">
        <f t="shared" si="24"/>
        <v>9.4000000000000057</v>
      </c>
      <c r="Q26" s="281">
        <f>SUMIFS('Checking Transaction Log'!$E:$E,'Checking Transaction Log'!$C:$C,"&gt;="&amp;Q1,'Checking Transaction Log'!$C:$C,"&lt;="&amp;R1,'Checking Transaction Log'!$A:$A,"F",'Checking Transaction Log'!$B:$B,21)</f>
        <v>0</v>
      </c>
      <c r="R26" s="281">
        <f t="shared" si="25"/>
        <v>85</v>
      </c>
      <c r="S26" s="243">
        <f>SUMIFS('Checking Transaction Log'!$E:$E,'Checking Transaction Log'!$C:$C,"&gt;="&amp;S1,'Checking Transaction Log'!$C:$C,"&lt;="&amp;T1,'Checking Transaction Log'!$A:$A,"F",'Checking Transaction Log'!$B:$B,21)</f>
        <v>0</v>
      </c>
      <c r="T26" s="243">
        <f t="shared" si="26"/>
        <v>85</v>
      </c>
      <c r="U26" s="284">
        <f>SUMIFS('Checking Transaction Log'!$E:$E,'Checking Transaction Log'!$C:$C,"&gt;="&amp;U1,'Checking Transaction Log'!$C:$C,"&lt;="&amp;V1,'Checking Transaction Log'!$A:$A,"F",'Checking Transaction Log'!$B:$B,21)</f>
        <v>0</v>
      </c>
      <c r="V26" s="284">
        <f t="shared" si="27"/>
        <v>85</v>
      </c>
      <c r="W26" s="247">
        <f>SUMIFS('Checking Transaction Log'!$E:$E,'Checking Transaction Log'!$C:$C,"&gt;="&amp;W1,'Checking Transaction Log'!$C:$C,"&lt;="&amp;X1,'Checking Transaction Log'!$A:$A,"F",'Checking Transaction Log'!$B:$B,21)</f>
        <v>0</v>
      </c>
      <c r="X26" s="247">
        <f t="shared" si="28"/>
        <v>85</v>
      </c>
      <c r="Y26" s="287">
        <f>SUMIFS('Checking Transaction Log'!$E:$E,'Checking Transaction Log'!$C:$C,"&gt;="&amp;Y1,'Checking Transaction Log'!$C:$C,"&lt;="&amp;Z1,'Checking Transaction Log'!$A:$A,"F",'Checking Transaction Log'!$B:$B,21)</f>
        <v>0</v>
      </c>
      <c r="Z26" s="287">
        <f t="shared" si="29"/>
        <v>85</v>
      </c>
      <c r="AA26" s="289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89">
        <f t="shared" si="30"/>
        <v>85</v>
      </c>
      <c r="AC26" s="291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91">
        <f t="shared" si="31"/>
        <v>85</v>
      </c>
      <c r="AE26" s="293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93">
        <f t="shared" si="32"/>
        <v>85</v>
      </c>
    </row>
    <row r="27" spans="1:32" ht="11.25" customHeight="1" x14ac:dyDescent="0.3">
      <c r="A27" s="295" t="str">
        <f>'Proposed Budget'!A27</f>
        <v>F</v>
      </c>
      <c r="B27" s="266">
        <f>'Proposed Budget'!B27</f>
        <v>22</v>
      </c>
      <c r="C27" s="298" t="str">
        <f>'Proposed Budget'!C27</f>
        <v>Streaming/Music</v>
      </c>
      <c r="D27" s="299">
        <f t="shared" ca="1" si="17"/>
        <v>113.4505894736842</v>
      </c>
      <c r="E27" s="300">
        <f t="shared" si="18"/>
        <v>496.02</v>
      </c>
      <c r="F27" s="300">
        <f t="shared" si="19"/>
        <v>-41.759999999999977</v>
      </c>
      <c r="G27" s="280">
        <f t="shared" si="20"/>
        <v>-9.1929731871615461E-2</v>
      </c>
      <c r="H27" s="300">
        <f>'Proposed Budget'!D27</f>
        <v>100</v>
      </c>
      <c r="I27" s="281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81">
        <f t="shared" si="21"/>
        <v>-118.26999999999998</v>
      </c>
      <c r="K27" s="243">
        <f>SUMIFS('Checking Transaction Log'!E:E,'Checking Transaction Log'!C:C,"&gt;="&amp;K1,'Checking Transaction Log'!C:C,"&lt;="&amp;L1,'Checking Transaction Log'!A:A,"F",'Checking Transaction Log'!B:B,22)</f>
        <v>67.05</v>
      </c>
      <c r="L27" s="243">
        <f t="shared" si="22"/>
        <v>32.950000000000003</v>
      </c>
      <c r="M27" s="284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84">
        <f t="shared" si="23"/>
        <v>20.180000000000007</v>
      </c>
      <c r="O27" s="247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47">
        <f t="shared" si="24"/>
        <v>23.379999999999995</v>
      </c>
      <c r="Q27" s="281">
        <f>SUMIFS('Checking Transaction Log'!$E:$E,'Checking Transaction Log'!$C:$C,"&gt;="&amp;Q1,'Checking Transaction Log'!$C:$C,"&lt;="&amp;R1,'Checking Transaction Log'!$A:$A,"F",'Checking Transaction Log'!$B:$B,22)</f>
        <v>54.26</v>
      </c>
      <c r="R27" s="281">
        <f t="shared" si="25"/>
        <v>45.74</v>
      </c>
      <c r="S27" s="243">
        <f>SUMIFS('Checking Transaction Log'!$E:$E,'Checking Transaction Log'!$C:$C,"&gt;="&amp;S1,'Checking Transaction Log'!$C:$C,"&lt;="&amp;T1,'Checking Transaction Log'!$A:$A,"F",'Checking Transaction Log'!$B:$B,22)</f>
        <v>0</v>
      </c>
      <c r="T27" s="243">
        <f t="shared" si="26"/>
        <v>100</v>
      </c>
      <c r="U27" s="284">
        <f>SUMIFS('Checking Transaction Log'!$E:$E,'Checking Transaction Log'!$C:$C,"&gt;="&amp;U1,'Checking Transaction Log'!$C:$C,"&lt;="&amp;V1,'Checking Transaction Log'!$A:$A,"F",'Checking Transaction Log'!$B:$B,22)</f>
        <v>0</v>
      </c>
      <c r="V27" s="284">
        <f t="shared" si="27"/>
        <v>100</v>
      </c>
      <c r="W27" s="247">
        <f>SUMIFS('Checking Transaction Log'!$E:$E,'Checking Transaction Log'!$C:$C,"&gt;="&amp;W1,'Checking Transaction Log'!$C:$C,"&lt;="&amp;X1,'Checking Transaction Log'!$A:$A,"F",'Checking Transaction Log'!$B:$B,22)</f>
        <v>0</v>
      </c>
      <c r="X27" s="247">
        <f t="shared" si="28"/>
        <v>100</v>
      </c>
      <c r="Y27" s="287">
        <f>SUMIFS('Checking Transaction Log'!$E:$E,'Checking Transaction Log'!$C:$C,"&gt;="&amp;Y1,'Checking Transaction Log'!$C:$C,"&lt;="&amp;Z1,'Checking Transaction Log'!$A:$A,"F",'Checking Transaction Log'!$B:$B,22)</f>
        <v>0</v>
      </c>
      <c r="Z27" s="287">
        <f t="shared" si="29"/>
        <v>100</v>
      </c>
      <c r="AA27" s="289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89">
        <f t="shared" si="30"/>
        <v>100</v>
      </c>
      <c r="AC27" s="291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91">
        <f t="shared" si="31"/>
        <v>100</v>
      </c>
      <c r="AE27" s="293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93">
        <f t="shared" si="32"/>
        <v>100</v>
      </c>
    </row>
    <row r="28" spans="1:32" ht="11.25" customHeight="1" x14ac:dyDescent="0.3">
      <c r="A28" s="295" t="str">
        <f>'Proposed Budget'!A28</f>
        <v>F</v>
      </c>
      <c r="B28" s="266">
        <f>'Proposed Budget'!B28</f>
        <v>23</v>
      </c>
      <c r="C28" s="298" t="str">
        <f>'Proposed Budget'!C28</f>
        <v>GM Financial/Toyota</v>
      </c>
      <c r="D28" s="299">
        <f t="shared" ca="1" si="17"/>
        <v>1079.8779789473685</v>
      </c>
      <c r="E28" s="300">
        <f t="shared" si="18"/>
        <v>4721.3600000000006</v>
      </c>
      <c r="F28" s="300">
        <f t="shared" si="19"/>
        <v>78.639999999999418</v>
      </c>
      <c r="G28" s="280">
        <f t="shared" si="20"/>
        <v>1.6383333333333194E-2</v>
      </c>
      <c r="H28" s="300">
        <f>'Proposed Budget'!D28</f>
        <v>1200</v>
      </c>
      <c r="I28" s="281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81">
        <f t="shared" si="21"/>
        <v>19.659999999999854</v>
      </c>
      <c r="K28" s="243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43">
        <f t="shared" si="22"/>
        <v>19.659999999999854</v>
      </c>
      <c r="M28" s="284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84">
        <f t="shared" si="23"/>
        <v>19.659999999999854</v>
      </c>
      <c r="O28" s="247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47">
        <f t="shared" si="24"/>
        <v>19.659999999999854</v>
      </c>
      <c r="Q28" s="281">
        <f>SUMIFS('Checking Transaction Log'!$E:$E,'Checking Transaction Log'!$C:$C,"&gt;="&amp;Q1,'Checking Transaction Log'!$C:$C,"&lt;="&amp;R1,'Checking Transaction Log'!$A:$A,"F",'Checking Transaction Log'!$B:$B,23)</f>
        <v>0</v>
      </c>
      <c r="R28" s="281">
        <f t="shared" si="25"/>
        <v>1200</v>
      </c>
      <c r="S28" s="243">
        <f>SUMIFS('Checking Transaction Log'!$E:$E,'Checking Transaction Log'!$C:$C,"&gt;="&amp;S1,'Checking Transaction Log'!$C:$C,"&lt;="&amp;T1,'Checking Transaction Log'!$A:$A,"F",'Checking Transaction Log'!$B:$B,23)</f>
        <v>0</v>
      </c>
      <c r="T28" s="243">
        <f t="shared" si="26"/>
        <v>1200</v>
      </c>
      <c r="U28" s="284">
        <f>SUMIFS('Checking Transaction Log'!$E:$E,'Checking Transaction Log'!$C:$C,"&gt;="&amp;U1,'Checking Transaction Log'!$C:$C,"&lt;="&amp;V1,'Checking Transaction Log'!$A:$A,"F",'Checking Transaction Log'!$B:$B,23)</f>
        <v>0</v>
      </c>
      <c r="V28" s="284">
        <f t="shared" si="27"/>
        <v>1200</v>
      </c>
      <c r="W28" s="247">
        <f>SUMIFS('Checking Transaction Log'!$E:$E,'Checking Transaction Log'!$C:$C,"&gt;="&amp;W1,'Checking Transaction Log'!$C:$C,"&lt;="&amp;X1,'Checking Transaction Log'!$A:$A,"F",'Checking Transaction Log'!$B:$B,23)</f>
        <v>0</v>
      </c>
      <c r="X28" s="247">
        <f t="shared" si="28"/>
        <v>1200</v>
      </c>
      <c r="Y28" s="287">
        <f>SUMIFS('Checking Transaction Log'!$E:$E,'Checking Transaction Log'!$C:$C,"&gt;="&amp;Y1,'Checking Transaction Log'!$C:$C,"&lt;="&amp;Z1,'Checking Transaction Log'!$A:$A,"F",'Checking Transaction Log'!$B:$B,23)</f>
        <v>0</v>
      </c>
      <c r="Z28" s="287">
        <f t="shared" si="29"/>
        <v>1200</v>
      </c>
      <c r="AA28" s="289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89">
        <f t="shared" si="30"/>
        <v>1200</v>
      </c>
      <c r="AC28" s="291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91">
        <f t="shared" si="31"/>
        <v>1200</v>
      </c>
      <c r="AE28" s="293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93">
        <f t="shared" si="32"/>
        <v>1200</v>
      </c>
    </row>
    <row r="29" spans="1:32" ht="11.25" customHeight="1" x14ac:dyDescent="0.3">
      <c r="A29" s="295" t="str">
        <f>'Proposed Budget'!A29</f>
        <v>F</v>
      </c>
      <c r="B29" s="266">
        <f>'Proposed Budget'!B29</f>
        <v>24</v>
      </c>
      <c r="C29" s="298" t="str">
        <f>'Proposed Budget'!C29</f>
        <v>Ohio Turnpike</v>
      </c>
      <c r="D29" s="299">
        <f t="shared" ca="1" si="17"/>
        <v>101.49301353383457</v>
      </c>
      <c r="E29" s="300">
        <f t="shared" si="18"/>
        <v>443.73999999999995</v>
      </c>
      <c r="F29" s="300">
        <f t="shared" si="19"/>
        <v>36.260000000000005</v>
      </c>
      <c r="G29" s="280">
        <f t="shared" si="20"/>
        <v>7.5541666666666618E-2</v>
      </c>
      <c r="H29" s="300">
        <f>'Proposed Budget'!D29</f>
        <v>120</v>
      </c>
      <c r="I29" s="281">
        <f>SUMIFS('Checking Transaction Log'!E:E,'Checking Transaction Log'!C:C,"&gt;="&amp;I1,'Checking Transaction Log'!C:C,"&lt;="&amp;J1,'Checking Transaction Log'!A:A,"F",'Checking Transaction Log'!B:B,24)</f>
        <v>83.42</v>
      </c>
      <c r="J29" s="281">
        <f t="shared" si="21"/>
        <v>36.58</v>
      </c>
      <c r="K29" s="243">
        <f>SUMIFS('Checking Transaction Log'!E:E,'Checking Transaction Log'!C:C,"&gt;="&amp;K1,'Checking Transaction Log'!C:C,"&lt;="&amp;L1,'Checking Transaction Log'!A:A,"F",'Checking Transaction Log'!B:B,24)</f>
        <v>168.41</v>
      </c>
      <c r="L29" s="243">
        <f t="shared" si="22"/>
        <v>-48.41</v>
      </c>
      <c r="M29" s="284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84">
        <f t="shared" si="23"/>
        <v>33.42</v>
      </c>
      <c r="O29" s="247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47">
        <f t="shared" si="24"/>
        <v>14.670000000000002</v>
      </c>
      <c r="Q29" s="281">
        <f>SUMIFS('Checking Transaction Log'!$E:$E,'Checking Transaction Log'!$C:$C,"&gt;="&amp;Q1,'Checking Transaction Log'!$C:$C,"&lt;="&amp;R1,'Checking Transaction Log'!$A:$A,"F",'Checking Transaction Log'!$B:$B,24)</f>
        <v>0</v>
      </c>
      <c r="R29" s="281">
        <f t="shared" si="25"/>
        <v>120</v>
      </c>
      <c r="S29" s="243">
        <f>SUMIFS('Checking Transaction Log'!$E:$E,'Checking Transaction Log'!$C:$C,"&gt;="&amp;S1,'Checking Transaction Log'!$C:$C,"&lt;="&amp;T1,'Checking Transaction Log'!$A:$A,"F",'Checking Transaction Log'!$B:$B,24)</f>
        <v>0</v>
      </c>
      <c r="T29" s="243">
        <f t="shared" si="26"/>
        <v>120</v>
      </c>
      <c r="U29" s="284">
        <f>SUMIFS('Checking Transaction Log'!$E:$E,'Checking Transaction Log'!$C:$C,"&gt;="&amp;U1,'Checking Transaction Log'!$C:$C,"&lt;="&amp;V1,'Checking Transaction Log'!$A:$A,"F",'Checking Transaction Log'!$B:$B,24)</f>
        <v>0</v>
      </c>
      <c r="V29" s="284">
        <f t="shared" si="27"/>
        <v>120</v>
      </c>
      <c r="W29" s="247">
        <f>SUMIFS('Checking Transaction Log'!$E:$E,'Checking Transaction Log'!$C:$C,"&gt;="&amp;W1,'Checking Transaction Log'!$C:$C,"&lt;="&amp;X1,'Checking Transaction Log'!$A:$A,"F",'Checking Transaction Log'!$B:$B,24)</f>
        <v>0</v>
      </c>
      <c r="X29" s="247">
        <f t="shared" si="28"/>
        <v>120</v>
      </c>
      <c r="Y29" s="287">
        <f>SUMIFS('Checking Transaction Log'!$E:$E,'Checking Transaction Log'!$C:$C,"&gt;="&amp;Y1,'Checking Transaction Log'!$C:$C,"&lt;="&amp;Z1,'Checking Transaction Log'!$A:$A,"F",'Checking Transaction Log'!$B:$B,24)</f>
        <v>0</v>
      </c>
      <c r="Z29" s="287">
        <f t="shared" si="29"/>
        <v>120</v>
      </c>
      <c r="AA29" s="289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89">
        <f t="shared" si="30"/>
        <v>120</v>
      </c>
      <c r="AC29" s="291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91">
        <f t="shared" si="31"/>
        <v>120</v>
      </c>
      <c r="AE29" s="293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93">
        <f t="shared" si="32"/>
        <v>120</v>
      </c>
    </row>
    <row r="30" spans="1:32" ht="11.25" customHeight="1" x14ac:dyDescent="0.3">
      <c r="A30" s="295" t="str">
        <f>'Proposed Budget'!A30</f>
        <v>F</v>
      </c>
      <c r="B30" s="266">
        <f>'Proposed Budget'!B30</f>
        <v>42</v>
      </c>
      <c r="C30" s="298" t="str">
        <f>'Proposed Budget'!C30</f>
        <v>Water Bill - Main</v>
      </c>
      <c r="D30" s="299">
        <f t="shared" ca="1" si="17"/>
        <v>80.933210526315804</v>
      </c>
      <c r="E30" s="300">
        <f t="shared" si="18"/>
        <v>353.85</v>
      </c>
      <c r="F30" s="300">
        <f t="shared" si="19"/>
        <v>-53.849999999999994</v>
      </c>
      <c r="G30" s="280">
        <f t="shared" si="20"/>
        <v>-0.17949999999999999</v>
      </c>
      <c r="H30" s="300">
        <f>'Proposed Budget'!D30</f>
        <v>75</v>
      </c>
      <c r="I30" s="281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81">
        <f t="shared" si="21"/>
        <v>-5.9899999999999949</v>
      </c>
      <c r="K30" s="243">
        <f>SUMIFS('Checking Transaction Log'!E:E,'Checking Transaction Log'!C:C,"&gt;="&amp;K1,'Checking Transaction Log'!C:C,"&lt;="&amp;L1,'Checking Transaction Log'!A:A,"F",'Checking Transaction Log'!B:B,42)</f>
        <v>88.44</v>
      </c>
      <c r="L30" s="243">
        <f t="shared" si="22"/>
        <v>-13.439999999999998</v>
      </c>
      <c r="M30" s="284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84">
        <f t="shared" si="23"/>
        <v>-21.25</v>
      </c>
      <c r="O30" s="247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47">
        <f t="shared" si="24"/>
        <v>-13.170000000000002</v>
      </c>
      <c r="Q30" s="281">
        <f>SUMIFS('Checking Transaction Log'!$E:$E,'Checking Transaction Log'!$C:$C,"&gt;="&amp;Q1,'Checking Transaction Log'!$C:$C,"&lt;="&amp;R1,'Checking Transaction Log'!$A:$A,"F",'Checking Transaction Log'!$B:$B,42)</f>
        <v>0</v>
      </c>
      <c r="R30" s="281">
        <f t="shared" si="25"/>
        <v>75</v>
      </c>
      <c r="S30" s="243">
        <f>SUMIFS('Checking Transaction Log'!$E:$E,'Checking Transaction Log'!$C:$C,"&gt;="&amp;S1,'Checking Transaction Log'!$C:$C,"&lt;="&amp;T1,'Checking Transaction Log'!$A:$A,"F",'Checking Transaction Log'!$B:$B,42)</f>
        <v>0</v>
      </c>
      <c r="T30" s="243">
        <f t="shared" si="26"/>
        <v>75</v>
      </c>
      <c r="U30" s="284">
        <f>SUMIFS('Checking Transaction Log'!$E:$E,'Checking Transaction Log'!$C:$C,"&gt;="&amp;U1,'Checking Transaction Log'!$C:$C,"&lt;="&amp;V1,'Checking Transaction Log'!$A:$A,"F",'Checking Transaction Log'!$B:$B,42)</f>
        <v>0</v>
      </c>
      <c r="V30" s="284">
        <f t="shared" si="27"/>
        <v>75</v>
      </c>
      <c r="W30" s="247">
        <f>SUMIFS('Checking Transaction Log'!$E:$E,'Checking Transaction Log'!$C:$C,"&gt;="&amp;W1,'Checking Transaction Log'!$C:$C,"&lt;="&amp;X1,'Checking Transaction Log'!$A:$A,"F",'Checking Transaction Log'!$B:$B,42)</f>
        <v>0</v>
      </c>
      <c r="X30" s="247">
        <f t="shared" si="28"/>
        <v>75</v>
      </c>
      <c r="Y30" s="287">
        <f>SUMIFS('Checking Transaction Log'!$E:$E,'Checking Transaction Log'!$C:$C,"&gt;="&amp;Y1,'Checking Transaction Log'!$C:$C,"&lt;="&amp;Z1,'Checking Transaction Log'!$A:$A,"F",'Checking Transaction Log'!$B:$B,42)</f>
        <v>0</v>
      </c>
      <c r="Z30" s="287">
        <f t="shared" si="29"/>
        <v>75</v>
      </c>
      <c r="AA30" s="289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89">
        <f t="shared" si="30"/>
        <v>75</v>
      </c>
      <c r="AC30" s="291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91">
        <f t="shared" si="31"/>
        <v>75</v>
      </c>
      <c r="AE30" s="293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93">
        <f t="shared" si="32"/>
        <v>75</v>
      </c>
    </row>
    <row r="31" spans="1:32" ht="11.25" customHeight="1" x14ac:dyDescent="0.3">
      <c r="A31" s="295" t="str">
        <f>'Proposed Budget'!A31</f>
        <v>F</v>
      </c>
      <c r="B31" s="266">
        <f>'Proposed Budget'!B31</f>
        <v>43</v>
      </c>
      <c r="C31" s="298" t="str">
        <f>'Proposed Budget'!C31</f>
        <v>Water Bill - Rental</v>
      </c>
      <c r="D31" s="299">
        <f t="shared" ca="1" si="17"/>
        <v>62.203181954887235</v>
      </c>
      <c r="E31" s="300">
        <f t="shared" si="18"/>
        <v>271.96000000000004</v>
      </c>
      <c r="F31" s="300">
        <f t="shared" si="19"/>
        <v>28.039999999999992</v>
      </c>
      <c r="G31" s="280">
        <f t="shared" si="20"/>
        <v>9.3466666666666587E-2</v>
      </c>
      <c r="H31" s="300">
        <f>'Proposed Budget'!D31</f>
        <v>75</v>
      </c>
      <c r="I31" s="281">
        <f>SUMIFS('Checking Transaction Log'!E:E,'Checking Transaction Log'!C:C,"&gt;="&amp;I1,'Checking Transaction Log'!C:C,"&lt;="&amp;J1,'Checking Transaction Log'!A:A,"F",'Checking Transaction Log'!B:B,43)</f>
        <v>66.53</v>
      </c>
      <c r="J31" s="281">
        <f t="shared" si="21"/>
        <v>8.4699999999999989</v>
      </c>
      <c r="K31" s="243">
        <f>SUMIFS('Checking Transaction Log'!E:E,'Checking Transaction Log'!C:C,"&gt;="&amp;K1,'Checking Transaction Log'!C:C,"&lt;="&amp;L1,'Checking Transaction Log'!A:A,"F",'Checking Transaction Log'!B:B,43)</f>
        <v>66.97</v>
      </c>
      <c r="L31" s="243">
        <f t="shared" si="22"/>
        <v>8.0300000000000011</v>
      </c>
      <c r="M31" s="284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84">
        <f t="shared" si="23"/>
        <v>9.8100000000000023</v>
      </c>
      <c r="O31" s="247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47">
        <f t="shared" si="24"/>
        <v>1.7299999999999898</v>
      </c>
      <c r="Q31" s="281">
        <f>SUMIFS('Checking Transaction Log'!$E:$E,'Checking Transaction Log'!$C:$C,"&gt;="&amp;Q1,'Checking Transaction Log'!$C:$C,"&lt;="&amp;R1,'Checking Transaction Log'!$A:$A,"F",'Checking Transaction Log'!$B:$B,43)</f>
        <v>0</v>
      </c>
      <c r="R31" s="281">
        <f t="shared" si="25"/>
        <v>75</v>
      </c>
      <c r="S31" s="243">
        <f>SUMIFS('Checking Transaction Log'!$E:$E,'Checking Transaction Log'!$C:$C,"&gt;="&amp;S1,'Checking Transaction Log'!$C:$C,"&lt;="&amp;T1,'Checking Transaction Log'!$A:$A,"F",'Checking Transaction Log'!$B:$B,43)</f>
        <v>0</v>
      </c>
      <c r="T31" s="243">
        <f t="shared" si="26"/>
        <v>75</v>
      </c>
      <c r="U31" s="284">
        <f>SUMIFS('Checking Transaction Log'!$E:$E,'Checking Transaction Log'!$C:$C,"&gt;="&amp;U1,'Checking Transaction Log'!$C:$C,"&lt;="&amp;V1,'Checking Transaction Log'!$A:$A,"F",'Checking Transaction Log'!$B:$B,43)</f>
        <v>0</v>
      </c>
      <c r="V31" s="284">
        <f t="shared" si="27"/>
        <v>75</v>
      </c>
      <c r="W31" s="247">
        <f>SUMIFS('Checking Transaction Log'!$E:$E,'Checking Transaction Log'!$C:$C,"&gt;="&amp;W1,'Checking Transaction Log'!$C:$C,"&lt;="&amp;X1,'Checking Transaction Log'!$A:$A,"F",'Checking Transaction Log'!$B:$B,43)</f>
        <v>0</v>
      </c>
      <c r="X31" s="247">
        <f t="shared" si="28"/>
        <v>75</v>
      </c>
      <c r="Y31" s="287">
        <f>SUMIFS('Checking Transaction Log'!$E:$E,'Checking Transaction Log'!$C:$C,"&gt;="&amp;Y1,'Checking Transaction Log'!$C:$C,"&lt;="&amp;Z1,'Checking Transaction Log'!$A:$A,"F",'Checking Transaction Log'!$B:$B,43)</f>
        <v>0</v>
      </c>
      <c r="Z31" s="287">
        <f t="shared" si="29"/>
        <v>75</v>
      </c>
      <c r="AA31" s="289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89">
        <f t="shared" si="30"/>
        <v>75</v>
      </c>
      <c r="AC31" s="291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91">
        <f t="shared" si="31"/>
        <v>75</v>
      </c>
      <c r="AE31" s="293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93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95" t="str">
        <f>'Proposed Budget'!A33</f>
        <v>R</v>
      </c>
      <c r="B33" s="266">
        <f>'Proposed Budget'!B33</f>
        <v>25</v>
      </c>
      <c r="C33" s="298" t="str">
        <f>'Proposed Budget'!C33</f>
        <v>Vehicle Maintenance</v>
      </c>
      <c r="D33" s="299">
        <f t="shared" ref="D33:D43" ca="1" si="33">(E33/(TODAY()-$I$1))*30.42</f>
        <v>320.21052631578954</v>
      </c>
      <c r="E33" s="300">
        <f t="shared" ref="E33:E43" si="34">Q33+S33+U33+W33+Y33+AA33+AC33+AE33+I33+K33+M33+O33</f>
        <v>1400</v>
      </c>
      <c r="F33" s="300">
        <f t="shared" ref="F33:F43" si="35">J33+L33+N33+P33</f>
        <v>0</v>
      </c>
      <c r="G33" s="280">
        <f t="shared" ref="G33:G43" si="36">1-((E33/SUM(E33:F33)))</f>
        <v>0</v>
      </c>
      <c r="H33" s="300">
        <f>'Proposed Budget'!D33</f>
        <v>350</v>
      </c>
      <c r="I33" s="281">
        <f>SUMIFS('Checking Transaction Log'!$E:$E,'Checking Transaction Log'!$C:$C,"&gt;="&amp;I1,'Checking Transaction Log'!$C:$C,"&lt;="&amp;J1,'Checking Transaction Log'!$A:$A,"R",'Checking Transaction Log'!$B:$B,25)</f>
        <v>350</v>
      </c>
      <c r="J33" s="281">
        <f t="shared" ref="J33:J43" si="37">H33-I33</f>
        <v>0</v>
      </c>
      <c r="K33" s="243">
        <f>SUMIFS('Checking Transaction Log'!$E:$E,'Checking Transaction Log'!$C:$C,"&gt;="&amp;K1,'Checking Transaction Log'!$C:$C,"&lt;="&amp;L1,'Checking Transaction Log'!$A:$A,"R",'Checking Transaction Log'!$B:$B,25)</f>
        <v>350</v>
      </c>
      <c r="L33" s="243">
        <f t="shared" ref="L33:L43" si="38">H33-K33</f>
        <v>0</v>
      </c>
      <c r="M33" s="284">
        <f>SUMIFS('Checking Transaction Log'!$E:$E,'Checking Transaction Log'!$C:$C,"&gt;="&amp;M1,'Checking Transaction Log'!$C:$C,"&lt;="&amp;N1,'Checking Transaction Log'!$A:$A,"R",'Checking Transaction Log'!$B:$B,25)</f>
        <v>350</v>
      </c>
      <c r="N33" s="284">
        <f t="shared" ref="N33:N43" si="39">H33-M33</f>
        <v>0</v>
      </c>
      <c r="O33" s="247">
        <f>SUMIFS('Checking Transaction Log'!$E:$E,'Checking Transaction Log'!$C:$C,"&gt;="&amp;O1,'Checking Transaction Log'!$C:$C,"&lt;="&amp;P1,'Checking Transaction Log'!$A:$A,"R",'Checking Transaction Log'!$B:$B,25)</f>
        <v>350</v>
      </c>
      <c r="P33" s="247">
        <f t="shared" ref="P33:P43" si="40">H33-O33</f>
        <v>0</v>
      </c>
      <c r="Q33" s="281">
        <f>SUMIFS('Checking Transaction Log'!$E:$E,'Checking Transaction Log'!$C:$C,"&gt;="&amp;Q1,'Checking Transaction Log'!$C:$C,"&lt;="&amp;R1,'Checking Transaction Log'!$A:$A,"R",'Checking Transaction Log'!$B:$B,25)</f>
        <v>0</v>
      </c>
      <c r="R33" s="281">
        <f t="shared" ref="R33:R43" si="41">H33-Q33</f>
        <v>350</v>
      </c>
      <c r="S33" s="243">
        <f>SUMIFS('Checking Transaction Log'!$E:$E,'Checking Transaction Log'!$C:$C,"&gt;="&amp;S1,'Checking Transaction Log'!$C:$C,"&lt;="&amp;T1,'Checking Transaction Log'!$A:$A,"R",'Checking Transaction Log'!$B:$B,25)</f>
        <v>0</v>
      </c>
      <c r="T33" s="243">
        <f t="shared" ref="T33:T43" si="42">H33-S33</f>
        <v>350</v>
      </c>
      <c r="U33" s="284">
        <f>SUMIFS('Checking Transaction Log'!$E:$E,'Checking Transaction Log'!$C:$C,"&gt;="&amp;U1,'Checking Transaction Log'!$C:$C,"&lt;="&amp;V1,'Checking Transaction Log'!$A:$A,"R",'Checking Transaction Log'!$B:$B,25)</f>
        <v>0</v>
      </c>
      <c r="V33" s="284">
        <f t="shared" ref="V33:V43" si="43">H33-U33</f>
        <v>350</v>
      </c>
      <c r="W33" s="247">
        <f>SUMIFS('Checking Transaction Log'!$E:$E,'Checking Transaction Log'!$C:$C,"&gt;="&amp;W1,'Checking Transaction Log'!$C:$C,"&lt;="&amp;X1,'Checking Transaction Log'!$A:$A,"R",'Checking Transaction Log'!$B:$B,25)</f>
        <v>0</v>
      </c>
      <c r="X33" s="247">
        <f t="shared" ref="X33:X43" si="44">H33-W33</f>
        <v>350</v>
      </c>
      <c r="Y33" s="287">
        <f>SUMIFS('Checking Transaction Log'!$E:$E,'Checking Transaction Log'!$C:$C,"&gt;="&amp;Y1,'Checking Transaction Log'!$C:$C,"&lt;="&amp;Z1,'Checking Transaction Log'!$A:$A,"R",'Checking Transaction Log'!$B:$B,25)</f>
        <v>0</v>
      </c>
      <c r="Z33" s="287">
        <f t="shared" ref="Z33:Z43" si="45">H33-Y33</f>
        <v>350</v>
      </c>
      <c r="AA33" s="289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89">
        <f t="shared" ref="AB33:AB43" si="46">H33-AA33</f>
        <v>350</v>
      </c>
      <c r="AC33" s="291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91">
        <f t="shared" ref="AD33:AD43" si="47">H33-AC33</f>
        <v>350</v>
      </c>
      <c r="AE33" s="293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93">
        <f t="shared" ref="AF33:AF43" si="48">H33-AE33</f>
        <v>350</v>
      </c>
    </row>
    <row r="34" spans="1:32" ht="11.25" customHeight="1" x14ac:dyDescent="0.3">
      <c r="A34" s="295" t="str">
        <f>'Proposed Budget'!A34</f>
        <v>R</v>
      </c>
      <c r="B34" s="266">
        <f>'Proposed Budget'!B34</f>
        <v>26</v>
      </c>
      <c r="C34" s="298" t="str">
        <f>'Proposed Budget'!C34</f>
        <v>Car Insurance</v>
      </c>
      <c r="D34" s="299">
        <f t="shared" ca="1" si="33"/>
        <v>292.76390977443612</v>
      </c>
      <c r="E34" s="300">
        <f t="shared" si="34"/>
        <v>1280</v>
      </c>
      <c r="F34" s="300">
        <f t="shared" si="35"/>
        <v>0</v>
      </c>
      <c r="G34" s="280">
        <f t="shared" si="36"/>
        <v>0</v>
      </c>
      <c r="H34" s="300">
        <f>'Proposed Budget'!D34</f>
        <v>320</v>
      </c>
      <c r="I34" s="281">
        <f>SUMIFS('Checking Transaction Log'!E:E,'Checking Transaction Log'!C:C,"&gt;="&amp;I1,'Checking Transaction Log'!C:C,"&lt;="&amp;J1,'Checking Transaction Log'!A:A,"R",'Checking Transaction Log'!B:B,26)</f>
        <v>320</v>
      </c>
      <c r="J34" s="281">
        <f t="shared" si="37"/>
        <v>0</v>
      </c>
      <c r="K34" s="243">
        <f>SUMIFS('Checking Transaction Log'!$E:$E,'Checking Transaction Log'!$C:$C,"&gt;="&amp;K1,'Checking Transaction Log'!$C:$C,"&lt;="&amp;L1,'Checking Transaction Log'!$A:$A,"R",'Checking Transaction Log'!$B:$B,26)</f>
        <v>320</v>
      </c>
      <c r="L34" s="243">
        <f t="shared" si="38"/>
        <v>0</v>
      </c>
      <c r="M34" s="284">
        <f>SUMIFS('Checking Transaction Log'!$E:$E,'Checking Transaction Log'!$C:$C,"&gt;="&amp;M1,'Checking Transaction Log'!$C:$C,"&lt;="&amp;N1,'Checking Transaction Log'!$A:$A,"R",'Checking Transaction Log'!$B:$B,26)</f>
        <v>320</v>
      </c>
      <c r="N34" s="284">
        <f t="shared" si="39"/>
        <v>0</v>
      </c>
      <c r="O34" s="247">
        <f>SUMIFS('Checking Transaction Log'!$E:$E,'Checking Transaction Log'!$C:$C,"&gt;="&amp;O1,'Checking Transaction Log'!$C:$C,"&lt;="&amp;P1,'Checking Transaction Log'!$A:$A,"R",'Checking Transaction Log'!$B:$B,26)</f>
        <v>320</v>
      </c>
      <c r="P34" s="247">
        <f t="shared" si="40"/>
        <v>0</v>
      </c>
      <c r="Q34" s="281">
        <f>SUMIFS('Checking Transaction Log'!$E:$E,'Checking Transaction Log'!$C:$C,"&gt;="&amp;Q1,'Checking Transaction Log'!$C:$C,"&lt;="&amp;R1,'Checking Transaction Log'!$A:$A,"R",'Checking Transaction Log'!$B:$B,26)</f>
        <v>0</v>
      </c>
      <c r="R34" s="281">
        <f t="shared" si="41"/>
        <v>320</v>
      </c>
      <c r="S34" s="243">
        <f>SUMIFS('Checking Transaction Log'!$E:$E,'Checking Transaction Log'!$C:$C,"&gt;="&amp;S1,'Checking Transaction Log'!$C:$C,"&lt;="&amp;T1,'Checking Transaction Log'!$A:$A,"R",'Checking Transaction Log'!$B:$B,26)</f>
        <v>0</v>
      </c>
      <c r="T34" s="243">
        <f t="shared" si="42"/>
        <v>320</v>
      </c>
      <c r="U34" s="284">
        <f>SUMIFS('Checking Transaction Log'!$E:$E,'Checking Transaction Log'!$C:$C,"&gt;="&amp;U1,'Checking Transaction Log'!$C:$C,"&lt;="&amp;V1,'Checking Transaction Log'!$A:$A,"R",'Checking Transaction Log'!$B:$B,26)</f>
        <v>0</v>
      </c>
      <c r="V34" s="284">
        <f t="shared" si="43"/>
        <v>320</v>
      </c>
      <c r="W34" s="247">
        <f>SUMIFS('Checking Transaction Log'!$E:$E,'Checking Transaction Log'!$C:$C,"&gt;="&amp;W1,'Checking Transaction Log'!$C:$C,"&lt;="&amp;X1,'Checking Transaction Log'!$A:$A,"R",'Checking Transaction Log'!$B:$B,26)</f>
        <v>0</v>
      </c>
      <c r="X34" s="247">
        <f t="shared" si="44"/>
        <v>320</v>
      </c>
      <c r="Y34" s="287">
        <f>SUMIFS('Checking Transaction Log'!$E:$E,'Checking Transaction Log'!$C:$C,"&gt;="&amp;Y1,'Checking Transaction Log'!$C:$C,"&lt;="&amp;Z1,'Checking Transaction Log'!$A:$A,"R",'Checking Transaction Log'!$B:$B,26)</f>
        <v>0</v>
      </c>
      <c r="Z34" s="287">
        <f t="shared" si="45"/>
        <v>320</v>
      </c>
      <c r="AA34" s="289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89">
        <f t="shared" si="46"/>
        <v>320</v>
      </c>
      <c r="AC34" s="291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91">
        <f t="shared" si="47"/>
        <v>320</v>
      </c>
      <c r="AE34" s="293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93">
        <f t="shared" si="48"/>
        <v>320</v>
      </c>
    </row>
    <row r="35" spans="1:32" ht="11.25" customHeight="1" x14ac:dyDescent="0.3">
      <c r="A35" s="295" t="str">
        <f>'Proposed Budget'!A35</f>
        <v>R</v>
      </c>
      <c r="B35" s="266">
        <f>'Proposed Budget'!B35</f>
        <v>27</v>
      </c>
      <c r="C35" s="298" t="str">
        <f>'Proposed Budget'!C35</f>
        <v>Rental Garbage</v>
      </c>
      <c r="D35" s="299">
        <f t="shared" ca="1" si="33"/>
        <v>22.872180451127818</v>
      </c>
      <c r="E35" s="300">
        <f t="shared" si="34"/>
        <v>100</v>
      </c>
      <c r="F35" s="300">
        <f t="shared" si="35"/>
        <v>0</v>
      </c>
      <c r="G35" s="280">
        <f t="shared" si="36"/>
        <v>0</v>
      </c>
      <c r="H35" s="300">
        <f>'Proposed Budget'!D35</f>
        <v>25</v>
      </c>
      <c r="I35" s="281">
        <f>SUMIFS('Checking Transaction Log'!E:E,'Checking Transaction Log'!C:C,"&gt;="&amp;I1,'Checking Transaction Log'!C:C,"&lt;="&amp;J1,'Checking Transaction Log'!A:A,"R",'Checking Transaction Log'!B:B,27)</f>
        <v>25</v>
      </c>
      <c r="J35" s="281">
        <f t="shared" si="37"/>
        <v>0</v>
      </c>
      <c r="K35" s="243">
        <f>SUMIFS('Checking Transaction Log'!$E:$E,'Checking Transaction Log'!$C:$C,"&gt;="&amp;K1,'Checking Transaction Log'!$C:$C,"&lt;="&amp;L1,'Checking Transaction Log'!$A:$A,"R",'Checking Transaction Log'!$B:$B,27)</f>
        <v>25</v>
      </c>
      <c r="L35" s="243">
        <f t="shared" si="38"/>
        <v>0</v>
      </c>
      <c r="M35" s="284">
        <f>SUMIFS('Checking Transaction Log'!$E:$E,'Checking Transaction Log'!$C:$C,"&gt;="&amp;M1,'Checking Transaction Log'!$C:$C,"&lt;="&amp;N1,'Checking Transaction Log'!$A:$A,"R",'Checking Transaction Log'!$B:$B,27)</f>
        <v>25</v>
      </c>
      <c r="N35" s="284">
        <f t="shared" si="39"/>
        <v>0</v>
      </c>
      <c r="O35" s="247">
        <f>SUMIFS('Checking Transaction Log'!$E:$E,'Checking Transaction Log'!$C:$C,"&gt;="&amp;O1,'Checking Transaction Log'!$C:$C,"&lt;="&amp;P1,'Checking Transaction Log'!$A:$A,"R",'Checking Transaction Log'!$B:$B,27)</f>
        <v>25</v>
      </c>
      <c r="P35" s="247">
        <f t="shared" si="40"/>
        <v>0</v>
      </c>
      <c r="Q35" s="281">
        <f>SUMIFS('Checking Transaction Log'!$E:$E,'Checking Transaction Log'!$C:$C,"&gt;="&amp;Q1,'Checking Transaction Log'!$C:$C,"&lt;="&amp;R1,'Checking Transaction Log'!$A:$A,"R",'Checking Transaction Log'!$B:$B,27)</f>
        <v>0</v>
      </c>
      <c r="R35" s="281">
        <f t="shared" si="41"/>
        <v>25</v>
      </c>
      <c r="S35" s="243">
        <f>SUMIFS('Checking Transaction Log'!$E:$E,'Checking Transaction Log'!$C:$C,"&gt;="&amp;S1,'Checking Transaction Log'!$C:$C,"&lt;="&amp;T1,'Checking Transaction Log'!$A:$A,"R",'Checking Transaction Log'!$B:$B,27)</f>
        <v>0</v>
      </c>
      <c r="T35" s="243">
        <f t="shared" si="42"/>
        <v>25</v>
      </c>
      <c r="U35" s="284">
        <f>SUMIFS('Checking Transaction Log'!$E:$E,'Checking Transaction Log'!$C:$C,"&gt;="&amp;U1,'Checking Transaction Log'!$C:$C,"&lt;="&amp;V1,'Checking Transaction Log'!$A:$A,"R",'Checking Transaction Log'!$B:$B,27)</f>
        <v>0</v>
      </c>
      <c r="V35" s="284">
        <f t="shared" si="43"/>
        <v>25</v>
      </c>
      <c r="W35" s="247">
        <f>SUMIFS('Checking Transaction Log'!$E:$E,'Checking Transaction Log'!$C:$C,"&gt;="&amp;W1,'Checking Transaction Log'!$C:$C,"&lt;="&amp;X1,'Checking Transaction Log'!$A:$A,"R",'Checking Transaction Log'!$B:$B,27)</f>
        <v>0</v>
      </c>
      <c r="X35" s="247">
        <f t="shared" si="44"/>
        <v>25</v>
      </c>
      <c r="Y35" s="287">
        <f>SUMIFS('Checking Transaction Log'!$E:$E,'Checking Transaction Log'!$C:$C,"&gt;="&amp;Y1,'Checking Transaction Log'!$C:$C,"&lt;="&amp;Z1,'Checking Transaction Log'!$A:$A,"R",'Checking Transaction Log'!$B:$B,27)</f>
        <v>0</v>
      </c>
      <c r="Z35" s="287">
        <f t="shared" si="45"/>
        <v>25</v>
      </c>
      <c r="AA35" s="289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89">
        <f t="shared" si="46"/>
        <v>25</v>
      </c>
      <c r="AC35" s="291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91">
        <f t="shared" si="47"/>
        <v>25</v>
      </c>
      <c r="AE35" s="293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93">
        <f t="shared" si="48"/>
        <v>25</v>
      </c>
    </row>
    <row r="36" spans="1:32" ht="11.25" customHeight="1" x14ac:dyDescent="0.3">
      <c r="A36" s="295" t="str">
        <f>'Proposed Budget'!A36</f>
        <v>R</v>
      </c>
      <c r="B36" s="266">
        <f>'Proposed Budget'!B36</f>
        <v>28</v>
      </c>
      <c r="C36" s="298" t="str">
        <f>'Proposed Budget'!C36</f>
        <v>Garbage</v>
      </c>
      <c r="D36" s="299">
        <f t="shared" ca="1" si="33"/>
        <v>22.872180451127818</v>
      </c>
      <c r="E36" s="300">
        <f t="shared" si="34"/>
        <v>100</v>
      </c>
      <c r="F36" s="300">
        <f t="shared" si="35"/>
        <v>0</v>
      </c>
      <c r="G36" s="280">
        <f t="shared" si="36"/>
        <v>0</v>
      </c>
      <c r="H36" s="300">
        <f>'Proposed Budget'!D36</f>
        <v>25</v>
      </c>
      <c r="I36" s="281">
        <f>SUMIFS('Checking Transaction Log'!E:E,'Checking Transaction Log'!C:C,"&gt;="&amp;I1,'Checking Transaction Log'!C:C,"&lt;="&amp;J1,'Checking Transaction Log'!A:A,"R",'Checking Transaction Log'!B:B,28)</f>
        <v>25</v>
      </c>
      <c r="J36" s="281">
        <f t="shared" si="37"/>
        <v>0</v>
      </c>
      <c r="K36" s="243">
        <f>SUMIFS('Checking Transaction Log'!$E:$E,'Checking Transaction Log'!$C:$C,"&gt;="&amp;K1,'Checking Transaction Log'!$C:$C,"&lt;="&amp;L1,'Checking Transaction Log'!$A:$A,"R",'Checking Transaction Log'!$B:$B,28)</f>
        <v>25</v>
      </c>
      <c r="L36" s="243">
        <f t="shared" si="38"/>
        <v>0</v>
      </c>
      <c r="M36" s="284">
        <f>SUMIFS('Checking Transaction Log'!$E:$E,'Checking Transaction Log'!$C:$C,"&gt;="&amp;M1,'Checking Transaction Log'!$C:$C,"&lt;="&amp;N1,'Checking Transaction Log'!$A:$A,"R",'Checking Transaction Log'!$B:$B,28)</f>
        <v>25</v>
      </c>
      <c r="N36" s="284">
        <f t="shared" si="39"/>
        <v>0</v>
      </c>
      <c r="O36" s="247">
        <f>SUMIFS('Checking Transaction Log'!$E:$E,'Checking Transaction Log'!$C:$C,"&gt;="&amp;O1,'Checking Transaction Log'!$C:$C,"&lt;="&amp;P1,'Checking Transaction Log'!$A:$A,"R",'Checking Transaction Log'!$B:$B,28)</f>
        <v>25</v>
      </c>
      <c r="P36" s="247">
        <f t="shared" si="40"/>
        <v>0</v>
      </c>
      <c r="Q36" s="281">
        <f>SUMIFS('Checking Transaction Log'!$E:$E,'Checking Transaction Log'!$C:$C,"&gt;="&amp;Q1,'Checking Transaction Log'!$C:$C,"&lt;="&amp;R1,'Checking Transaction Log'!$A:$A,"R",'Checking Transaction Log'!$B:$B,28)</f>
        <v>0</v>
      </c>
      <c r="R36" s="281">
        <f t="shared" si="41"/>
        <v>25</v>
      </c>
      <c r="S36" s="243">
        <f>SUMIFS('Checking Transaction Log'!$E:$E,'Checking Transaction Log'!$C:$C,"&gt;="&amp;S1,'Checking Transaction Log'!$C:$C,"&lt;="&amp;T1,'Checking Transaction Log'!$A:$A,"R",'Checking Transaction Log'!$B:$B,28)</f>
        <v>0</v>
      </c>
      <c r="T36" s="243">
        <f t="shared" si="42"/>
        <v>25</v>
      </c>
      <c r="U36" s="284">
        <f>SUMIFS('Checking Transaction Log'!$E:$E,'Checking Transaction Log'!$C:$C,"&gt;="&amp;U1,'Checking Transaction Log'!$C:$C,"&lt;="&amp;V1,'Checking Transaction Log'!$A:$A,"R",'Checking Transaction Log'!$B:$B,28)</f>
        <v>0</v>
      </c>
      <c r="V36" s="284">
        <f t="shared" si="43"/>
        <v>25</v>
      </c>
      <c r="W36" s="247">
        <f>SUMIFS('Checking Transaction Log'!$E:$E,'Checking Transaction Log'!$C:$C,"&gt;="&amp;W1,'Checking Transaction Log'!$C:$C,"&lt;="&amp;X1,'Checking Transaction Log'!$A:$A,"R",'Checking Transaction Log'!$B:$B,28)</f>
        <v>0</v>
      </c>
      <c r="X36" s="247">
        <f t="shared" si="44"/>
        <v>25</v>
      </c>
      <c r="Y36" s="287">
        <f>SUMIFS('Checking Transaction Log'!$E:$E,'Checking Transaction Log'!$C:$C,"&gt;="&amp;Y1,'Checking Transaction Log'!$C:$C,"&lt;="&amp;Z1,'Checking Transaction Log'!$A:$A,"R",'Checking Transaction Log'!$B:$B,28)</f>
        <v>0</v>
      </c>
      <c r="Z36" s="287">
        <f t="shared" si="45"/>
        <v>25</v>
      </c>
      <c r="AA36" s="289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89">
        <f t="shared" si="46"/>
        <v>25</v>
      </c>
      <c r="AC36" s="291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91">
        <f t="shared" si="47"/>
        <v>25</v>
      </c>
      <c r="AE36" s="293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93">
        <f t="shared" si="48"/>
        <v>25</v>
      </c>
    </row>
    <row r="37" spans="1:32" ht="11.25" customHeight="1" x14ac:dyDescent="0.3">
      <c r="A37" s="295" t="str">
        <f>'Proposed Budget'!A37</f>
        <v>R</v>
      </c>
      <c r="B37" s="266">
        <f>'Proposed Budget'!B37</f>
        <v>29</v>
      </c>
      <c r="C37" s="298" t="str">
        <f>'Proposed Budget'!C37</f>
        <v>Sanitation - Main</v>
      </c>
      <c r="D37" s="299">
        <f t="shared" ca="1" si="33"/>
        <v>41.169924812030075</v>
      </c>
      <c r="E37" s="300">
        <f t="shared" si="34"/>
        <v>180</v>
      </c>
      <c r="F37" s="300">
        <f t="shared" si="35"/>
        <v>0</v>
      </c>
      <c r="G37" s="280">
        <f t="shared" si="36"/>
        <v>0</v>
      </c>
      <c r="H37" s="300">
        <f>'Proposed Budget'!D37</f>
        <v>45</v>
      </c>
      <c r="I37" s="281">
        <f>SUMIFS('Checking Transaction Log'!E:E,'Checking Transaction Log'!C:C,"&gt;="&amp;I1,'Checking Transaction Log'!C:C,"&lt;="&amp;J1,'Checking Transaction Log'!A:A,"R",'Checking Transaction Log'!B:B,29)</f>
        <v>45</v>
      </c>
      <c r="J37" s="281">
        <f t="shared" si="37"/>
        <v>0</v>
      </c>
      <c r="K37" s="243">
        <f>SUMIFS('Checking Transaction Log'!$E:$E,'Checking Transaction Log'!$C:$C,"&gt;="&amp;K1,'Checking Transaction Log'!$C:$C,"&lt;="&amp;L1,'Checking Transaction Log'!$A:$A,"R",'Checking Transaction Log'!$B:$B,29)</f>
        <v>45</v>
      </c>
      <c r="L37" s="243">
        <f t="shared" si="38"/>
        <v>0</v>
      </c>
      <c r="M37" s="284">
        <f>SUMIFS('Checking Transaction Log'!$E:$E,'Checking Transaction Log'!$C:$C,"&gt;="&amp;M1,'Checking Transaction Log'!$C:$C,"&lt;="&amp;N1,'Checking Transaction Log'!$A:$A,"R",'Checking Transaction Log'!$B:$B,29)</f>
        <v>45</v>
      </c>
      <c r="N37" s="284">
        <f t="shared" si="39"/>
        <v>0</v>
      </c>
      <c r="O37" s="247">
        <f>SUMIFS('Checking Transaction Log'!$E:$E,'Checking Transaction Log'!$C:$C,"&gt;="&amp;O1,'Checking Transaction Log'!$C:$C,"&lt;="&amp;P1,'Checking Transaction Log'!$A:$A,"R",'Checking Transaction Log'!$B:$B,29)</f>
        <v>45</v>
      </c>
      <c r="P37" s="247">
        <f t="shared" si="40"/>
        <v>0</v>
      </c>
      <c r="Q37" s="281">
        <f>SUMIFS('Checking Transaction Log'!$E:$E,'Checking Transaction Log'!$C:$C,"&gt;="&amp;Q1,'Checking Transaction Log'!$C:$C,"&lt;="&amp;R1,'Checking Transaction Log'!$A:$A,"R",'Checking Transaction Log'!$B:$B,29)</f>
        <v>0</v>
      </c>
      <c r="R37" s="281">
        <f t="shared" si="41"/>
        <v>45</v>
      </c>
      <c r="S37" s="243">
        <f>SUMIFS('Checking Transaction Log'!$E:$E,'Checking Transaction Log'!$C:$C,"&gt;="&amp;S1,'Checking Transaction Log'!$C:$C,"&lt;="&amp;T1,'Checking Transaction Log'!$A:$A,"R",'Checking Transaction Log'!$B:$B,29)</f>
        <v>0</v>
      </c>
      <c r="T37" s="243">
        <f t="shared" si="42"/>
        <v>45</v>
      </c>
      <c r="U37" s="284">
        <f>SUMIFS('Checking Transaction Log'!$E:$E,'Checking Transaction Log'!$C:$C,"&gt;="&amp;U1,'Checking Transaction Log'!$C:$C,"&lt;="&amp;V1,'Checking Transaction Log'!$A:$A,"R",'Checking Transaction Log'!$B:$B,29)</f>
        <v>0</v>
      </c>
      <c r="V37" s="284">
        <f t="shared" si="43"/>
        <v>45</v>
      </c>
      <c r="W37" s="247">
        <f>SUMIFS('Checking Transaction Log'!$E:$E,'Checking Transaction Log'!$C:$C,"&gt;="&amp;W1,'Checking Transaction Log'!$C:$C,"&lt;="&amp;X1,'Checking Transaction Log'!$A:$A,"R",'Checking Transaction Log'!$B:$B,29)</f>
        <v>0</v>
      </c>
      <c r="X37" s="247">
        <f t="shared" si="44"/>
        <v>45</v>
      </c>
      <c r="Y37" s="287">
        <f>SUMIFS('Checking Transaction Log'!$E:$E,'Checking Transaction Log'!$C:$C,"&gt;="&amp;Y1,'Checking Transaction Log'!$C:$C,"&lt;="&amp;Z1,'Checking Transaction Log'!$A:$A,"R",'Checking Transaction Log'!$B:$B,29)</f>
        <v>0</v>
      </c>
      <c r="Z37" s="287">
        <f t="shared" si="45"/>
        <v>45</v>
      </c>
      <c r="AA37" s="289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89">
        <f t="shared" si="46"/>
        <v>45</v>
      </c>
      <c r="AC37" s="291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91">
        <f t="shared" si="47"/>
        <v>45</v>
      </c>
      <c r="AE37" s="293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93">
        <f t="shared" si="48"/>
        <v>45</v>
      </c>
    </row>
    <row r="38" spans="1:32" ht="11.25" customHeight="1" x14ac:dyDescent="0.3">
      <c r="A38" s="295" t="str">
        <f>'Proposed Budget'!A38</f>
        <v>R</v>
      </c>
      <c r="B38" s="266">
        <f>'Proposed Budget'!B38</f>
        <v>30</v>
      </c>
      <c r="C38" s="298" t="str">
        <f>'Proposed Budget'!C38</f>
        <v>Camping/Vacation</v>
      </c>
      <c r="D38" s="299">
        <f t="shared" ca="1" si="33"/>
        <v>365.95488721804509</v>
      </c>
      <c r="E38" s="300">
        <f t="shared" si="34"/>
        <v>1600</v>
      </c>
      <c r="F38" s="300">
        <f t="shared" si="35"/>
        <v>0</v>
      </c>
      <c r="G38" s="280">
        <f t="shared" si="36"/>
        <v>0</v>
      </c>
      <c r="H38" s="300">
        <f>'Proposed Budget'!D38</f>
        <v>400</v>
      </c>
      <c r="I38" s="281">
        <f>SUMIFS('Checking Transaction Log'!E:E,'Checking Transaction Log'!C:C,"&gt;="&amp;I1,'Checking Transaction Log'!C:C,"&lt;="&amp;J1,'Checking Transaction Log'!A:A,"R",'Checking Transaction Log'!B:B,30)</f>
        <v>400</v>
      </c>
      <c r="J38" s="281">
        <f t="shared" si="37"/>
        <v>0</v>
      </c>
      <c r="K38" s="243">
        <f>SUMIFS('Checking Transaction Log'!$E:$E,'Checking Transaction Log'!$C:$C,"&gt;="&amp;K1,'Checking Transaction Log'!$C:$C,"&lt;="&amp;L1,'Checking Transaction Log'!$A:$A,"R",'Checking Transaction Log'!$B:$B,30)</f>
        <v>400</v>
      </c>
      <c r="L38" s="243">
        <f t="shared" si="38"/>
        <v>0</v>
      </c>
      <c r="M38" s="284">
        <f>SUMIFS('Checking Transaction Log'!$E:$E,'Checking Transaction Log'!$C:$C,"&gt;="&amp;M1,'Checking Transaction Log'!$C:$C,"&lt;="&amp;N1,'Checking Transaction Log'!$A:$A,"R",'Checking Transaction Log'!$B:$B,30)</f>
        <v>400</v>
      </c>
      <c r="N38" s="284">
        <f t="shared" si="39"/>
        <v>0</v>
      </c>
      <c r="O38" s="247">
        <f>SUMIFS('Checking Transaction Log'!$E:$E,'Checking Transaction Log'!$C:$C,"&gt;="&amp;O1,'Checking Transaction Log'!$C:$C,"&lt;="&amp;P1,'Checking Transaction Log'!$A:$A,"R",'Checking Transaction Log'!$B:$B,30)</f>
        <v>400</v>
      </c>
      <c r="P38" s="247">
        <f t="shared" si="40"/>
        <v>0</v>
      </c>
      <c r="Q38" s="281">
        <f>SUMIFS('Checking Transaction Log'!$E:$E,'Checking Transaction Log'!$C:$C,"&gt;="&amp;Q1,'Checking Transaction Log'!$C:$C,"&lt;="&amp;R1,'Checking Transaction Log'!$A:$A,"R",'Checking Transaction Log'!$B:$B,30)</f>
        <v>0</v>
      </c>
      <c r="R38" s="281">
        <f t="shared" si="41"/>
        <v>400</v>
      </c>
      <c r="S38" s="243">
        <f>SUMIFS('Checking Transaction Log'!$E:$E,'Checking Transaction Log'!$C:$C,"&gt;="&amp;S1,'Checking Transaction Log'!$C:$C,"&lt;="&amp;T1,'Checking Transaction Log'!$A:$A,"R",'Checking Transaction Log'!$B:$B,30)</f>
        <v>0</v>
      </c>
      <c r="T38" s="243">
        <f t="shared" si="42"/>
        <v>400</v>
      </c>
      <c r="U38" s="284">
        <f>SUMIFS('Checking Transaction Log'!$E:$E,'Checking Transaction Log'!$C:$C,"&gt;="&amp;U1,'Checking Transaction Log'!$C:$C,"&lt;="&amp;V1,'Checking Transaction Log'!$A:$A,"R",'Checking Transaction Log'!$B:$B,30)</f>
        <v>0</v>
      </c>
      <c r="V38" s="284">
        <f t="shared" si="43"/>
        <v>400</v>
      </c>
      <c r="W38" s="247">
        <f>SUMIFS('Checking Transaction Log'!$E:$E,'Checking Transaction Log'!$C:$C,"&gt;="&amp;W1,'Checking Transaction Log'!$C:$C,"&lt;="&amp;X1,'Checking Transaction Log'!$A:$A,"R",'Checking Transaction Log'!$B:$B,30)</f>
        <v>0</v>
      </c>
      <c r="X38" s="247">
        <f t="shared" si="44"/>
        <v>400</v>
      </c>
      <c r="Y38" s="287">
        <f>SUMIFS('Checking Transaction Log'!$E:$E,'Checking Transaction Log'!$C:$C,"&gt;="&amp;Y1,'Checking Transaction Log'!$C:$C,"&lt;="&amp;Z1,'Checking Transaction Log'!$A:$A,"R",'Checking Transaction Log'!$B:$B,30)</f>
        <v>0</v>
      </c>
      <c r="Z38" s="287">
        <f t="shared" si="45"/>
        <v>400</v>
      </c>
      <c r="AA38" s="289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89">
        <f t="shared" si="46"/>
        <v>400</v>
      </c>
      <c r="AC38" s="291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91">
        <f t="shared" si="47"/>
        <v>400</v>
      </c>
      <c r="AE38" s="293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93">
        <f t="shared" si="48"/>
        <v>400</v>
      </c>
    </row>
    <row r="39" spans="1:32" ht="11.25" customHeight="1" x14ac:dyDescent="0.3">
      <c r="A39" s="295" t="str">
        <f>'Proposed Budget'!A39</f>
        <v>R</v>
      </c>
      <c r="B39" s="266">
        <f>'Proposed Budget'!B39</f>
        <v>31</v>
      </c>
      <c r="C39" s="298" t="str">
        <f>'Proposed Budget'!C39</f>
        <v>Home Maintenance</v>
      </c>
      <c r="D39" s="299">
        <f t="shared" ca="1" si="33"/>
        <v>343.08270676691734</v>
      </c>
      <c r="E39" s="300">
        <f t="shared" si="34"/>
        <v>1500</v>
      </c>
      <c r="F39" s="300">
        <f t="shared" si="35"/>
        <v>0</v>
      </c>
      <c r="G39" s="280">
        <f t="shared" si="36"/>
        <v>0</v>
      </c>
      <c r="H39" s="300">
        <f>'Proposed Budget'!D39</f>
        <v>375</v>
      </c>
      <c r="I39" s="281">
        <f>SUMIFS('Checking Transaction Log'!E:E,'Checking Transaction Log'!C:C,"&gt;="&amp;I1,'Checking Transaction Log'!C:C,"&lt;="&amp;J1,'Checking Transaction Log'!A:A,"R",'Checking Transaction Log'!B:B,31)</f>
        <v>375</v>
      </c>
      <c r="J39" s="281">
        <f t="shared" si="37"/>
        <v>0</v>
      </c>
      <c r="K39" s="243">
        <f>SUMIFS('Checking Transaction Log'!$E:$E,'Checking Transaction Log'!$C:$C,"&gt;="&amp;K1,'Checking Transaction Log'!$C:$C,"&lt;="&amp;L1,'Checking Transaction Log'!$A:$A,"R",'Checking Transaction Log'!$B:$B,31)</f>
        <v>375</v>
      </c>
      <c r="L39" s="243">
        <f t="shared" si="38"/>
        <v>0</v>
      </c>
      <c r="M39" s="284">
        <f>SUMIFS('Checking Transaction Log'!$E:$E,'Checking Transaction Log'!$C:$C,"&gt;="&amp;M1,'Checking Transaction Log'!$C:$C,"&lt;="&amp;N1,'Checking Transaction Log'!$A:$A,"R",'Checking Transaction Log'!$B:$B,31)</f>
        <v>375</v>
      </c>
      <c r="N39" s="284">
        <f t="shared" si="39"/>
        <v>0</v>
      </c>
      <c r="O39" s="247">
        <f>SUMIFS('Checking Transaction Log'!$E:$E,'Checking Transaction Log'!$C:$C,"&gt;="&amp;O1,'Checking Transaction Log'!$C:$C,"&lt;="&amp;P1,'Checking Transaction Log'!$A:$A,"R",'Checking Transaction Log'!$B:$B,31)</f>
        <v>375</v>
      </c>
      <c r="P39" s="247">
        <f t="shared" si="40"/>
        <v>0</v>
      </c>
      <c r="Q39" s="281">
        <f>SUMIFS('Checking Transaction Log'!$E:$E,'Checking Transaction Log'!$C:$C,"&gt;="&amp;Q1,'Checking Transaction Log'!$C:$C,"&lt;="&amp;R1,'Checking Transaction Log'!$A:$A,"R",'Checking Transaction Log'!$B:$B,31)</f>
        <v>0</v>
      </c>
      <c r="R39" s="281">
        <f t="shared" si="41"/>
        <v>375</v>
      </c>
      <c r="S39" s="243">
        <f>SUMIFS('Checking Transaction Log'!$E:$E,'Checking Transaction Log'!$C:$C,"&gt;="&amp;S1,'Checking Transaction Log'!$C:$C,"&lt;="&amp;T1,'Checking Transaction Log'!$A:$A,"R",'Checking Transaction Log'!$B:$B,31)</f>
        <v>0</v>
      </c>
      <c r="T39" s="243">
        <f t="shared" si="42"/>
        <v>375</v>
      </c>
      <c r="U39" s="284">
        <f>SUMIFS('Checking Transaction Log'!$E:$E,'Checking Transaction Log'!$C:$C,"&gt;="&amp;U1,'Checking Transaction Log'!$C:$C,"&lt;="&amp;V1,'Checking Transaction Log'!$A:$A,"R",'Checking Transaction Log'!$B:$B,31)</f>
        <v>0</v>
      </c>
      <c r="V39" s="284">
        <f t="shared" si="43"/>
        <v>375</v>
      </c>
      <c r="W39" s="247">
        <f>SUMIFS('Checking Transaction Log'!$E:$E,'Checking Transaction Log'!$C:$C,"&gt;="&amp;W1,'Checking Transaction Log'!$C:$C,"&lt;="&amp;X1,'Checking Transaction Log'!$A:$A,"R",'Checking Transaction Log'!$B:$B,31)</f>
        <v>0</v>
      </c>
      <c r="X39" s="247">
        <f t="shared" si="44"/>
        <v>375</v>
      </c>
      <c r="Y39" s="287">
        <f>SUMIFS('Checking Transaction Log'!$E:$E,'Checking Transaction Log'!$C:$C,"&gt;="&amp;Y1,'Checking Transaction Log'!$C:$C,"&lt;="&amp;Z1,'Checking Transaction Log'!$A:$A,"R",'Checking Transaction Log'!$B:$B,31)</f>
        <v>0</v>
      </c>
      <c r="Z39" s="287">
        <f t="shared" si="45"/>
        <v>375</v>
      </c>
      <c r="AA39" s="289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89">
        <f t="shared" si="46"/>
        <v>375</v>
      </c>
      <c r="AC39" s="291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91">
        <f t="shared" si="47"/>
        <v>375</v>
      </c>
      <c r="AE39" s="293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93">
        <f t="shared" si="48"/>
        <v>375</v>
      </c>
    </row>
    <row r="40" spans="1:32" ht="11.25" customHeight="1" x14ac:dyDescent="0.3">
      <c r="A40" s="295" t="str">
        <f>'Proposed Budget'!A40</f>
        <v>R</v>
      </c>
      <c r="B40" s="266">
        <f>'Proposed Budget'!B40</f>
        <v>32</v>
      </c>
      <c r="C40" s="298" t="str">
        <f>'Proposed Budget'!C40</f>
        <v>Rental Repairs</v>
      </c>
      <c r="D40" s="299">
        <f t="shared" ca="1" si="33"/>
        <v>91.488721804511272</v>
      </c>
      <c r="E40" s="300">
        <f t="shared" si="34"/>
        <v>400</v>
      </c>
      <c r="F40" s="300">
        <f t="shared" si="35"/>
        <v>0</v>
      </c>
      <c r="G40" s="280">
        <f t="shared" si="36"/>
        <v>0</v>
      </c>
      <c r="H40" s="300">
        <f>'Proposed Budget'!D40</f>
        <v>100</v>
      </c>
      <c r="I40" s="281">
        <f>SUMIFS('Checking Transaction Log'!E:E,'Checking Transaction Log'!C:C,"&gt;="&amp;I1,'Checking Transaction Log'!C:C,"&lt;="&amp;J1,'Checking Transaction Log'!A:A,"R",'Checking Transaction Log'!B:B,32)</f>
        <v>100</v>
      </c>
      <c r="J40" s="281">
        <f t="shared" si="37"/>
        <v>0</v>
      </c>
      <c r="K40" s="243">
        <f>SUMIFS('Checking Transaction Log'!$E:$E,'Checking Transaction Log'!$C:$C,"&gt;="&amp;K1,'Checking Transaction Log'!$C:$C,"&lt;="&amp;L1,'Checking Transaction Log'!$A:$A,"R",'Checking Transaction Log'!$B:$B,32)</f>
        <v>100</v>
      </c>
      <c r="L40" s="243">
        <f t="shared" si="38"/>
        <v>0</v>
      </c>
      <c r="M40" s="284">
        <f>SUMIFS('Checking Transaction Log'!$E:$E,'Checking Transaction Log'!$C:$C,"&gt;="&amp;M1,'Checking Transaction Log'!$C:$C,"&lt;="&amp;N1,'Checking Transaction Log'!$A:$A,"R",'Checking Transaction Log'!$B:$B,32)</f>
        <v>100</v>
      </c>
      <c r="N40" s="284">
        <f t="shared" si="39"/>
        <v>0</v>
      </c>
      <c r="O40" s="247">
        <f>SUMIFS('Checking Transaction Log'!$E:$E,'Checking Transaction Log'!$C:$C,"&gt;="&amp;O1,'Checking Transaction Log'!$C:$C,"&lt;="&amp;P1,'Checking Transaction Log'!$A:$A,"R",'Checking Transaction Log'!$B:$B,32)</f>
        <v>100</v>
      </c>
      <c r="P40" s="247">
        <f t="shared" si="40"/>
        <v>0</v>
      </c>
      <c r="Q40" s="281">
        <f>SUMIFS('Checking Transaction Log'!$E:$E,'Checking Transaction Log'!$C:$C,"&gt;="&amp;Q1,'Checking Transaction Log'!$C:$C,"&lt;="&amp;R1,'Checking Transaction Log'!$A:$A,"R",'Checking Transaction Log'!$B:$B,32)</f>
        <v>0</v>
      </c>
      <c r="R40" s="281">
        <f t="shared" si="41"/>
        <v>100</v>
      </c>
      <c r="S40" s="243">
        <f>SUMIFS('Checking Transaction Log'!$E:$E,'Checking Transaction Log'!$C:$C,"&gt;="&amp;S1,'Checking Transaction Log'!$C:$C,"&lt;="&amp;T1,'Checking Transaction Log'!$A:$A,"R",'Checking Transaction Log'!$B:$B,32)</f>
        <v>0</v>
      </c>
      <c r="T40" s="243">
        <f t="shared" si="42"/>
        <v>100</v>
      </c>
      <c r="U40" s="284">
        <f>SUMIFS('Checking Transaction Log'!$E:$E,'Checking Transaction Log'!$C:$C,"&gt;="&amp;U1,'Checking Transaction Log'!$C:$C,"&lt;="&amp;V1,'Checking Transaction Log'!$A:$A,"R",'Checking Transaction Log'!$B:$B,32)</f>
        <v>0</v>
      </c>
      <c r="V40" s="284">
        <f t="shared" si="43"/>
        <v>100</v>
      </c>
      <c r="W40" s="247">
        <f>SUMIFS('Checking Transaction Log'!$E:$E,'Checking Transaction Log'!$C:$C,"&gt;="&amp;W1,'Checking Transaction Log'!$C:$C,"&lt;="&amp;X1,'Checking Transaction Log'!$A:$A,"R",'Checking Transaction Log'!$B:$B,32)</f>
        <v>0</v>
      </c>
      <c r="X40" s="247">
        <f t="shared" si="44"/>
        <v>100</v>
      </c>
      <c r="Y40" s="287">
        <f>SUMIFS('Checking Transaction Log'!$E:$E,'Checking Transaction Log'!$C:$C,"&gt;="&amp;Y1,'Checking Transaction Log'!$C:$C,"&lt;="&amp;Z1,'Checking Transaction Log'!$A:$A,"R",'Checking Transaction Log'!$B:$B,32)</f>
        <v>0</v>
      </c>
      <c r="Z40" s="287">
        <f t="shared" si="45"/>
        <v>100</v>
      </c>
      <c r="AA40" s="289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89">
        <f t="shared" si="46"/>
        <v>100</v>
      </c>
      <c r="AC40" s="291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91">
        <f t="shared" si="47"/>
        <v>100</v>
      </c>
      <c r="AE40" s="293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93">
        <f t="shared" si="48"/>
        <v>100</v>
      </c>
    </row>
    <row r="41" spans="1:32" ht="11.25" customHeight="1" x14ac:dyDescent="0.3">
      <c r="A41" s="295" t="str">
        <f>'Proposed Budget'!A41</f>
        <v>R</v>
      </c>
      <c r="B41" s="266">
        <f>'Proposed Budget'!B41</f>
        <v>33</v>
      </c>
      <c r="C41" s="298" t="str">
        <f>'Proposed Budget'!C41</f>
        <v>Rental Insurance</v>
      </c>
      <c r="D41" s="299">
        <f t="shared" ca="1" si="33"/>
        <v>77.76541353383459</v>
      </c>
      <c r="E41" s="300">
        <f t="shared" si="34"/>
        <v>340</v>
      </c>
      <c r="F41" s="300">
        <f t="shared" si="35"/>
        <v>0</v>
      </c>
      <c r="G41" s="280">
        <f t="shared" si="36"/>
        <v>0</v>
      </c>
      <c r="H41" s="300">
        <f>'Proposed Budget'!D41</f>
        <v>85</v>
      </c>
      <c r="I41" s="281">
        <f>SUMIFS('Checking Transaction Log'!E:E,'Checking Transaction Log'!C:C,"&gt;="&amp;I1,'Checking Transaction Log'!C:C,"&lt;="&amp;J1,'Checking Transaction Log'!A:A,"R",'Checking Transaction Log'!B:B,33)</f>
        <v>85</v>
      </c>
      <c r="J41" s="281">
        <f t="shared" si="37"/>
        <v>0</v>
      </c>
      <c r="K41" s="243">
        <f>SUMIFS('Checking Transaction Log'!$E:$E,'Checking Transaction Log'!$C:$C,"&gt;="&amp;K1,'Checking Transaction Log'!$C:$C,"&lt;="&amp;L1,'Checking Transaction Log'!$A:$A,"R",'Checking Transaction Log'!$B:$B,33)</f>
        <v>85</v>
      </c>
      <c r="L41" s="243">
        <f t="shared" si="38"/>
        <v>0</v>
      </c>
      <c r="M41" s="284">
        <f>SUMIFS('Checking Transaction Log'!$E:$E,'Checking Transaction Log'!$C:$C,"&gt;="&amp;M1,'Checking Transaction Log'!$C:$C,"&lt;="&amp;N1,'Checking Transaction Log'!$A:$A,"R",'Checking Transaction Log'!$B:$B,33)</f>
        <v>85</v>
      </c>
      <c r="N41" s="284">
        <f t="shared" si="39"/>
        <v>0</v>
      </c>
      <c r="O41" s="247">
        <f>SUMIFS('Checking Transaction Log'!$E:$E,'Checking Transaction Log'!$C:$C,"&gt;="&amp;O1,'Checking Transaction Log'!$C:$C,"&lt;="&amp;P1,'Checking Transaction Log'!$A:$A,"R",'Checking Transaction Log'!$B:$B,33)</f>
        <v>85</v>
      </c>
      <c r="P41" s="247">
        <f t="shared" si="40"/>
        <v>0</v>
      </c>
      <c r="Q41" s="281">
        <f>SUMIFS('Checking Transaction Log'!$E:$E,'Checking Transaction Log'!$C:$C,"&gt;="&amp;Q1,'Checking Transaction Log'!$C:$C,"&lt;="&amp;R1,'Checking Transaction Log'!$A:$A,"R",'Checking Transaction Log'!$B:$B,33)</f>
        <v>0</v>
      </c>
      <c r="R41" s="281">
        <f t="shared" si="41"/>
        <v>85</v>
      </c>
      <c r="S41" s="243">
        <f>SUMIFS('Checking Transaction Log'!$E:$E,'Checking Transaction Log'!$C:$C,"&gt;="&amp;S1,'Checking Transaction Log'!$C:$C,"&lt;="&amp;T1,'Checking Transaction Log'!$A:$A,"R",'Checking Transaction Log'!$B:$B,33)</f>
        <v>0</v>
      </c>
      <c r="T41" s="243">
        <f t="shared" si="42"/>
        <v>85</v>
      </c>
      <c r="U41" s="284">
        <f>SUMIFS('Checking Transaction Log'!$E:$E,'Checking Transaction Log'!$C:$C,"&gt;="&amp;U1,'Checking Transaction Log'!$C:$C,"&lt;="&amp;V1,'Checking Transaction Log'!$A:$A,"R",'Checking Transaction Log'!$B:$B,33)</f>
        <v>0</v>
      </c>
      <c r="V41" s="284">
        <f t="shared" si="43"/>
        <v>85</v>
      </c>
      <c r="W41" s="247">
        <f>SUMIFS('Checking Transaction Log'!$E:$E,'Checking Transaction Log'!$C:$C,"&gt;="&amp;W1,'Checking Transaction Log'!$C:$C,"&lt;="&amp;X1,'Checking Transaction Log'!$A:$A,"R",'Checking Transaction Log'!$B:$B,33)</f>
        <v>0</v>
      </c>
      <c r="X41" s="247">
        <f t="shared" si="44"/>
        <v>85</v>
      </c>
      <c r="Y41" s="287">
        <f>SUMIFS('Checking Transaction Log'!$E:$E,'Checking Transaction Log'!$C:$C,"&gt;="&amp;Y1,'Checking Transaction Log'!$C:$C,"&lt;="&amp;Z1,'Checking Transaction Log'!$A:$A,"R",'Checking Transaction Log'!$B:$B,33)</f>
        <v>0</v>
      </c>
      <c r="Z41" s="287">
        <f t="shared" si="45"/>
        <v>85</v>
      </c>
      <c r="AA41" s="289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89">
        <f t="shared" si="46"/>
        <v>85</v>
      </c>
      <c r="AC41" s="291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91">
        <f t="shared" si="47"/>
        <v>85</v>
      </c>
      <c r="AE41" s="293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93">
        <f t="shared" si="48"/>
        <v>85</v>
      </c>
    </row>
    <row r="42" spans="1:32" ht="11.25" customHeight="1" x14ac:dyDescent="0.3">
      <c r="A42" s="295" t="str">
        <f>'Proposed Budget'!A42</f>
        <v>R</v>
      </c>
      <c r="B42" s="266">
        <f>'Proposed Budget'!B42</f>
        <v>34</v>
      </c>
      <c r="C42" s="298" t="str">
        <f>'Proposed Budget'!C42</f>
        <v>Rental Property Taxes</v>
      </c>
      <c r="D42" s="299">
        <f t="shared" ca="1" si="33"/>
        <v>210.42406015037596</v>
      </c>
      <c r="E42" s="300">
        <f t="shared" si="34"/>
        <v>920</v>
      </c>
      <c r="F42" s="300">
        <f t="shared" si="35"/>
        <v>0</v>
      </c>
      <c r="G42" s="280">
        <f t="shared" si="36"/>
        <v>0</v>
      </c>
      <c r="H42" s="300">
        <f>'Proposed Budget'!D42</f>
        <v>230</v>
      </c>
      <c r="I42" s="281">
        <f>SUMIFS('Checking Transaction Log'!E:E,'Checking Transaction Log'!C:C,"&gt;="&amp;I1,'Checking Transaction Log'!C:C,"&lt;="&amp;J1,'Checking Transaction Log'!A:A,"R",'Checking Transaction Log'!B:B,34)</f>
        <v>230</v>
      </c>
      <c r="J42" s="281">
        <f t="shared" si="37"/>
        <v>0</v>
      </c>
      <c r="K42" s="243">
        <f>SUMIFS('Checking Transaction Log'!$E:$E,'Checking Transaction Log'!$C:$C,"&gt;="&amp;K1,'Checking Transaction Log'!$C:$C,"&lt;="&amp;L1,'Checking Transaction Log'!$A:$A,"R",'Checking Transaction Log'!$B:$B,34)</f>
        <v>230</v>
      </c>
      <c r="L42" s="243">
        <f t="shared" si="38"/>
        <v>0</v>
      </c>
      <c r="M42" s="284">
        <f>SUMIFS('Checking Transaction Log'!$E:$E,'Checking Transaction Log'!$C:$C,"&gt;="&amp;M1,'Checking Transaction Log'!$C:$C,"&lt;="&amp;N1,'Checking Transaction Log'!$A:$A,"R",'Checking Transaction Log'!$B:$B,34)</f>
        <v>230</v>
      </c>
      <c r="N42" s="284">
        <f t="shared" si="39"/>
        <v>0</v>
      </c>
      <c r="O42" s="247">
        <f>SUMIFS('Checking Transaction Log'!$E:$E,'Checking Transaction Log'!$C:$C,"&gt;="&amp;O1,'Checking Transaction Log'!$C:$C,"&lt;="&amp;P1,'Checking Transaction Log'!$A:$A,"R",'Checking Transaction Log'!$B:$B,34)</f>
        <v>230</v>
      </c>
      <c r="P42" s="247">
        <f t="shared" si="40"/>
        <v>0</v>
      </c>
      <c r="Q42" s="281">
        <f>SUMIFS('Checking Transaction Log'!$E:$E,'Checking Transaction Log'!$C:$C,"&gt;="&amp;Q1,'Checking Transaction Log'!$C:$C,"&lt;="&amp;R1,'Checking Transaction Log'!$A:$A,"R",'Checking Transaction Log'!$B:$B,34)</f>
        <v>0</v>
      </c>
      <c r="R42" s="281">
        <f t="shared" si="41"/>
        <v>230</v>
      </c>
      <c r="S42" s="243">
        <f>SUMIFS('Checking Transaction Log'!$E:$E,'Checking Transaction Log'!$C:$C,"&gt;="&amp;S1,'Checking Transaction Log'!$C:$C,"&lt;="&amp;T1,'Checking Transaction Log'!$A:$A,"R",'Checking Transaction Log'!$B:$B,34)</f>
        <v>0</v>
      </c>
      <c r="T42" s="243">
        <f t="shared" si="42"/>
        <v>230</v>
      </c>
      <c r="U42" s="284">
        <f>SUMIFS('Checking Transaction Log'!$E:$E,'Checking Transaction Log'!$C:$C,"&gt;="&amp;U1,'Checking Transaction Log'!$C:$C,"&lt;="&amp;V1,'Checking Transaction Log'!$A:$A,"R",'Checking Transaction Log'!$B:$B,34)</f>
        <v>0</v>
      </c>
      <c r="V42" s="284">
        <f t="shared" si="43"/>
        <v>230</v>
      </c>
      <c r="W42" s="247">
        <f>SUMIFS('Checking Transaction Log'!$E:$E,'Checking Transaction Log'!$C:$C,"&gt;="&amp;W1,'Checking Transaction Log'!$C:$C,"&lt;="&amp;X1,'Checking Transaction Log'!$A:$A,"R",'Checking Transaction Log'!$B:$B,34)</f>
        <v>0</v>
      </c>
      <c r="X42" s="247">
        <f t="shared" si="44"/>
        <v>230</v>
      </c>
      <c r="Y42" s="287">
        <f>SUMIFS('Checking Transaction Log'!$E:$E,'Checking Transaction Log'!$C:$C,"&gt;="&amp;Y1,'Checking Transaction Log'!$C:$C,"&lt;="&amp;Z1,'Checking Transaction Log'!$A:$A,"R",'Checking Transaction Log'!$B:$B,34)</f>
        <v>0</v>
      </c>
      <c r="Z42" s="287">
        <f t="shared" si="45"/>
        <v>230</v>
      </c>
      <c r="AA42" s="289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89">
        <f t="shared" si="46"/>
        <v>230</v>
      </c>
      <c r="AC42" s="291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91">
        <f t="shared" si="47"/>
        <v>230</v>
      </c>
      <c r="AE42" s="293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93">
        <f t="shared" si="48"/>
        <v>230</v>
      </c>
    </row>
    <row r="43" spans="1:32" ht="11.25" customHeight="1" x14ac:dyDescent="0.3">
      <c r="A43" s="295" t="str">
        <f>'Proposed Budget'!A43</f>
        <v>R</v>
      </c>
      <c r="B43" s="266">
        <f>'Proposed Budget'!B43</f>
        <v>35</v>
      </c>
      <c r="C43" s="298" t="str">
        <f>'Proposed Budget'!C43</f>
        <v>Rental Sanitation</v>
      </c>
      <c r="D43" s="299">
        <f t="shared" ca="1" si="33"/>
        <v>41.169924812030075</v>
      </c>
      <c r="E43" s="300">
        <f t="shared" si="34"/>
        <v>180</v>
      </c>
      <c r="F43" s="300">
        <f t="shared" si="35"/>
        <v>0</v>
      </c>
      <c r="G43" s="280">
        <f t="shared" si="36"/>
        <v>0</v>
      </c>
      <c r="H43" s="300">
        <f>'Proposed Budget'!D43</f>
        <v>45</v>
      </c>
      <c r="I43" s="281">
        <f>SUMIFS('Checking Transaction Log'!E:E,'Checking Transaction Log'!C:C,"&gt;="&amp;I1,'Checking Transaction Log'!C:C,"&lt;="&amp;J1,'Checking Transaction Log'!A:A,"R",'Checking Transaction Log'!B:B,35)</f>
        <v>45</v>
      </c>
      <c r="J43" s="281">
        <f t="shared" si="37"/>
        <v>0</v>
      </c>
      <c r="K43" s="243">
        <f>SUMIFS('Checking Transaction Log'!$E:$E,'Checking Transaction Log'!$C:$C,"&gt;="&amp;K1,'Checking Transaction Log'!$C:$C,"&lt;="&amp;L1,'Checking Transaction Log'!$A:$A,"R",'Checking Transaction Log'!$B:$B,35)</f>
        <v>45</v>
      </c>
      <c r="L43" s="243">
        <f t="shared" si="38"/>
        <v>0</v>
      </c>
      <c r="M43" s="284">
        <f>SUMIFS('Checking Transaction Log'!$E:$E,'Checking Transaction Log'!$C:$C,"&gt;="&amp;M1,'Checking Transaction Log'!$C:$C,"&lt;="&amp;N1,'Checking Transaction Log'!$A:$A,"R",'Checking Transaction Log'!$B:$B,35)</f>
        <v>45</v>
      </c>
      <c r="N43" s="284">
        <f t="shared" si="39"/>
        <v>0</v>
      </c>
      <c r="O43" s="247">
        <f>SUMIFS('Checking Transaction Log'!$E:$E,'Checking Transaction Log'!$C:$C,"&gt;="&amp;O1,'Checking Transaction Log'!$C:$C,"&lt;="&amp;P1,'Checking Transaction Log'!$A:$A,"R",'Checking Transaction Log'!$B:$B,35)</f>
        <v>45</v>
      </c>
      <c r="P43" s="247">
        <f t="shared" si="40"/>
        <v>0</v>
      </c>
      <c r="Q43" s="281">
        <f>SUMIFS('Checking Transaction Log'!$E:$E,'Checking Transaction Log'!$C:$C,"&gt;="&amp;Q1,'Checking Transaction Log'!$C:$C,"&lt;="&amp;R1,'Checking Transaction Log'!$A:$A,"R",'Checking Transaction Log'!$B:$B,35)</f>
        <v>0</v>
      </c>
      <c r="R43" s="281">
        <f t="shared" si="41"/>
        <v>45</v>
      </c>
      <c r="S43" s="243">
        <f>SUMIFS('Checking Transaction Log'!$E:$E,'Checking Transaction Log'!$C:$C,"&gt;="&amp;S1,'Checking Transaction Log'!$C:$C,"&lt;="&amp;T1,'Checking Transaction Log'!$A:$A,"R",'Checking Transaction Log'!$B:$B,35)</f>
        <v>0</v>
      </c>
      <c r="T43" s="243">
        <f t="shared" si="42"/>
        <v>45</v>
      </c>
      <c r="U43" s="284">
        <f>SUMIFS('Checking Transaction Log'!$E:$E,'Checking Transaction Log'!$C:$C,"&gt;="&amp;U1,'Checking Transaction Log'!$C:$C,"&lt;="&amp;V1,'Checking Transaction Log'!$A:$A,"R",'Checking Transaction Log'!$B:$B,35)</f>
        <v>0</v>
      </c>
      <c r="V43" s="284">
        <f t="shared" si="43"/>
        <v>45</v>
      </c>
      <c r="W43" s="247">
        <f>SUMIFS('Checking Transaction Log'!$E:$E,'Checking Transaction Log'!$C:$C,"&gt;="&amp;W1,'Checking Transaction Log'!$C:$C,"&lt;="&amp;X1,'Checking Transaction Log'!$A:$A,"R",'Checking Transaction Log'!$B:$B,35)</f>
        <v>0</v>
      </c>
      <c r="X43" s="247">
        <f t="shared" si="44"/>
        <v>45</v>
      </c>
      <c r="Y43" s="287">
        <f>SUMIFS('Checking Transaction Log'!$E:$E,'Checking Transaction Log'!$C:$C,"&gt;="&amp;Y1,'Checking Transaction Log'!$C:$C,"&lt;="&amp;Z1,'Checking Transaction Log'!$A:$A,"R",'Checking Transaction Log'!$B:$B,35)</f>
        <v>0</v>
      </c>
      <c r="Z43" s="287">
        <f t="shared" si="45"/>
        <v>45</v>
      </c>
      <c r="AA43" s="289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89">
        <f t="shared" si="46"/>
        <v>45</v>
      </c>
      <c r="AC43" s="291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91">
        <f t="shared" si="47"/>
        <v>45</v>
      </c>
      <c r="AE43" s="293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93">
        <f t="shared" si="48"/>
        <v>45</v>
      </c>
    </row>
    <row r="44" spans="1:32" ht="11.25" customHeight="1" x14ac:dyDescent="0.3">
      <c r="A44" s="295"/>
      <c r="B44" s="266"/>
      <c r="C44" s="298"/>
      <c r="D44" s="299"/>
      <c r="E44" s="300"/>
      <c r="F44" s="300"/>
      <c r="G44" s="280"/>
      <c r="H44" s="300"/>
      <c r="I44" s="281"/>
      <c r="J44" s="281"/>
      <c r="K44" s="243"/>
      <c r="L44" s="243"/>
      <c r="M44" s="284"/>
      <c r="N44" s="284"/>
      <c r="O44" s="247"/>
      <c r="P44" s="247"/>
      <c r="Q44" s="281"/>
      <c r="R44" s="281"/>
      <c r="S44" s="243"/>
      <c r="T44" s="243"/>
      <c r="U44" s="284"/>
      <c r="V44" s="284"/>
      <c r="W44" s="247"/>
      <c r="X44" s="247"/>
      <c r="Y44" s="287"/>
      <c r="Z44" s="287"/>
      <c r="AA44" s="289"/>
      <c r="AB44" s="289"/>
      <c r="AC44" s="291"/>
      <c r="AD44" s="291"/>
      <c r="AE44" s="293"/>
      <c r="AF44" s="293"/>
    </row>
    <row r="45" spans="1:32" ht="11.25" customHeight="1" x14ac:dyDescent="0.3">
      <c r="A45" s="295" t="str">
        <f>'Proposed Budget'!A45</f>
        <v>S</v>
      </c>
      <c r="B45" s="266">
        <f>'Proposed Budget'!B45</f>
        <v>36</v>
      </c>
      <c r="C45" s="298" t="str">
        <f>'Proposed Budget'!C45</f>
        <v>Kids Savings</v>
      </c>
      <c r="D45" s="299">
        <f t="shared" ref="D45:D46" ca="1" si="49">(E45/(TODAY()-$I$1))*30.42</f>
        <v>57.180451127819552</v>
      </c>
      <c r="E45" s="300">
        <f t="shared" ref="E45:E46" si="50">Q45+S45+U45+W45+Y45+AA45+AC45+AE45+I45+K45+M45+O45</f>
        <v>250</v>
      </c>
      <c r="F45" s="300">
        <f t="shared" ref="F45:F46" si="51">J45+L45+N45+P45</f>
        <v>0</v>
      </c>
      <c r="G45" s="280">
        <f t="shared" ref="G45:G46" si="52">1-((E45/SUM(E45:F45)))</f>
        <v>0</v>
      </c>
      <c r="H45" s="300">
        <f>'Proposed Budget'!D45</f>
        <v>50</v>
      </c>
      <c r="I45" s="281">
        <f>SUMIFS('Checking Transaction Log'!E:E,'Checking Transaction Log'!C:C,"&gt;="&amp;I1,'Checking Transaction Log'!C:C,"&lt;="&amp;J1,'Checking Transaction Log'!A:A,"S",'Checking Transaction Log'!B:B,36)</f>
        <v>50</v>
      </c>
      <c r="J45" s="281">
        <f t="shared" ref="J45:J46" si="53">H45-I45</f>
        <v>0</v>
      </c>
      <c r="K45" s="243">
        <f>SUMIFS('Checking Transaction Log'!E:E,'Checking Transaction Log'!C:C,"&gt;="&amp;K1,'Checking Transaction Log'!C:C,"&lt;="&amp;L1,'Checking Transaction Log'!A:A,"S",'Checking Transaction Log'!B:B,36)</f>
        <v>50</v>
      </c>
      <c r="L45" s="243">
        <f t="shared" ref="L45:L46" si="54">H45-K45</f>
        <v>0</v>
      </c>
      <c r="M45" s="284">
        <f>SUMIFS('Checking Transaction Log'!$E:$E,'Checking Transaction Log'!$C:$C,"&gt;="&amp;M1,'Checking Transaction Log'!$C:$C,"&lt;="&amp;N1,'Checking Transaction Log'!$A:$A,"s",'Checking Transaction Log'!$B:$B,36)</f>
        <v>50</v>
      </c>
      <c r="N45" s="284">
        <f t="shared" ref="N45:N46" si="55">H45-M45</f>
        <v>0</v>
      </c>
      <c r="O45" s="247">
        <f>SUMIFS('Checking Transaction Log'!$E:$E,'Checking Transaction Log'!$C:$C,"&gt;="&amp;O1,'Checking Transaction Log'!$C:$C,"&lt;="&amp;P1,'Checking Transaction Log'!$A:$A,"s",'Checking Transaction Log'!$B:$B,36)</f>
        <v>50</v>
      </c>
      <c r="P45" s="247">
        <f t="shared" ref="P45:P46" si="56">H45-O45</f>
        <v>0</v>
      </c>
      <c r="Q45" s="281">
        <f>SUMIFS('Checking Transaction Log'!$E:$E,'Checking Transaction Log'!$C:$C,"&gt;="&amp;Q1,'Checking Transaction Log'!$C:$C,"&lt;="&amp;R1,'Checking Transaction Log'!$A:$A,"s",'Checking Transaction Log'!$B:$B,36)</f>
        <v>50</v>
      </c>
      <c r="R45" s="281">
        <f t="shared" ref="R45:R46" si="57">H45-Q45</f>
        <v>0</v>
      </c>
      <c r="S45" s="243">
        <f>SUMIFS('Checking Transaction Log'!$E:$E,'Checking Transaction Log'!$C:$C,"&gt;="&amp;S1,'Checking Transaction Log'!$C:$C,"&lt;="&amp;T1,'Checking Transaction Log'!$A:$A,"s",'Checking Transaction Log'!$B:$B,36)</f>
        <v>0</v>
      </c>
      <c r="T45" s="243">
        <f t="shared" ref="T45:T46" si="58">H45-S45</f>
        <v>50</v>
      </c>
      <c r="U45" s="284">
        <f>SUMIFS('Checking Transaction Log'!$E:$E,'Checking Transaction Log'!$C:$C,"&gt;="&amp;U1,'Checking Transaction Log'!$C:$C,"&lt;="&amp;V1,'Checking Transaction Log'!$A:$A,"s",'Checking Transaction Log'!$B:$B,36)</f>
        <v>0</v>
      </c>
      <c r="V45" s="284">
        <f t="shared" ref="V45:V46" si="59">H45-U45</f>
        <v>50</v>
      </c>
      <c r="W45" s="247">
        <f>SUMIFS('Checking Transaction Log'!$E:$E,'Checking Transaction Log'!$C:$C,"&gt;="&amp;W1,'Checking Transaction Log'!$C:$C,"&lt;="&amp;X1,'Checking Transaction Log'!$A:$A,"s",'Checking Transaction Log'!$B:$B,36)</f>
        <v>0</v>
      </c>
      <c r="X45" s="247">
        <f t="shared" ref="X45:X46" si="60">H45-W45</f>
        <v>50</v>
      </c>
      <c r="Y45" s="287">
        <f>SUMIFS('Checking Transaction Log'!$E:$E,'Checking Transaction Log'!$C:$C,"&gt;="&amp;Y1,'Checking Transaction Log'!$C:$C,"&lt;="&amp;Z1,'Checking Transaction Log'!$A:$A,"s",'Checking Transaction Log'!$B:$B,36)</f>
        <v>0</v>
      </c>
      <c r="Z45" s="287">
        <f t="shared" ref="Z45:Z46" si="61">H45-Y45</f>
        <v>50</v>
      </c>
      <c r="AA45" s="289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89">
        <f t="shared" ref="AB45:AB46" si="62">H45-AA45</f>
        <v>50</v>
      </c>
      <c r="AC45" s="291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91">
        <f t="shared" ref="AD45:AD46" si="63">H45-AC45</f>
        <v>50</v>
      </c>
      <c r="AE45" s="293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93">
        <f t="shared" ref="AF45:AF46" si="64">H45-AE45</f>
        <v>50</v>
      </c>
    </row>
    <row r="46" spans="1:32" ht="11.25" customHeight="1" x14ac:dyDescent="0.3">
      <c r="A46" s="295" t="str">
        <f>'Proposed Budget'!A46</f>
        <v>S</v>
      </c>
      <c r="B46" s="266">
        <f>'Proposed Budget'!B46</f>
        <v>37</v>
      </c>
      <c r="C46" s="298" t="str">
        <f>'Proposed Budget'!C46</f>
        <v>Our Savings</v>
      </c>
      <c r="D46" s="299">
        <f t="shared" ca="1" si="49"/>
        <v>3862.1849548872178</v>
      </c>
      <c r="E46" s="300">
        <f t="shared" si="50"/>
        <v>16885.949999999997</v>
      </c>
      <c r="F46" s="300">
        <f t="shared" si="51"/>
        <v>-817.21597936001172</v>
      </c>
      <c r="G46" s="280">
        <f t="shared" si="52"/>
        <v>-5.0857521090977853E-2</v>
      </c>
      <c r="H46" s="300">
        <f>'Proposed Budget'!D46</f>
        <v>4017.1835051599969</v>
      </c>
      <c r="I46" s="281">
        <f>SUMIFS('Checking Transaction Log'!E:E,'Checking Transaction Log'!C:C,"&gt;="&amp;I1,'Checking Transaction Log'!C:C,"&lt;="&amp;J1,'Checking Transaction Log'!A:A,"S",'Checking Transaction Log'!B:B,37)</f>
        <v>3194.64</v>
      </c>
      <c r="J46" s="281">
        <f t="shared" si="53"/>
        <v>822.54350515999704</v>
      </c>
      <c r="K46" s="243">
        <f>SUMIFS('Checking Transaction Log'!E:E,'Checking Transaction Log'!C:C,"&gt;="&amp;K1,'Checking Transaction Log'!C:C,"&lt;="&amp;L1,'Checking Transaction Log'!A:A,"S",'Checking Transaction Log'!B:B,37)</f>
        <v>3764.91</v>
      </c>
      <c r="L46" s="243">
        <f t="shared" si="54"/>
        <v>252.27350515999706</v>
      </c>
      <c r="M46" s="284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84">
        <f t="shared" si="55"/>
        <v>-292.39649484000302</v>
      </c>
      <c r="O46" s="247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47">
        <f t="shared" si="56"/>
        <v>-1599.6364948400028</v>
      </c>
      <c r="Q46" s="281">
        <f>SUMIFS('Checking Transaction Log'!$E:$E,'Checking Transaction Log'!$C:$C,"&gt;="&amp;Q1,'Checking Transaction Log'!$C:$C,"&lt;="&amp;R1,'Checking Transaction Log'!$A:$A,"s",'Checking Transaction Log'!$B:$B,37)</f>
        <v>0</v>
      </c>
      <c r="R46" s="281">
        <f t="shared" si="57"/>
        <v>4017.1835051599969</v>
      </c>
      <c r="S46" s="243">
        <f>SUMIFS('Checking Transaction Log'!$E:$E,'Checking Transaction Log'!$C:$C,"&gt;="&amp;S1,'Checking Transaction Log'!$C:$C,"&lt;="&amp;T1,'Checking Transaction Log'!$A:$A,"s",'Checking Transaction Log'!$B:$B,37)</f>
        <v>0</v>
      </c>
      <c r="T46" s="243">
        <f t="shared" si="58"/>
        <v>4017.1835051599969</v>
      </c>
      <c r="U46" s="284">
        <f>SUMIFS('Checking Transaction Log'!$E:$E,'Checking Transaction Log'!$C:$C,"&gt;="&amp;U1,'Checking Transaction Log'!$C:$C,"&lt;="&amp;V1,'Checking Transaction Log'!$A:$A,"s",'Checking Transaction Log'!$B:$B,37)</f>
        <v>0</v>
      </c>
      <c r="V46" s="284">
        <f t="shared" si="59"/>
        <v>4017.1835051599969</v>
      </c>
      <c r="W46" s="247">
        <f>SUMIFS('Checking Transaction Log'!$E:$E,'Checking Transaction Log'!$C:$C,"&gt;="&amp;W1,'Checking Transaction Log'!$C:$C,"&lt;="&amp;X1,'Checking Transaction Log'!$A:$A,"s",'Checking Transaction Log'!$B:$B,37)</f>
        <v>0</v>
      </c>
      <c r="X46" s="247">
        <f t="shared" si="60"/>
        <v>4017.1835051599969</v>
      </c>
      <c r="Y46" s="287">
        <f>SUMIFS('Checking Transaction Log'!$E:$E,'Checking Transaction Log'!$C:$C,"&gt;="&amp;Y1,'Checking Transaction Log'!$C:$C,"&lt;="&amp;Z1,'Checking Transaction Log'!$A:$A,"s",'Checking Transaction Log'!$B:$B,37)</f>
        <v>0</v>
      </c>
      <c r="Z46" s="287">
        <f t="shared" si="61"/>
        <v>4017.1835051599969</v>
      </c>
      <c r="AA46" s="289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89">
        <f t="shared" si="62"/>
        <v>4017.1835051599969</v>
      </c>
      <c r="AC46" s="291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91">
        <f t="shared" si="63"/>
        <v>4017.1835051599969</v>
      </c>
      <c r="AE46" s="293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93">
        <f t="shared" si="64"/>
        <v>4017.1835051599969</v>
      </c>
    </row>
    <row r="47" spans="1:32" ht="11.25" customHeight="1" x14ac:dyDescent="0.3">
      <c r="A47" s="295"/>
      <c r="B47" s="266"/>
      <c r="C47" s="298"/>
      <c r="D47" s="302"/>
      <c r="E47" s="256" t="s">
        <v>68</v>
      </c>
      <c r="F47" s="256" t="s">
        <v>68</v>
      </c>
      <c r="G47" s="257" t="s">
        <v>153</v>
      </c>
      <c r="H47" s="297"/>
      <c r="I47" s="281"/>
      <c r="J47" s="281"/>
      <c r="K47" s="243"/>
      <c r="L47" s="243"/>
      <c r="M47" s="284"/>
      <c r="N47" s="284"/>
      <c r="O47" s="247"/>
      <c r="P47" s="247"/>
      <c r="Q47" s="281"/>
      <c r="R47" s="281"/>
      <c r="S47" s="243"/>
      <c r="T47" s="243"/>
      <c r="U47" s="284"/>
      <c r="V47" s="284"/>
      <c r="W47" s="247"/>
      <c r="X47" s="247"/>
      <c r="Y47" s="287"/>
      <c r="Z47" s="287"/>
      <c r="AA47" s="289"/>
      <c r="AB47" s="289"/>
      <c r="AC47" s="291"/>
      <c r="AD47" s="291"/>
      <c r="AE47" s="293"/>
    </row>
    <row r="48" spans="1:32" ht="11.25" customHeight="1" x14ac:dyDescent="0.3">
      <c r="A48" s="295"/>
      <c r="B48" s="266"/>
      <c r="C48" s="298"/>
      <c r="D48" s="302"/>
      <c r="E48" s="256" t="s">
        <v>263</v>
      </c>
      <c r="F48" s="256" t="s">
        <v>258</v>
      </c>
      <c r="G48" s="257" t="s">
        <v>264</v>
      </c>
      <c r="H48" s="295"/>
      <c r="I48" s="282"/>
      <c r="J48" s="282"/>
      <c r="K48" s="283"/>
      <c r="L48" s="283"/>
      <c r="M48" s="285"/>
      <c r="N48" s="285"/>
      <c r="O48" s="286"/>
      <c r="P48" s="286"/>
      <c r="Q48" s="282"/>
      <c r="R48" s="282"/>
      <c r="S48" s="283"/>
      <c r="T48" s="283"/>
      <c r="U48" s="285"/>
      <c r="V48" s="285"/>
      <c r="W48" s="286"/>
      <c r="X48" s="286"/>
      <c r="Y48" s="288"/>
      <c r="Z48" s="288"/>
      <c r="AA48" s="290"/>
      <c r="AB48" s="290"/>
      <c r="AC48" s="292"/>
      <c r="AD48" s="292"/>
      <c r="AE48" s="294"/>
    </row>
    <row r="49" spans="1:31" ht="11.25" customHeight="1" x14ac:dyDescent="0.3">
      <c r="A49" s="297" t="s">
        <v>226</v>
      </c>
      <c r="B49" s="266">
        <v>38</v>
      </c>
      <c r="C49" s="303" t="s">
        <v>265</v>
      </c>
      <c r="D49" s="299">
        <f t="shared" ref="D49:D52" ca="1" si="65">(E49/(TODAY()-$I$1))*30.42</f>
        <v>8116.9548766917296</v>
      </c>
      <c r="E49" s="279">
        <f t="shared" ref="E49:E52" si="66">Q49+S49+U49+W49+Y49+AA49+AC49+AE49+I49+K49+M49+O49</f>
        <v>35488.33</v>
      </c>
      <c r="F49" s="279">
        <f>E49-('Proposed Budget'!J68*14)</f>
        <v>-28881.238043619989</v>
      </c>
      <c r="G49" s="257">
        <f t="shared" ref="G49:G50" si="67">(E49/(E49-F49))-1</f>
        <v>-0.44867845041384524</v>
      </c>
      <c r="H49" s="297"/>
      <c r="I49" s="281">
        <f>SUMIFS('Checking Transaction Log'!F:F,'Checking Transaction Log'!C:C,"&gt;="&amp;I1,'Checking Transaction Log'!C:C,"&lt;="&amp;J1,'Checking Transaction Log'!A:A,"i",'Checking Transaction Log'!B:B,38)</f>
        <v>8731.32</v>
      </c>
      <c r="J49" s="281"/>
      <c r="K49" s="243">
        <f>SUMIFS('Checking Transaction Log'!F:F,'Checking Transaction Log'!C:C,"&gt;="&amp;K1,'Checking Transaction Log'!C:C,"&lt;="&amp;L1,'Checking Transaction Log'!A:A,"i",'Checking Transaction Log'!B:B,38)</f>
        <v>8556.31</v>
      </c>
      <c r="L49" s="243"/>
      <c r="M49" s="284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84"/>
      <c r="O49" s="247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47"/>
      <c r="Q49" s="281">
        <f>SUMIFS('Checking Transaction Log'!$F:$F,'Checking Transaction Log'!$C:$C,"&gt;="&amp;Q1,'Checking Transaction Log'!$C:$C,"&lt;="&amp;R1,'Checking Transaction Log'!$A:$A,"i",'Checking Transaction Log'!$B:$B,38)</f>
        <v>0</v>
      </c>
      <c r="R49" s="281"/>
      <c r="S49" s="243">
        <f>SUMIFS('Checking Transaction Log'!$F:$F,'Checking Transaction Log'!$C:$C,"&gt;="&amp;S1,'Checking Transaction Log'!$C:$C,"&lt;="&amp;T1,'Checking Transaction Log'!$A:$A,"i",'Checking Transaction Log'!$B:$B,38)</f>
        <v>0</v>
      </c>
      <c r="T49" s="243"/>
      <c r="U49" s="284">
        <f>SUMIFS('Checking Transaction Log'!$F:$F,'Checking Transaction Log'!$C:$C,"&gt;="&amp;U1,'Checking Transaction Log'!$C:$C,"&lt;="&amp;V1,'Checking Transaction Log'!$A:$A,"i",'Checking Transaction Log'!$B:$B,38)</f>
        <v>0</v>
      </c>
      <c r="V49" s="284"/>
      <c r="W49" s="247">
        <f>SUMIFS('Checking Transaction Log'!$F:$F,'Checking Transaction Log'!$C:$C,"&gt;="&amp;W1,'Checking Transaction Log'!$C:$C,"&lt;="&amp;X1,'Checking Transaction Log'!$A:$A,"i",'Checking Transaction Log'!$B:$B,38)</f>
        <v>0</v>
      </c>
      <c r="X49" s="247"/>
      <c r="Y49" s="287">
        <f>SUMIFS('Checking Transaction Log'!$F:$F,'Checking Transaction Log'!$C:$C,"&gt;="&amp;Y1,'Checking Transaction Log'!$C:$C,"&lt;="&amp;Z1,'Checking Transaction Log'!$A:$A,"i",'Checking Transaction Log'!$B:$B,38)</f>
        <v>0</v>
      </c>
      <c r="Z49" s="287"/>
      <c r="AA49" s="289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89"/>
      <c r="AC49" s="291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91"/>
      <c r="AE49" s="293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97" t="s">
        <v>226</v>
      </c>
      <c r="B50" s="266">
        <v>39</v>
      </c>
      <c r="C50" s="303" t="s">
        <v>266</v>
      </c>
      <c r="D50" s="299">
        <f t="shared" ca="1" si="65"/>
        <v>6454.1359218045118</v>
      </c>
      <c r="E50" s="279">
        <f t="shared" si="66"/>
        <v>28218.28</v>
      </c>
      <c r="F50" s="279">
        <f>E50-('Proposed Budget'!J44*14)</f>
        <v>-10474.689069999993</v>
      </c>
      <c r="G50" s="257">
        <f t="shared" si="67"/>
        <v>-0.270712982791527</v>
      </c>
      <c r="H50" s="297"/>
      <c r="I50" s="281">
        <f>SUMIFS('Checking Transaction Log'!F:F,'Checking Transaction Log'!C:C,"&gt;="&amp;I1,'Checking Transaction Log'!C:C,"&lt;="&amp;J1,'Checking Transaction Log'!A:A,"i",'Checking Transaction Log'!B:B,39)</f>
        <v>6108.04</v>
      </c>
      <c r="J50" s="281"/>
      <c r="K50" s="243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43"/>
      <c r="M50" s="284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84"/>
      <c r="O50" s="247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47"/>
      <c r="Q50" s="281">
        <f>SUMIFS('Checking Transaction Log'!$F:$F,'Checking Transaction Log'!$C:$C,"&gt;="&amp;Q1,'Checking Transaction Log'!$C:$C,"&lt;="&amp;R1,'Checking Transaction Log'!$A:$A,"i",'Checking Transaction Log'!$B:$B,39)</f>
        <v>2763.78</v>
      </c>
      <c r="R50" s="281"/>
      <c r="S50" s="243">
        <f>SUMIFS('Checking Transaction Log'!$F:$F,'Checking Transaction Log'!$C:$C,"&gt;="&amp;S1,'Checking Transaction Log'!$C:$C,"&lt;="&amp;T1,'Checking Transaction Log'!$A:$A,"i",'Checking Transaction Log'!$B:$B,39)</f>
        <v>0</v>
      </c>
      <c r="T50" s="243"/>
      <c r="U50" s="284">
        <f>SUMIFS('Checking Transaction Log'!$F:$F,'Checking Transaction Log'!$C:$C,"&gt;="&amp;U1,'Checking Transaction Log'!$C:$C,"&lt;="&amp;V1,'Checking Transaction Log'!$A:$A,"i",'Checking Transaction Log'!$B:$B,39)</f>
        <v>0</v>
      </c>
      <c r="V50" s="284"/>
      <c r="W50" s="247">
        <f>SUMIFS('Checking Transaction Log'!$F:$F,'Checking Transaction Log'!$C:$C,"&gt;="&amp;W1,'Checking Transaction Log'!$C:$C,"&lt;="&amp;X1,'Checking Transaction Log'!$A:$A,"i",'Checking Transaction Log'!$B:$B,39)</f>
        <v>0</v>
      </c>
      <c r="X50" s="247"/>
      <c r="Y50" s="287">
        <f>SUMIFS('Checking Transaction Log'!$F:$F,'Checking Transaction Log'!$C:$C,"&gt;="&amp;Y1,'Checking Transaction Log'!$C:$C,"&lt;="&amp;Z1,'Checking Transaction Log'!$A:$A,"i",'Checking Transaction Log'!$B:$B,39)</f>
        <v>0</v>
      </c>
      <c r="Z50" s="287"/>
      <c r="AA50" s="289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89"/>
      <c r="AC50" s="291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91"/>
      <c r="AE50" s="293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97" t="s">
        <v>226</v>
      </c>
      <c r="B51" s="266">
        <v>40</v>
      </c>
      <c r="C51" s="303" t="s">
        <v>267</v>
      </c>
      <c r="D51" s="299">
        <f t="shared" ca="1" si="65"/>
        <v>962.71523458646629</v>
      </c>
      <c r="E51" s="279">
        <f t="shared" si="66"/>
        <v>4209.1100000000006</v>
      </c>
      <c r="F51" s="279"/>
      <c r="G51" s="257"/>
      <c r="H51" s="297"/>
      <c r="I51" s="281">
        <f>SUMIFS('Checking Transaction Log'!F:F,'Checking Transaction Log'!C:C,"&gt;="&amp;I1,'Checking Transaction Log'!C:C,"&lt;="&amp;J1,'Checking Transaction Log'!A:A,"i",'Checking Transaction Log'!B:B,40)</f>
        <v>0</v>
      </c>
      <c r="J51" s="281"/>
      <c r="K51" s="243">
        <f>SUMIFS('Checking Transaction Log'!F:F,'Checking Transaction Log'!C:C,"&gt;="&amp;K1,'Checking Transaction Log'!C:C,"&lt;="&amp;L1,'Checking Transaction Log'!A:A,"i",'Checking Transaction Log'!B:B,40)</f>
        <v>2531.75</v>
      </c>
      <c r="L51" s="243"/>
      <c r="M51" s="284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84"/>
      <c r="O51" s="247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47"/>
      <c r="Q51" s="281">
        <f>SUMIFS('Checking Transaction Log'!$F:$F,'Checking Transaction Log'!$C:$C,"&gt;="&amp;Q1,'Checking Transaction Log'!$C:$C,"&lt;="&amp;R1,'Checking Transaction Log'!$A:$A,"i",'Checking Transaction Log'!$B:$B,40)</f>
        <v>0</v>
      </c>
      <c r="R51" s="281"/>
      <c r="S51" s="243">
        <f>SUMIFS('Checking Transaction Log'!$F:$F,'Checking Transaction Log'!$C:$C,"&gt;="&amp;S1,'Checking Transaction Log'!$C:$C,"&lt;="&amp;T1,'Checking Transaction Log'!$A:$A,"i",'Checking Transaction Log'!$B:$B,40)</f>
        <v>0</v>
      </c>
      <c r="T51" s="243"/>
      <c r="U51" s="284">
        <f>SUMIFS('Checking Transaction Log'!$F:$F,'Checking Transaction Log'!$C:$C,"&gt;="&amp;U1,'Checking Transaction Log'!$C:$C,"&lt;="&amp;V1,'Checking Transaction Log'!$A:$A,"i",'Checking Transaction Log'!$B:$B,40)</f>
        <v>0</v>
      </c>
      <c r="V51" s="284"/>
      <c r="W51" s="247">
        <f>SUMIFS('Checking Transaction Log'!$F:$F,'Checking Transaction Log'!$C:$C,"&gt;="&amp;W1,'Checking Transaction Log'!$C:$C,"&lt;="&amp;X1,'Checking Transaction Log'!$A:$A,"i",'Checking Transaction Log'!$B:$B,40)</f>
        <v>0</v>
      </c>
      <c r="X51" s="247"/>
      <c r="Y51" s="287">
        <f>SUMIFS('Checking Transaction Log'!$F:$F,'Checking Transaction Log'!$C:$C,"&gt;="&amp;Y1,'Checking Transaction Log'!$C:$C,"&lt;="&amp;Z1,'Checking Transaction Log'!$A:$A,"i",'Checking Transaction Log'!$B:$B,40)</f>
        <v>0</v>
      </c>
      <c r="Z51" s="287"/>
      <c r="AA51" s="289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89"/>
      <c r="AC51" s="291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91"/>
      <c r="AE51" s="293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97" t="s">
        <v>226</v>
      </c>
      <c r="B52" s="266">
        <v>41</v>
      </c>
      <c r="C52" s="303" t="s">
        <v>189</v>
      </c>
      <c r="D52" s="299">
        <f t="shared" ca="1" si="65"/>
        <v>731.90977443609017</v>
      </c>
      <c r="E52" s="279">
        <f t="shared" si="66"/>
        <v>3200</v>
      </c>
      <c r="F52" s="279"/>
      <c r="G52" s="257"/>
      <c r="H52" s="297"/>
      <c r="I52" s="281">
        <f>SUMIFS('Checking Transaction Log'!F:F,'Checking Transaction Log'!C:C,"&gt;="&amp;I1,'Checking Transaction Log'!C:C,"&lt;="&amp;J1,'Checking Transaction Log'!A:A,"i",'Checking Transaction Log'!B:B,41)</f>
        <v>800</v>
      </c>
      <c r="J52" s="281"/>
      <c r="K52" s="243">
        <f>SUMIFS('Checking Transaction Log'!F:F,'Checking Transaction Log'!C:C,"&gt;="&amp;K1,'Checking Transaction Log'!C:C,"&lt;="&amp;L1,'Checking Transaction Log'!A:A,"i",'Checking Transaction Log'!B:B,41)</f>
        <v>0</v>
      </c>
      <c r="L52" s="243"/>
      <c r="M52" s="284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84"/>
      <c r="O52" s="247">
        <f>SUMIFS('Checking Transaction Log'!$F:$F,'Checking Transaction Log'!$C:$C,"&gt;="&amp;O1,'Checking Transaction Log'!$C:$C,"&lt;="&amp;P1,'Checking Transaction Log'!$A:$A,"i",'Checking Transaction Log'!$B:$B,41)</f>
        <v>550</v>
      </c>
      <c r="P52" s="247"/>
      <c r="Q52" s="281">
        <f>SUMIFS('Checking Transaction Log'!$F:$F,'Checking Transaction Log'!$C:$C,"&gt;="&amp;Q1,'Checking Transaction Log'!$C:$C,"&lt;="&amp;R1,'Checking Transaction Log'!$A:$A,"i",'Checking Transaction Log'!$B:$B,41)</f>
        <v>250</v>
      </c>
      <c r="R52" s="281"/>
      <c r="S52" s="243">
        <f>SUMIFS('Checking Transaction Log'!$F:$F,'Checking Transaction Log'!$C:$C,"&gt;="&amp;S1,'Checking Transaction Log'!$C:$C,"&lt;="&amp;T1,'Checking Transaction Log'!$A:$A,"i",'Checking Transaction Log'!$B:$B,41)</f>
        <v>0</v>
      </c>
      <c r="T52" s="243"/>
      <c r="U52" s="284">
        <f>SUMIFS('Checking Transaction Log'!$F:$F,'Checking Transaction Log'!$C:$C,"&gt;="&amp;U1,'Checking Transaction Log'!$C:$C,"&lt;="&amp;V1,'Checking Transaction Log'!$A:$A,"i",'Checking Transaction Log'!$B:$B,41)</f>
        <v>0</v>
      </c>
      <c r="V52" s="284"/>
      <c r="W52" s="247">
        <f>SUMIFS('Checking Transaction Log'!$F:$F,'Checking Transaction Log'!$C:$C,"&gt;="&amp;W1,'Checking Transaction Log'!$C:$C,"&lt;="&amp;X1,'Checking Transaction Log'!$A:$A,"i",'Checking Transaction Log'!$B:$B,41)</f>
        <v>0</v>
      </c>
      <c r="X52" s="247"/>
      <c r="Y52" s="287">
        <f>SUMIFS('Checking Transaction Log'!$F:$F,'Checking Transaction Log'!$C:$C,"&gt;="&amp;Y1,'Checking Transaction Log'!$C:$C,"&lt;="&amp;Z1,'Checking Transaction Log'!$A:$A,"i",'Checking Transaction Log'!$B:$B,41)</f>
        <v>0</v>
      </c>
      <c r="Z52" s="287"/>
      <c r="AA52" s="289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89"/>
      <c r="AC52" s="291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91"/>
      <c r="AE52" s="293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99"/>
      <c r="B53" s="304"/>
      <c r="C53" s="305"/>
      <c r="D53" s="133"/>
      <c r="E53" s="306"/>
      <c r="F53" s="306"/>
      <c r="G53" s="307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6"/>
      <c r="AA53" s="306"/>
      <c r="AB53" s="306"/>
      <c r="AC53" s="306"/>
      <c r="AD53" s="306"/>
      <c r="AE53" s="306"/>
    </row>
    <row r="54" spans="1:31" ht="11.25" customHeight="1" x14ac:dyDescent="0.3">
      <c r="A54" s="199"/>
      <c r="B54" s="304"/>
      <c r="C54" s="305"/>
      <c r="D54" s="133"/>
      <c r="E54" s="308">
        <f>SUM(E49:E52)</f>
        <v>71115.72</v>
      </c>
      <c r="F54" s="308">
        <f>F49+F50+E52</f>
        <v>-36155.927113619982</v>
      </c>
      <c r="G54" s="257">
        <f>(E54/(E54-F54))-1</f>
        <v>-0.33705017203030685</v>
      </c>
      <c r="H54" s="306"/>
      <c r="I54" s="209">
        <f>SUM(I49:I52)</f>
        <v>15639.36</v>
      </c>
      <c r="J54" s="306"/>
      <c r="K54" s="209">
        <f>SUM(K49:K52)</f>
        <v>16615.62</v>
      </c>
      <c r="L54" s="306"/>
      <c r="M54" s="209">
        <f>SUM(M49:M52)</f>
        <v>16971.29</v>
      </c>
      <c r="N54" s="306"/>
      <c r="O54" s="209">
        <f>SUM(O49:O52)</f>
        <v>18875.669999999998</v>
      </c>
      <c r="P54" s="306"/>
      <c r="Q54" s="209">
        <f>SUM(Q49:Q52)</f>
        <v>3013.78</v>
      </c>
      <c r="R54" s="306"/>
      <c r="S54" s="209">
        <f>SUM(S49:S52)</f>
        <v>0</v>
      </c>
      <c r="T54" s="306"/>
      <c r="U54" s="209">
        <f>SUM(U49:U52)</f>
        <v>0</v>
      </c>
      <c r="V54" s="306"/>
      <c r="W54" s="209">
        <f>SUM(W49:W52)</f>
        <v>0</v>
      </c>
      <c r="X54" s="306"/>
      <c r="Y54" s="209">
        <f>SUM(Y49:Y52)</f>
        <v>0</v>
      </c>
      <c r="Z54" s="306"/>
      <c r="AA54" s="209">
        <f>SUM(AA49:AA52)</f>
        <v>0</v>
      </c>
      <c r="AB54" s="306"/>
      <c r="AC54" s="209">
        <f>SUM(AC49:AC52)</f>
        <v>0</v>
      </c>
      <c r="AD54" s="306"/>
      <c r="AE54" s="209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640"/>
  <sheetViews>
    <sheetView workbookViewId="0">
      <pane ySplit="4" topLeftCell="A5" activePane="bottomLeft" state="frozen"/>
      <selection pane="bottomLeft" activeCell="L15" sqref="L15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6" t="s">
        <v>261</v>
      </c>
      <c r="B1" s="564"/>
      <c r="C1" s="309" t="s">
        <v>268</v>
      </c>
      <c r="D1" s="310" t="s">
        <v>269</v>
      </c>
      <c r="E1" s="567" t="s">
        <v>270</v>
      </c>
      <c r="F1" s="564"/>
      <c r="G1" s="311">
        <f t="array" aca="1" ref="G1" ca="1">(SUM(INDIRECT("g5:g5")))+J2+L2+N2+P2-R2+T2-G843</f>
        <v>6342.9299999999848</v>
      </c>
      <c r="H1" s="312"/>
      <c r="I1" s="313" t="s">
        <v>271</v>
      </c>
      <c r="J1" s="314">
        <v>25000</v>
      </c>
      <c r="K1" s="315" t="s">
        <v>272</v>
      </c>
      <c r="L1" s="316">
        <v>25000</v>
      </c>
      <c r="M1" s="317" t="s">
        <v>273</v>
      </c>
      <c r="N1" s="318">
        <f>10500-N2</f>
        <v>10500</v>
      </c>
      <c r="O1" s="319" t="s">
        <v>274</v>
      </c>
      <c r="P1" s="320">
        <f>5000-P2</f>
        <v>5000</v>
      </c>
      <c r="Q1" s="568" t="s">
        <v>39</v>
      </c>
      <c r="R1" s="564"/>
      <c r="S1" s="321" t="s">
        <v>273</v>
      </c>
      <c r="T1" s="322">
        <f>1200-T2</f>
        <v>1200</v>
      </c>
    </row>
    <row r="2" spans="1:20" ht="12" customHeight="1" x14ac:dyDescent="0.3">
      <c r="A2" s="310"/>
      <c r="B2" s="323"/>
      <c r="C2" s="309"/>
      <c r="D2" s="324"/>
      <c r="E2" s="567" t="s">
        <v>39</v>
      </c>
      <c r="F2" s="564"/>
      <c r="G2" s="311">
        <f>R2</f>
        <v>100</v>
      </c>
      <c r="H2" s="312"/>
      <c r="I2" s="325" t="s">
        <v>275</v>
      </c>
      <c r="J2" s="314">
        <f>SUMIFS(E:E,I:I,"1")</f>
        <v>4081.7099999999996</v>
      </c>
      <c r="K2" s="315" t="s">
        <v>276</v>
      </c>
      <c r="L2" s="316">
        <f>(SUMIFS(E:E,I:I,"2"))</f>
        <v>1277.21</v>
      </c>
      <c r="M2" s="317" t="s">
        <v>277</v>
      </c>
      <c r="N2" s="318">
        <f>SUMIFS(E:E,I:I,"3")</f>
        <v>0</v>
      </c>
      <c r="O2" s="319" t="s">
        <v>278</v>
      </c>
      <c r="P2" s="320">
        <f>SUMIFS(E:E,I:I,"4")</f>
        <v>0</v>
      </c>
      <c r="Q2" s="326"/>
      <c r="R2" s="327">
        <f>SUMIFS(F:F,H:H,"cash")-SUMIFS(E:E,H:H,"cash")</f>
        <v>100</v>
      </c>
      <c r="S2" s="321" t="s">
        <v>279</v>
      </c>
      <c r="T2" s="322">
        <f>SUMIFS(E:E,I:I,"6")</f>
        <v>0</v>
      </c>
    </row>
    <row r="3" spans="1:20" ht="12" customHeight="1" x14ac:dyDescent="0.3">
      <c r="A3" s="310"/>
      <c r="B3" s="323"/>
      <c r="C3" s="309"/>
      <c r="D3" s="324"/>
      <c r="E3" s="567" t="s">
        <v>280</v>
      </c>
      <c r="F3" s="564"/>
      <c r="G3" s="311">
        <f>SUM(J1,L1,N1,P1,T1)</f>
        <v>66700</v>
      </c>
      <c r="H3" s="312"/>
      <c r="I3" s="328"/>
      <c r="J3" s="329"/>
      <c r="K3" s="330"/>
      <c r="L3" s="331"/>
      <c r="M3" s="332"/>
      <c r="N3" s="333"/>
      <c r="O3" s="334"/>
      <c r="P3" s="335"/>
      <c r="Q3" s="336"/>
      <c r="R3" s="337"/>
      <c r="S3" s="338"/>
      <c r="T3" s="339"/>
    </row>
    <row r="4" spans="1:20" ht="12" customHeight="1" x14ac:dyDescent="0.3">
      <c r="A4" s="340"/>
      <c r="B4" s="341"/>
      <c r="C4" s="309"/>
      <c r="D4" s="310"/>
      <c r="E4" s="342" t="s">
        <v>281</v>
      </c>
      <c r="F4" s="343" t="s">
        <v>282</v>
      </c>
      <c r="G4" s="344" t="s">
        <v>283</v>
      </c>
      <c r="H4" s="345"/>
      <c r="I4" s="346"/>
      <c r="J4" s="347"/>
      <c r="K4" s="312"/>
      <c r="L4" s="347"/>
      <c r="M4" s="312"/>
      <c r="N4" s="347"/>
      <c r="O4" s="312"/>
      <c r="P4" s="347"/>
      <c r="Q4" s="312"/>
      <c r="R4" s="347"/>
      <c r="S4" s="312"/>
      <c r="T4" s="347"/>
    </row>
    <row r="5" spans="1:20" ht="12" customHeight="1" x14ac:dyDescent="0.3">
      <c r="A5" s="340" t="s">
        <v>291</v>
      </c>
      <c r="B5" s="341">
        <v>39</v>
      </c>
      <c r="C5" s="309">
        <v>46156</v>
      </c>
      <c r="D5" s="310" t="s">
        <v>292</v>
      </c>
      <c r="E5" s="533"/>
      <c r="F5" s="533">
        <v>2763.78</v>
      </c>
      <c r="G5" s="344">
        <f t="shared" ref="G5:G46" si="0">G6-E5+F5</f>
        <v>1084.0099999999848</v>
      </c>
      <c r="H5" s="345"/>
      <c r="I5" s="346"/>
      <c r="J5" s="347"/>
      <c r="K5" s="312"/>
      <c r="L5" s="347"/>
      <c r="M5" s="312"/>
      <c r="N5" s="347"/>
      <c r="O5" s="312"/>
      <c r="P5" s="347"/>
      <c r="Q5" s="312"/>
      <c r="R5" s="347"/>
      <c r="S5" s="312"/>
      <c r="T5" s="347"/>
    </row>
    <row r="6" spans="1:20" ht="12" customHeight="1" x14ac:dyDescent="0.3">
      <c r="A6" s="340" t="s">
        <v>291</v>
      </c>
      <c r="B6" s="341">
        <v>41</v>
      </c>
      <c r="C6" s="309">
        <v>46156</v>
      </c>
      <c r="D6" s="310" t="s">
        <v>299</v>
      </c>
      <c r="E6" s="533"/>
      <c r="F6" s="533">
        <v>250</v>
      </c>
      <c r="G6" s="344">
        <f t="shared" si="0"/>
        <v>-1679.7700000000154</v>
      </c>
      <c r="H6" s="345"/>
      <c r="I6" s="346"/>
      <c r="J6" s="347"/>
      <c r="K6" s="312"/>
      <c r="L6" s="347"/>
      <c r="M6" s="312"/>
      <c r="N6" s="347"/>
      <c r="O6" s="312"/>
      <c r="P6" s="347"/>
      <c r="Q6" s="312"/>
      <c r="R6" s="347"/>
      <c r="S6" s="312"/>
      <c r="T6" s="347"/>
    </row>
    <row r="7" spans="1:20" ht="12" customHeight="1" x14ac:dyDescent="0.3">
      <c r="A7" s="340" t="s">
        <v>339</v>
      </c>
      <c r="B7" s="341" t="s">
        <v>339</v>
      </c>
      <c r="C7" s="309">
        <v>46156</v>
      </c>
      <c r="D7" s="310" t="s">
        <v>469</v>
      </c>
      <c r="E7" s="533"/>
      <c r="F7" s="533">
        <v>100</v>
      </c>
      <c r="G7" s="344">
        <f t="shared" si="0"/>
        <v>-1929.7700000000154</v>
      </c>
      <c r="H7" s="345"/>
      <c r="I7" s="346"/>
      <c r="J7" s="347"/>
      <c r="K7" s="312"/>
      <c r="L7" s="347"/>
      <c r="M7" s="312"/>
      <c r="N7" s="347"/>
      <c r="O7" s="312"/>
      <c r="P7" s="347"/>
      <c r="Q7" s="312"/>
      <c r="R7" s="347"/>
      <c r="S7" s="312"/>
      <c r="T7" s="347"/>
    </row>
    <row r="8" spans="1:20" ht="12" customHeight="1" x14ac:dyDescent="0.3">
      <c r="A8" s="340" t="s">
        <v>287</v>
      </c>
      <c r="B8" s="341" t="s">
        <v>287</v>
      </c>
      <c r="C8" s="309">
        <v>46155</v>
      </c>
      <c r="D8" s="310" t="s">
        <v>871</v>
      </c>
      <c r="E8" s="533">
        <v>100</v>
      </c>
      <c r="F8" s="533">
        <v>100</v>
      </c>
      <c r="G8" s="344">
        <f t="shared" si="0"/>
        <v>-2029.7700000000154</v>
      </c>
      <c r="H8" s="345"/>
      <c r="I8" s="346"/>
      <c r="J8" s="347"/>
      <c r="K8" s="312"/>
      <c r="L8" s="347"/>
      <c r="M8" s="312"/>
      <c r="N8" s="347"/>
      <c r="O8" s="312"/>
      <c r="P8" s="347"/>
      <c r="Q8" s="312"/>
      <c r="R8" s="347"/>
      <c r="S8" s="312"/>
      <c r="T8" s="347"/>
    </row>
    <row r="9" spans="1:20" ht="12" customHeight="1" x14ac:dyDescent="0.3">
      <c r="A9" s="340" t="s">
        <v>294</v>
      </c>
      <c r="B9" s="341">
        <v>19</v>
      </c>
      <c r="C9" s="309">
        <v>46154</v>
      </c>
      <c r="D9" s="310" t="s">
        <v>191</v>
      </c>
      <c r="E9" s="533">
        <v>200</v>
      </c>
      <c r="F9" s="533"/>
      <c r="G9" s="344">
        <f t="shared" si="0"/>
        <v>-2029.7700000000154</v>
      </c>
      <c r="H9" s="345"/>
      <c r="I9" s="346"/>
      <c r="J9" s="347"/>
      <c r="K9" s="312"/>
      <c r="L9" s="347"/>
      <c r="M9" s="312"/>
      <c r="N9" s="347"/>
      <c r="O9" s="312"/>
      <c r="P9" s="347"/>
      <c r="Q9" s="312"/>
      <c r="R9" s="347"/>
      <c r="S9" s="312"/>
      <c r="T9" s="347"/>
    </row>
    <row r="10" spans="1:20" ht="12" customHeight="1" x14ac:dyDescent="0.3">
      <c r="A10" s="340" t="s">
        <v>289</v>
      </c>
      <c r="B10" s="341">
        <v>6</v>
      </c>
      <c r="C10" s="309">
        <v>46154</v>
      </c>
      <c r="D10" s="310" t="s">
        <v>454</v>
      </c>
      <c r="E10" s="533">
        <v>-0.06</v>
      </c>
      <c r="F10" s="533"/>
      <c r="G10" s="344">
        <f t="shared" si="0"/>
        <v>-1829.7700000000154</v>
      </c>
      <c r="H10" s="345"/>
      <c r="I10" s="346"/>
      <c r="J10" s="347"/>
      <c r="K10" s="312"/>
      <c r="L10" s="347"/>
      <c r="M10" s="312"/>
      <c r="N10" s="347"/>
      <c r="O10" s="312"/>
      <c r="P10" s="347"/>
      <c r="Q10" s="312"/>
      <c r="R10" s="347"/>
      <c r="S10" s="312"/>
      <c r="T10" s="347"/>
    </row>
    <row r="11" spans="1:20" ht="12" customHeight="1" x14ac:dyDescent="0.3">
      <c r="A11" s="340" t="s">
        <v>289</v>
      </c>
      <c r="B11" s="341">
        <v>2</v>
      </c>
      <c r="C11" s="309">
        <v>46154</v>
      </c>
      <c r="D11" s="310" t="s">
        <v>301</v>
      </c>
      <c r="E11" s="533">
        <v>21.55</v>
      </c>
      <c r="F11" s="533"/>
      <c r="G11" s="344">
        <f t="shared" si="0"/>
        <v>-1829.8300000000154</v>
      </c>
      <c r="H11" s="345"/>
      <c r="I11" s="346">
        <v>1</v>
      </c>
      <c r="J11" s="347"/>
      <c r="K11" s="312"/>
      <c r="L11" s="347"/>
      <c r="M11" s="312"/>
      <c r="N11" s="347"/>
      <c r="O11" s="312"/>
      <c r="P11" s="347"/>
      <c r="Q11" s="312"/>
      <c r="R11" s="347"/>
      <c r="S11" s="312"/>
      <c r="T11" s="347"/>
    </row>
    <row r="12" spans="1:20" ht="12" customHeight="1" x14ac:dyDescent="0.3">
      <c r="A12" s="340" t="s">
        <v>289</v>
      </c>
      <c r="B12" s="341">
        <v>3</v>
      </c>
      <c r="C12" s="309">
        <v>46153</v>
      </c>
      <c r="D12" s="310" t="s">
        <v>296</v>
      </c>
      <c r="E12" s="533">
        <v>4.79</v>
      </c>
      <c r="F12" s="533"/>
      <c r="G12" s="344">
        <f t="shared" si="0"/>
        <v>-1808.2800000000154</v>
      </c>
      <c r="H12" s="345"/>
      <c r="I12" s="346">
        <v>1</v>
      </c>
      <c r="J12" s="347"/>
      <c r="K12" s="312"/>
      <c r="L12" s="347"/>
      <c r="M12" s="312"/>
      <c r="N12" s="347"/>
      <c r="O12" s="312"/>
      <c r="P12" s="347"/>
      <c r="Q12" s="312"/>
      <c r="R12" s="347"/>
      <c r="S12" s="312"/>
      <c r="T12" s="347"/>
    </row>
    <row r="13" spans="1:20" ht="12" customHeight="1" x14ac:dyDescent="0.3">
      <c r="A13" s="340" t="s">
        <v>289</v>
      </c>
      <c r="B13" s="341">
        <v>4</v>
      </c>
      <c r="C13" s="309">
        <v>46153</v>
      </c>
      <c r="D13" s="310" t="s">
        <v>296</v>
      </c>
      <c r="E13" s="533">
        <v>66.59</v>
      </c>
      <c r="F13" s="533"/>
      <c r="G13" s="344">
        <f t="shared" si="0"/>
        <v>-1803.4900000000155</v>
      </c>
      <c r="H13" s="345"/>
      <c r="I13" s="346">
        <v>1</v>
      </c>
      <c r="J13" s="347"/>
      <c r="K13" s="312"/>
      <c r="L13" s="347"/>
      <c r="M13" s="312"/>
      <c r="N13" s="347"/>
      <c r="O13" s="312"/>
      <c r="P13" s="347"/>
      <c r="Q13" s="312"/>
      <c r="R13" s="347"/>
      <c r="S13" s="312"/>
      <c r="T13" s="347"/>
    </row>
    <row r="14" spans="1:20" ht="12" customHeight="1" x14ac:dyDescent="0.3">
      <c r="A14" s="340" t="s">
        <v>287</v>
      </c>
      <c r="B14" s="341" t="s">
        <v>287</v>
      </c>
      <c r="C14" s="309">
        <v>46153</v>
      </c>
      <c r="D14" s="310" t="s">
        <v>859</v>
      </c>
      <c r="E14" s="533">
        <v>-51.06</v>
      </c>
      <c r="F14" s="533">
        <v>-51.06</v>
      </c>
      <c r="G14" s="344">
        <f t="shared" si="0"/>
        <v>-1736.9000000000156</v>
      </c>
      <c r="H14" s="345"/>
      <c r="I14" s="346">
        <v>1</v>
      </c>
      <c r="J14" s="347"/>
      <c r="K14" s="312"/>
      <c r="L14" s="347"/>
      <c r="M14" s="312"/>
      <c r="N14" s="347"/>
      <c r="O14" s="312"/>
      <c r="P14" s="347"/>
      <c r="Q14" s="312"/>
      <c r="R14" s="347"/>
      <c r="S14" s="312"/>
      <c r="T14" s="347"/>
    </row>
    <row r="15" spans="1:20" ht="12" customHeight="1" x14ac:dyDescent="0.3">
      <c r="A15" s="340" t="s">
        <v>294</v>
      </c>
      <c r="B15" s="341">
        <v>22</v>
      </c>
      <c r="C15" s="309">
        <v>46153</v>
      </c>
      <c r="D15" s="310" t="s">
        <v>356</v>
      </c>
      <c r="E15" s="533">
        <v>21.29</v>
      </c>
      <c r="F15" s="533"/>
      <c r="G15" s="344">
        <f t="shared" si="0"/>
        <v>-1736.9000000000156</v>
      </c>
      <c r="H15" s="345"/>
      <c r="I15" s="346">
        <v>1</v>
      </c>
      <c r="J15" s="347"/>
      <c r="K15" s="312"/>
      <c r="L15" s="347"/>
      <c r="M15" s="312"/>
      <c r="N15" s="347"/>
      <c r="O15" s="312"/>
      <c r="P15" s="347"/>
      <c r="Q15" s="312"/>
      <c r="R15" s="347"/>
      <c r="S15" s="312"/>
      <c r="T15" s="347"/>
    </row>
    <row r="16" spans="1:20" ht="12" customHeight="1" x14ac:dyDescent="0.3">
      <c r="A16" s="340" t="s">
        <v>289</v>
      </c>
      <c r="B16" s="341">
        <v>8</v>
      </c>
      <c r="C16" s="309">
        <v>46152</v>
      </c>
      <c r="D16" s="310" t="s">
        <v>321</v>
      </c>
      <c r="E16" s="533">
        <v>59.25</v>
      </c>
      <c r="F16" s="533"/>
      <c r="G16" s="344">
        <f t="shared" si="0"/>
        <v>-1715.6100000000156</v>
      </c>
      <c r="H16" s="345"/>
      <c r="I16" s="346">
        <v>1</v>
      </c>
      <c r="J16" s="347"/>
      <c r="K16" s="312"/>
      <c r="L16" s="347"/>
      <c r="M16" s="312"/>
      <c r="N16" s="347"/>
      <c r="O16" s="312"/>
      <c r="P16" s="347"/>
      <c r="Q16" s="312"/>
      <c r="R16" s="347"/>
      <c r="S16" s="312"/>
      <c r="T16" s="347"/>
    </row>
    <row r="17" spans="1:20" ht="12" customHeight="1" x14ac:dyDescent="0.3">
      <c r="A17" s="340" t="s">
        <v>289</v>
      </c>
      <c r="B17" s="341">
        <v>1</v>
      </c>
      <c r="C17" s="309">
        <v>46152</v>
      </c>
      <c r="D17" s="310" t="s">
        <v>304</v>
      </c>
      <c r="E17" s="533">
        <v>145.94999999999999</v>
      </c>
      <c r="F17" s="533"/>
      <c r="G17" s="344">
        <f t="shared" si="0"/>
        <v>-1656.3600000000156</v>
      </c>
      <c r="H17" s="345"/>
      <c r="I17" s="346">
        <v>2</v>
      </c>
      <c r="J17" s="347"/>
      <c r="K17" s="312"/>
      <c r="L17" s="347"/>
      <c r="M17" s="312"/>
      <c r="N17" s="347"/>
      <c r="O17" s="312"/>
      <c r="P17" s="347"/>
      <c r="Q17" s="312"/>
      <c r="R17" s="347"/>
      <c r="S17" s="312"/>
      <c r="T17" s="347"/>
    </row>
    <row r="18" spans="1:20" ht="12" customHeight="1" x14ac:dyDescent="0.3">
      <c r="A18" s="340" t="s">
        <v>289</v>
      </c>
      <c r="B18" s="341">
        <v>1</v>
      </c>
      <c r="C18" s="309">
        <v>46152</v>
      </c>
      <c r="D18" s="310" t="s">
        <v>312</v>
      </c>
      <c r="E18" s="533">
        <v>131.9</v>
      </c>
      <c r="F18" s="533"/>
      <c r="G18" s="344">
        <f t="shared" si="0"/>
        <v>-1510.4100000000155</v>
      </c>
      <c r="H18" s="345"/>
      <c r="I18" s="346">
        <v>2</v>
      </c>
      <c r="J18" s="347"/>
      <c r="K18" s="312"/>
      <c r="L18" s="347"/>
      <c r="M18" s="312"/>
      <c r="N18" s="347"/>
      <c r="O18" s="312"/>
      <c r="P18" s="347"/>
      <c r="Q18" s="312"/>
      <c r="R18" s="347"/>
      <c r="S18" s="312"/>
      <c r="T18" s="347"/>
    </row>
    <row r="19" spans="1:20" ht="12" customHeight="1" x14ac:dyDescent="0.3">
      <c r="A19" s="340" t="s">
        <v>289</v>
      </c>
      <c r="B19" s="341">
        <v>2</v>
      </c>
      <c r="C19" s="309">
        <v>46152</v>
      </c>
      <c r="D19" s="310" t="s">
        <v>866</v>
      </c>
      <c r="E19" s="533">
        <v>96.46</v>
      </c>
      <c r="F19" s="533"/>
      <c r="G19" s="344">
        <f t="shared" si="0"/>
        <v>-1378.5100000000155</v>
      </c>
      <c r="H19" s="345"/>
      <c r="I19" s="346">
        <v>2</v>
      </c>
      <c r="J19" s="347"/>
      <c r="K19" s="312"/>
      <c r="L19" s="347"/>
      <c r="M19" s="312"/>
      <c r="N19" s="347"/>
      <c r="O19" s="312"/>
      <c r="P19" s="347"/>
      <c r="Q19" s="312"/>
      <c r="R19" s="347"/>
      <c r="S19" s="312"/>
      <c r="T19" s="347"/>
    </row>
    <row r="20" spans="1:20" ht="12" customHeight="1" x14ac:dyDescent="0.3">
      <c r="A20" s="340" t="s">
        <v>289</v>
      </c>
      <c r="B20" s="341">
        <v>7</v>
      </c>
      <c r="C20" s="309">
        <v>46152</v>
      </c>
      <c r="D20" s="310" t="s">
        <v>867</v>
      </c>
      <c r="E20" s="533">
        <v>162</v>
      </c>
      <c r="F20" s="533"/>
      <c r="G20" s="344">
        <f t="shared" si="0"/>
        <v>-1282.0500000000154</v>
      </c>
      <c r="H20" s="345"/>
      <c r="I20" s="346">
        <v>2</v>
      </c>
      <c r="J20" s="347"/>
      <c r="K20" s="312"/>
      <c r="L20" s="347"/>
      <c r="M20" s="312"/>
      <c r="N20" s="347"/>
      <c r="O20" s="312"/>
      <c r="P20" s="347"/>
      <c r="Q20" s="312"/>
      <c r="R20" s="347"/>
      <c r="S20" s="312"/>
      <c r="T20" s="347"/>
    </row>
    <row r="21" spans="1:20" ht="12" customHeight="1" x14ac:dyDescent="0.3">
      <c r="A21" s="340" t="s">
        <v>289</v>
      </c>
      <c r="B21" s="341">
        <v>3</v>
      </c>
      <c r="C21" s="309">
        <v>46152</v>
      </c>
      <c r="D21" s="310" t="s">
        <v>352</v>
      </c>
      <c r="E21" s="533">
        <v>25</v>
      </c>
      <c r="F21" s="533"/>
      <c r="G21" s="344">
        <f t="shared" si="0"/>
        <v>-1120.0500000000154</v>
      </c>
      <c r="H21" s="345"/>
      <c r="I21" s="346">
        <v>2</v>
      </c>
      <c r="J21" s="347"/>
      <c r="K21" s="312"/>
      <c r="L21" s="347"/>
      <c r="M21" s="312"/>
      <c r="N21" s="347"/>
      <c r="O21" s="312"/>
      <c r="P21" s="347"/>
      <c r="Q21" s="312"/>
      <c r="R21" s="347"/>
      <c r="S21" s="312"/>
      <c r="T21" s="347"/>
    </row>
    <row r="22" spans="1:20" ht="12" customHeight="1" x14ac:dyDescent="0.3">
      <c r="A22" s="340" t="s">
        <v>289</v>
      </c>
      <c r="B22" s="341">
        <v>2</v>
      </c>
      <c r="C22" s="309">
        <v>46151</v>
      </c>
      <c r="D22" s="310" t="s">
        <v>868</v>
      </c>
      <c r="E22" s="533">
        <v>35.83</v>
      </c>
      <c r="F22" s="533"/>
      <c r="G22" s="344">
        <f t="shared" si="0"/>
        <v>-1095.0500000000154</v>
      </c>
      <c r="H22" s="345"/>
      <c r="I22" s="346">
        <v>2</v>
      </c>
      <c r="J22" s="347"/>
      <c r="K22" s="312"/>
      <c r="L22" s="347"/>
      <c r="M22" s="312"/>
      <c r="N22" s="347"/>
      <c r="O22" s="312"/>
      <c r="P22" s="347"/>
      <c r="Q22" s="312"/>
      <c r="R22" s="347"/>
      <c r="S22" s="312"/>
      <c r="T22" s="347"/>
    </row>
    <row r="23" spans="1:20" ht="12" customHeight="1" x14ac:dyDescent="0.3">
      <c r="A23" s="340" t="s">
        <v>289</v>
      </c>
      <c r="B23" s="341">
        <v>4</v>
      </c>
      <c r="C23" s="309">
        <v>46151</v>
      </c>
      <c r="D23" s="310" t="s">
        <v>311</v>
      </c>
      <c r="E23" s="533">
        <v>50.58</v>
      </c>
      <c r="F23" s="533"/>
      <c r="G23" s="344">
        <f t="shared" si="0"/>
        <v>-1059.2200000000155</v>
      </c>
      <c r="H23" s="345"/>
      <c r="I23" s="346">
        <v>2</v>
      </c>
      <c r="J23" s="347"/>
      <c r="K23" s="312"/>
      <c r="L23" s="347"/>
      <c r="M23" s="312"/>
      <c r="N23" s="347"/>
      <c r="O23" s="312"/>
      <c r="P23" s="347"/>
      <c r="Q23" s="312"/>
      <c r="R23" s="347"/>
      <c r="S23" s="312"/>
      <c r="T23" s="347"/>
    </row>
    <row r="24" spans="1:20" ht="12" customHeight="1" x14ac:dyDescent="0.3">
      <c r="A24" s="340" t="s">
        <v>289</v>
      </c>
      <c r="B24" s="341">
        <v>2</v>
      </c>
      <c r="C24" s="309">
        <v>46151</v>
      </c>
      <c r="D24" s="310" t="s">
        <v>869</v>
      </c>
      <c r="E24" s="533">
        <v>20.65</v>
      </c>
      <c r="F24" s="533"/>
      <c r="G24" s="344">
        <f t="shared" si="0"/>
        <v>-1008.6400000000156</v>
      </c>
      <c r="H24" s="345"/>
      <c r="I24" s="346">
        <v>2</v>
      </c>
      <c r="J24" s="347"/>
      <c r="K24" s="312"/>
      <c r="L24" s="347"/>
      <c r="M24" s="312"/>
      <c r="N24" s="347"/>
      <c r="O24" s="312"/>
      <c r="P24" s="347"/>
      <c r="Q24" s="312"/>
      <c r="R24" s="347"/>
      <c r="S24" s="312"/>
      <c r="T24" s="347"/>
    </row>
    <row r="25" spans="1:20" ht="12" customHeight="1" x14ac:dyDescent="0.3">
      <c r="A25" s="340" t="s">
        <v>289</v>
      </c>
      <c r="B25" s="341">
        <v>8</v>
      </c>
      <c r="C25" s="309">
        <v>46151</v>
      </c>
      <c r="D25" s="310" t="s">
        <v>321</v>
      </c>
      <c r="E25" s="533">
        <v>38.770000000000003</v>
      </c>
      <c r="F25" s="533"/>
      <c r="G25" s="344">
        <f t="shared" si="0"/>
        <v>-987.99000000001558</v>
      </c>
      <c r="H25" s="345"/>
      <c r="I25" s="346">
        <v>1</v>
      </c>
      <c r="J25" s="347"/>
      <c r="K25" s="312"/>
      <c r="L25" s="347"/>
      <c r="M25" s="312"/>
      <c r="N25" s="347"/>
      <c r="O25" s="312"/>
      <c r="P25" s="347"/>
      <c r="Q25" s="312"/>
      <c r="R25" s="347"/>
      <c r="S25" s="312"/>
      <c r="T25" s="347"/>
    </row>
    <row r="26" spans="1:20" ht="12" customHeight="1" x14ac:dyDescent="0.3">
      <c r="A26" s="340" t="s">
        <v>287</v>
      </c>
      <c r="B26" s="341" t="s">
        <v>287</v>
      </c>
      <c r="C26" s="309">
        <v>46151</v>
      </c>
      <c r="D26" s="310" t="s">
        <v>859</v>
      </c>
      <c r="E26" s="533">
        <v>383.63</v>
      </c>
      <c r="F26" s="533">
        <v>383.63</v>
      </c>
      <c r="G26" s="344">
        <f t="shared" si="0"/>
        <v>-949.2200000000156</v>
      </c>
      <c r="H26" s="345"/>
      <c r="I26" s="346">
        <v>1</v>
      </c>
      <c r="J26" s="347"/>
      <c r="K26" s="312"/>
      <c r="L26" s="347"/>
      <c r="M26" s="312"/>
      <c r="N26" s="347"/>
      <c r="O26" s="312"/>
      <c r="P26" s="347"/>
      <c r="Q26" s="312"/>
      <c r="R26" s="347"/>
      <c r="S26" s="312"/>
      <c r="T26" s="347"/>
    </row>
    <row r="27" spans="1:20" ht="12" customHeight="1" x14ac:dyDescent="0.3">
      <c r="A27" s="340" t="s">
        <v>289</v>
      </c>
      <c r="B27" s="341">
        <v>5</v>
      </c>
      <c r="C27" s="309">
        <v>46151</v>
      </c>
      <c r="D27" s="310" t="s">
        <v>870</v>
      </c>
      <c r="E27" s="533">
        <v>10.68</v>
      </c>
      <c r="F27" s="533"/>
      <c r="G27" s="344">
        <f t="shared" si="0"/>
        <v>-949.2200000000156</v>
      </c>
      <c r="H27" s="345"/>
      <c r="I27" s="346">
        <v>1</v>
      </c>
      <c r="J27" s="347"/>
      <c r="K27" s="312"/>
      <c r="L27" s="347"/>
      <c r="M27" s="312"/>
      <c r="N27" s="347"/>
      <c r="O27" s="312"/>
      <c r="P27" s="347"/>
      <c r="Q27" s="312"/>
      <c r="R27" s="347"/>
      <c r="S27" s="312"/>
      <c r="T27" s="347"/>
    </row>
    <row r="28" spans="1:20" ht="12" customHeight="1" x14ac:dyDescent="0.3">
      <c r="A28" s="340" t="s">
        <v>289</v>
      </c>
      <c r="B28" s="341">
        <v>3</v>
      </c>
      <c r="C28" s="309">
        <v>46151</v>
      </c>
      <c r="D28" s="310" t="s">
        <v>352</v>
      </c>
      <c r="E28" s="533">
        <v>9.35</v>
      </c>
      <c r="F28" s="533"/>
      <c r="G28" s="344">
        <f t="shared" si="0"/>
        <v>-938.54000000001565</v>
      </c>
      <c r="H28" s="345"/>
      <c r="I28" s="346">
        <v>1</v>
      </c>
      <c r="J28" s="347"/>
      <c r="K28" s="312"/>
      <c r="L28" s="347"/>
      <c r="M28" s="312"/>
      <c r="N28" s="347"/>
      <c r="O28" s="312"/>
      <c r="P28" s="347"/>
      <c r="Q28" s="312"/>
      <c r="R28" s="347"/>
      <c r="S28" s="312"/>
      <c r="T28" s="347"/>
    </row>
    <row r="29" spans="1:20" ht="12" customHeight="1" x14ac:dyDescent="0.3">
      <c r="A29" s="340" t="s">
        <v>287</v>
      </c>
      <c r="B29" s="341" t="s">
        <v>287</v>
      </c>
      <c r="C29" s="309">
        <v>46151</v>
      </c>
      <c r="D29" s="310" t="s">
        <v>335</v>
      </c>
      <c r="E29" s="533">
        <v>-150.9</v>
      </c>
      <c r="F29" s="533">
        <v>-150.9</v>
      </c>
      <c r="G29" s="344">
        <f t="shared" si="0"/>
        <v>-929.19000000001563</v>
      </c>
      <c r="H29" s="345"/>
      <c r="I29" s="346">
        <v>1</v>
      </c>
      <c r="J29" s="347"/>
      <c r="K29" s="312"/>
      <c r="L29" s="347"/>
      <c r="M29" s="312"/>
      <c r="N29" s="347"/>
      <c r="O29" s="312"/>
      <c r="P29" s="347"/>
      <c r="Q29" s="312"/>
      <c r="R29" s="347"/>
      <c r="S29" s="312"/>
      <c r="T29" s="347"/>
    </row>
    <row r="30" spans="1:20" ht="12" customHeight="1" x14ac:dyDescent="0.3">
      <c r="A30" s="340" t="s">
        <v>287</v>
      </c>
      <c r="B30" s="341" t="s">
        <v>287</v>
      </c>
      <c r="C30" s="309">
        <v>46151</v>
      </c>
      <c r="D30" s="310" t="s">
        <v>863</v>
      </c>
      <c r="E30" s="533">
        <v>557.9</v>
      </c>
      <c r="F30" s="533">
        <v>557.9</v>
      </c>
      <c r="G30" s="344">
        <f t="shared" si="0"/>
        <v>-929.19000000001563</v>
      </c>
      <c r="H30" s="345"/>
      <c r="I30" s="346">
        <v>1</v>
      </c>
      <c r="J30" s="347"/>
      <c r="K30" s="312"/>
      <c r="L30" s="347"/>
      <c r="M30" s="312"/>
      <c r="N30" s="347"/>
      <c r="O30" s="312"/>
      <c r="P30" s="347"/>
      <c r="Q30" s="312"/>
      <c r="R30" s="347"/>
      <c r="S30" s="312"/>
      <c r="T30" s="347"/>
    </row>
    <row r="31" spans="1:20" ht="12" customHeight="1" x14ac:dyDescent="0.3">
      <c r="A31" s="340" t="s">
        <v>294</v>
      </c>
      <c r="B31" s="341">
        <v>18</v>
      </c>
      <c r="C31" s="309">
        <v>46150</v>
      </c>
      <c r="D31" s="310" t="s">
        <v>365</v>
      </c>
      <c r="E31" s="533">
        <v>400</v>
      </c>
      <c r="F31" s="533"/>
      <c r="G31" s="344">
        <f t="shared" si="0"/>
        <v>-929.19000000001574</v>
      </c>
      <c r="H31" s="345"/>
      <c r="I31" s="346"/>
      <c r="J31" s="347"/>
      <c r="K31" s="312"/>
      <c r="L31" s="347"/>
      <c r="M31" s="312"/>
      <c r="N31" s="347"/>
      <c r="O31" s="312"/>
      <c r="P31" s="347"/>
      <c r="Q31" s="312"/>
      <c r="R31" s="347"/>
      <c r="S31" s="312"/>
      <c r="T31" s="347"/>
    </row>
    <row r="32" spans="1:20" ht="12" customHeight="1" x14ac:dyDescent="0.3">
      <c r="A32" s="340" t="s">
        <v>287</v>
      </c>
      <c r="B32" s="341" t="s">
        <v>287</v>
      </c>
      <c r="C32" s="309">
        <v>46150</v>
      </c>
      <c r="D32" s="310" t="s">
        <v>858</v>
      </c>
      <c r="E32" s="533">
        <v>200</v>
      </c>
      <c r="F32" s="533">
        <v>200</v>
      </c>
      <c r="G32" s="344">
        <f t="shared" si="0"/>
        <v>-529.19000000001574</v>
      </c>
      <c r="H32" s="345"/>
      <c r="I32" s="346"/>
      <c r="J32" s="347"/>
      <c r="K32" s="312"/>
      <c r="L32" s="347"/>
      <c r="M32" s="312"/>
      <c r="N32" s="347"/>
      <c r="O32" s="312"/>
      <c r="P32" s="347"/>
      <c r="Q32" s="312"/>
      <c r="R32" s="347"/>
      <c r="S32" s="312"/>
      <c r="T32" s="347"/>
    </row>
    <row r="33" spans="1:20" ht="12" customHeight="1" x14ac:dyDescent="0.3">
      <c r="A33" s="340" t="s">
        <v>289</v>
      </c>
      <c r="B33" s="341">
        <v>2</v>
      </c>
      <c r="C33" s="309">
        <v>46150</v>
      </c>
      <c r="D33" s="310" t="s">
        <v>486</v>
      </c>
      <c r="E33" s="533">
        <v>52.78</v>
      </c>
      <c r="F33" s="533"/>
      <c r="G33" s="344">
        <f t="shared" si="0"/>
        <v>-529.19000000001574</v>
      </c>
      <c r="H33" s="345"/>
      <c r="I33" s="346">
        <v>1</v>
      </c>
      <c r="J33" s="347"/>
      <c r="K33" s="312"/>
      <c r="L33" s="347"/>
      <c r="M33" s="312"/>
      <c r="N33" s="347"/>
      <c r="O33" s="312"/>
      <c r="P33" s="347"/>
      <c r="Q33" s="312"/>
      <c r="R33" s="347"/>
      <c r="S33" s="312"/>
      <c r="T33" s="347"/>
    </row>
    <row r="34" spans="1:20" ht="12" customHeight="1" x14ac:dyDescent="0.3">
      <c r="A34" s="340" t="s">
        <v>287</v>
      </c>
      <c r="B34" s="341" t="s">
        <v>287</v>
      </c>
      <c r="C34" s="309">
        <v>46150</v>
      </c>
      <c r="D34" s="310" t="s">
        <v>864</v>
      </c>
      <c r="E34" s="533">
        <v>137.07</v>
      </c>
      <c r="F34" s="533">
        <v>137.07</v>
      </c>
      <c r="G34" s="344">
        <f t="shared" si="0"/>
        <v>-476.41000000001571</v>
      </c>
      <c r="H34" s="345"/>
      <c r="I34" s="346">
        <v>1</v>
      </c>
      <c r="J34" s="347"/>
      <c r="K34" s="312"/>
      <c r="L34" s="347"/>
      <c r="M34" s="312"/>
      <c r="N34" s="347"/>
      <c r="O34" s="312"/>
      <c r="P34" s="347"/>
      <c r="Q34" s="312"/>
      <c r="R34" s="347"/>
      <c r="S34" s="312"/>
      <c r="T34" s="347"/>
    </row>
    <row r="35" spans="1:20" ht="12" customHeight="1" x14ac:dyDescent="0.3">
      <c r="A35" s="340" t="s">
        <v>289</v>
      </c>
      <c r="B35" s="341">
        <v>2</v>
      </c>
      <c r="C35" s="309">
        <v>46150</v>
      </c>
      <c r="D35" s="310" t="s">
        <v>362</v>
      </c>
      <c r="E35" s="533">
        <v>17.440000000000001</v>
      </c>
      <c r="F35" s="533"/>
      <c r="G35" s="344">
        <f t="shared" si="0"/>
        <v>-476.41000000001566</v>
      </c>
      <c r="H35" s="345"/>
      <c r="I35" s="346">
        <v>1</v>
      </c>
      <c r="J35" s="347"/>
      <c r="K35" s="312"/>
      <c r="L35" s="347"/>
      <c r="M35" s="312"/>
      <c r="N35" s="347"/>
      <c r="O35" s="312"/>
      <c r="P35" s="347"/>
      <c r="Q35" s="312"/>
      <c r="R35" s="347"/>
      <c r="S35" s="312"/>
      <c r="T35" s="347"/>
    </row>
    <row r="36" spans="1:20" ht="12" customHeight="1" x14ac:dyDescent="0.3">
      <c r="A36" s="340" t="s">
        <v>287</v>
      </c>
      <c r="B36" s="341" t="s">
        <v>287</v>
      </c>
      <c r="C36" s="309">
        <v>46150</v>
      </c>
      <c r="D36" s="310" t="s">
        <v>865</v>
      </c>
      <c r="E36" s="533">
        <v>359.81</v>
      </c>
      <c r="F36" s="533">
        <v>359.81</v>
      </c>
      <c r="G36" s="344">
        <f t="shared" si="0"/>
        <v>-458.97000000001566</v>
      </c>
      <c r="H36" s="345"/>
      <c r="I36" s="346">
        <v>1</v>
      </c>
      <c r="J36" s="347"/>
      <c r="K36" s="312"/>
      <c r="L36" s="347"/>
      <c r="M36" s="312"/>
      <c r="N36" s="347"/>
      <c r="O36" s="312"/>
      <c r="P36" s="347"/>
      <c r="Q36" s="312"/>
      <c r="R36" s="347"/>
      <c r="S36" s="312"/>
      <c r="T36" s="347"/>
    </row>
    <row r="37" spans="1:20" ht="12" customHeight="1" x14ac:dyDescent="0.3">
      <c r="A37" s="340" t="s">
        <v>289</v>
      </c>
      <c r="B37" s="341">
        <v>6</v>
      </c>
      <c r="C37" s="309">
        <v>46149</v>
      </c>
      <c r="D37" s="310" t="s">
        <v>862</v>
      </c>
      <c r="E37" s="533">
        <v>23.7</v>
      </c>
      <c r="F37" s="533"/>
      <c r="G37" s="344">
        <f t="shared" si="0"/>
        <v>-458.97000000001566</v>
      </c>
      <c r="H37" s="345"/>
      <c r="I37" s="346">
        <v>2</v>
      </c>
      <c r="J37" s="347"/>
      <c r="K37" s="312"/>
      <c r="L37" s="347"/>
      <c r="M37" s="312"/>
      <c r="N37" s="347"/>
      <c r="O37" s="312"/>
      <c r="P37" s="347"/>
      <c r="Q37" s="312"/>
      <c r="R37" s="347"/>
      <c r="S37" s="312"/>
      <c r="T37" s="347"/>
    </row>
    <row r="38" spans="1:20" ht="12" customHeight="1" x14ac:dyDescent="0.3">
      <c r="A38" s="340" t="s">
        <v>289</v>
      </c>
      <c r="B38" s="341">
        <v>2</v>
      </c>
      <c r="C38" s="309">
        <v>46149</v>
      </c>
      <c r="D38" s="310" t="s">
        <v>375</v>
      </c>
      <c r="E38" s="533">
        <v>13.43</v>
      </c>
      <c r="F38" s="533"/>
      <c r="G38" s="344">
        <f t="shared" si="0"/>
        <v>-435.27000000001567</v>
      </c>
      <c r="H38" s="345"/>
      <c r="I38" s="346">
        <v>2</v>
      </c>
      <c r="J38" s="347"/>
      <c r="K38" s="312"/>
      <c r="L38" s="347"/>
      <c r="M38" s="312"/>
      <c r="N38" s="347"/>
      <c r="O38" s="312"/>
      <c r="P38" s="347"/>
      <c r="Q38" s="312"/>
      <c r="R38" s="347"/>
      <c r="S38" s="312"/>
      <c r="T38" s="347"/>
    </row>
    <row r="39" spans="1:20" ht="12" customHeight="1" x14ac:dyDescent="0.3">
      <c r="A39" s="340" t="s">
        <v>294</v>
      </c>
      <c r="B39" s="341">
        <v>13</v>
      </c>
      <c r="C39" s="309">
        <v>46149</v>
      </c>
      <c r="D39" s="310" t="s">
        <v>182</v>
      </c>
      <c r="E39" s="533">
        <v>122.18</v>
      </c>
      <c r="F39" s="533"/>
      <c r="G39" s="344">
        <f t="shared" si="0"/>
        <v>-421.84000000001566</v>
      </c>
      <c r="H39" s="345"/>
      <c r="I39" s="346"/>
      <c r="J39" s="347"/>
      <c r="K39" s="312"/>
      <c r="L39" s="347"/>
      <c r="M39" s="312"/>
      <c r="N39" s="347"/>
      <c r="O39" s="312"/>
      <c r="P39" s="347"/>
      <c r="Q39" s="312"/>
      <c r="R39" s="347"/>
      <c r="S39" s="312"/>
      <c r="T39" s="347"/>
    </row>
    <row r="40" spans="1:20" ht="12" customHeight="1" x14ac:dyDescent="0.3">
      <c r="A40" s="340" t="s">
        <v>339</v>
      </c>
      <c r="B40" s="341" t="s">
        <v>339</v>
      </c>
      <c r="C40" s="309">
        <v>46149</v>
      </c>
      <c r="D40" s="310" t="s">
        <v>455</v>
      </c>
      <c r="E40" s="533">
        <v>43.62</v>
      </c>
      <c r="F40" s="533"/>
      <c r="G40" s="344">
        <f t="shared" si="0"/>
        <v>-299.66000000001566</v>
      </c>
      <c r="H40" s="345"/>
      <c r="I40" s="346"/>
      <c r="J40" s="347"/>
      <c r="K40" s="312"/>
      <c r="L40" s="347"/>
      <c r="M40" s="312"/>
      <c r="N40" s="347"/>
      <c r="O40" s="312"/>
      <c r="P40" s="347"/>
      <c r="Q40" s="312"/>
      <c r="R40" s="347"/>
      <c r="S40" s="312"/>
      <c r="T40" s="347"/>
    </row>
    <row r="41" spans="1:20" ht="12" customHeight="1" x14ac:dyDescent="0.3">
      <c r="A41" s="340" t="s">
        <v>294</v>
      </c>
      <c r="B41" s="341">
        <v>9</v>
      </c>
      <c r="C41" s="309">
        <v>46149</v>
      </c>
      <c r="D41" s="310" t="s">
        <v>58</v>
      </c>
      <c r="E41" s="533">
        <v>1231.68</v>
      </c>
      <c r="F41" s="533"/>
      <c r="G41" s="344">
        <f t="shared" si="0"/>
        <v>-256.04000000001565</v>
      </c>
      <c r="H41" s="345"/>
      <c r="I41" s="346"/>
      <c r="J41" s="347"/>
      <c r="K41" s="312"/>
      <c r="L41" s="347"/>
      <c r="M41" s="312"/>
      <c r="N41" s="347"/>
      <c r="O41" s="312"/>
      <c r="P41" s="347"/>
      <c r="Q41" s="312"/>
      <c r="R41" s="347"/>
      <c r="S41" s="312"/>
      <c r="T41" s="347"/>
    </row>
    <row r="42" spans="1:20" ht="12" customHeight="1" x14ac:dyDescent="0.3">
      <c r="A42" s="340" t="s">
        <v>289</v>
      </c>
      <c r="B42" s="341">
        <v>3</v>
      </c>
      <c r="C42" s="309">
        <v>46149</v>
      </c>
      <c r="D42" s="310" t="s">
        <v>310</v>
      </c>
      <c r="E42" s="533">
        <v>4.49</v>
      </c>
      <c r="F42" s="533"/>
      <c r="G42" s="344">
        <f t="shared" si="0"/>
        <v>975.63999999998441</v>
      </c>
      <c r="H42" s="345"/>
      <c r="I42" s="346">
        <v>2</v>
      </c>
      <c r="J42" s="347"/>
      <c r="K42" s="312"/>
      <c r="L42" s="347"/>
      <c r="M42" s="312"/>
      <c r="N42" s="347"/>
      <c r="O42" s="312"/>
      <c r="P42" s="347"/>
      <c r="Q42" s="312"/>
      <c r="R42" s="347"/>
      <c r="S42" s="312"/>
      <c r="T42" s="347"/>
    </row>
    <row r="43" spans="1:20" ht="12" customHeight="1" x14ac:dyDescent="0.3">
      <c r="A43" s="340" t="s">
        <v>289</v>
      </c>
      <c r="B43" s="341">
        <v>8</v>
      </c>
      <c r="C43" s="309">
        <v>46149</v>
      </c>
      <c r="D43" s="310" t="s">
        <v>862</v>
      </c>
      <c r="E43" s="533">
        <v>19.2</v>
      </c>
      <c r="F43" s="533"/>
      <c r="G43" s="344">
        <f t="shared" si="0"/>
        <v>980.12999999998442</v>
      </c>
      <c r="H43" s="345"/>
      <c r="I43" s="346">
        <v>2</v>
      </c>
      <c r="J43" s="347"/>
      <c r="K43" s="312"/>
      <c r="L43" s="347"/>
      <c r="M43" s="312"/>
      <c r="N43" s="347"/>
      <c r="O43" s="312"/>
      <c r="P43" s="347"/>
      <c r="Q43" s="312"/>
      <c r="R43" s="347"/>
      <c r="S43" s="312"/>
      <c r="T43" s="347"/>
    </row>
    <row r="44" spans="1:20" ht="12" customHeight="1" x14ac:dyDescent="0.3">
      <c r="A44" s="340" t="s">
        <v>289</v>
      </c>
      <c r="B44" s="341">
        <v>5</v>
      </c>
      <c r="C44" s="309">
        <v>46149</v>
      </c>
      <c r="D44" s="310" t="s">
        <v>862</v>
      </c>
      <c r="E44" s="533">
        <v>35</v>
      </c>
      <c r="F44" s="533"/>
      <c r="G44" s="344">
        <f t="shared" si="0"/>
        <v>999.32999999998447</v>
      </c>
      <c r="H44" s="345"/>
      <c r="I44" s="346">
        <v>2</v>
      </c>
      <c r="J44" s="347"/>
      <c r="K44" s="312"/>
      <c r="L44" s="347"/>
      <c r="M44" s="312"/>
      <c r="N44" s="347"/>
      <c r="O44" s="312"/>
      <c r="P44" s="347"/>
      <c r="Q44" s="312"/>
      <c r="R44" s="347"/>
      <c r="S44" s="312"/>
      <c r="T44" s="347"/>
    </row>
    <row r="45" spans="1:20" ht="12" customHeight="1" x14ac:dyDescent="0.3">
      <c r="A45" s="340" t="s">
        <v>289</v>
      </c>
      <c r="B45" s="341">
        <v>8</v>
      </c>
      <c r="C45" s="309">
        <v>46149</v>
      </c>
      <c r="D45" s="310" t="s">
        <v>321</v>
      </c>
      <c r="E45" s="533">
        <v>15.93</v>
      </c>
      <c r="F45" s="533"/>
      <c r="G45" s="344">
        <f t="shared" si="0"/>
        <v>1034.3299999999845</v>
      </c>
      <c r="H45" s="345"/>
      <c r="I45" s="346">
        <v>1</v>
      </c>
      <c r="J45" s="347"/>
      <c r="K45" s="312"/>
      <c r="L45" s="347"/>
      <c r="M45" s="312"/>
      <c r="N45" s="347"/>
      <c r="O45" s="312"/>
      <c r="P45" s="347"/>
      <c r="Q45" s="312"/>
      <c r="R45" s="347"/>
      <c r="S45" s="312"/>
      <c r="T45" s="347"/>
    </row>
    <row r="46" spans="1:20" ht="12" customHeight="1" x14ac:dyDescent="0.3">
      <c r="A46" s="340" t="s">
        <v>289</v>
      </c>
      <c r="B46" s="341">
        <v>2</v>
      </c>
      <c r="C46" s="309">
        <v>46149</v>
      </c>
      <c r="D46" s="310" t="s">
        <v>296</v>
      </c>
      <c r="E46" s="533">
        <v>11.18</v>
      </c>
      <c r="F46" s="533"/>
      <c r="G46" s="344">
        <f t="shared" si="0"/>
        <v>1050.2599999999845</v>
      </c>
      <c r="H46" s="345"/>
      <c r="I46" s="346">
        <v>1</v>
      </c>
      <c r="J46" s="347"/>
      <c r="K46" s="312"/>
      <c r="L46" s="347"/>
      <c r="M46" s="312"/>
      <c r="N46" s="347"/>
      <c r="O46" s="312"/>
      <c r="P46" s="347"/>
      <c r="Q46" s="312"/>
      <c r="R46" s="347"/>
      <c r="S46" s="312"/>
      <c r="T46" s="347"/>
    </row>
    <row r="47" spans="1:20" ht="12" customHeight="1" x14ac:dyDescent="0.3">
      <c r="A47" s="340" t="s">
        <v>289</v>
      </c>
      <c r="B47" s="341">
        <v>2</v>
      </c>
      <c r="C47" s="309">
        <v>46149</v>
      </c>
      <c r="D47" s="310" t="s">
        <v>301</v>
      </c>
      <c r="E47" s="533">
        <v>16.05</v>
      </c>
      <c r="F47" s="533"/>
      <c r="G47" s="344">
        <f t="shared" ref="G47:G86" si="1">G48-E47+F47</f>
        <v>1061.4399999999846</v>
      </c>
      <c r="H47" s="345"/>
      <c r="I47" s="346">
        <v>1</v>
      </c>
      <c r="J47" s="347"/>
      <c r="K47" s="312"/>
      <c r="L47" s="347"/>
      <c r="M47" s="312"/>
      <c r="N47" s="347"/>
      <c r="O47" s="312"/>
      <c r="P47" s="347"/>
      <c r="Q47" s="312"/>
      <c r="R47" s="347"/>
      <c r="S47" s="312"/>
      <c r="T47" s="347"/>
    </row>
    <row r="48" spans="1:20" ht="12" customHeight="1" x14ac:dyDescent="0.3">
      <c r="A48" s="340" t="s">
        <v>289</v>
      </c>
      <c r="B48" s="341">
        <v>6</v>
      </c>
      <c r="C48" s="309">
        <v>46148</v>
      </c>
      <c r="D48" s="310" t="s">
        <v>344</v>
      </c>
      <c r="E48" s="533">
        <v>47.93</v>
      </c>
      <c r="F48" s="533"/>
      <c r="G48" s="344">
        <f t="shared" si="1"/>
        <v>1077.4899999999845</v>
      </c>
      <c r="H48" s="345"/>
      <c r="I48" s="346">
        <v>1</v>
      </c>
      <c r="J48" s="347"/>
      <c r="K48" s="312"/>
      <c r="L48" s="347"/>
      <c r="M48" s="312"/>
      <c r="N48" s="347"/>
      <c r="O48" s="312"/>
      <c r="P48" s="347"/>
      <c r="Q48" s="312"/>
      <c r="R48" s="347"/>
      <c r="S48" s="312"/>
      <c r="T48" s="347"/>
    </row>
    <row r="49" spans="1:20" ht="12" customHeight="1" x14ac:dyDescent="0.3">
      <c r="A49" s="340" t="s">
        <v>294</v>
      </c>
      <c r="B49" s="341">
        <v>14</v>
      </c>
      <c r="C49" s="309">
        <v>46148</v>
      </c>
      <c r="D49" s="310" t="s">
        <v>370</v>
      </c>
      <c r="E49" s="533">
        <v>66.67</v>
      </c>
      <c r="F49" s="533"/>
      <c r="G49" s="344">
        <f t="shared" si="1"/>
        <v>1125.4199999999846</v>
      </c>
      <c r="H49" s="345"/>
      <c r="I49" s="346">
        <v>1</v>
      </c>
      <c r="J49" s="347"/>
      <c r="K49" s="312"/>
      <c r="L49" s="347"/>
      <c r="M49" s="312"/>
      <c r="N49" s="347"/>
      <c r="O49" s="312"/>
      <c r="P49" s="347"/>
      <c r="Q49" s="312"/>
      <c r="R49" s="347"/>
      <c r="S49" s="312"/>
      <c r="T49" s="347"/>
    </row>
    <row r="50" spans="1:20" ht="12" customHeight="1" x14ac:dyDescent="0.3">
      <c r="A50" s="340" t="s">
        <v>289</v>
      </c>
      <c r="B50" s="341">
        <v>8</v>
      </c>
      <c r="C50" s="309">
        <v>46148</v>
      </c>
      <c r="D50" s="310" t="s">
        <v>321</v>
      </c>
      <c r="E50" s="533">
        <v>19.14</v>
      </c>
      <c r="F50" s="533"/>
      <c r="G50" s="344">
        <f t="shared" si="1"/>
        <v>1192.0899999999847</v>
      </c>
      <c r="H50" s="345"/>
      <c r="I50" s="346">
        <v>1</v>
      </c>
      <c r="J50" s="347"/>
      <c r="K50" s="312"/>
      <c r="L50" s="347"/>
      <c r="M50" s="312"/>
      <c r="N50" s="347"/>
      <c r="O50" s="312"/>
      <c r="P50" s="347"/>
      <c r="Q50" s="312"/>
      <c r="R50" s="347"/>
      <c r="S50" s="312"/>
      <c r="T50" s="347"/>
    </row>
    <row r="51" spans="1:20" ht="12" customHeight="1" x14ac:dyDescent="0.3">
      <c r="A51" s="340" t="s">
        <v>289</v>
      </c>
      <c r="B51" s="341">
        <v>4</v>
      </c>
      <c r="C51" s="309">
        <v>46148</v>
      </c>
      <c r="D51" s="310" t="s">
        <v>311</v>
      </c>
      <c r="E51" s="533">
        <v>103.69</v>
      </c>
      <c r="F51" s="533"/>
      <c r="G51" s="344">
        <f t="shared" si="1"/>
        <v>1211.2299999999848</v>
      </c>
      <c r="H51" s="345"/>
      <c r="I51" s="346">
        <v>1</v>
      </c>
      <c r="J51" s="347"/>
      <c r="K51" s="312"/>
      <c r="L51" s="347"/>
      <c r="M51" s="312"/>
      <c r="N51" s="347"/>
      <c r="O51" s="312"/>
      <c r="P51" s="347"/>
      <c r="Q51" s="312"/>
      <c r="R51" s="347"/>
      <c r="S51" s="312"/>
      <c r="T51" s="347"/>
    </row>
    <row r="52" spans="1:20" ht="12" customHeight="1" x14ac:dyDescent="0.3">
      <c r="A52" s="340" t="s">
        <v>287</v>
      </c>
      <c r="B52" s="341" t="s">
        <v>287</v>
      </c>
      <c r="C52" s="309">
        <v>46148</v>
      </c>
      <c r="D52" s="310" t="s">
        <v>859</v>
      </c>
      <c r="E52" s="533">
        <v>513.29999999999995</v>
      </c>
      <c r="F52" s="533">
        <v>513.29999999999995</v>
      </c>
      <c r="G52" s="344">
        <f t="shared" si="1"/>
        <v>1314.9199999999848</v>
      </c>
      <c r="H52" s="345"/>
      <c r="I52" s="346">
        <v>1</v>
      </c>
      <c r="J52" s="347"/>
      <c r="K52" s="312"/>
      <c r="L52" s="347"/>
      <c r="M52" s="312"/>
      <c r="N52" s="347"/>
      <c r="O52" s="312"/>
      <c r="P52" s="347"/>
      <c r="Q52" s="312"/>
      <c r="R52" s="347"/>
      <c r="S52" s="312"/>
      <c r="T52" s="347"/>
    </row>
    <row r="53" spans="1:20" ht="12" customHeight="1" x14ac:dyDescent="0.3">
      <c r="A53" s="340" t="s">
        <v>289</v>
      </c>
      <c r="B53" s="341">
        <v>6</v>
      </c>
      <c r="C53" s="309">
        <v>46148</v>
      </c>
      <c r="D53" s="310" t="s">
        <v>300</v>
      </c>
      <c r="E53" s="533">
        <v>41.52</v>
      </c>
      <c r="F53" s="533"/>
      <c r="G53" s="344">
        <f t="shared" si="1"/>
        <v>1314.9199999999848</v>
      </c>
      <c r="H53" s="345"/>
      <c r="I53" s="346">
        <v>1</v>
      </c>
      <c r="J53" s="347"/>
      <c r="K53" s="312"/>
      <c r="L53" s="347"/>
      <c r="M53" s="312"/>
      <c r="N53" s="347"/>
      <c r="O53" s="312"/>
      <c r="P53" s="347"/>
      <c r="Q53" s="312"/>
      <c r="R53" s="347"/>
      <c r="S53" s="312"/>
      <c r="T53" s="347"/>
    </row>
    <row r="54" spans="1:20" ht="12" customHeight="1" x14ac:dyDescent="0.3">
      <c r="A54" s="340" t="s">
        <v>287</v>
      </c>
      <c r="B54" s="341" t="s">
        <v>287</v>
      </c>
      <c r="C54" s="309">
        <v>46148</v>
      </c>
      <c r="D54" s="310" t="s">
        <v>860</v>
      </c>
      <c r="E54" s="533">
        <v>500.5</v>
      </c>
      <c r="F54" s="533">
        <v>500.5</v>
      </c>
      <c r="G54" s="344">
        <f t="shared" si="1"/>
        <v>1356.4399999999848</v>
      </c>
      <c r="H54" s="345"/>
      <c r="I54" s="346">
        <v>1</v>
      </c>
      <c r="J54" s="347"/>
      <c r="K54" s="312"/>
      <c r="L54" s="347"/>
      <c r="M54" s="312"/>
      <c r="N54" s="347"/>
      <c r="O54" s="312"/>
      <c r="P54" s="347"/>
      <c r="Q54" s="312"/>
      <c r="R54" s="347"/>
      <c r="S54" s="312"/>
      <c r="T54" s="347"/>
    </row>
    <row r="55" spans="1:20" ht="12" customHeight="1" x14ac:dyDescent="0.3">
      <c r="A55" s="340" t="s">
        <v>287</v>
      </c>
      <c r="B55" s="341" t="s">
        <v>287</v>
      </c>
      <c r="C55" s="309">
        <v>46148</v>
      </c>
      <c r="D55" s="310" t="s">
        <v>861</v>
      </c>
      <c r="E55" s="533">
        <v>457.94</v>
      </c>
      <c r="F55" s="533">
        <v>457.94</v>
      </c>
      <c r="G55" s="344">
        <f t="shared" si="1"/>
        <v>1356.4399999999848</v>
      </c>
      <c r="H55" s="345"/>
      <c r="I55" s="346">
        <v>1</v>
      </c>
      <c r="J55" s="347"/>
      <c r="K55" s="312"/>
      <c r="L55" s="347"/>
      <c r="M55" s="312"/>
      <c r="N55" s="347"/>
      <c r="O55" s="312"/>
      <c r="P55" s="347"/>
      <c r="Q55" s="312"/>
      <c r="R55" s="347"/>
      <c r="S55" s="312"/>
      <c r="T55" s="347"/>
    </row>
    <row r="56" spans="1:20" ht="12" customHeight="1" x14ac:dyDescent="0.3">
      <c r="A56" s="340" t="s">
        <v>289</v>
      </c>
      <c r="B56" s="341">
        <v>1</v>
      </c>
      <c r="C56" s="309">
        <v>46148</v>
      </c>
      <c r="D56" s="310" t="s">
        <v>307</v>
      </c>
      <c r="E56" s="533">
        <v>23.48</v>
      </c>
      <c r="F56" s="533"/>
      <c r="G56" s="344">
        <f t="shared" si="1"/>
        <v>1356.4399999999848</v>
      </c>
      <c r="H56" s="345"/>
      <c r="I56" s="346">
        <v>2</v>
      </c>
      <c r="J56" s="347"/>
      <c r="K56" s="312"/>
      <c r="L56" s="347"/>
      <c r="M56" s="312"/>
      <c r="N56" s="347"/>
      <c r="O56" s="312"/>
      <c r="P56" s="347"/>
      <c r="Q56" s="312"/>
      <c r="R56" s="347"/>
      <c r="S56" s="312"/>
      <c r="T56" s="347"/>
    </row>
    <row r="57" spans="1:20" ht="12" customHeight="1" x14ac:dyDescent="0.3">
      <c r="A57" s="340" t="s">
        <v>289</v>
      </c>
      <c r="B57" s="341">
        <v>2</v>
      </c>
      <c r="C57" s="309">
        <v>46147</v>
      </c>
      <c r="D57" s="310" t="s">
        <v>388</v>
      </c>
      <c r="E57" s="533">
        <v>59.03</v>
      </c>
      <c r="F57" s="533"/>
      <c r="G57" s="344">
        <f t="shared" si="1"/>
        <v>1379.9199999999848</v>
      </c>
      <c r="H57" s="345"/>
      <c r="I57" s="346">
        <v>1</v>
      </c>
      <c r="J57" s="347"/>
      <c r="K57" s="312"/>
      <c r="L57" s="347"/>
      <c r="M57" s="312"/>
      <c r="N57" s="347"/>
      <c r="O57" s="312"/>
      <c r="P57" s="347"/>
      <c r="Q57" s="312"/>
      <c r="R57" s="347"/>
      <c r="S57" s="312"/>
      <c r="T57" s="347"/>
    </row>
    <row r="58" spans="1:20" ht="12" customHeight="1" x14ac:dyDescent="0.3">
      <c r="A58" s="340" t="s">
        <v>289</v>
      </c>
      <c r="B58" s="341">
        <v>2</v>
      </c>
      <c r="C58" s="309">
        <v>46147</v>
      </c>
      <c r="D58" s="310" t="s">
        <v>338</v>
      </c>
      <c r="E58" s="533">
        <v>11.06</v>
      </c>
      <c r="F58" s="533"/>
      <c r="G58" s="344">
        <f t="shared" si="1"/>
        <v>1438.9499999999848</v>
      </c>
      <c r="H58" s="345"/>
      <c r="I58" s="346">
        <v>1</v>
      </c>
      <c r="J58" s="347"/>
      <c r="K58" s="312"/>
      <c r="L58" s="347"/>
      <c r="M58" s="312"/>
      <c r="N58" s="347"/>
      <c r="O58" s="312"/>
      <c r="P58" s="347"/>
      <c r="Q58" s="312"/>
      <c r="R58" s="347"/>
      <c r="S58" s="312"/>
      <c r="T58" s="347"/>
    </row>
    <row r="59" spans="1:20" ht="12" customHeight="1" x14ac:dyDescent="0.3">
      <c r="A59" s="340" t="s">
        <v>289</v>
      </c>
      <c r="B59" s="341">
        <v>2</v>
      </c>
      <c r="C59" s="309">
        <v>46147</v>
      </c>
      <c r="D59" s="310" t="s">
        <v>296</v>
      </c>
      <c r="E59" s="533">
        <v>8.7200000000000006</v>
      </c>
      <c r="F59" s="533"/>
      <c r="G59" s="344">
        <f t="shared" si="1"/>
        <v>1450.0099999999848</v>
      </c>
      <c r="H59" s="345"/>
      <c r="I59" s="346">
        <v>1</v>
      </c>
      <c r="J59" s="347"/>
      <c r="K59" s="312"/>
      <c r="L59" s="347"/>
      <c r="M59" s="312"/>
      <c r="N59" s="347"/>
      <c r="O59" s="312"/>
      <c r="P59" s="347"/>
      <c r="Q59" s="312"/>
      <c r="R59" s="347"/>
      <c r="S59" s="312"/>
      <c r="T59" s="347"/>
    </row>
    <row r="60" spans="1:20" ht="12" customHeight="1" x14ac:dyDescent="0.3">
      <c r="A60" s="340" t="s">
        <v>289</v>
      </c>
      <c r="B60" s="341">
        <v>4</v>
      </c>
      <c r="C60" s="309">
        <v>46147</v>
      </c>
      <c r="D60" s="310" t="s">
        <v>296</v>
      </c>
      <c r="E60" s="533">
        <v>42.88</v>
      </c>
      <c r="F60" s="533"/>
      <c r="G60" s="344">
        <f t="shared" si="1"/>
        <v>1458.7299999999848</v>
      </c>
      <c r="H60" s="345"/>
      <c r="I60" s="346">
        <v>1</v>
      </c>
      <c r="J60" s="347"/>
      <c r="K60" s="312"/>
      <c r="L60" s="347"/>
      <c r="M60" s="312"/>
      <c r="N60" s="347"/>
      <c r="O60" s="312"/>
      <c r="P60" s="347"/>
      <c r="Q60" s="312"/>
      <c r="R60" s="347"/>
      <c r="S60" s="312"/>
      <c r="T60" s="347"/>
    </row>
    <row r="61" spans="1:20" ht="12" customHeight="1" x14ac:dyDescent="0.3">
      <c r="A61" s="340" t="s">
        <v>289</v>
      </c>
      <c r="B61" s="341">
        <v>6</v>
      </c>
      <c r="C61" s="309">
        <v>46147</v>
      </c>
      <c r="D61" s="310" t="s">
        <v>300</v>
      </c>
      <c r="E61" s="533">
        <v>17.03</v>
      </c>
      <c r="F61" s="533"/>
      <c r="G61" s="344">
        <f t="shared" si="1"/>
        <v>1501.6099999999849</v>
      </c>
      <c r="H61" s="345"/>
      <c r="I61" s="346">
        <v>1</v>
      </c>
      <c r="J61" s="347"/>
      <c r="K61" s="312"/>
      <c r="L61" s="347"/>
      <c r="M61" s="312"/>
      <c r="N61" s="347"/>
      <c r="O61" s="312"/>
      <c r="P61" s="347"/>
      <c r="Q61" s="312"/>
      <c r="R61" s="347"/>
      <c r="S61" s="312"/>
      <c r="T61" s="347"/>
    </row>
    <row r="62" spans="1:20" ht="12" customHeight="1" x14ac:dyDescent="0.3">
      <c r="A62" s="340" t="s">
        <v>294</v>
      </c>
      <c r="B62" s="341">
        <v>22</v>
      </c>
      <c r="C62" s="309">
        <v>46146</v>
      </c>
      <c r="D62" s="310" t="s">
        <v>850</v>
      </c>
      <c r="E62" s="533">
        <v>13.83</v>
      </c>
      <c r="F62" s="533"/>
      <c r="G62" s="344">
        <f t="shared" si="1"/>
        <v>1518.6399999999849</v>
      </c>
      <c r="H62" s="345"/>
      <c r="I62" s="346">
        <v>1</v>
      </c>
      <c r="J62" s="347"/>
      <c r="K62" s="312"/>
      <c r="L62" s="347"/>
      <c r="M62" s="312"/>
      <c r="N62" s="347"/>
      <c r="O62" s="312"/>
      <c r="P62" s="347"/>
      <c r="Q62" s="312"/>
      <c r="R62" s="347"/>
      <c r="S62" s="312"/>
      <c r="T62" s="347"/>
    </row>
    <row r="63" spans="1:20" ht="12" customHeight="1" x14ac:dyDescent="0.3">
      <c r="A63" s="340" t="s">
        <v>289</v>
      </c>
      <c r="B63" s="341">
        <v>6</v>
      </c>
      <c r="C63" s="309">
        <v>46146</v>
      </c>
      <c r="D63" s="310" t="s">
        <v>344</v>
      </c>
      <c r="E63" s="533">
        <v>47.93</v>
      </c>
      <c r="F63" s="533"/>
      <c r="G63" s="344">
        <f t="shared" si="1"/>
        <v>1532.4699999999848</v>
      </c>
      <c r="H63" s="345"/>
      <c r="I63" s="346">
        <v>1</v>
      </c>
      <c r="J63" s="347"/>
      <c r="K63" s="312"/>
      <c r="L63" s="347"/>
      <c r="M63" s="312"/>
      <c r="N63" s="347"/>
      <c r="O63" s="312"/>
      <c r="P63" s="347"/>
      <c r="Q63" s="312"/>
      <c r="R63" s="347"/>
      <c r="S63" s="312"/>
      <c r="T63" s="347"/>
    </row>
    <row r="64" spans="1:20" ht="12" customHeight="1" x14ac:dyDescent="0.3">
      <c r="A64" s="340" t="s">
        <v>289</v>
      </c>
      <c r="B64" s="341">
        <v>2</v>
      </c>
      <c r="C64" s="309">
        <v>46146</v>
      </c>
      <c r="D64" s="310" t="s">
        <v>338</v>
      </c>
      <c r="E64" s="533">
        <v>11.06</v>
      </c>
      <c r="F64" s="533"/>
      <c r="G64" s="344">
        <f t="shared" si="1"/>
        <v>1580.3999999999849</v>
      </c>
      <c r="H64" s="345"/>
      <c r="I64" s="346">
        <v>1</v>
      </c>
      <c r="J64" s="347"/>
      <c r="K64" s="312"/>
      <c r="L64" s="347"/>
      <c r="M64" s="312"/>
      <c r="N64" s="347"/>
      <c r="O64" s="312"/>
      <c r="P64" s="347"/>
      <c r="Q64" s="312"/>
      <c r="R64" s="347"/>
      <c r="S64" s="312"/>
      <c r="T64" s="347"/>
    </row>
    <row r="65" spans="1:20" ht="12" customHeight="1" x14ac:dyDescent="0.3">
      <c r="A65" s="340" t="s">
        <v>294</v>
      </c>
      <c r="B65" s="341">
        <v>14</v>
      </c>
      <c r="C65" s="309">
        <v>46146</v>
      </c>
      <c r="D65" s="310" t="s">
        <v>371</v>
      </c>
      <c r="E65" s="533">
        <v>70.25</v>
      </c>
      <c r="F65" s="533"/>
      <c r="G65" s="344">
        <f t="shared" si="1"/>
        <v>1591.4599999999848</v>
      </c>
      <c r="H65" s="345"/>
      <c r="I65" s="346">
        <v>1</v>
      </c>
      <c r="J65" s="347"/>
      <c r="K65" s="312"/>
      <c r="L65" s="347"/>
      <c r="M65" s="312"/>
      <c r="N65" s="347"/>
      <c r="O65" s="312"/>
      <c r="P65" s="347"/>
      <c r="Q65" s="312"/>
      <c r="R65" s="347"/>
      <c r="S65" s="312"/>
      <c r="T65" s="347"/>
    </row>
    <row r="66" spans="1:20" ht="12" customHeight="1" x14ac:dyDescent="0.3">
      <c r="A66" s="340" t="s">
        <v>284</v>
      </c>
      <c r="B66" s="341">
        <v>36</v>
      </c>
      <c r="C66" s="309">
        <v>46146</v>
      </c>
      <c r="D66" s="310" t="s">
        <v>378</v>
      </c>
      <c r="E66" s="533">
        <v>50</v>
      </c>
      <c r="F66" s="533"/>
      <c r="G66" s="344">
        <f t="shared" si="1"/>
        <v>1661.7099999999848</v>
      </c>
      <c r="H66" s="345"/>
      <c r="I66" s="346"/>
      <c r="J66" s="347"/>
      <c r="K66" s="312"/>
      <c r="L66" s="347"/>
      <c r="M66" s="312"/>
      <c r="N66" s="347"/>
      <c r="O66" s="312"/>
      <c r="P66" s="347"/>
      <c r="Q66" s="312"/>
      <c r="R66" s="347"/>
      <c r="S66" s="312"/>
      <c r="T66" s="347"/>
    </row>
    <row r="67" spans="1:20" ht="12" customHeight="1" x14ac:dyDescent="0.3">
      <c r="A67" s="340" t="s">
        <v>294</v>
      </c>
      <c r="B67" s="341">
        <v>17</v>
      </c>
      <c r="C67" s="309">
        <v>46146</v>
      </c>
      <c r="D67" s="310" t="s">
        <v>374</v>
      </c>
      <c r="E67" s="533">
        <v>99</v>
      </c>
      <c r="F67" s="533"/>
      <c r="G67" s="344">
        <f t="shared" si="1"/>
        <v>1711.7099999999848</v>
      </c>
      <c r="H67" s="345"/>
      <c r="I67" s="346">
        <v>2</v>
      </c>
      <c r="J67" s="347"/>
      <c r="K67" s="312"/>
      <c r="L67" s="347"/>
      <c r="M67" s="312"/>
      <c r="N67" s="347"/>
      <c r="O67" s="312"/>
      <c r="P67" s="347"/>
      <c r="Q67" s="312"/>
      <c r="R67" s="347"/>
      <c r="S67" s="312"/>
      <c r="T67" s="347"/>
    </row>
    <row r="68" spans="1:20" ht="12" customHeight="1" x14ac:dyDescent="0.3">
      <c r="A68" s="340" t="s">
        <v>289</v>
      </c>
      <c r="B68" s="341">
        <v>5</v>
      </c>
      <c r="C68" s="309">
        <v>46145</v>
      </c>
      <c r="D68" s="310" t="s">
        <v>849</v>
      </c>
      <c r="E68" s="533">
        <v>49.13</v>
      </c>
      <c r="F68" s="533"/>
      <c r="G68" s="344">
        <f t="shared" si="1"/>
        <v>1810.7099999999848</v>
      </c>
      <c r="H68" s="345"/>
      <c r="I68" s="346">
        <v>2</v>
      </c>
      <c r="J68" s="347"/>
      <c r="K68" s="312"/>
      <c r="L68" s="347"/>
      <c r="M68" s="312"/>
      <c r="N68" s="347"/>
      <c r="O68" s="312"/>
      <c r="P68" s="347"/>
      <c r="Q68" s="312"/>
      <c r="R68" s="347"/>
      <c r="S68" s="312"/>
      <c r="T68" s="347"/>
    </row>
    <row r="69" spans="1:20" ht="12" customHeight="1" x14ac:dyDescent="0.3">
      <c r="A69" s="340" t="s">
        <v>289</v>
      </c>
      <c r="B69" s="341">
        <v>1</v>
      </c>
      <c r="C69" s="309">
        <v>46145</v>
      </c>
      <c r="D69" s="310" t="s">
        <v>846</v>
      </c>
      <c r="E69" s="533">
        <v>50</v>
      </c>
      <c r="F69" s="533"/>
      <c r="G69" s="344">
        <f t="shared" si="1"/>
        <v>1859.8399999999849</v>
      </c>
      <c r="H69" s="345"/>
      <c r="I69" s="346">
        <v>2</v>
      </c>
      <c r="J69" s="347"/>
      <c r="K69" s="312"/>
      <c r="L69" s="347"/>
      <c r="M69" s="312"/>
      <c r="N69" s="347"/>
      <c r="O69" s="312"/>
      <c r="P69" s="347"/>
      <c r="Q69" s="312"/>
      <c r="R69" s="347"/>
      <c r="S69" s="312"/>
      <c r="T69" s="347"/>
    </row>
    <row r="70" spans="1:20" ht="12" customHeight="1" x14ac:dyDescent="0.3">
      <c r="A70" s="340" t="s">
        <v>289</v>
      </c>
      <c r="B70" s="341">
        <v>1</v>
      </c>
      <c r="C70" s="309">
        <v>46145</v>
      </c>
      <c r="D70" s="310" t="s">
        <v>312</v>
      </c>
      <c r="E70" s="533">
        <v>91.98</v>
      </c>
      <c r="F70" s="533"/>
      <c r="G70" s="344">
        <f t="shared" si="1"/>
        <v>1909.8399999999849</v>
      </c>
      <c r="H70" s="345"/>
      <c r="I70" s="346">
        <v>2</v>
      </c>
      <c r="J70" s="347"/>
      <c r="K70" s="312"/>
      <c r="L70" s="347"/>
      <c r="M70" s="312"/>
      <c r="N70" s="347"/>
      <c r="O70" s="312"/>
      <c r="P70" s="347"/>
      <c r="Q70" s="312"/>
      <c r="R70" s="347"/>
      <c r="S70" s="312"/>
      <c r="T70" s="347"/>
    </row>
    <row r="71" spans="1:20" ht="12" customHeight="1" x14ac:dyDescent="0.3">
      <c r="A71" s="340" t="s">
        <v>289</v>
      </c>
      <c r="B71" s="341">
        <v>6</v>
      </c>
      <c r="C71" s="309">
        <v>46145</v>
      </c>
      <c r="D71" s="310" t="s">
        <v>847</v>
      </c>
      <c r="E71" s="533">
        <v>24.68</v>
      </c>
      <c r="F71" s="533"/>
      <c r="G71" s="344">
        <f t="shared" si="1"/>
        <v>2001.8199999999849</v>
      </c>
      <c r="H71" s="345"/>
      <c r="I71" s="346">
        <v>2</v>
      </c>
      <c r="J71" s="347"/>
      <c r="K71" s="312"/>
      <c r="L71" s="347"/>
      <c r="M71" s="312"/>
      <c r="N71" s="347"/>
      <c r="O71" s="312"/>
      <c r="P71" s="347"/>
      <c r="Q71" s="312"/>
      <c r="R71" s="347"/>
      <c r="S71" s="312"/>
      <c r="T71" s="347"/>
    </row>
    <row r="72" spans="1:20" ht="12" customHeight="1" x14ac:dyDescent="0.3">
      <c r="A72" s="340" t="s">
        <v>289</v>
      </c>
      <c r="B72" s="341">
        <v>2</v>
      </c>
      <c r="C72" s="309">
        <v>46145</v>
      </c>
      <c r="D72" s="310" t="s">
        <v>362</v>
      </c>
      <c r="E72" s="533">
        <v>2.4900000000000002</v>
      </c>
      <c r="F72" s="533"/>
      <c r="G72" s="344">
        <f t="shared" si="1"/>
        <v>2026.499999999985</v>
      </c>
      <c r="H72" s="345"/>
      <c r="I72" s="346">
        <v>2</v>
      </c>
      <c r="J72" s="347"/>
      <c r="K72" s="312"/>
      <c r="L72" s="347"/>
      <c r="M72" s="312"/>
      <c r="N72" s="347"/>
      <c r="O72" s="312"/>
      <c r="P72" s="347"/>
      <c r="Q72" s="312"/>
      <c r="R72" s="347"/>
      <c r="S72" s="312"/>
      <c r="T72" s="347"/>
    </row>
    <row r="73" spans="1:20" ht="12" customHeight="1" x14ac:dyDescent="0.3">
      <c r="A73" s="340" t="s">
        <v>294</v>
      </c>
      <c r="B73" s="341">
        <v>22</v>
      </c>
      <c r="C73" s="309">
        <v>46145</v>
      </c>
      <c r="D73" s="310" t="s">
        <v>845</v>
      </c>
      <c r="E73" s="533">
        <v>12.77</v>
      </c>
      <c r="F73" s="533"/>
      <c r="G73" s="344">
        <f t="shared" si="1"/>
        <v>2028.989999999985</v>
      </c>
      <c r="H73" s="345"/>
      <c r="I73" s="346">
        <v>1</v>
      </c>
      <c r="J73" s="347"/>
      <c r="K73" s="312"/>
      <c r="L73" s="347"/>
      <c r="M73" s="312"/>
      <c r="N73" s="347"/>
      <c r="O73" s="312"/>
      <c r="P73" s="347"/>
      <c r="Q73" s="312"/>
      <c r="R73" s="347"/>
      <c r="S73" s="312"/>
      <c r="T73" s="347"/>
    </row>
    <row r="74" spans="1:20" ht="12" customHeight="1" x14ac:dyDescent="0.3">
      <c r="A74" s="340" t="s">
        <v>289</v>
      </c>
      <c r="B74" s="341">
        <v>2</v>
      </c>
      <c r="C74" s="309">
        <v>46145</v>
      </c>
      <c r="D74" s="310" t="s">
        <v>467</v>
      </c>
      <c r="E74" s="533">
        <v>192.97</v>
      </c>
      <c r="F74" s="533"/>
      <c r="G74" s="344">
        <f t="shared" si="1"/>
        <v>2041.759999999985</v>
      </c>
      <c r="H74" s="345"/>
      <c r="I74" s="346">
        <v>1</v>
      </c>
      <c r="J74" s="347"/>
      <c r="K74" s="312"/>
      <c r="L74" s="347"/>
      <c r="M74" s="312"/>
      <c r="N74" s="347"/>
      <c r="O74" s="312"/>
      <c r="P74" s="347"/>
      <c r="Q74" s="312"/>
      <c r="R74" s="347"/>
      <c r="S74" s="312"/>
      <c r="T74" s="347"/>
    </row>
    <row r="75" spans="1:20" ht="12" customHeight="1" x14ac:dyDescent="0.3">
      <c r="A75" s="340" t="s">
        <v>289</v>
      </c>
      <c r="B75" s="341">
        <v>3</v>
      </c>
      <c r="C75" s="309">
        <v>46145</v>
      </c>
      <c r="D75" s="310" t="s">
        <v>352</v>
      </c>
      <c r="E75" s="533">
        <v>9.35</v>
      </c>
      <c r="F75" s="533"/>
      <c r="G75" s="344">
        <f t="shared" si="1"/>
        <v>2234.729999999985</v>
      </c>
      <c r="H75" s="345"/>
      <c r="I75" s="346">
        <v>1</v>
      </c>
      <c r="J75" s="347"/>
      <c r="K75" s="312"/>
      <c r="L75" s="347"/>
      <c r="M75" s="312"/>
      <c r="N75" s="347"/>
      <c r="O75" s="312"/>
      <c r="P75" s="347"/>
      <c r="Q75" s="312"/>
      <c r="R75" s="347"/>
      <c r="S75" s="312"/>
      <c r="T75" s="347"/>
    </row>
    <row r="76" spans="1:20" ht="12" customHeight="1" x14ac:dyDescent="0.3">
      <c r="A76" s="340" t="s">
        <v>289</v>
      </c>
      <c r="B76" s="341">
        <v>4</v>
      </c>
      <c r="C76" s="309">
        <v>46144</v>
      </c>
      <c r="D76" s="310" t="s">
        <v>311</v>
      </c>
      <c r="E76" s="533">
        <v>57.69</v>
      </c>
      <c r="F76" s="533"/>
      <c r="G76" s="344">
        <f t="shared" si="1"/>
        <v>2244.0799999999849</v>
      </c>
      <c r="H76" s="345"/>
      <c r="I76" s="346">
        <v>1</v>
      </c>
      <c r="J76" s="347"/>
      <c r="K76" s="312"/>
      <c r="L76" s="347"/>
      <c r="M76" s="312"/>
      <c r="N76" s="347"/>
      <c r="O76" s="312"/>
      <c r="P76" s="347"/>
      <c r="Q76" s="312"/>
      <c r="R76" s="347"/>
      <c r="S76" s="312"/>
      <c r="T76" s="347"/>
    </row>
    <row r="77" spans="1:20" ht="12" customHeight="1" x14ac:dyDescent="0.3">
      <c r="A77" s="340" t="s">
        <v>289</v>
      </c>
      <c r="B77" s="341">
        <v>8</v>
      </c>
      <c r="C77" s="309">
        <v>46144</v>
      </c>
      <c r="D77" s="310" t="s">
        <v>311</v>
      </c>
      <c r="E77" s="533">
        <v>6.37</v>
      </c>
      <c r="F77" s="533"/>
      <c r="G77" s="344">
        <f t="shared" si="1"/>
        <v>2301.769999999985</v>
      </c>
      <c r="H77" s="345"/>
      <c r="I77" s="346">
        <v>1</v>
      </c>
      <c r="J77" s="347"/>
      <c r="K77" s="312"/>
      <c r="L77" s="347"/>
      <c r="M77" s="312"/>
      <c r="N77" s="347"/>
      <c r="O77" s="312"/>
      <c r="P77" s="347"/>
      <c r="Q77" s="312"/>
      <c r="R77" s="347"/>
      <c r="S77" s="312"/>
      <c r="T77" s="347"/>
    </row>
    <row r="78" spans="1:20" ht="12" customHeight="1" x14ac:dyDescent="0.3">
      <c r="A78" s="340" t="s">
        <v>294</v>
      </c>
      <c r="B78" s="341">
        <v>22</v>
      </c>
      <c r="C78" s="309">
        <v>46144</v>
      </c>
      <c r="D78" s="310" t="s">
        <v>379</v>
      </c>
      <c r="E78" s="533">
        <v>6.37</v>
      </c>
      <c r="F78" s="533"/>
      <c r="G78" s="344">
        <f t="shared" si="1"/>
        <v>2308.1399999999849</v>
      </c>
      <c r="H78" s="345"/>
      <c r="I78" s="346">
        <v>1</v>
      </c>
      <c r="J78" s="347"/>
      <c r="K78" s="312"/>
      <c r="L78" s="347"/>
      <c r="M78" s="312"/>
      <c r="N78" s="347"/>
      <c r="O78" s="312"/>
      <c r="P78" s="347"/>
      <c r="Q78" s="312"/>
      <c r="R78" s="347"/>
      <c r="S78" s="312"/>
      <c r="T78" s="347"/>
    </row>
    <row r="79" spans="1:20" ht="12" customHeight="1" x14ac:dyDescent="0.3">
      <c r="A79" s="340" t="s">
        <v>289</v>
      </c>
      <c r="B79" s="341">
        <v>6</v>
      </c>
      <c r="C79" s="309">
        <v>46144</v>
      </c>
      <c r="D79" s="310" t="s">
        <v>300</v>
      </c>
      <c r="E79" s="533">
        <v>41.51</v>
      </c>
      <c r="F79" s="533"/>
      <c r="G79" s="344">
        <f t="shared" si="1"/>
        <v>2314.5099999999848</v>
      </c>
      <c r="H79" s="345"/>
      <c r="I79" s="346">
        <v>1</v>
      </c>
      <c r="J79" s="347"/>
      <c r="K79" s="312"/>
      <c r="L79" s="347"/>
      <c r="M79" s="312"/>
      <c r="N79" s="347"/>
      <c r="O79" s="312"/>
      <c r="P79" s="347"/>
      <c r="Q79" s="312"/>
      <c r="R79" s="347"/>
      <c r="S79" s="312"/>
      <c r="T79" s="347"/>
    </row>
    <row r="80" spans="1:20" ht="12" customHeight="1" x14ac:dyDescent="0.3">
      <c r="A80" s="340" t="s">
        <v>289</v>
      </c>
      <c r="B80" s="341">
        <v>7</v>
      </c>
      <c r="C80" s="309">
        <v>46144</v>
      </c>
      <c r="D80" s="310" t="s">
        <v>848</v>
      </c>
      <c r="E80" s="533">
        <v>74.53</v>
      </c>
      <c r="F80" s="533"/>
      <c r="G80" s="344">
        <f t="shared" si="1"/>
        <v>2356.019999999985</v>
      </c>
      <c r="H80" s="345"/>
      <c r="I80" s="346">
        <v>2</v>
      </c>
      <c r="J80" s="347"/>
      <c r="K80" s="312"/>
      <c r="L80" s="347"/>
      <c r="M80" s="312"/>
      <c r="N80" s="347"/>
      <c r="O80" s="312"/>
      <c r="P80" s="347"/>
      <c r="Q80" s="312"/>
      <c r="R80" s="347"/>
      <c r="S80" s="312"/>
      <c r="T80" s="347"/>
    </row>
    <row r="81" spans="1:20" ht="12" customHeight="1" x14ac:dyDescent="0.3">
      <c r="A81" s="340" t="s">
        <v>289</v>
      </c>
      <c r="B81" s="341">
        <v>1</v>
      </c>
      <c r="C81" s="309">
        <v>46144</v>
      </c>
      <c r="D81" s="310" t="s">
        <v>307</v>
      </c>
      <c r="E81" s="533">
        <v>72.73</v>
      </c>
      <c r="F81" s="533"/>
      <c r="G81" s="344">
        <f t="shared" si="1"/>
        <v>2430.5499999999852</v>
      </c>
      <c r="H81" s="345"/>
      <c r="I81" s="346">
        <v>2</v>
      </c>
      <c r="J81" s="347"/>
      <c r="K81" s="312"/>
      <c r="L81" s="347"/>
      <c r="M81" s="312"/>
      <c r="N81" s="347"/>
      <c r="O81" s="312"/>
      <c r="P81" s="347"/>
      <c r="Q81" s="312"/>
      <c r="R81" s="347"/>
      <c r="S81" s="312"/>
      <c r="T81" s="347"/>
    </row>
    <row r="82" spans="1:20" ht="12" customHeight="1" x14ac:dyDescent="0.3">
      <c r="A82" s="340" t="s">
        <v>289</v>
      </c>
      <c r="B82" s="341">
        <v>3</v>
      </c>
      <c r="C82" s="309">
        <v>46144</v>
      </c>
      <c r="D82" s="310" t="s">
        <v>352</v>
      </c>
      <c r="E82" s="533">
        <v>25</v>
      </c>
      <c r="F82" s="533"/>
      <c r="G82" s="344">
        <f t="shared" si="1"/>
        <v>2503.2799999999852</v>
      </c>
      <c r="H82" s="345"/>
      <c r="I82" s="346">
        <v>2</v>
      </c>
      <c r="J82" s="347"/>
      <c r="K82" s="312"/>
      <c r="L82" s="347"/>
      <c r="M82" s="312"/>
      <c r="N82" s="347"/>
      <c r="O82" s="312"/>
      <c r="P82" s="347"/>
      <c r="Q82" s="312"/>
      <c r="R82" s="347"/>
      <c r="S82" s="312"/>
      <c r="T82" s="347"/>
    </row>
    <row r="83" spans="1:20" ht="12" customHeight="1" x14ac:dyDescent="0.3">
      <c r="A83" s="340" t="s">
        <v>287</v>
      </c>
      <c r="B83" s="341" t="s">
        <v>287</v>
      </c>
      <c r="C83" s="309">
        <v>46144</v>
      </c>
      <c r="D83" s="310" t="s">
        <v>499</v>
      </c>
      <c r="E83" s="533">
        <v>121.4</v>
      </c>
      <c r="F83" s="533">
        <v>121.4</v>
      </c>
      <c r="G83" s="344">
        <f t="shared" si="1"/>
        <v>2528.2799999999852</v>
      </c>
      <c r="H83" s="345"/>
      <c r="I83" s="346">
        <v>1</v>
      </c>
      <c r="J83" s="347"/>
      <c r="K83" s="312"/>
      <c r="L83" s="347"/>
      <c r="M83" s="312"/>
      <c r="N83" s="347"/>
      <c r="O83" s="312"/>
      <c r="P83" s="347"/>
      <c r="Q83" s="312"/>
      <c r="R83" s="347"/>
      <c r="S83" s="312"/>
      <c r="T83" s="347"/>
    </row>
    <row r="84" spans="1:20" ht="12" customHeight="1" x14ac:dyDescent="0.3">
      <c r="A84" s="340" t="s">
        <v>289</v>
      </c>
      <c r="B84" s="341">
        <v>3</v>
      </c>
      <c r="C84" s="309">
        <v>46144</v>
      </c>
      <c r="D84" s="310" t="s">
        <v>352</v>
      </c>
      <c r="E84" s="533">
        <v>9.73</v>
      </c>
      <c r="F84" s="533"/>
      <c r="G84" s="344">
        <f t="shared" si="1"/>
        <v>2528.2799999999852</v>
      </c>
      <c r="H84" s="345"/>
      <c r="I84" s="346">
        <v>1</v>
      </c>
      <c r="J84" s="347"/>
      <c r="K84" s="312"/>
      <c r="L84" s="347"/>
      <c r="M84" s="312"/>
      <c r="N84" s="347"/>
      <c r="O84" s="312"/>
      <c r="P84" s="347"/>
      <c r="Q84" s="312"/>
      <c r="R84" s="347"/>
      <c r="S84" s="312"/>
      <c r="T84" s="347"/>
    </row>
    <row r="85" spans="1:20" ht="12" customHeight="1" x14ac:dyDescent="0.3">
      <c r="A85" s="340" t="s">
        <v>289</v>
      </c>
      <c r="B85" s="341">
        <v>2</v>
      </c>
      <c r="C85" s="309">
        <v>46143</v>
      </c>
      <c r="D85" s="310" t="s">
        <v>362</v>
      </c>
      <c r="E85" s="533">
        <v>8.9700000000000006</v>
      </c>
      <c r="F85" s="533"/>
      <c r="G85" s="344">
        <f t="shared" si="1"/>
        <v>2538.0099999999852</v>
      </c>
      <c r="H85" s="345"/>
      <c r="I85" s="346">
        <v>1</v>
      </c>
      <c r="J85" s="347"/>
      <c r="K85" s="312"/>
      <c r="L85" s="347"/>
      <c r="M85" s="312"/>
      <c r="N85" s="347"/>
      <c r="O85" s="312"/>
      <c r="P85" s="347"/>
      <c r="Q85" s="312"/>
      <c r="R85" s="347"/>
      <c r="S85" s="312"/>
      <c r="T85" s="347"/>
    </row>
    <row r="86" spans="1:20" s="551" customFormat="1" ht="12" customHeight="1" x14ac:dyDescent="0.3">
      <c r="A86" s="541" t="s">
        <v>284</v>
      </c>
      <c r="B86" s="542">
        <v>37</v>
      </c>
      <c r="C86" s="543">
        <v>46142</v>
      </c>
      <c r="D86" s="544" t="s">
        <v>285</v>
      </c>
      <c r="E86" s="545">
        <v>5616.82</v>
      </c>
      <c r="F86" s="545"/>
      <c r="G86" s="546">
        <f t="shared" si="1"/>
        <v>2546.979999999985</v>
      </c>
      <c r="H86" s="547"/>
      <c r="I86" s="548"/>
      <c r="J86" s="549"/>
      <c r="K86" s="550"/>
      <c r="L86" s="549"/>
      <c r="M86" s="550"/>
      <c r="N86" s="549"/>
      <c r="O86" s="550"/>
      <c r="P86" s="549"/>
      <c r="Q86" s="550"/>
      <c r="R86" s="549"/>
      <c r="S86" s="550"/>
      <c r="T86" s="549"/>
    </row>
    <row r="87" spans="1:20" ht="12" customHeight="1" x14ac:dyDescent="0.3">
      <c r="A87" s="340" t="s">
        <v>286</v>
      </c>
      <c r="B87" s="341">
        <v>25</v>
      </c>
      <c r="C87" s="309">
        <v>46142</v>
      </c>
      <c r="D87" s="309" t="s">
        <v>204</v>
      </c>
      <c r="E87" s="342">
        <v>350</v>
      </c>
      <c r="F87" s="342"/>
      <c r="G87" s="344">
        <f t="shared" ref="G87:G88" si="2">G88-E87+F87</f>
        <v>8163.7999999999847</v>
      </c>
      <c r="H87" s="345"/>
      <c r="I87" s="346"/>
      <c r="J87" s="347"/>
      <c r="K87" s="312"/>
      <c r="L87" s="347"/>
      <c r="M87" s="312"/>
      <c r="N87" s="347"/>
      <c r="O87" s="312"/>
      <c r="P87" s="347"/>
      <c r="Q87" s="312"/>
      <c r="R87" s="347"/>
      <c r="S87" s="312"/>
      <c r="T87" s="347"/>
    </row>
    <row r="88" spans="1:20" ht="12" customHeight="1" x14ac:dyDescent="0.3">
      <c r="A88" s="340" t="s">
        <v>286</v>
      </c>
      <c r="B88" s="341">
        <v>26</v>
      </c>
      <c r="C88" s="309">
        <v>46142</v>
      </c>
      <c r="D88" s="309" t="s">
        <v>205</v>
      </c>
      <c r="E88" s="342">
        <v>320</v>
      </c>
      <c r="F88" s="342"/>
      <c r="G88" s="344">
        <f t="shared" si="2"/>
        <v>8513.7999999999847</v>
      </c>
      <c r="H88" s="345"/>
      <c r="I88" s="346"/>
      <c r="J88" s="347"/>
      <c r="K88" s="312"/>
      <c r="L88" s="347"/>
      <c r="M88" s="312"/>
      <c r="N88" s="347"/>
      <c r="O88" s="312"/>
      <c r="P88" s="347"/>
      <c r="Q88" s="312"/>
      <c r="R88" s="347"/>
      <c r="S88" s="312"/>
      <c r="T88" s="347"/>
    </row>
    <row r="89" spans="1:20" ht="12" customHeight="1" x14ac:dyDescent="0.3">
      <c r="A89" s="340" t="s">
        <v>286</v>
      </c>
      <c r="B89" s="341">
        <v>27</v>
      </c>
      <c r="C89" s="309">
        <v>46142</v>
      </c>
      <c r="D89" s="309" t="s">
        <v>206</v>
      </c>
      <c r="E89" s="342">
        <v>25</v>
      </c>
      <c r="F89" s="342"/>
      <c r="G89" s="344">
        <f t="shared" ref="G89:G340" si="3">G90-E89+F89</f>
        <v>8833.7999999999847</v>
      </c>
      <c r="H89" s="345"/>
      <c r="I89" s="346"/>
      <c r="J89" s="347"/>
      <c r="K89" s="312"/>
      <c r="L89" s="347"/>
      <c r="M89" s="312"/>
      <c r="N89" s="347"/>
      <c r="O89" s="312"/>
      <c r="P89" s="347"/>
      <c r="Q89" s="312"/>
      <c r="R89" s="347"/>
      <c r="S89" s="312"/>
      <c r="T89" s="347"/>
    </row>
    <row r="90" spans="1:20" ht="12" customHeight="1" x14ac:dyDescent="0.3">
      <c r="A90" s="340" t="s">
        <v>286</v>
      </c>
      <c r="B90" s="341">
        <v>28</v>
      </c>
      <c r="C90" s="309">
        <v>46142</v>
      </c>
      <c r="D90" s="309" t="s">
        <v>207</v>
      </c>
      <c r="E90" s="342">
        <v>25</v>
      </c>
      <c r="F90" s="342"/>
      <c r="G90" s="344">
        <f t="shared" si="3"/>
        <v>8858.7999999999847</v>
      </c>
      <c r="H90" s="345"/>
      <c r="I90" s="346"/>
      <c r="J90" s="347"/>
      <c r="K90" s="312"/>
      <c r="L90" s="347"/>
      <c r="M90" s="312"/>
      <c r="N90" s="347"/>
      <c r="O90" s="312"/>
      <c r="P90" s="347"/>
      <c r="Q90" s="312"/>
      <c r="R90" s="347"/>
      <c r="S90" s="312"/>
      <c r="T90" s="347"/>
    </row>
    <row r="91" spans="1:20" ht="12" customHeight="1" x14ac:dyDescent="0.3">
      <c r="A91" s="340" t="s">
        <v>286</v>
      </c>
      <c r="B91" s="341">
        <v>29</v>
      </c>
      <c r="C91" s="309">
        <v>46142</v>
      </c>
      <c r="D91" s="309" t="s">
        <v>208</v>
      </c>
      <c r="E91" s="342">
        <v>45</v>
      </c>
      <c r="F91" s="342"/>
      <c r="G91" s="344">
        <f t="shared" si="3"/>
        <v>8883.7999999999847</v>
      </c>
      <c r="H91" s="345"/>
      <c r="I91" s="346"/>
      <c r="J91" s="347"/>
      <c r="K91" s="312"/>
      <c r="L91" s="347"/>
      <c r="M91" s="312"/>
      <c r="N91" s="347"/>
      <c r="O91" s="312"/>
      <c r="P91" s="347"/>
      <c r="Q91" s="312"/>
      <c r="R91" s="347"/>
      <c r="S91" s="312"/>
      <c r="T91" s="347"/>
    </row>
    <row r="92" spans="1:20" ht="12" customHeight="1" x14ac:dyDescent="0.3">
      <c r="A92" s="340" t="s">
        <v>286</v>
      </c>
      <c r="B92" s="341">
        <v>30</v>
      </c>
      <c r="C92" s="309">
        <v>46142</v>
      </c>
      <c r="D92" s="309" t="s">
        <v>209</v>
      </c>
      <c r="E92" s="342">
        <v>400</v>
      </c>
      <c r="F92" s="342"/>
      <c r="G92" s="344">
        <f t="shared" si="3"/>
        <v>8928.7999999999847</v>
      </c>
      <c r="H92" s="345"/>
      <c r="I92" s="346"/>
      <c r="J92" s="347"/>
      <c r="K92" s="312"/>
      <c r="L92" s="347"/>
      <c r="M92" s="312"/>
      <c r="N92" s="347"/>
      <c r="O92" s="312"/>
      <c r="P92" s="347"/>
      <c r="Q92" s="312"/>
      <c r="R92" s="347"/>
      <c r="S92" s="312"/>
      <c r="T92" s="347"/>
    </row>
    <row r="93" spans="1:20" ht="12" customHeight="1" x14ac:dyDescent="0.3">
      <c r="A93" s="340" t="s">
        <v>286</v>
      </c>
      <c r="B93" s="341">
        <v>31</v>
      </c>
      <c r="C93" s="309">
        <v>46142</v>
      </c>
      <c r="D93" s="309" t="s">
        <v>210</v>
      </c>
      <c r="E93" s="342">
        <v>375</v>
      </c>
      <c r="F93" s="342"/>
      <c r="G93" s="344">
        <f t="shared" si="3"/>
        <v>9328.7999999999847</v>
      </c>
      <c r="H93" s="345"/>
      <c r="I93" s="346"/>
      <c r="J93" s="347"/>
      <c r="K93" s="312"/>
      <c r="L93" s="347"/>
      <c r="M93" s="312"/>
      <c r="N93" s="347"/>
      <c r="O93" s="312"/>
      <c r="P93" s="347"/>
      <c r="Q93" s="312"/>
      <c r="R93" s="347"/>
      <c r="S93" s="312"/>
      <c r="T93" s="347"/>
    </row>
    <row r="94" spans="1:20" ht="12" customHeight="1" x14ac:dyDescent="0.3">
      <c r="A94" s="340" t="s">
        <v>286</v>
      </c>
      <c r="B94" s="341">
        <v>32</v>
      </c>
      <c r="C94" s="309">
        <v>46142</v>
      </c>
      <c r="D94" s="309" t="s">
        <v>211</v>
      </c>
      <c r="E94" s="342">
        <v>100</v>
      </c>
      <c r="F94" s="342"/>
      <c r="G94" s="344">
        <f t="shared" si="3"/>
        <v>9703.7999999999847</v>
      </c>
      <c r="H94" s="345"/>
      <c r="I94" s="346"/>
      <c r="J94" s="347"/>
      <c r="K94" s="312"/>
      <c r="L94" s="347"/>
      <c r="M94" s="312"/>
      <c r="N94" s="347"/>
      <c r="O94" s="312"/>
      <c r="P94" s="347"/>
      <c r="Q94" s="312"/>
      <c r="R94" s="347"/>
      <c r="S94" s="312"/>
      <c r="T94" s="347"/>
    </row>
    <row r="95" spans="1:20" ht="12" customHeight="1" x14ac:dyDescent="0.3">
      <c r="A95" s="340" t="s">
        <v>286</v>
      </c>
      <c r="B95" s="341">
        <v>33</v>
      </c>
      <c r="C95" s="309">
        <v>46142</v>
      </c>
      <c r="D95" s="309" t="s">
        <v>212</v>
      </c>
      <c r="E95" s="342">
        <v>85</v>
      </c>
      <c r="F95" s="342"/>
      <c r="G95" s="344">
        <f t="shared" si="3"/>
        <v>9803.7999999999847</v>
      </c>
      <c r="H95" s="345"/>
      <c r="I95" s="346"/>
      <c r="J95" s="347"/>
      <c r="K95" s="312"/>
      <c r="L95" s="347"/>
      <c r="M95" s="312"/>
      <c r="N95" s="347"/>
      <c r="O95" s="312"/>
      <c r="P95" s="347"/>
      <c r="Q95" s="312"/>
      <c r="R95" s="347"/>
      <c r="S95" s="312"/>
      <c r="T95" s="347"/>
    </row>
    <row r="96" spans="1:20" ht="12" customHeight="1" x14ac:dyDescent="0.3">
      <c r="A96" s="340" t="s">
        <v>286</v>
      </c>
      <c r="B96" s="341">
        <v>34</v>
      </c>
      <c r="C96" s="309">
        <v>46142</v>
      </c>
      <c r="D96" s="309" t="s">
        <v>213</v>
      </c>
      <c r="E96" s="342">
        <v>230</v>
      </c>
      <c r="F96" s="342"/>
      <c r="G96" s="344">
        <f t="shared" si="3"/>
        <v>9888.7999999999847</v>
      </c>
      <c r="H96" s="345"/>
      <c r="I96" s="346"/>
      <c r="J96" s="347"/>
      <c r="K96" s="312"/>
      <c r="L96" s="347"/>
      <c r="M96" s="312"/>
      <c r="N96" s="347"/>
      <c r="O96" s="312"/>
      <c r="P96" s="347"/>
      <c r="Q96" s="312"/>
      <c r="R96" s="347"/>
      <c r="S96" s="312"/>
      <c r="T96" s="347"/>
    </row>
    <row r="97" spans="1:20" ht="12" customHeight="1" x14ac:dyDescent="0.3">
      <c r="A97" s="340" t="s">
        <v>286</v>
      </c>
      <c r="B97" s="341">
        <v>35</v>
      </c>
      <c r="C97" s="309">
        <v>46142</v>
      </c>
      <c r="D97" s="309" t="s">
        <v>214</v>
      </c>
      <c r="E97" s="342">
        <v>45</v>
      </c>
      <c r="F97" s="342"/>
      <c r="G97" s="344">
        <f t="shared" si="3"/>
        <v>10118.799999999985</v>
      </c>
      <c r="H97" s="345"/>
      <c r="I97" s="346"/>
      <c r="J97" s="347"/>
      <c r="K97" s="312"/>
      <c r="L97" s="347"/>
      <c r="M97" s="312"/>
      <c r="N97" s="347"/>
      <c r="O97" s="312"/>
      <c r="P97" s="347"/>
      <c r="Q97" s="312"/>
      <c r="R97" s="347"/>
      <c r="S97" s="312"/>
      <c r="T97" s="347"/>
    </row>
    <row r="98" spans="1:20" ht="12" customHeight="1" x14ac:dyDescent="0.3">
      <c r="A98" s="340" t="s">
        <v>287</v>
      </c>
      <c r="B98" s="341" t="s">
        <v>287</v>
      </c>
      <c r="C98" s="309">
        <v>46142</v>
      </c>
      <c r="D98" s="310" t="s">
        <v>288</v>
      </c>
      <c r="E98" s="342">
        <v>185.64</v>
      </c>
      <c r="F98" s="342">
        <v>185.64</v>
      </c>
      <c r="G98" s="344">
        <f t="shared" si="3"/>
        <v>10163.799999999985</v>
      </c>
      <c r="H98" s="345"/>
      <c r="I98" s="346"/>
      <c r="J98" s="347"/>
      <c r="K98" s="312"/>
      <c r="L98" s="347"/>
      <c r="M98" s="312"/>
      <c r="N98" s="347"/>
      <c r="O98" s="312"/>
      <c r="P98" s="347"/>
      <c r="Q98" s="312"/>
      <c r="R98" s="347"/>
      <c r="S98" s="312"/>
      <c r="T98" s="347"/>
    </row>
    <row r="99" spans="1:20" ht="12" customHeight="1" x14ac:dyDescent="0.3">
      <c r="A99" s="340" t="s">
        <v>289</v>
      </c>
      <c r="B99" s="341">
        <v>6</v>
      </c>
      <c r="C99" s="309">
        <v>46142</v>
      </c>
      <c r="D99" s="310" t="s">
        <v>290</v>
      </c>
      <c r="E99" s="342">
        <v>30</v>
      </c>
      <c r="F99" s="342"/>
      <c r="G99" s="344">
        <f t="shared" si="3"/>
        <v>10163.799999999985</v>
      </c>
      <c r="H99" s="345"/>
      <c r="I99" s="346"/>
      <c r="J99" s="347"/>
      <c r="K99" s="312"/>
      <c r="L99" s="347"/>
      <c r="M99" s="312"/>
      <c r="N99" s="347"/>
      <c r="O99" s="312"/>
      <c r="P99" s="347"/>
      <c r="Q99" s="312"/>
      <c r="R99" s="347"/>
      <c r="S99" s="312"/>
      <c r="T99" s="347"/>
    </row>
    <row r="100" spans="1:20" ht="12" customHeight="1" x14ac:dyDescent="0.3">
      <c r="A100" s="340" t="s">
        <v>291</v>
      </c>
      <c r="B100" s="341">
        <v>39</v>
      </c>
      <c r="C100" s="309">
        <v>46142</v>
      </c>
      <c r="D100" s="310" t="s">
        <v>292</v>
      </c>
      <c r="E100" s="342"/>
      <c r="F100" s="342">
        <v>2763.78</v>
      </c>
      <c r="G100" s="344">
        <f t="shared" si="3"/>
        <v>10193.799999999985</v>
      </c>
      <c r="H100" s="345"/>
      <c r="I100" s="346"/>
      <c r="J100" s="347"/>
      <c r="K100" s="312"/>
      <c r="L100" s="347"/>
      <c r="M100" s="312"/>
      <c r="N100" s="347"/>
      <c r="O100" s="312"/>
      <c r="P100" s="347"/>
      <c r="Q100" s="312"/>
      <c r="R100" s="347"/>
      <c r="S100" s="312"/>
      <c r="T100" s="347"/>
    </row>
    <row r="101" spans="1:20" ht="12" customHeight="1" x14ac:dyDescent="0.3">
      <c r="A101" s="340" t="s">
        <v>291</v>
      </c>
      <c r="B101" s="341">
        <v>38</v>
      </c>
      <c r="C101" s="309">
        <v>46142</v>
      </c>
      <c r="D101" s="310" t="s">
        <v>293</v>
      </c>
      <c r="E101" s="342"/>
      <c r="F101" s="342">
        <v>4597.82</v>
      </c>
      <c r="G101" s="344">
        <f t="shared" si="3"/>
        <v>7430.019999999985</v>
      </c>
      <c r="H101" s="345"/>
      <c r="I101" s="346"/>
      <c r="J101" s="347"/>
      <c r="K101" s="312"/>
      <c r="L101" s="347"/>
      <c r="M101" s="312"/>
      <c r="N101" s="347"/>
      <c r="O101" s="312"/>
      <c r="P101" s="347"/>
      <c r="Q101" s="312"/>
      <c r="R101" s="347"/>
      <c r="S101" s="312"/>
      <c r="T101" s="347"/>
    </row>
    <row r="102" spans="1:20" ht="12" customHeight="1" x14ac:dyDescent="0.3">
      <c r="A102" s="340" t="s">
        <v>294</v>
      </c>
      <c r="B102" s="341">
        <v>42</v>
      </c>
      <c r="C102" s="309">
        <v>46142</v>
      </c>
      <c r="D102" s="310" t="s">
        <v>200</v>
      </c>
      <c r="E102" s="342">
        <v>50.92</v>
      </c>
      <c r="F102" s="342"/>
      <c r="G102" s="344">
        <f t="shared" si="3"/>
        <v>2832.1999999999853</v>
      </c>
      <c r="H102" s="345"/>
      <c r="I102" s="346"/>
      <c r="J102" s="347"/>
      <c r="K102" s="312"/>
      <c r="L102" s="347"/>
      <c r="M102" s="312"/>
      <c r="N102" s="347"/>
      <c r="O102" s="312"/>
      <c r="P102" s="347"/>
      <c r="Q102" s="312"/>
      <c r="R102" s="347"/>
      <c r="S102" s="312"/>
      <c r="T102" s="347"/>
    </row>
    <row r="103" spans="1:20" ht="12" customHeight="1" x14ac:dyDescent="0.3">
      <c r="A103" s="340" t="s">
        <v>294</v>
      </c>
      <c r="B103" s="341">
        <v>43</v>
      </c>
      <c r="C103" s="309">
        <v>46142</v>
      </c>
      <c r="D103" s="310" t="s">
        <v>201</v>
      </c>
      <c r="E103" s="342">
        <v>50.92</v>
      </c>
      <c r="F103" s="342"/>
      <c r="G103" s="344">
        <f t="shared" si="3"/>
        <v>2883.1199999999853</v>
      </c>
      <c r="H103" s="345"/>
      <c r="I103" s="346"/>
      <c r="J103" s="347"/>
      <c r="K103" s="312"/>
      <c r="L103" s="347"/>
      <c r="M103" s="312"/>
      <c r="N103" s="347"/>
      <c r="O103" s="312"/>
      <c r="P103" s="347"/>
      <c r="Q103" s="312"/>
      <c r="R103" s="347"/>
      <c r="S103" s="312"/>
      <c r="T103" s="347"/>
    </row>
    <row r="104" spans="1:20" ht="12" customHeight="1" x14ac:dyDescent="0.3">
      <c r="A104" s="340" t="s">
        <v>289</v>
      </c>
      <c r="B104" s="341">
        <v>4</v>
      </c>
      <c r="C104" s="309">
        <v>46142</v>
      </c>
      <c r="D104" s="310" t="s">
        <v>295</v>
      </c>
      <c r="E104" s="342">
        <v>35.799999999999997</v>
      </c>
      <c r="F104" s="342"/>
      <c r="G104" s="344">
        <f t="shared" si="3"/>
        <v>2934.0399999999854</v>
      </c>
      <c r="H104" s="345"/>
      <c r="I104" s="346"/>
      <c r="J104" s="347"/>
      <c r="K104" s="312"/>
      <c r="L104" s="347"/>
      <c r="M104" s="312"/>
      <c r="N104" s="347"/>
      <c r="O104" s="312"/>
      <c r="P104" s="347"/>
      <c r="Q104" s="312"/>
      <c r="R104" s="347"/>
      <c r="S104" s="312"/>
      <c r="T104" s="347"/>
    </row>
    <row r="105" spans="1:20" ht="12" customHeight="1" x14ac:dyDescent="0.3">
      <c r="A105" s="340" t="s">
        <v>294</v>
      </c>
      <c r="B105" s="341">
        <v>10</v>
      </c>
      <c r="C105" s="309">
        <v>46142</v>
      </c>
      <c r="D105" s="310" t="s">
        <v>176</v>
      </c>
      <c r="E105" s="342">
        <v>17.899999999999999</v>
      </c>
      <c r="F105" s="342"/>
      <c r="G105" s="344">
        <f t="shared" si="3"/>
        <v>2969.8399999999856</v>
      </c>
      <c r="H105" s="345"/>
      <c r="I105" s="346"/>
      <c r="J105" s="347"/>
      <c r="K105" s="312"/>
      <c r="L105" s="347"/>
      <c r="M105" s="312"/>
      <c r="N105" s="347"/>
      <c r="O105" s="312"/>
      <c r="P105" s="347"/>
      <c r="Q105" s="312"/>
      <c r="R105" s="347"/>
      <c r="S105" s="312"/>
      <c r="T105" s="347"/>
    </row>
    <row r="106" spans="1:20" ht="12" customHeight="1" x14ac:dyDescent="0.3">
      <c r="A106" s="340" t="s">
        <v>289</v>
      </c>
      <c r="B106" s="341">
        <v>2</v>
      </c>
      <c r="C106" s="309">
        <v>46142</v>
      </c>
      <c r="D106" s="310" t="s">
        <v>296</v>
      </c>
      <c r="E106" s="342">
        <v>8.7200000000000006</v>
      </c>
      <c r="F106" s="342"/>
      <c r="G106" s="344">
        <f t="shared" si="3"/>
        <v>2987.7399999999857</v>
      </c>
      <c r="H106" s="345"/>
      <c r="I106" s="346"/>
      <c r="J106" s="347"/>
      <c r="K106" s="312"/>
      <c r="L106" s="347"/>
      <c r="M106" s="312"/>
      <c r="N106" s="347"/>
      <c r="O106" s="312"/>
      <c r="P106" s="347"/>
      <c r="Q106" s="312"/>
      <c r="R106" s="347"/>
      <c r="S106" s="312"/>
      <c r="T106" s="347"/>
    </row>
    <row r="107" spans="1:20" ht="12" customHeight="1" x14ac:dyDescent="0.3">
      <c r="A107" s="340" t="s">
        <v>289</v>
      </c>
      <c r="B107" s="341">
        <v>2</v>
      </c>
      <c r="C107" s="309">
        <v>46142</v>
      </c>
      <c r="D107" s="310" t="s">
        <v>297</v>
      </c>
      <c r="E107" s="342">
        <v>100</v>
      </c>
      <c r="F107" s="342"/>
      <c r="G107" s="344">
        <f t="shared" si="3"/>
        <v>2996.4599999999855</v>
      </c>
      <c r="H107" s="345" t="s">
        <v>298</v>
      </c>
      <c r="I107" s="346"/>
      <c r="J107" s="347"/>
      <c r="K107" s="312"/>
      <c r="L107" s="347"/>
      <c r="M107" s="312"/>
      <c r="N107" s="347"/>
      <c r="O107" s="312"/>
      <c r="P107" s="347"/>
      <c r="Q107" s="312"/>
      <c r="R107" s="347"/>
      <c r="S107" s="312"/>
      <c r="T107" s="347"/>
    </row>
    <row r="108" spans="1:20" ht="12" customHeight="1" x14ac:dyDescent="0.3">
      <c r="A108" s="340" t="s">
        <v>289</v>
      </c>
      <c r="B108" s="341">
        <v>5</v>
      </c>
      <c r="C108" s="309">
        <v>46142</v>
      </c>
      <c r="D108" s="310" t="s">
        <v>297</v>
      </c>
      <c r="E108" s="342">
        <v>100</v>
      </c>
      <c r="F108" s="342"/>
      <c r="G108" s="344">
        <f t="shared" si="3"/>
        <v>3096.4599999999855</v>
      </c>
      <c r="H108" s="345" t="s">
        <v>298</v>
      </c>
      <c r="I108" s="346"/>
      <c r="J108" s="347"/>
      <c r="K108" s="312"/>
      <c r="L108" s="347"/>
      <c r="M108" s="312"/>
      <c r="N108" s="347"/>
      <c r="O108" s="312"/>
      <c r="P108" s="347"/>
      <c r="Q108" s="312"/>
      <c r="R108" s="347"/>
      <c r="S108" s="312"/>
      <c r="T108" s="347"/>
    </row>
    <row r="109" spans="1:20" ht="12" customHeight="1" x14ac:dyDescent="0.3">
      <c r="A109" s="340" t="s">
        <v>289</v>
      </c>
      <c r="B109" s="341">
        <v>6</v>
      </c>
      <c r="C109" s="309">
        <v>46142</v>
      </c>
      <c r="D109" s="310" t="s">
        <v>297</v>
      </c>
      <c r="E109" s="342">
        <v>100</v>
      </c>
      <c r="F109" s="342"/>
      <c r="G109" s="344">
        <f t="shared" si="3"/>
        <v>3196.4599999999855</v>
      </c>
      <c r="H109" s="345" t="s">
        <v>298</v>
      </c>
      <c r="I109" s="346"/>
      <c r="J109" s="347"/>
      <c r="K109" s="312"/>
      <c r="L109" s="347"/>
      <c r="M109" s="312"/>
      <c r="N109" s="347"/>
      <c r="O109" s="312"/>
      <c r="P109" s="347"/>
      <c r="Q109" s="312"/>
      <c r="R109" s="347"/>
      <c r="S109" s="312"/>
      <c r="T109" s="347"/>
    </row>
    <row r="110" spans="1:20" ht="12" customHeight="1" x14ac:dyDescent="0.3">
      <c r="A110" s="340" t="s">
        <v>289</v>
      </c>
      <c r="B110" s="341">
        <v>8</v>
      </c>
      <c r="C110" s="309">
        <v>46142</v>
      </c>
      <c r="D110" s="310" t="s">
        <v>297</v>
      </c>
      <c r="E110" s="342">
        <v>100</v>
      </c>
      <c r="F110" s="342"/>
      <c r="G110" s="344">
        <f t="shared" si="3"/>
        <v>3296.4599999999855</v>
      </c>
      <c r="H110" s="345" t="s">
        <v>298</v>
      </c>
      <c r="I110" s="346"/>
      <c r="J110" s="347"/>
      <c r="K110" s="312"/>
      <c r="L110" s="347"/>
      <c r="M110" s="312"/>
      <c r="N110" s="347"/>
      <c r="O110" s="312"/>
      <c r="P110" s="347"/>
      <c r="Q110" s="312"/>
      <c r="R110" s="347"/>
      <c r="S110" s="312"/>
      <c r="T110" s="347"/>
    </row>
    <row r="111" spans="1:20" ht="12" customHeight="1" x14ac:dyDescent="0.3">
      <c r="A111" s="340" t="s">
        <v>291</v>
      </c>
      <c r="B111" s="341">
        <v>41</v>
      </c>
      <c r="C111" s="309">
        <v>46142</v>
      </c>
      <c r="D111" s="310" t="s">
        <v>299</v>
      </c>
      <c r="E111" s="342"/>
      <c r="F111" s="342">
        <v>250</v>
      </c>
      <c r="G111" s="344">
        <f t="shared" si="3"/>
        <v>3396.4599999999855</v>
      </c>
      <c r="H111" s="345"/>
      <c r="I111" s="346"/>
      <c r="J111" s="347"/>
      <c r="K111" s="312"/>
      <c r="L111" s="347"/>
      <c r="M111" s="312"/>
      <c r="N111" s="347"/>
      <c r="O111" s="312"/>
      <c r="P111" s="347"/>
      <c r="Q111" s="312"/>
      <c r="R111" s="347"/>
      <c r="S111" s="312"/>
      <c r="T111" s="347"/>
    </row>
    <row r="112" spans="1:20" ht="12" customHeight="1" x14ac:dyDescent="0.3">
      <c r="A112" s="340" t="s">
        <v>289</v>
      </c>
      <c r="B112" s="341">
        <v>6</v>
      </c>
      <c r="C112" s="309">
        <v>46142</v>
      </c>
      <c r="D112" s="310" t="s">
        <v>300</v>
      </c>
      <c r="E112" s="342">
        <v>42.44</v>
      </c>
      <c r="F112" s="342"/>
      <c r="G112" s="344">
        <f t="shared" si="3"/>
        <v>3146.4599999999855</v>
      </c>
      <c r="H112" s="345"/>
      <c r="I112" s="346"/>
      <c r="J112" s="347"/>
      <c r="K112" s="312"/>
      <c r="L112" s="347"/>
      <c r="M112" s="312"/>
      <c r="N112" s="347"/>
      <c r="O112" s="312"/>
      <c r="P112" s="347"/>
      <c r="Q112" s="312"/>
      <c r="R112" s="347"/>
      <c r="S112" s="312"/>
      <c r="T112" s="347"/>
    </row>
    <row r="113" spans="1:20" ht="12" customHeight="1" x14ac:dyDescent="0.3">
      <c r="A113" s="340" t="s">
        <v>289</v>
      </c>
      <c r="B113" s="341">
        <v>6</v>
      </c>
      <c r="C113" s="309">
        <v>46142</v>
      </c>
      <c r="D113" s="310" t="s">
        <v>300</v>
      </c>
      <c r="E113" s="342">
        <v>24.05</v>
      </c>
      <c r="F113" s="342"/>
      <c r="G113" s="344">
        <f t="shared" si="3"/>
        <v>3188.8999999999855</v>
      </c>
      <c r="H113" s="345"/>
      <c r="I113" s="346"/>
      <c r="J113" s="347"/>
      <c r="K113" s="312"/>
      <c r="L113" s="347"/>
      <c r="M113" s="312"/>
      <c r="N113" s="347"/>
      <c r="O113" s="312"/>
      <c r="P113" s="347"/>
      <c r="Q113" s="312"/>
      <c r="R113" s="347"/>
      <c r="S113" s="312"/>
      <c r="T113" s="347"/>
    </row>
    <row r="114" spans="1:20" ht="12" customHeight="1" x14ac:dyDescent="0.3">
      <c r="A114" s="340" t="s">
        <v>289</v>
      </c>
      <c r="B114" s="341">
        <v>2</v>
      </c>
      <c r="C114" s="309">
        <v>46141</v>
      </c>
      <c r="D114" s="310" t="s">
        <v>301</v>
      </c>
      <c r="E114" s="342">
        <v>31.8</v>
      </c>
      <c r="F114" s="342"/>
      <c r="G114" s="344">
        <f t="shared" si="3"/>
        <v>3212.9499999999857</v>
      </c>
      <c r="H114" s="345"/>
      <c r="I114" s="346"/>
      <c r="J114" s="347"/>
      <c r="K114" s="312"/>
      <c r="L114" s="347"/>
      <c r="M114" s="312"/>
      <c r="N114" s="347"/>
      <c r="O114" s="312"/>
      <c r="P114" s="347"/>
      <c r="Q114" s="312"/>
      <c r="R114" s="347"/>
      <c r="S114" s="312"/>
      <c r="T114" s="347"/>
    </row>
    <row r="115" spans="1:20" ht="12" customHeight="1" x14ac:dyDescent="0.3">
      <c r="A115" s="340" t="s">
        <v>289</v>
      </c>
      <c r="B115" s="341">
        <v>6</v>
      </c>
      <c r="C115" s="309">
        <v>46141</v>
      </c>
      <c r="D115" s="310" t="s">
        <v>302</v>
      </c>
      <c r="E115" s="342">
        <v>100</v>
      </c>
      <c r="F115" s="342"/>
      <c r="G115" s="344">
        <f t="shared" si="3"/>
        <v>3244.7499999999859</v>
      </c>
      <c r="H115" s="345"/>
      <c r="I115" s="346"/>
      <c r="J115" s="347"/>
      <c r="K115" s="312"/>
      <c r="L115" s="347"/>
      <c r="M115" s="312"/>
      <c r="N115" s="347"/>
      <c r="O115" s="312"/>
      <c r="P115" s="347"/>
      <c r="Q115" s="312"/>
      <c r="R115" s="347"/>
      <c r="S115" s="312"/>
      <c r="T115" s="347"/>
    </row>
    <row r="116" spans="1:20" ht="12" customHeight="1" x14ac:dyDescent="0.3">
      <c r="A116" s="340" t="s">
        <v>289</v>
      </c>
      <c r="B116" s="341">
        <v>6</v>
      </c>
      <c r="C116" s="309">
        <v>46141</v>
      </c>
      <c r="D116" s="310" t="s">
        <v>303</v>
      </c>
      <c r="E116" s="342">
        <v>75</v>
      </c>
      <c r="F116" s="342"/>
      <c r="G116" s="344">
        <f t="shared" si="3"/>
        <v>3344.7499999999859</v>
      </c>
      <c r="H116" s="345"/>
      <c r="I116" s="346"/>
      <c r="J116" s="347"/>
      <c r="K116" s="312"/>
      <c r="L116" s="347"/>
      <c r="M116" s="312"/>
      <c r="N116" s="347"/>
      <c r="O116" s="312"/>
      <c r="P116" s="347"/>
      <c r="Q116" s="312"/>
      <c r="R116" s="347"/>
      <c r="S116" s="312"/>
      <c r="T116" s="347"/>
    </row>
    <row r="117" spans="1:20" ht="12" customHeight="1" x14ac:dyDescent="0.3">
      <c r="A117" s="340" t="s">
        <v>289</v>
      </c>
      <c r="B117" s="341">
        <v>1</v>
      </c>
      <c r="C117" s="309">
        <v>46141</v>
      </c>
      <c r="D117" s="310" t="s">
        <v>304</v>
      </c>
      <c r="E117" s="342">
        <v>52.5</v>
      </c>
      <c r="F117" s="342"/>
      <c r="G117" s="344">
        <f t="shared" si="3"/>
        <v>3419.7499999999859</v>
      </c>
      <c r="H117" s="345"/>
      <c r="I117" s="346"/>
      <c r="J117" s="347"/>
      <c r="K117" s="312"/>
      <c r="L117" s="347"/>
      <c r="M117" s="312"/>
      <c r="N117" s="347"/>
      <c r="O117" s="312"/>
      <c r="P117" s="347"/>
      <c r="Q117" s="312"/>
      <c r="R117" s="347"/>
      <c r="S117" s="312"/>
      <c r="T117" s="347"/>
    </row>
    <row r="118" spans="1:20" ht="12" customHeight="1" x14ac:dyDescent="0.3">
      <c r="A118" s="340" t="s">
        <v>289</v>
      </c>
      <c r="B118" s="341">
        <v>6</v>
      </c>
      <c r="C118" s="309">
        <v>46141</v>
      </c>
      <c r="D118" s="310" t="s">
        <v>305</v>
      </c>
      <c r="E118" s="342">
        <v>-256</v>
      </c>
      <c r="F118" s="342"/>
      <c r="G118" s="344">
        <f t="shared" si="3"/>
        <v>3472.2499999999859</v>
      </c>
      <c r="H118" s="345"/>
      <c r="I118" s="346"/>
      <c r="J118" s="347"/>
      <c r="K118" s="312"/>
      <c r="L118" s="347"/>
      <c r="M118" s="312"/>
      <c r="N118" s="347"/>
      <c r="O118" s="312"/>
      <c r="P118" s="347"/>
      <c r="Q118" s="312"/>
      <c r="R118" s="347"/>
      <c r="S118" s="312"/>
      <c r="T118" s="347"/>
    </row>
    <row r="119" spans="1:20" ht="12" customHeight="1" x14ac:dyDescent="0.3">
      <c r="A119" s="340" t="s">
        <v>289</v>
      </c>
      <c r="B119" s="341">
        <v>6</v>
      </c>
      <c r="C119" s="309">
        <v>46140</v>
      </c>
      <c r="D119" s="310" t="s">
        <v>306</v>
      </c>
      <c r="E119" s="342">
        <v>20.38</v>
      </c>
      <c r="F119" s="342"/>
      <c r="G119" s="344">
        <f t="shared" si="3"/>
        <v>3216.2499999999859</v>
      </c>
      <c r="H119" s="345"/>
      <c r="I119" s="346"/>
      <c r="J119" s="347"/>
      <c r="K119" s="312"/>
      <c r="L119" s="347"/>
      <c r="M119" s="312"/>
      <c r="N119" s="347"/>
      <c r="O119" s="312"/>
      <c r="P119" s="347"/>
      <c r="Q119" s="312"/>
      <c r="R119" s="347"/>
      <c r="S119" s="312"/>
      <c r="T119" s="347"/>
    </row>
    <row r="120" spans="1:20" ht="12" customHeight="1" x14ac:dyDescent="0.3">
      <c r="A120" s="340" t="s">
        <v>289</v>
      </c>
      <c r="B120" s="341">
        <v>2</v>
      </c>
      <c r="C120" s="309">
        <v>46140</v>
      </c>
      <c r="D120" s="310" t="s">
        <v>296</v>
      </c>
      <c r="E120" s="342">
        <v>15.41</v>
      </c>
      <c r="F120" s="342"/>
      <c r="G120" s="344">
        <f t="shared" si="3"/>
        <v>3236.629999999986</v>
      </c>
      <c r="H120" s="345"/>
      <c r="I120" s="346"/>
      <c r="J120" s="347"/>
      <c r="K120" s="312"/>
      <c r="L120" s="347"/>
      <c r="M120" s="312"/>
      <c r="N120" s="347"/>
      <c r="O120" s="312"/>
      <c r="P120" s="347"/>
      <c r="Q120" s="312"/>
      <c r="R120" s="347"/>
      <c r="S120" s="312"/>
      <c r="T120" s="347"/>
    </row>
    <row r="121" spans="1:20" ht="12" customHeight="1" x14ac:dyDescent="0.3">
      <c r="A121" s="340" t="s">
        <v>289</v>
      </c>
      <c r="B121" s="341">
        <v>4</v>
      </c>
      <c r="C121" s="309">
        <v>46140</v>
      </c>
      <c r="D121" s="310" t="s">
        <v>296</v>
      </c>
      <c r="E121" s="342">
        <v>33.840000000000003</v>
      </c>
      <c r="F121" s="342"/>
      <c r="G121" s="344">
        <f t="shared" si="3"/>
        <v>3252.0399999999859</v>
      </c>
      <c r="H121" s="345"/>
      <c r="I121" s="346"/>
      <c r="J121" s="347"/>
      <c r="K121" s="312"/>
      <c r="L121" s="347"/>
      <c r="M121" s="312"/>
      <c r="N121" s="347"/>
      <c r="O121" s="312"/>
      <c r="P121" s="347"/>
      <c r="Q121" s="312"/>
      <c r="R121" s="347"/>
      <c r="S121" s="312"/>
      <c r="T121" s="347"/>
    </row>
    <row r="122" spans="1:20" ht="12" customHeight="1" x14ac:dyDescent="0.3">
      <c r="A122" s="340" t="s">
        <v>289</v>
      </c>
      <c r="B122" s="341">
        <v>1</v>
      </c>
      <c r="C122" s="309">
        <v>46140</v>
      </c>
      <c r="D122" s="310" t="s">
        <v>307</v>
      </c>
      <c r="E122" s="342">
        <v>5.3</v>
      </c>
      <c r="F122" s="342"/>
      <c r="G122" s="344">
        <f t="shared" si="3"/>
        <v>3285.879999999986</v>
      </c>
      <c r="H122" s="345"/>
      <c r="I122" s="346"/>
      <c r="J122" s="347"/>
      <c r="K122" s="312"/>
      <c r="L122" s="347"/>
      <c r="M122" s="312"/>
      <c r="N122" s="347"/>
      <c r="O122" s="312"/>
      <c r="P122" s="347"/>
      <c r="Q122" s="312"/>
      <c r="R122" s="347"/>
      <c r="S122" s="312"/>
      <c r="T122" s="347"/>
    </row>
    <row r="123" spans="1:20" ht="12" customHeight="1" x14ac:dyDescent="0.3">
      <c r="A123" s="340" t="s">
        <v>289</v>
      </c>
      <c r="B123" s="341">
        <v>5</v>
      </c>
      <c r="C123" s="309">
        <v>46140</v>
      </c>
      <c r="D123" s="310" t="s">
        <v>308</v>
      </c>
      <c r="E123" s="342">
        <v>500</v>
      </c>
      <c r="F123" s="342"/>
      <c r="G123" s="344">
        <f t="shared" si="3"/>
        <v>3291.1799999999862</v>
      </c>
      <c r="H123" s="345"/>
      <c r="I123" s="346"/>
      <c r="J123" s="347"/>
      <c r="K123" s="312"/>
      <c r="L123" s="347"/>
      <c r="M123" s="312"/>
      <c r="N123" s="347"/>
      <c r="O123" s="312"/>
      <c r="P123" s="347"/>
      <c r="Q123" s="312"/>
      <c r="R123" s="347"/>
      <c r="S123" s="312"/>
      <c r="T123" s="347"/>
    </row>
    <row r="124" spans="1:20" ht="12" customHeight="1" x14ac:dyDescent="0.3">
      <c r="A124" s="340" t="s">
        <v>289</v>
      </c>
      <c r="B124" s="341">
        <v>8</v>
      </c>
      <c r="C124" s="309">
        <v>46140</v>
      </c>
      <c r="D124" s="310" t="s">
        <v>309</v>
      </c>
      <c r="E124" s="342">
        <v>47.99</v>
      </c>
      <c r="F124" s="342"/>
      <c r="G124" s="344">
        <f t="shared" si="3"/>
        <v>3791.1799999999862</v>
      </c>
      <c r="H124" s="345"/>
      <c r="I124" s="346"/>
      <c r="J124" s="347"/>
      <c r="K124" s="312"/>
      <c r="L124" s="347"/>
      <c r="M124" s="312"/>
      <c r="N124" s="347"/>
      <c r="O124" s="312"/>
      <c r="P124" s="347"/>
      <c r="Q124" s="312"/>
      <c r="R124" s="347"/>
      <c r="S124" s="312"/>
      <c r="T124" s="347"/>
    </row>
    <row r="125" spans="1:20" ht="12" customHeight="1" x14ac:dyDescent="0.3">
      <c r="A125" s="340" t="s">
        <v>289</v>
      </c>
      <c r="B125" s="341">
        <v>3</v>
      </c>
      <c r="C125" s="309">
        <v>46139</v>
      </c>
      <c r="D125" s="310" t="s">
        <v>310</v>
      </c>
      <c r="E125" s="342">
        <v>13.11</v>
      </c>
      <c r="F125" s="342"/>
      <c r="G125" s="344">
        <f t="shared" si="3"/>
        <v>3839.169999999986</v>
      </c>
      <c r="H125" s="345"/>
      <c r="I125" s="346"/>
      <c r="J125" s="347"/>
      <c r="K125" s="312"/>
      <c r="L125" s="347"/>
      <c r="M125" s="312"/>
      <c r="N125" s="347"/>
      <c r="O125" s="312"/>
      <c r="P125" s="347"/>
      <c r="Q125" s="312"/>
      <c r="R125" s="347"/>
      <c r="S125" s="312"/>
      <c r="T125" s="347"/>
    </row>
    <row r="126" spans="1:20" ht="12" customHeight="1" x14ac:dyDescent="0.3">
      <c r="A126" s="340" t="s">
        <v>289</v>
      </c>
      <c r="B126" s="341">
        <v>4</v>
      </c>
      <c r="C126" s="309">
        <v>46139</v>
      </c>
      <c r="D126" s="310" t="s">
        <v>311</v>
      </c>
      <c r="E126" s="342">
        <v>30.54</v>
      </c>
      <c r="F126" s="342"/>
      <c r="G126" s="344">
        <f t="shared" si="3"/>
        <v>3852.2799999999861</v>
      </c>
      <c r="H126" s="345"/>
      <c r="I126" s="346"/>
      <c r="J126" s="347"/>
      <c r="K126" s="312"/>
      <c r="L126" s="347"/>
      <c r="M126" s="312"/>
      <c r="N126" s="347"/>
      <c r="O126" s="312"/>
      <c r="P126" s="347"/>
      <c r="Q126" s="312"/>
      <c r="R126" s="347"/>
      <c r="S126" s="312"/>
      <c r="T126" s="347"/>
    </row>
    <row r="127" spans="1:20" ht="12" customHeight="1" x14ac:dyDescent="0.3">
      <c r="A127" s="340" t="s">
        <v>289</v>
      </c>
      <c r="B127" s="341">
        <v>1</v>
      </c>
      <c r="C127" s="309">
        <v>46139</v>
      </c>
      <c r="D127" s="310" t="s">
        <v>312</v>
      </c>
      <c r="E127" s="342">
        <v>163.01</v>
      </c>
      <c r="F127" s="342"/>
      <c r="G127" s="344">
        <f t="shared" si="3"/>
        <v>3882.8199999999861</v>
      </c>
      <c r="H127" s="345"/>
      <c r="I127" s="346"/>
      <c r="J127" s="347"/>
      <c r="K127" s="312"/>
      <c r="L127" s="347"/>
      <c r="M127" s="312"/>
      <c r="N127" s="347"/>
      <c r="O127" s="312"/>
      <c r="P127" s="347"/>
      <c r="Q127" s="312"/>
      <c r="R127" s="347"/>
      <c r="S127" s="312"/>
      <c r="T127" s="347"/>
    </row>
    <row r="128" spans="1:20" ht="12" customHeight="1" x14ac:dyDescent="0.3">
      <c r="A128" s="340" t="s">
        <v>289</v>
      </c>
      <c r="B128" s="341">
        <v>6</v>
      </c>
      <c r="C128" s="309">
        <v>46139</v>
      </c>
      <c r="D128" s="310" t="s">
        <v>313</v>
      </c>
      <c r="E128" s="342">
        <v>54.97</v>
      </c>
      <c r="F128" s="342"/>
      <c r="G128" s="344">
        <f t="shared" si="3"/>
        <v>4045.8299999999858</v>
      </c>
      <c r="H128" s="345"/>
      <c r="I128" s="346"/>
      <c r="J128" s="347"/>
      <c r="K128" s="312"/>
      <c r="L128" s="347"/>
      <c r="M128" s="312"/>
      <c r="N128" s="347"/>
      <c r="O128" s="312"/>
      <c r="P128" s="347"/>
      <c r="Q128" s="312"/>
      <c r="R128" s="347"/>
      <c r="S128" s="312"/>
      <c r="T128" s="347"/>
    </row>
    <row r="129" spans="1:20" ht="12" customHeight="1" x14ac:dyDescent="0.3">
      <c r="A129" s="340" t="s">
        <v>289</v>
      </c>
      <c r="B129" s="341">
        <v>1</v>
      </c>
      <c r="C129" s="309">
        <v>46139</v>
      </c>
      <c r="D129" s="310" t="s">
        <v>307</v>
      </c>
      <c r="E129" s="342">
        <v>51.28</v>
      </c>
      <c r="F129" s="342"/>
      <c r="G129" s="344">
        <f t="shared" si="3"/>
        <v>4100.7999999999856</v>
      </c>
      <c r="H129" s="345"/>
      <c r="I129" s="346"/>
      <c r="J129" s="347"/>
      <c r="K129" s="312"/>
      <c r="L129" s="347"/>
      <c r="M129" s="312"/>
      <c r="N129" s="347"/>
      <c r="O129" s="312"/>
      <c r="P129" s="347"/>
      <c r="Q129" s="312"/>
      <c r="R129" s="347"/>
      <c r="S129" s="312"/>
      <c r="T129" s="347"/>
    </row>
    <row r="130" spans="1:20" ht="12" customHeight="1" x14ac:dyDescent="0.3">
      <c r="A130" s="340" t="s">
        <v>289</v>
      </c>
      <c r="B130" s="341">
        <v>6</v>
      </c>
      <c r="C130" s="309">
        <v>46138</v>
      </c>
      <c r="D130" s="310" t="s">
        <v>313</v>
      </c>
      <c r="E130" s="342">
        <v>38.979999999999997</v>
      </c>
      <c r="F130" s="342"/>
      <c r="G130" s="344">
        <f t="shared" si="3"/>
        <v>4152.0799999999854</v>
      </c>
      <c r="H130" s="345"/>
      <c r="I130" s="346"/>
      <c r="J130" s="347"/>
      <c r="K130" s="312"/>
      <c r="L130" s="347"/>
      <c r="M130" s="312"/>
      <c r="N130" s="347"/>
      <c r="O130" s="312"/>
      <c r="P130" s="347"/>
      <c r="Q130" s="312"/>
      <c r="R130" s="347"/>
      <c r="S130" s="312"/>
      <c r="T130" s="347"/>
    </row>
    <row r="131" spans="1:20" ht="12" customHeight="1" x14ac:dyDescent="0.3">
      <c r="A131" s="340" t="s">
        <v>289</v>
      </c>
      <c r="B131" s="341">
        <v>2</v>
      </c>
      <c r="C131" s="309">
        <v>46138</v>
      </c>
      <c r="D131" s="310" t="s">
        <v>314</v>
      </c>
      <c r="E131" s="342">
        <v>39.83</v>
      </c>
      <c r="F131" s="342"/>
      <c r="G131" s="344">
        <f t="shared" si="3"/>
        <v>4191.0599999999849</v>
      </c>
      <c r="H131" s="345"/>
      <c r="I131" s="346"/>
      <c r="J131" s="347"/>
      <c r="K131" s="312"/>
      <c r="L131" s="347"/>
      <c r="M131" s="312"/>
      <c r="N131" s="347"/>
      <c r="O131" s="312"/>
      <c r="P131" s="347"/>
      <c r="Q131" s="312"/>
      <c r="R131" s="347"/>
      <c r="S131" s="312"/>
      <c r="T131" s="347"/>
    </row>
    <row r="132" spans="1:20" ht="12" customHeight="1" x14ac:dyDescent="0.3">
      <c r="A132" s="340" t="s">
        <v>289</v>
      </c>
      <c r="B132" s="341">
        <v>8</v>
      </c>
      <c r="C132" s="309">
        <v>46138</v>
      </c>
      <c r="D132" s="310" t="s">
        <v>314</v>
      </c>
      <c r="E132" s="342">
        <v>51.24</v>
      </c>
      <c r="F132" s="342"/>
      <c r="G132" s="344">
        <f t="shared" si="3"/>
        <v>4230.8899999999849</v>
      </c>
      <c r="H132" s="345"/>
      <c r="I132" s="346"/>
      <c r="J132" s="347"/>
      <c r="K132" s="312"/>
      <c r="L132" s="347"/>
      <c r="M132" s="312"/>
      <c r="N132" s="347"/>
      <c r="O132" s="312"/>
      <c r="P132" s="347"/>
      <c r="Q132" s="312"/>
      <c r="R132" s="347"/>
      <c r="S132" s="312"/>
      <c r="T132" s="347"/>
    </row>
    <row r="133" spans="1:20" ht="12" customHeight="1" x14ac:dyDescent="0.3">
      <c r="A133" s="340" t="s">
        <v>294</v>
      </c>
      <c r="B133" s="341">
        <v>12</v>
      </c>
      <c r="C133" s="309">
        <v>46137</v>
      </c>
      <c r="D133" s="310" t="s">
        <v>315</v>
      </c>
      <c r="E133" s="342">
        <v>214.74</v>
      </c>
      <c r="F133" s="342"/>
      <c r="G133" s="344">
        <f t="shared" si="3"/>
        <v>4282.1299999999846</v>
      </c>
      <c r="H133" s="345"/>
      <c r="I133" s="346"/>
      <c r="J133" s="347"/>
      <c r="K133" s="312"/>
      <c r="L133" s="347"/>
      <c r="M133" s="312"/>
      <c r="N133" s="347"/>
      <c r="O133" s="312"/>
      <c r="P133" s="347"/>
      <c r="Q133" s="312"/>
      <c r="R133" s="347"/>
      <c r="S133" s="312"/>
      <c r="T133" s="347"/>
    </row>
    <row r="134" spans="1:20" ht="12" customHeight="1" x14ac:dyDescent="0.3">
      <c r="A134" s="340" t="s">
        <v>287</v>
      </c>
      <c r="B134" s="341" t="s">
        <v>287</v>
      </c>
      <c r="C134" s="309">
        <v>46136</v>
      </c>
      <c r="D134" s="310" t="s">
        <v>316</v>
      </c>
      <c r="E134" s="342">
        <v>127.68</v>
      </c>
      <c r="F134" s="342">
        <v>127.68</v>
      </c>
      <c r="G134" s="344">
        <f t="shared" si="3"/>
        <v>4496.8699999999844</v>
      </c>
      <c r="H134" s="345"/>
      <c r="I134" s="346"/>
      <c r="J134" s="347"/>
      <c r="K134" s="312"/>
      <c r="L134" s="347"/>
      <c r="M134" s="312"/>
      <c r="N134" s="347"/>
      <c r="O134" s="312"/>
      <c r="P134" s="347"/>
      <c r="Q134" s="312"/>
      <c r="R134" s="347"/>
      <c r="S134" s="312"/>
      <c r="T134" s="347"/>
    </row>
    <row r="135" spans="1:20" ht="12" customHeight="1" x14ac:dyDescent="0.3">
      <c r="A135" s="340" t="s">
        <v>289</v>
      </c>
      <c r="B135" s="341">
        <v>8</v>
      </c>
      <c r="C135" s="309">
        <v>46135</v>
      </c>
      <c r="D135" s="310" t="s">
        <v>317</v>
      </c>
      <c r="E135" s="342">
        <v>65</v>
      </c>
      <c r="F135" s="342"/>
      <c r="G135" s="344">
        <f t="shared" si="3"/>
        <v>4496.8699999999844</v>
      </c>
      <c r="H135" s="345"/>
      <c r="I135" s="346"/>
      <c r="J135" s="347"/>
      <c r="K135" s="312"/>
      <c r="L135" s="347"/>
      <c r="M135" s="312"/>
      <c r="N135" s="347"/>
      <c r="O135" s="312"/>
      <c r="P135" s="347"/>
      <c r="Q135" s="312"/>
      <c r="R135" s="347"/>
      <c r="S135" s="312"/>
      <c r="T135" s="347"/>
    </row>
    <row r="136" spans="1:20" ht="12" customHeight="1" x14ac:dyDescent="0.3">
      <c r="A136" s="340" t="s">
        <v>291</v>
      </c>
      <c r="B136" s="341">
        <v>40</v>
      </c>
      <c r="C136" s="309">
        <v>46134</v>
      </c>
      <c r="D136" s="310" t="s">
        <v>318</v>
      </c>
      <c r="E136" s="342"/>
      <c r="F136" s="342">
        <v>838.69</v>
      </c>
      <c r="G136" s="344">
        <f t="shared" si="3"/>
        <v>4561.8699999999844</v>
      </c>
      <c r="H136" s="345"/>
      <c r="I136" s="346"/>
      <c r="J136" s="347"/>
      <c r="K136" s="312"/>
      <c r="L136" s="347"/>
      <c r="M136" s="312"/>
      <c r="N136" s="347"/>
      <c r="O136" s="312"/>
      <c r="P136" s="347"/>
      <c r="Q136" s="312"/>
      <c r="R136" s="347"/>
      <c r="S136" s="312"/>
      <c r="T136" s="347"/>
    </row>
    <row r="137" spans="1:20" ht="12" customHeight="1" x14ac:dyDescent="0.3">
      <c r="A137" s="340" t="s">
        <v>289</v>
      </c>
      <c r="B137" s="341">
        <v>2</v>
      </c>
      <c r="C137" s="309">
        <v>46134</v>
      </c>
      <c r="D137" s="310" t="s">
        <v>319</v>
      </c>
      <c r="E137" s="342">
        <v>17.03</v>
      </c>
      <c r="F137" s="342"/>
      <c r="G137" s="344">
        <f t="shared" si="3"/>
        <v>3723.1799999999848</v>
      </c>
      <c r="H137" s="345"/>
      <c r="I137" s="346"/>
      <c r="J137" s="347"/>
      <c r="K137" s="312"/>
      <c r="L137" s="347"/>
      <c r="M137" s="312"/>
      <c r="N137" s="347"/>
      <c r="O137" s="312"/>
      <c r="P137" s="347"/>
      <c r="Q137" s="312"/>
      <c r="R137" s="347"/>
      <c r="S137" s="312"/>
      <c r="T137" s="347"/>
    </row>
    <row r="138" spans="1:20" ht="12" customHeight="1" x14ac:dyDescent="0.3">
      <c r="A138" s="340" t="s">
        <v>289</v>
      </c>
      <c r="B138" s="341">
        <v>6</v>
      </c>
      <c r="C138" s="309">
        <v>46134</v>
      </c>
      <c r="D138" s="310" t="s">
        <v>313</v>
      </c>
      <c r="E138" s="342">
        <v>51.94</v>
      </c>
      <c r="F138" s="342"/>
      <c r="G138" s="344">
        <f t="shared" si="3"/>
        <v>3740.209999999985</v>
      </c>
      <c r="H138" s="345"/>
      <c r="I138" s="346"/>
      <c r="J138" s="347"/>
      <c r="K138" s="312"/>
      <c r="L138" s="347"/>
      <c r="M138" s="312"/>
      <c r="N138" s="347"/>
      <c r="O138" s="312"/>
      <c r="P138" s="347"/>
      <c r="Q138" s="312"/>
      <c r="R138" s="347"/>
      <c r="S138" s="312"/>
      <c r="T138" s="347"/>
    </row>
    <row r="139" spans="1:20" ht="12" customHeight="1" x14ac:dyDescent="0.3">
      <c r="A139" s="340" t="s">
        <v>289</v>
      </c>
      <c r="B139" s="341">
        <v>1</v>
      </c>
      <c r="C139" s="309">
        <v>46134</v>
      </c>
      <c r="D139" s="310" t="s">
        <v>307</v>
      </c>
      <c r="E139" s="342">
        <v>226.7</v>
      </c>
      <c r="F139" s="342"/>
      <c r="G139" s="344">
        <f t="shared" si="3"/>
        <v>3792.1499999999851</v>
      </c>
      <c r="H139" s="345"/>
      <c r="I139" s="346"/>
      <c r="J139" s="347"/>
      <c r="K139" s="312"/>
      <c r="L139" s="347"/>
      <c r="M139" s="312"/>
      <c r="N139" s="347"/>
      <c r="O139" s="312"/>
      <c r="P139" s="347"/>
      <c r="Q139" s="312"/>
      <c r="R139" s="347"/>
      <c r="S139" s="312"/>
      <c r="T139" s="347"/>
    </row>
    <row r="140" spans="1:20" ht="12" customHeight="1" x14ac:dyDescent="0.3">
      <c r="A140" s="340" t="s">
        <v>289</v>
      </c>
      <c r="B140" s="341">
        <v>2</v>
      </c>
      <c r="C140" s="309">
        <v>46133</v>
      </c>
      <c r="D140" s="310" t="s">
        <v>320</v>
      </c>
      <c r="E140" s="342">
        <v>70</v>
      </c>
      <c r="F140" s="342"/>
      <c r="G140" s="344">
        <f t="shared" si="3"/>
        <v>4018.8499999999849</v>
      </c>
      <c r="H140" s="345"/>
      <c r="I140" s="346"/>
      <c r="J140" s="347"/>
      <c r="K140" s="312"/>
      <c r="L140" s="347"/>
      <c r="M140" s="312"/>
      <c r="N140" s="347"/>
      <c r="O140" s="312"/>
      <c r="P140" s="347"/>
      <c r="Q140" s="312"/>
      <c r="R140" s="347"/>
      <c r="S140" s="312"/>
      <c r="T140" s="347"/>
    </row>
    <row r="141" spans="1:20" ht="12" customHeight="1" x14ac:dyDescent="0.3">
      <c r="A141" s="340" t="s">
        <v>289</v>
      </c>
      <c r="B141" s="341">
        <v>8</v>
      </c>
      <c r="C141" s="309">
        <v>46133</v>
      </c>
      <c r="D141" s="310" t="s">
        <v>321</v>
      </c>
      <c r="E141" s="342">
        <v>14.26</v>
      </c>
      <c r="F141" s="342"/>
      <c r="G141" s="344">
        <f t="shared" si="3"/>
        <v>4088.8499999999849</v>
      </c>
      <c r="H141" s="345"/>
      <c r="I141" s="346"/>
      <c r="J141" s="347"/>
      <c r="K141" s="312"/>
      <c r="L141" s="347"/>
      <c r="M141" s="312"/>
      <c r="N141" s="347"/>
      <c r="O141" s="312"/>
      <c r="P141" s="347"/>
      <c r="Q141" s="312"/>
      <c r="R141" s="347"/>
      <c r="S141" s="312"/>
      <c r="T141" s="347"/>
    </row>
    <row r="142" spans="1:20" ht="12" customHeight="1" x14ac:dyDescent="0.3">
      <c r="A142" s="340" t="s">
        <v>289</v>
      </c>
      <c r="B142" s="341">
        <v>1</v>
      </c>
      <c r="C142" s="309">
        <v>46133</v>
      </c>
      <c r="D142" s="310" t="s">
        <v>322</v>
      </c>
      <c r="E142" s="342">
        <v>8.51</v>
      </c>
      <c r="F142" s="342"/>
      <c r="G142" s="344">
        <f t="shared" si="3"/>
        <v>4103.1099999999851</v>
      </c>
      <c r="H142" s="345"/>
      <c r="I142" s="346"/>
      <c r="J142" s="347"/>
      <c r="K142" s="312"/>
      <c r="L142" s="347"/>
      <c r="M142" s="312"/>
      <c r="N142" s="347"/>
      <c r="O142" s="312"/>
      <c r="P142" s="347"/>
      <c r="Q142" s="312"/>
      <c r="R142" s="347"/>
      <c r="S142" s="312"/>
      <c r="T142" s="347"/>
    </row>
    <row r="143" spans="1:20" ht="12" customHeight="1" x14ac:dyDescent="0.3">
      <c r="A143" s="340" t="s">
        <v>289</v>
      </c>
      <c r="B143" s="341">
        <v>5</v>
      </c>
      <c r="C143" s="309">
        <v>46133</v>
      </c>
      <c r="D143" s="310" t="s">
        <v>323</v>
      </c>
      <c r="E143" s="342">
        <v>20</v>
      </c>
      <c r="F143" s="342"/>
      <c r="G143" s="344">
        <f t="shared" si="3"/>
        <v>4111.6199999999853</v>
      </c>
      <c r="H143" s="345"/>
      <c r="I143" s="346"/>
      <c r="J143" s="347"/>
      <c r="K143" s="312"/>
      <c r="L143" s="347"/>
      <c r="M143" s="312"/>
      <c r="N143" s="347"/>
      <c r="O143" s="312"/>
      <c r="P143" s="347"/>
      <c r="Q143" s="312"/>
      <c r="R143" s="347"/>
      <c r="S143" s="312"/>
      <c r="T143" s="347"/>
    </row>
    <row r="144" spans="1:20" ht="12" customHeight="1" x14ac:dyDescent="0.3">
      <c r="A144" s="340" t="s">
        <v>294</v>
      </c>
      <c r="B144" s="341">
        <v>23</v>
      </c>
      <c r="C144" s="309">
        <v>46133</v>
      </c>
      <c r="D144" s="310" t="s">
        <v>67</v>
      </c>
      <c r="E144" s="342">
        <v>650.88</v>
      </c>
      <c r="F144" s="342"/>
      <c r="G144" s="344">
        <f t="shared" si="3"/>
        <v>4131.6199999999853</v>
      </c>
      <c r="H144" s="345"/>
      <c r="I144" s="346"/>
      <c r="J144" s="347"/>
      <c r="K144" s="312"/>
      <c r="L144" s="347"/>
      <c r="M144" s="312"/>
      <c r="N144" s="347"/>
      <c r="O144" s="312"/>
      <c r="P144" s="347"/>
      <c r="Q144" s="312"/>
      <c r="R144" s="347"/>
      <c r="S144" s="312"/>
      <c r="T144" s="347"/>
    </row>
    <row r="145" spans="1:20" ht="12" customHeight="1" x14ac:dyDescent="0.3">
      <c r="A145" s="340" t="s">
        <v>289</v>
      </c>
      <c r="B145" s="341">
        <v>6</v>
      </c>
      <c r="C145" s="309">
        <v>46133</v>
      </c>
      <c r="D145" s="310" t="s">
        <v>324</v>
      </c>
      <c r="E145" s="342">
        <v>15</v>
      </c>
      <c r="F145" s="342"/>
      <c r="G145" s="344">
        <f t="shared" si="3"/>
        <v>4782.4999999999854</v>
      </c>
      <c r="H145" s="345"/>
      <c r="I145" s="346"/>
      <c r="J145" s="347"/>
      <c r="K145" s="312"/>
      <c r="L145" s="347"/>
      <c r="M145" s="312"/>
      <c r="N145" s="347"/>
      <c r="O145" s="312"/>
      <c r="P145" s="347"/>
      <c r="Q145" s="312"/>
      <c r="R145" s="347"/>
      <c r="S145" s="312"/>
      <c r="T145" s="347"/>
    </row>
    <row r="146" spans="1:20" ht="12" customHeight="1" x14ac:dyDescent="0.3">
      <c r="A146" s="340" t="s">
        <v>289</v>
      </c>
      <c r="B146" s="341">
        <v>5</v>
      </c>
      <c r="C146" s="309">
        <v>46133</v>
      </c>
      <c r="D146" s="310" t="s">
        <v>324</v>
      </c>
      <c r="E146" s="342">
        <v>250</v>
      </c>
      <c r="F146" s="342"/>
      <c r="G146" s="344">
        <f t="shared" si="3"/>
        <v>4797.4999999999854</v>
      </c>
      <c r="H146" s="345"/>
      <c r="I146" s="346"/>
      <c r="J146" s="347"/>
      <c r="K146" s="312"/>
      <c r="L146" s="347"/>
      <c r="M146" s="312"/>
      <c r="N146" s="347"/>
      <c r="O146" s="312"/>
      <c r="P146" s="347"/>
      <c r="Q146" s="312"/>
      <c r="R146" s="347"/>
      <c r="S146" s="312"/>
      <c r="T146" s="347"/>
    </row>
    <row r="147" spans="1:20" ht="12" customHeight="1" x14ac:dyDescent="0.3">
      <c r="A147" s="340" t="s">
        <v>294</v>
      </c>
      <c r="B147" s="341">
        <v>22</v>
      </c>
      <c r="C147" s="309">
        <v>46132</v>
      </c>
      <c r="D147" s="310" t="s">
        <v>325</v>
      </c>
      <c r="E147" s="342">
        <v>20.22</v>
      </c>
      <c r="F147" s="342"/>
      <c r="G147" s="344">
        <f t="shared" si="3"/>
        <v>5047.4999999999854</v>
      </c>
      <c r="H147" s="345"/>
      <c r="I147" s="346"/>
      <c r="J147" s="347"/>
      <c r="K147" s="312"/>
      <c r="L147" s="347"/>
      <c r="M147" s="312"/>
      <c r="N147" s="347"/>
      <c r="O147" s="312"/>
      <c r="P147" s="347"/>
      <c r="Q147" s="312"/>
      <c r="R147" s="347"/>
      <c r="S147" s="312"/>
      <c r="T147" s="347"/>
    </row>
    <row r="148" spans="1:20" ht="12" customHeight="1" x14ac:dyDescent="0.3">
      <c r="A148" s="340" t="s">
        <v>289</v>
      </c>
      <c r="B148" s="341">
        <v>6</v>
      </c>
      <c r="C148" s="309">
        <v>46132</v>
      </c>
      <c r="D148" s="310" t="s">
        <v>326</v>
      </c>
      <c r="E148" s="342">
        <v>44</v>
      </c>
      <c r="F148" s="342"/>
      <c r="G148" s="344">
        <f t="shared" si="3"/>
        <v>5067.7199999999857</v>
      </c>
      <c r="H148" s="345"/>
      <c r="I148" s="346"/>
      <c r="J148" s="347"/>
      <c r="K148" s="312"/>
      <c r="L148" s="347"/>
      <c r="M148" s="312"/>
      <c r="N148" s="347"/>
      <c r="O148" s="312"/>
      <c r="P148" s="347"/>
      <c r="Q148" s="312"/>
      <c r="R148" s="347"/>
      <c r="S148" s="312"/>
      <c r="T148" s="347"/>
    </row>
    <row r="149" spans="1:20" ht="12" customHeight="1" x14ac:dyDescent="0.3">
      <c r="A149" s="340" t="s">
        <v>289</v>
      </c>
      <c r="B149" s="341">
        <v>2</v>
      </c>
      <c r="C149" s="309">
        <v>46132</v>
      </c>
      <c r="D149" s="310" t="s">
        <v>327</v>
      </c>
      <c r="E149" s="342">
        <v>12.01</v>
      </c>
      <c r="F149" s="342"/>
      <c r="G149" s="344">
        <f t="shared" si="3"/>
        <v>5111.7199999999857</v>
      </c>
      <c r="H149" s="345"/>
      <c r="I149" s="346"/>
      <c r="J149" s="347"/>
      <c r="K149" s="312"/>
      <c r="L149" s="347"/>
      <c r="M149" s="312"/>
      <c r="N149" s="347"/>
      <c r="O149" s="312"/>
      <c r="P149" s="347"/>
      <c r="Q149" s="312"/>
      <c r="R149" s="347"/>
      <c r="S149" s="312"/>
      <c r="T149" s="347"/>
    </row>
    <row r="150" spans="1:20" ht="12" customHeight="1" x14ac:dyDescent="0.3">
      <c r="A150" s="340" t="s">
        <v>289</v>
      </c>
      <c r="B150" s="341">
        <v>2</v>
      </c>
      <c r="C150" s="309">
        <v>46132</v>
      </c>
      <c r="D150" s="310" t="s">
        <v>296</v>
      </c>
      <c r="E150" s="342">
        <v>12.21</v>
      </c>
      <c r="F150" s="342"/>
      <c r="G150" s="344">
        <f t="shared" si="3"/>
        <v>5123.7299999999859</v>
      </c>
      <c r="H150" s="345"/>
      <c r="I150" s="346"/>
      <c r="J150" s="347"/>
      <c r="K150" s="312"/>
      <c r="L150" s="347"/>
      <c r="M150" s="312"/>
      <c r="N150" s="347"/>
      <c r="O150" s="312"/>
      <c r="P150" s="347"/>
      <c r="Q150" s="312"/>
      <c r="R150" s="347"/>
      <c r="S150" s="312"/>
      <c r="T150" s="347"/>
    </row>
    <row r="151" spans="1:20" ht="12" customHeight="1" x14ac:dyDescent="0.3">
      <c r="A151" s="340" t="s">
        <v>289</v>
      </c>
      <c r="B151" s="341">
        <v>2</v>
      </c>
      <c r="C151" s="309">
        <v>46132</v>
      </c>
      <c r="D151" s="310" t="s">
        <v>328</v>
      </c>
      <c r="E151" s="342">
        <v>46.4</v>
      </c>
      <c r="F151" s="342"/>
      <c r="G151" s="344">
        <f t="shared" si="3"/>
        <v>5135.939999999986</v>
      </c>
      <c r="H151" s="345"/>
      <c r="I151" s="346"/>
      <c r="J151" s="347"/>
      <c r="K151" s="312"/>
      <c r="L151" s="347"/>
      <c r="M151" s="312"/>
      <c r="N151" s="347"/>
      <c r="O151" s="312"/>
      <c r="P151" s="347"/>
      <c r="Q151" s="312"/>
      <c r="R151" s="347"/>
      <c r="S151" s="312"/>
      <c r="T151" s="347"/>
    </row>
    <row r="152" spans="1:20" ht="12" customHeight="1" x14ac:dyDescent="0.3">
      <c r="A152" s="340" t="s">
        <v>289</v>
      </c>
      <c r="B152" s="341">
        <v>2</v>
      </c>
      <c r="C152" s="309">
        <v>46131</v>
      </c>
      <c r="D152" s="310" t="s">
        <v>329</v>
      </c>
      <c r="E152" s="342">
        <v>31.7</v>
      </c>
      <c r="F152" s="342"/>
      <c r="G152" s="344">
        <f t="shared" si="3"/>
        <v>5182.3399999999856</v>
      </c>
      <c r="H152" s="345"/>
      <c r="I152" s="346"/>
      <c r="J152" s="347"/>
      <c r="K152" s="312"/>
      <c r="L152" s="347"/>
      <c r="M152" s="312"/>
      <c r="N152" s="347"/>
      <c r="O152" s="312"/>
      <c r="P152" s="347"/>
      <c r="Q152" s="312"/>
      <c r="R152" s="347"/>
      <c r="S152" s="312"/>
      <c r="T152" s="347"/>
    </row>
    <row r="153" spans="1:20" ht="12" customHeight="1" x14ac:dyDescent="0.3">
      <c r="A153" s="340" t="s">
        <v>289</v>
      </c>
      <c r="B153" s="341">
        <v>8</v>
      </c>
      <c r="C153" s="309">
        <v>46131</v>
      </c>
      <c r="D153" s="310" t="s">
        <v>330</v>
      </c>
      <c r="E153" s="342">
        <v>11.11</v>
      </c>
      <c r="F153" s="342"/>
      <c r="G153" s="344">
        <f t="shared" si="3"/>
        <v>5214.0399999999854</v>
      </c>
      <c r="H153" s="345"/>
      <c r="I153" s="346"/>
      <c r="J153" s="347"/>
      <c r="K153" s="312"/>
      <c r="L153" s="347"/>
      <c r="M153" s="312"/>
      <c r="N153" s="347"/>
      <c r="O153" s="312"/>
      <c r="P153" s="347"/>
      <c r="Q153" s="312"/>
      <c r="R153" s="347"/>
      <c r="S153" s="312"/>
      <c r="T153" s="347"/>
    </row>
    <row r="154" spans="1:20" ht="12" customHeight="1" x14ac:dyDescent="0.3">
      <c r="A154" s="340" t="s">
        <v>289</v>
      </c>
      <c r="B154" s="341">
        <v>1</v>
      </c>
      <c r="C154" s="309">
        <v>46131</v>
      </c>
      <c r="D154" s="310" t="s">
        <v>307</v>
      </c>
      <c r="E154" s="342">
        <v>79.16</v>
      </c>
      <c r="F154" s="342"/>
      <c r="G154" s="344">
        <f t="shared" si="3"/>
        <v>5225.1499999999851</v>
      </c>
      <c r="H154" s="345"/>
      <c r="I154" s="346"/>
      <c r="J154" s="347"/>
      <c r="K154" s="312"/>
      <c r="L154" s="347"/>
      <c r="M154" s="312"/>
      <c r="N154" s="347"/>
      <c r="O154" s="312"/>
      <c r="P154" s="347"/>
      <c r="Q154" s="312"/>
      <c r="R154" s="347"/>
      <c r="S154" s="312"/>
      <c r="T154" s="347"/>
    </row>
    <row r="155" spans="1:20" ht="12" customHeight="1" x14ac:dyDescent="0.3">
      <c r="A155" s="340" t="s">
        <v>294</v>
      </c>
      <c r="B155" s="341">
        <v>22</v>
      </c>
      <c r="C155" s="309">
        <v>46131</v>
      </c>
      <c r="D155" s="310" t="s">
        <v>331</v>
      </c>
      <c r="E155" s="342">
        <v>7.46</v>
      </c>
      <c r="F155" s="342"/>
      <c r="G155" s="344">
        <f t="shared" si="3"/>
        <v>5304.3099999999849</v>
      </c>
      <c r="H155" s="345"/>
      <c r="I155" s="346"/>
      <c r="J155" s="347"/>
      <c r="K155" s="312"/>
      <c r="L155" s="347"/>
      <c r="M155" s="312"/>
      <c r="N155" s="347"/>
      <c r="O155" s="312"/>
      <c r="P155" s="347"/>
      <c r="Q155" s="312"/>
      <c r="R155" s="347"/>
      <c r="S155" s="312"/>
      <c r="T155" s="347"/>
    </row>
    <row r="156" spans="1:20" ht="12" customHeight="1" x14ac:dyDescent="0.3">
      <c r="A156" s="340" t="s">
        <v>289</v>
      </c>
      <c r="B156" s="341">
        <v>6</v>
      </c>
      <c r="C156" s="309">
        <v>46131</v>
      </c>
      <c r="D156" s="310" t="s">
        <v>300</v>
      </c>
      <c r="E156" s="342">
        <v>13.83</v>
      </c>
      <c r="F156" s="342"/>
      <c r="G156" s="344">
        <f t="shared" si="3"/>
        <v>5311.769999999985</v>
      </c>
      <c r="H156" s="345"/>
      <c r="I156" s="346"/>
      <c r="J156" s="347"/>
      <c r="K156" s="312"/>
      <c r="L156" s="347"/>
      <c r="M156" s="312"/>
      <c r="N156" s="347"/>
      <c r="O156" s="312"/>
      <c r="P156" s="347"/>
      <c r="Q156" s="312"/>
      <c r="R156" s="347"/>
      <c r="S156" s="312"/>
      <c r="T156" s="347"/>
    </row>
    <row r="157" spans="1:20" ht="12" customHeight="1" x14ac:dyDescent="0.3">
      <c r="A157" s="340" t="s">
        <v>289</v>
      </c>
      <c r="B157" s="341">
        <v>6</v>
      </c>
      <c r="C157" s="309">
        <v>46131</v>
      </c>
      <c r="D157" s="310" t="s">
        <v>300</v>
      </c>
      <c r="E157" s="342">
        <v>30</v>
      </c>
      <c r="F157" s="342"/>
      <c r="G157" s="344">
        <f t="shared" si="3"/>
        <v>5325.5999999999849</v>
      </c>
      <c r="H157" s="345"/>
      <c r="I157" s="346"/>
      <c r="J157" s="347"/>
      <c r="K157" s="312"/>
      <c r="L157" s="347"/>
      <c r="M157" s="312"/>
      <c r="N157" s="347"/>
      <c r="O157" s="312"/>
      <c r="P157" s="347"/>
      <c r="Q157" s="312"/>
      <c r="R157" s="347"/>
      <c r="S157" s="312"/>
      <c r="T157" s="347"/>
    </row>
    <row r="158" spans="1:20" ht="12" customHeight="1" x14ac:dyDescent="0.3">
      <c r="A158" s="340" t="s">
        <v>289</v>
      </c>
      <c r="B158" s="341">
        <v>6</v>
      </c>
      <c r="C158" s="309">
        <v>46131</v>
      </c>
      <c r="D158" s="310" t="s">
        <v>300</v>
      </c>
      <c r="E158" s="342">
        <v>15.17</v>
      </c>
      <c r="F158" s="342"/>
      <c r="G158" s="344">
        <f t="shared" si="3"/>
        <v>5355.5999999999849</v>
      </c>
      <c r="H158" s="345"/>
      <c r="I158" s="346"/>
      <c r="J158" s="347"/>
      <c r="K158" s="312"/>
      <c r="L158" s="347"/>
      <c r="M158" s="312"/>
      <c r="N158" s="347"/>
      <c r="O158" s="312"/>
      <c r="P158" s="347"/>
      <c r="Q158" s="312"/>
      <c r="R158" s="347"/>
      <c r="S158" s="312"/>
      <c r="T158" s="347"/>
    </row>
    <row r="159" spans="1:20" ht="12" customHeight="1" x14ac:dyDescent="0.3">
      <c r="A159" s="340" t="s">
        <v>289</v>
      </c>
      <c r="B159" s="341">
        <v>1</v>
      </c>
      <c r="C159" s="309">
        <v>46130</v>
      </c>
      <c r="D159" s="310" t="s">
        <v>332</v>
      </c>
      <c r="E159" s="342">
        <v>75.55</v>
      </c>
      <c r="F159" s="342"/>
      <c r="G159" s="344">
        <f t="shared" si="3"/>
        <v>5370.769999999985</v>
      </c>
      <c r="H159" s="345"/>
      <c r="I159" s="346"/>
      <c r="J159" s="347"/>
      <c r="K159" s="312"/>
      <c r="L159" s="347"/>
      <c r="M159" s="312"/>
      <c r="N159" s="347"/>
      <c r="O159" s="312"/>
      <c r="P159" s="347"/>
      <c r="Q159" s="312"/>
      <c r="R159" s="347"/>
      <c r="S159" s="312"/>
      <c r="T159" s="347"/>
    </row>
    <row r="160" spans="1:20" ht="12" customHeight="1" x14ac:dyDescent="0.3">
      <c r="A160" s="340" t="s">
        <v>289</v>
      </c>
      <c r="B160" s="341">
        <v>2</v>
      </c>
      <c r="C160" s="309">
        <v>46130</v>
      </c>
      <c r="D160" s="310" t="s">
        <v>333</v>
      </c>
      <c r="E160" s="342">
        <v>26</v>
      </c>
      <c r="F160" s="342"/>
      <c r="G160" s="344">
        <f t="shared" si="3"/>
        <v>5446.3199999999852</v>
      </c>
      <c r="H160" s="345"/>
      <c r="I160" s="346"/>
      <c r="J160" s="347"/>
      <c r="K160" s="312"/>
      <c r="L160" s="347"/>
      <c r="M160" s="312"/>
      <c r="N160" s="347"/>
      <c r="O160" s="312"/>
      <c r="P160" s="347"/>
      <c r="Q160" s="312"/>
      <c r="R160" s="347"/>
      <c r="S160" s="312"/>
      <c r="T160" s="347"/>
    </row>
    <row r="161" spans="1:20" ht="12" customHeight="1" x14ac:dyDescent="0.3">
      <c r="A161" s="340" t="s">
        <v>289</v>
      </c>
      <c r="B161" s="341">
        <v>1</v>
      </c>
      <c r="C161" s="309">
        <v>46130</v>
      </c>
      <c r="D161" s="310" t="s">
        <v>312</v>
      </c>
      <c r="E161" s="342">
        <v>25.28</v>
      </c>
      <c r="F161" s="342"/>
      <c r="G161" s="344">
        <f t="shared" si="3"/>
        <v>5472.3199999999852</v>
      </c>
      <c r="H161" s="345"/>
      <c r="I161" s="346"/>
      <c r="J161" s="347"/>
      <c r="K161" s="312"/>
      <c r="L161" s="347"/>
      <c r="M161" s="312"/>
      <c r="N161" s="347"/>
      <c r="O161" s="312"/>
      <c r="P161" s="347"/>
      <c r="Q161" s="312"/>
      <c r="R161" s="347"/>
      <c r="S161" s="312"/>
      <c r="T161" s="347"/>
    </row>
    <row r="162" spans="1:20" ht="12" customHeight="1" x14ac:dyDescent="0.3">
      <c r="A162" s="340" t="s">
        <v>289</v>
      </c>
      <c r="B162" s="341">
        <v>3</v>
      </c>
      <c r="C162" s="309">
        <v>46130</v>
      </c>
      <c r="D162" s="310" t="s">
        <v>296</v>
      </c>
      <c r="E162" s="342">
        <v>7.76</v>
      </c>
      <c r="F162" s="342"/>
      <c r="G162" s="344">
        <f t="shared" si="3"/>
        <v>5497.5999999999849</v>
      </c>
      <c r="H162" s="345"/>
      <c r="I162" s="346"/>
      <c r="J162" s="347"/>
      <c r="K162" s="312"/>
      <c r="L162" s="347"/>
      <c r="M162" s="312"/>
      <c r="N162" s="347"/>
      <c r="O162" s="312"/>
      <c r="P162" s="347"/>
      <c r="Q162" s="312"/>
      <c r="R162" s="347"/>
      <c r="S162" s="312"/>
      <c r="T162" s="347"/>
    </row>
    <row r="163" spans="1:20" ht="12" customHeight="1" x14ac:dyDescent="0.3">
      <c r="A163" s="340" t="s">
        <v>294</v>
      </c>
      <c r="B163" s="341">
        <v>22</v>
      </c>
      <c r="C163" s="309">
        <v>46130</v>
      </c>
      <c r="D163" s="310" t="s">
        <v>334</v>
      </c>
      <c r="E163" s="342">
        <v>13.84</v>
      </c>
      <c r="F163" s="342"/>
      <c r="G163" s="344">
        <f t="shared" si="3"/>
        <v>5505.3599999999851</v>
      </c>
      <c r="H163" s="345"/>
      <c r="I163" s="346"/>
      <c r="J163" s="347"/>
      <c r="K163" s="312"/>
      <c r="L163" s="347"/>
      <c r="M163" s="312"/>
      <c r="N163" s="347"/>
      <c r="O163" s="312"/>
      <c r="P163" s="347"/>
      <c r="Q163" s="312"/>
      <c r="R163" s="347"/>
      <c r="S163" s="312"/>
      <c r="T163" s="347"/>
    </row>
    <row r="164" spans="1:20" ht="12" customHeight="1" x14ac:dyDescent="0.3">
      <c r="A164" s="340" t="s">
        <v>287</v>
      </c>
      <c r="B164" s="341" t="s">
        <v>287</v>
      </c>
      <c r="C164" s="309">
        <v>46130</v>
      </c>
      <c r="D164" s="310" t="s">
        <v>335</v>
      </c>
      <c r="E164" s="342">
        <v>578.57000000000005</v>
      </c>
      <c r="F164" s="342">
        <v>578.57000000000005</v>
      </c>
      <c r="G164" s="344">
        <f t="shared" si="3"/>
        <v>5519.1999999999853</v>
      </c>
      <c r="H164" s="345"/>
      <c r="I164" s="346"/>
      <c r="J164" s="347"/>
      <c r="K164" s="312"/>
      <c r="L164" s="347"/>
      <c r="M164" s="312"/>
      <c r="N164" s="347"/>
      <c r="O164" s="312"/>
      <c r="P164" s="347"/>
      <c r="Q164" s="312"/>
      <c r="R164" s="347"/>
      <c r="S164" s="312"/>
      <c r="T164" s="347"/>
    </row>
    <row r="165" spans="1:20" ht="12" customHeight="1" x14ac:dyDescent="0.3">
      <c r="A165" s="340" t="s">
        <v>289</v>
      </c>
      <c r="B165" s="341">
        <v>2</v>
      </c>
      <c r="C165" s="309">
        <v>46129</v>
      </c>
      <c r="D165" s="310" t="s">
        <v>327</v>
      </c>
      <c r="E165" s="342">
        <v>12.84</v>
      </c>
      <c r="F165" s="342"/>
      <c r="G165" s="344">
        <f t="shared" si="3"/>
        <v>5519.1999999999853</v>
      </c>
      <c r="H165" s="345"/>
      <c r="I165" s="346"/>
      <c r="J165" s="347"/>
      <c r="K165" s="312"/>
      <c r="L165" s="347"/>
      <c r="M165" s="312"/>
      <c r="N165" s="347"/>
      <c r="O165" s="312"/>
      <c r="P165" s="347"/>
      <c r="Q165" s="312"/>
      <c r="R165" s="347"/>
      <c r="S165" s="312"/>
      <c r="T165" s="347"/>
    </row>
    <row r="166" spans="1:20" ht="12" customHeight="1" x14ac:dyDescent="0.3">
      <c r="A166" s="340" t="s">
        <v>289</v>
      </c>
      <c r="B166" s="341">
        <v>2</v>
      </c>
      <c r="C166" s="309">
        <v>46129</v>
      </c>
      <c r="D166" s="310" t="s">
        <v>336</v>
      </c>
      <c r="E166" s="342">
        <v>59.71</v>
      </c>
      <c r="F166" s="342"/>
      <c r="G166" s="344">
        <f t="shared" si="3"/>
        <v>5532.0399999999854</v>
      </c>
      <c r="H166" s="345"/>
      <c r="I166" s="346"/>
      <c r="J166" s="347"/>
      <c r="K166" s="312"/>
      <c r="L166" s="347"/>
      <c r="M166" s="312"/>
      <c r="N166" s="347"/>
      <c r="O166" s="312"/>
      <c r="P166" s="347"/>
      <c r="Q166" s="312"/>
      <c r="R166" s="347"/>
      <c r="S166" s="312"/>
      <c r="T166" s="347"/>
    </row>
    <row r="167" spans="1:20" ht="12" customHeight="1" x14ac:dyDescent="0.3">
      <c r="A167" s="340" t="s">
        <v>294</v>
      </c>
      <c r="B167" s="341">
        <v>21</v>
      </c>
      <c r="C167" s="309">
        <v>46129</v>
      </c>
      <c r="D167" s="310" t="s">
        <v>194</v>
      </c>
      <c r="E167" s="342">
        <v>75.599999999999994</v>
      </c>
      <c r="F167" s="342"/>
      <c r="G167" s="344">
        <f t="shared" si="3"/>
        <v>5591.7499999999854</v>
      </c>
      <c r="H167" s="345"/>
      <c r="I167" s="346"/>
      <c r="J167" s="347"/>
      <c r="K167" s="312"/>
      <c r="L167" s="347"/>
      <c r="M167" s="312"/>
      <c r="N167" s="347"/>
      <c r="O167" s="312"/>
      <c r="P167" s="347"/>
      <c r="Q167" s="312"/>
      <c r="R167" s="347"/>
      <c r="S167" s="312"/>
      <c r="T167" s="347"/>
    </row>
    <row r="168" spans="1:20" ht="12" customHeight="1" x14ac:dyDescent="0.3">
      <c r="A168" s="340" t="s">
        <v>294</v>
      </c>
      <c r="B168" s="341">
        <v>43</v>
      </c>
      <c r="C168" s="309">
        <v>46129</v>
      </c>
      <c r="D168" s="310" t="s">
        <v>337</v>
      </c>
      <c r="E168" s="342">
        <v>22.35</v>
      </c>
      <c r="F168" s="342"/>
      <c r="G168" s="344">
        <f t="shared" si="3"/>
        <v>5667.3499999999858</v>
      </c>
      <c r="H168" s="345"/>
      <c r="I168" s="346"/>
      <c r="J168" s="347"/>
      <c r="K168" s="312"/>
      <c r="L168" s="347"/>
      <c r="M168" s="312"/>
      <c r="N168" s="347"/>
      <c r="O168" s="312"/>
      <c r="P168" s="347"/>
      <c r="Q168" s="312"/>
      <c r="R168" s="347"/>
      <c r="S168" s="312"/>
      <c r="T168" s="347"/>
    </row>
    <row r="169" spans="1:20" ht="12" customHeight="1" x14ac:dyDescent="0.3">
      <c r="A169" s="340" t="s">
        <v>294</v>
      </c>
      <c r="B169" s="341">
        <v>42</v>
      </c>
      <c r="C169" s="309">
        <v>46129</v>
      </c>
      <c r="D169" s="310" t="s">
        <v>337</v>
      </c>
      <c r="E169" s="342">
        <v>37.25</v>
      </c>
      <c r="F169" s="342"/>
      <c r="G169" s="344">
        <f t="shared" si="3"/>
        <v>5689.6999999999862</v>
      </c>
      <c r="H169" s="345"/>
      <c r="I169" s="346"/>
      <c r="J169" s="347"/>
      <c r="K169" s="312"/>
      <c r="L169" s="347"/>
      <c r="M169" s="312"/>
      <c r="N169" s="347"/>
      <c r="O169" s="312"/>
      <c r="P169" s="347"/>
      <c r="Q169" s="312"/>
      <c r="R169" s="347"/>
      <c r="S169" s="312"/>
      <c r="T169" s="347"/>
    </row>
    <row r="170" spans="1:20" ht="12" customHeight="1" x14ac:dyDescent="0.3">
      <c r="A170" s="340" t="s">
        <v>289</v>
      </c>
      <c r="B170" s="341">
        <v>8</v>
      </c>
      <c r="C170" s="309">
        <v>46129</v>
      </c>
      <c r="D170" s="310" t="s">
        <v>321</v>
      </c>
      <c r="E170" s="342">
        <v>35.119999999999997</v>
      </c>
      <c r="F170" s="342"/>
      <c r="G170" s="344">
        <f t="shared" si="3"/>
        <v>5726.9499999999862</v>
      </c>
      <c r="H170" s="345"/>
      <c r="I170" s="346"/>
      <c r="J170" s="347"/>
      <c r="K170" s="312"/>
      <c r="L170" s="347"/>
      <c r="M170" s="312"/>
      <c r="N170" s="347"/>
      <c r="O170" s="312"/>
      <c r="P170" s="347"/>
      <c r="Q170" s="312"/>
      <c r="R170" s="347"/>
      <c r="S170" s="312"/>
      <c r="T170" s="347"/>
    </row>
    <row r="171" spans="1:20" ht="12" customHeight="1" x14ac:dyDescent="0.3">
      <c r="A171" s="340" t="s">
        <v>289</v>
      </c>
      <c r="B171" s="341">
        <v>3</v>
      </c>
      <c r="C171" s="309">
        <v>46129</v>
      </c>
      <c r="D171" s="310" t="s">
        <v>296</v>
      </c>
      <c r="E171" s="342">
        <v>8.7200000000000006</v>
      </c>
      <c r="F171" s="342"/>
      <c r="G171" s="344">
        <f t="shared" si="3"/>
        <v>5762.0699999999861</v>
      </c>
      <c r="H171" s="345"/>
      <c r="I171" s="346"/>
      <c r="J171" s="347"/>
      <c r="K171" s="312"/>
      <c r="L171" s="347"/>
      <c r="M171" s="312"/>
      <c r="N171" s="347"/>
      <c r="O171" s="312"/>
      <c r="P171" s="347"/>
      <c r="Q171" s="312"/>
      <c r="R171" s="347"/>
      <c r="S171" s="312"/>
      <c r="T171" s="347"/>
    </row>
    <row r="172" spans="1:20" ht="12" customHeight="1" x14ac:dyDescent="0.3">
      <c r="A172" s="340" t="s">
        <v>289</v>
      </c>
      <c r="B172" s="341">
        <v>2</v>
      </c>
      <c r="C172" s="309">
        <v>46129</v>
      </c>
      <c r="D172" s="310" t="s">
        <v>338</v>
      </c>
      <c r="E172" s="342">
        <v>13.21</v>
      </c>
      <c r="F172" s="342"/>
      <c r="G172" s="344">
        <f t="shared" si="3"/>
        <v>5770.7899999999863</v>
      </c>
      <c r="H172" s="345"/>
      <c r="I172" s="346"/>
      <c r="J172" s="347"/>
      <c r="K172" s="312"/>
      <c r="L172" s="347"/>
      <c r="M172" s="312"/>
      <c r="N172" s="347"/>
      <c r="O172" s="312"/>
      <c r="P172" s="347"/>
      <c r="Q172" s="312"/>
      <c r="R172" s="347"/>
      <c r="S172" s="312"/>
      <c r="T172" s="347"/>
    </row>
    <row r="173" spans="1:20" ht="12" customHeight="1" x14ac:dyDescent="0.3">
      <c r="A173" s="340" t="s">
        <v>294</v>
      </c>
      <c r="B173" s="341">
        <v>17</v>
      </c>
      <c r="C173" s="309">
        <v>46129</v>
      </c>
      <c r="D173" s="310" t="s">
        <v>188</v>
      </c>
      <c r="E173" s="342">
        <v>42.65</v>
      </c>
      <c r="F173" s="342"/>
      <c r="G173" s="344">
        <f t="shared" si="3"/>
        <v>5783.9999999999864</v>
      </c>
      <c r="H173" s="345"/>
      <c r="I173" s="346"/>
      <c r="J173" s="347"/>
      <c r="K173" s="312"/>
      <c r="L173" s="347"/>
      <c r="M173" s="312"/>
      <c r="N173" s="347"/>
      <c r="O173" s="312"/>
      <c r="P173" s="347"/>
      <c r="Q173" s="312"/>
      <c r="R173" s="347"/>
      <c r="S173" s="312"/>
      <c r="T173" s="347"/>
    </row>
    <row r="174" spans="1:20" ht="12" customHeight="1" x14ac:dyDescent="0.3">
      <c r="A174" s="340" t="s">
        <v>339</v>
      </c>
      <c r="B174" s="341" t="s">
        <v>339</v>
      </c>
      <c r="C174" s="309">
        <v>46129</v>
      </c>
      <c r="D174" s="310" t="s">
        <v>340</v>
      </c>
      <c r="E174" s="342">
        <v>130.31</v>
      </c>
      <c r="F174" s="342"/>
      <c r="G174" s="344">
        <f t="shared" si="3"/>
        <v>5826.649999999986</v>
      </c>
      <c r="H174" s="345"/>
      <c r="I174" s="346"/>
      <c r="J174" s="347"/>
      <c r="K174" s="312"/>
      <c r="L174" s="347"/>
      <c r="M174" s="312"/>
      <c r="N174" s="347"/>
      <c r="O174" s="312"/>
      <c r="P174" s="347"/>
      <c r="Q174" s="312"/>
      <c r="R174" s="347"/>
      <c r="S174" s="312"/>
      <c r="T174" s="347"/>
    </row>
    <row r="175" spans="1:20" ht="12" customHeight="1" x14ac:dyDescent="0.3">
      <c r="A175" s="340" t="s">
        <v>294</v>
      </c>
      <c r="B175" s="341">
        <v>15</v>
      </c>
      <c r="C175" s="309">
        <v>46129</v>
      </c>
      <c r="D175" s="310" t="s">
        <v>185</v>
      </c>
      <c r="E175" s="342">
        <v>131.22999999999999</v>
      </c>
      <c r="F175" s="342"/>
      <c r="G175" s="344">
        <f t="shared" si="3"/>
        <v>5956.9599999999864</v>
      </c>
      <c r="H175" s="345"/>
      <c r="I175" s="346"/>
      <c r="J175" s="347"/>
      <c r="K175" s="312"/>
      <c r="L175" s="347"/>
      <c r="M175" s="312"/>
      <c r="N175" s="347"/>
      <c r="O175" s="312"/>
      <c r="P175" s="347"/>
      <c r="Q175" s="312"/>
      <c r="R175" s="347"/>
      <c r="S175" s="312"/>
      <c r="T175" s="347"/>
    </row>
    <row r="176" spans="1:20" ht="12" customHeight="1" x14ac:dyDescent="0.3">
      <c r="A176" s="340" t="s">
        <v>289</v>
      </c>
      <c r="B176" s="341">
        <v>6</v>
      </c>
      <c r="C176" s="309">
        <v>46129</v>
      </c>
      <c r="D176" s="310" t="s">
        <v>341</v>
      </c>
      <c r="E176" s="342">
        <v>210</v>
      </c>
      <c r="F176" s="342"/>
      <c r="G176" s="344">
        <f t="shared" si="3"/>
        <v>6088.189999999986</v>
      </c>
      <c r="H176" s="345"/>
      <c r="I176" s="346"/>
      <c r="J176" s="347"/>
      <c r="K176" s="312"/>
      <c r="L176" s="347"/>
      <c r="M176" s="312"/>
      <c r="N176" s="347"/>
      <c r="O176" s="312"/>
      <c r="P176" s="347"/>
      <c r="Q176" s="312"/>
      <c r="R176" s="347"/>
      <c r="S176" s="312"/>
      <c r="T176" s="347"/>
    </row>
    <row r="177" spans="1:20" ht="12" customHeight="1" x14ac:dyDescent="0.3">
      <c r="A177" s="340" t="s">
        <v>294</v>
      </c>
      <c r="B177" s="341">
        <v>23</v>
      </c>
      <c r="C177" s="309">
        <v>46129</v>
      </c>
      <c r="D177" s="310" t="s">
        <v>63</v>
      </c>
      <c r="E177" s="342">
        <v>529.46</v>
      </c>
      <c r="F177" s="342"/>
      <c r="G177" s="344">
        <f t="shared" si="3"/>
        <v>6298.189999999986</v>
      </c>
      <c r="H177" s="345"/>
      <c r="I177" s="346"/>
      <c r="J177" s="347"/>
      <c r="K177" s="312"/>
      <c r="L177" s="347"/>
      <c r="M177" s="312"/>
      <c r="N177" s="347"/>
      <c r="O177" s="312"/>
      <c r="P177" s="347"/>
      <c r="Q177" s="312"/>
      <c r="R177" s="347"/>
      <c r="S177" s="312"/>
      <c r="T177" s="347"/>
    </row>
    <row r="178" spans="1:20" ht="12" customHeight="1" x14ac:dyDescent="0.3">
      <c r="A178" s="340" t="s">
        <v>289</v>
      </c>
      <c r="B178" s="341">
        <v>7</v>
      </c>
      <c r="C178" s="309">
        <v>46129</v>
      </c>
      <c r="D178" s="310" t="s">
        <v>342</v>
      </c>
      <c r="E178" s="342">
        <v>32.78</v>
      </c>
      <c r="F178" s="342"/>
      <c r="G178" s="344">
        <f t="shared" si="3"/>
        <v>6827.649999999986</v>
      </c>
      <c r="H178" s="345"/>
      <c r="I178" s="346"/>
      <c r="J178" s="347"/>
      <c r="K178" s="312"/>
      <c r="L178" s="347"/>
      <c r="M178" s="312"/>
      <c r="N178" s="347"/>
      <c r="O178" s="312"/>
      <c r="P178" s="347"/>
      <c r="Q178" s="312"/>
      <c r="R178" s="347"/>
      <c r="S178" s="312"/>
      <c r="T178" s="347"/>
    </row>
    <row r="179" spans="1:20" ht="12" customHeight="1" x14ac:dyDescent="0.3">
      <c r="A179" s="340" t="s">
        <v>289</v>
      </c>
      <c r="B179" s="341">
        <v>4</v>
      </c>
      <c r="C179" s="309">
        <v>46128</v>
      </c>
      <c r="D179" s="310" t="s">
        <v>311</v>
      </c>
      <c r="E179" s="342">
        <v>44.41</v>
      </c>
      <c r="F179" s="342"/>
      <c r="G179" s="344">
        <f t="shared" si="3"/>
        <v>6860.4299999999857</v>
      </c>
      <c r="H179" s="345"/>
      <c r="I179" s="346"/>
      <c r="J179" s="347"/>
      <c r="K179" s="312"/>
      <c r="L179" s="347"/>
      <c r="M179" s="312"/>
      <c r="N179" s="347"/>
      <c r="O179" s="312"/>
      <c r="P179" s="347"/>
      <c r="Q179" s="312"/>
      <c r="R179" s="347"/>
      <c r="S179" s="312"/>
      <c r="T179" s="347"/>
    </row>
    <row r="180" spans="1:20" ht="12" customHeight="1" x14ac:dyDescent="0.3">
      <c r="A180" s="340" t="s">
        <v>294</v>
      </c>
      <c r="B180" s="341">
        <v>16</v>
      </c>
      <c r="C180" s="309">
        <v>46128</v>
      </c>
      <c r="D180" s="310" t="s">
        <v>343</v>
      </c>
      <c r="E180" s="342">
        <v>15</v>
      </c>
      <c r="F180" s="342"/>
      <c r="G180" s="344">
        <f t="shared" si="3"/>
        <v>6904.8399999999856</v>
      </c>
      <c r="H180" s="345"/>
      <c r="I180" s="346"/>
      <c r="J180" s="347"/>
      <c r="K180" s="312"/>
      <c r="L180" s="347"/>
      <c r="M180" s="312"/>
      <c r="N180" s="347"/>
      <c r="O180" s="312"/>
      <c r="P180" s="347"/>
      <c r="Q180" s="312"/>
      <c r="R180" s="347"/>
      <c r="S180" s="312"/>
      <c r="T180" s="347"/>
    </row>
    <row r="181" spans="1:20" ht="12" customHeight="1" x14ac:dyDescent="0.3">
      <c r="A181" s="340" t="s">
        <v>289</v>
      </c>
      <c r="B181" s="341">
        <v>2</v>
      </c>
      <c r="C181" s="309">
        <v>46128</v>
      </c>
      <c r="D181" s="310" t="s">
        <v>301</v>
      </c>
      <c r="E181" s="342">
        <v>41.95</v>
      </c>
      <c r="F181" s="342"/>
      <c r="G181" s="344">
        <f t="shared" si="3"/>
        <v>6919.8399999999856</v>
      </c>
      <c r="H181" s="345"/>
      <c r="I181" s="346"/>
      <c r="J181" s="347"/>
      <c r="K181" s="312"/>
      <c r="L181" s="347"/>
      <c r="M181" s="312"/>
      <c r="N181" s="347"/>
      <c r="O181" s="312"/>
      <c r="P181" s="347"/>
      <c r="Q181" s="312"/>
      <c r="R181" s="347"/>
      <c r="S181" s="312"/>
      <c r="T181" s="347"/>
    </row>
    <row r="182" spans="1:20" ht="12" customHeight="1" x14ac:dyDescent="0.3">
      <c r="A182" s="340" t="s">
        <v>289</v>
      </c>
      <c r="B182" s="341">
        <v>5</v>
      </c>
      <c r="C182" s="309">
        <v>46128</v>
      </c>
      <c r="D182" s="310" t="s">
        <v>344</v>
      </c>
      <c r="E182" s="342">
        <v>21.3</v>
      </c>
      <c r="F182" s="342"/>
      <c r="G182" s="344">
        <f t="shared" si="3"/>
        <v>6961.7899999999854</v>
      </c>
      <c r="H182" s="345"/>
      <c r="I182" s="346"/>
      <c r="J182" s="347"/>
      <c r="K182" s="312"/>
      <c r="L182" s="347"/>
      <c r="M182" s="312"/>
      <c r="N182" s="347"/>
      <c r="O182" s="312"/>
      <c r="P182" s="347"/>
      <c r="Q182" s="312"/>
      <c r="R182" s="347"/>
      <c r="S182" s="312"/>
      <c r="T182" s="347"/>
    </row>
    <row r="183" spans="1:20" ht="12" customHeight="1" x14ac:dyDescent="0.3">
      <c r="A183" s="340" t="s">
        <v>289</v>
      </c>
      <c r="B183" s="341">
        <v>4</v>
      </c>
      <c r="C183" s="309">
        <v>46128</v>
      </c>
      <c r="D183" s="310" t="s">
        <v>296</v>
      </c>
      <c r="E183" s="342">
        <v>70.03</v>
      </c>
      <c r="F183" s="342"/>
      <c r="G183" s="344">
        <f t="shared" si="3"/>
        <v>6983.0899999999856</v>
      </c>
      <c r="H183" s="345"/>
      <c r="I183" s="346"/>
      <c r="J183" s="347"/>
      <c r="K183" s="312"/>
      <c r="L183" s="347"/>
      <c r="M183" s="312"/>
      <c r="N183" s="347"/>
      <c r="O183" s="312"/>
      <c r="P183" s="347"/>
      <c r="Q183" s="312"/>
      <c r="R183" s="347"/>
      <c r="S183" s="312"/>
      <c r="T183" s="347"/>
    </row>
    <row r="184" spans="1:20" ht="12" customHeight="1" x14ac:dyDescent="0.3">
      <c r="A184" s="340" t="s">
        <v>289</v>
      </c>
      <c r="B184" s="341">
        <v>2</v>
      </c>
      <c r="C184" s="309">
        <v>46128</v>
      </c>
      <c r="D184" s="310" t="s">
        <v>296</v>
      </c>
      <c r="E184" s="342">
        <v>11.48</v>
      </c>
      <c r="F184" s="342"/>
      <c r="G184" s="344">
        <f t="shared" si="3"/>
        <v>7053.1199999999853</v>
      </c>
      <c r="H184" s="345"/>
      <c r="I184" s="346"/>
      <c r="J184" s="347"/>
      <c r="K184" s="312"/>
      <c r="L184" s="347"/>
      <c r="M184" s="312"/>
      <c r="N184" s="347"/>
      <c r="O184" s="312"/>
      <c r="P184" s="347"/>
      <c r="Q184" s="312"/>
      <c r="R184" s="347"/>
      <c r="S184" s="312"/>
      <c r="T184" s="347"/>
    </row>
    <row r="185" spans="1:20" ht="12" customHeight="1" x14ac:dyDescent="0.3">
      <c r="A185" s="340" t="s">
        <v>289</v>
      </c>
      <c r="B185" s="341">
        <v>6</v>
      </c>
      <c r="C185" s="309">
        <v>46128</v>
      </c>
      <c r="D185" s="310" t="s">
        <v>345</v>
      </c>
      <c r="E185" s="342">
        <v>26.61</v>
      </c>
      <c r="F185" s="342"/>
      <c r="G185" s="344">
        <f t="shared" si="3"/>
        <v>7064.5999999999849</v>
      </c>
      <c r="H185" s="345"/>
      <c r="I185" s="346"/>
      <c r="J185" s="347"/>
      <c r="K185" s="312"/>
      <c r="L185" s="347"/>
      <c r="M185" s="312"/>
      <c r="N185" s="347"/>
      <c r="O185" s="312"/>
      <c r="P185" s="347"/>
      <c r="Q185" s="312"/>
      <c r="R185" s="347"/>
      <c r="S185" s="312"/>
      <c r="T185" s="347"/>
    </row>
    <row r="186" spans="1:20" ht="12" customHeight="1" x14ac:dyDescent="0.3">
      <c r="A186" s="340" t="s">
        <v>289</v>
      </c>
      <c r="B186" s="341">
        <v>6</v>
      </c>
      <c r="C186" s="309">
        <v>46128</v>
      </c>
      <c r="D186" s="310" t="s">
        <v>346</v>
      </c>
      <c r="E186" s="342">
        <v>42.59</v>
      </c>
      <c r="F186" s="342"/>
      <c r="G186" s="344">
        <f t="shared" si="3"/>
        <v>7091.2099999999846</v>
      </c>
      <c r="H186" s="345"/>
      <c r="I186" s="346"/>
      <c r="J186" s="347"/>
      <c r="K186" s="312"/>
      <c r="L186" s="347"/>
      <c r="M186" s="312"/>
      <c r="N186" s="347"/>
      <c r="O186" s="312"/>
      <c r="P186" s="347"/>
      <c r="Q186" s="312"/>
      <c r="R186" s="347"/>
      <c r="S186" s="312"/>
      <c r="T186" s="347"/>
    </row>
    <row r="187" spans="1:20" ht="12" customHeight="1" x14ac:dyDescent="0.3">
      <c r="A187" s="340" t="s">
        <v>289</v>
      </c>
      <c r="B187" s="341">
        <v>6</v>
      </c>
      <c r="C187" s="309">
        <v>46128</v>
      </c>
      <c r="D187" s="310" t="s">
        <v>300</v>
      </c>
      <c r="E187" s="342">
        <v>20.58</v>
      </c>
      <c r="F187" s="342"/>
      <c r="G187" s="344">
        <f t="shared" si="3"/>
        <v>7133.7999999999847</v>
      </c>
      <c r="H187" s="345"/>
      <c r="I187" s="346"/>
      <c r="J187" s="347"/>
      <c r="K187" s="312"/>
      <c r="L187" s="347"/>
      <c r="M187" s="312"/>
      <c r="N187" s="347"/>
      <c r="O187" s="312"/>
      <c r="P187" s="347"/>
      <c r="Q187" s="312"/>
      <c r="R187" s="347"/>
      <c r="S187" s="312"/>
      <c r="T187" s="347"/>
    </row>
    <row r="188" spans="1:20" ht="12" customHeight="1" x14ac:dyDescent="0.3">
      <c r="A188" s="340" t="s">
        <v>294</v>
      </c>
      <c r="B188" s="341">
        <v>11</v>
      </c>
      <c r="C188" s="309">
        <v>46128</v>
      </c>
      <c r="D188" s="310" t="s">
        <v>178</v>
      </c>
      <c r="E188" s="342">
        <v>267.91000000000003</v>
      </c>
      <c r="F188" s="342"/>
      <c r="G188" s="344">
        <f t="shared" si="3"/>
        <v>7154.3799999999846</v>
      </c>
      <c r="H188" s="345"/>
      <c r="I188" s="346"/>
      <c r="J188" s="347"/>
      <c r="K188" s="312"/>
      <c r="L188" s="347"/>
      <c r="M188" s="312"/>
      <c r="N188" s="347"/>
      <c r="O188" s="312"/>
      <c r="P188" s="347"/>
      <c r="Q188" s="312"/>
      <c r="R188" s="347"/>
      <c r="S188" s="312"/>
      <c r="T188" s="347"/>
    </row>
    <row r="189" spans="1:20" ht="12" customHeight="1" x14ac:dyDescent="0.3">
      <c r="A189" s="340" t="s">
        <v>291</v>
      </c>
      <c r="B189" s="341">
        <v>41</v>
      </c>
      <c r="C189" s="309">
        <v>46128</v>
      </c>
      <c r="D189" s="310" t="s">
        <v>299</v>
      </c>
      <c r="E189" s="342"/>
      <c r="F189" s="342">
        <v>300</v>
      </c>
      <c r="G189" s="344">
        <f t="shared" si="3"/>
        <v>7422.2899999999845</v>
      </c>
      <c r="H189" s="345"/>
      <c r="I189" s="346"/>
      <c r="J189" s="347"/>
      <c r="K189" s="312"/>
      <c r="L189" s="347"/>
      <c r="M189" s="312"/>
      <c r="N189" s="347"/>
      <c r="O189" s="312"/>
      <c r="P189" s="347"/>
      <c r="Q189" s="312"/>
      <c r="R189" s="347"/>
      <c r="S189" s="312"/>
      <c r="T189" s="347"/>
    </row>
    <row r="190" spans="1:20" ht="12" customHeight="1" x14ac:dyDescent="0.3">
      <c r="A190" s="340" t="s">
        <v>291</v>
      </c>
      <c r="B190" s="341">
        <v>39</v>
      </c>
      <c r="C190" s="309">
        <v>46128</v>
      </c>
      <c r="D190" s="310" t="s">
        <v>292</v>
      </c>
      <c r="E190" s="342"/>
      <c r="F190" s="342">
        <v>2763.78</v>
      </c>
      <c r="G190" s="344">
        <f t="shared" si="3"/>
        <v>7122.2899999999845</v>
      </c>
      <c r="H190" s="345"/>
      <c r="I190" s="346"/>
      <c r="J190" s="347"/>
      <c r="K190" s="312"/>
      <c r="L190" s="347"/>
      <c r="M190" s="312"/>
      <c r="N190" s="347"/>
      <c r="O190" s="312"/>
      <c r="P190" s="347"/>
      <c r="Q190" s="312"/>
      <c r="R190" s="347"/>
      <c r="S190" s="312"/>
      <c r="T190" s="347"/>
    </row>
    <row r="191" spans="1:20" ht="12" customHeight="1" x14ac:dyDescent="0.3">
      <c r="A191" s="340" t="s">
        <v>287</v>
      </c>
      <c r="B191" s="341" t="s">
        <v>287</v>
      </c>
      <c r="C191" s="309">
        <v>46127</v>
      </c>
      <c r="D191" s="310" t="s">
        <v>347</v>
      </c>
      <c r="E191" s="342">
        <v>93.71</v>
      </c>
      <c r="F191" s="342">
        <v>93.71</v>
      </c>
      <c r="G191" s="344">
        <f t="shared" si="3"/>
        <v>4358.5099999999848</v>
      </c>
      <c r="H191" s="345"/>
      <c r="I191" s="346"/>
      <c r="J191" s="347"/>
      <c r="K191" s="312"/>
      <c r="L191" s="347"/>
      <c r="M191" s="312"/>
      <c r="N191" s="347"/>
      <c r="O191" s="312"/>
      <c r="P191" s="347"/>
      <c r="Q191" s="312"/>
      <c r="R191" s="347"/>
      <c r="S191" s="312"/>
      <c r="T191" s="347"/>
    </row>
    <row r="192" spans="1:20" ht="12" customHeight="1" x14ac:dyDescent="0.3">
      <c r="A192" s="340" t="s">
        <v>289</v>
      </c>
      <c r="B192" s="341">
        <v>6</v>
      </c>
      <c r="C192" s="309">
        <v>46127</v>
      </c>
      <c r="D192" s="310" t="s">
        <v>348</v>
      </c>
      <c r="E192" s="342">
        <v>27</v>
      </c>
      <c r="F192" s="342"/>
      <c r="G192" s="344">
        <f t="shared" si="3"/>
        <v>4358.5099999999848</v>
      </c>
      <c r="H192" s="345"/>
      <c r="I192" s="346"/>
      <c r="J192" s="347"/>
      <c r="K192" s="312"/>
      <c r="L192" s="347"/>
      <c r="M192" s="312"/>
      <c r="N192" s="347"/>
      <c r="O192" s="312"/>
      <c r="P192" s="347"/>
      <c r="Q192" s="312"/>
      <c r="R192" s="347"/>
      <c r="S192" s="312"/>
      <c r="T192" s="347"/>
    </row>
    <row r="193" spans="1:20" ht="12" customHeight="1" x14ac:dyDescent="0.3">
      <c r="A193" s="340" t="s">
        <v>291</v>
      </c>
      <c r="B193" s="341">
        <v>38</v>
      </c>
      <c r="C193" s="309">
        <v>46127</v>
      </c>
      <c r="D193" s="310" t="s">
        <v>293</v>
      </c>
      <c r="E193" s="342"/>
      <c r="F193" s="342">
        <v>4597.82</v>
      </c>
      <c r="G193" s="344">
        <f t="shared" si="3"/>
        <v>4385.5099999999848</v>
      </c>
      <c r="H193" s="345"/>
      <c r="I193" s="346"/>
      <c r="J193" s="347"/>
      <c r="K193" s="312"/>
      <c r="L193" s="347"/>
      <c r="M193" s="312"/>
      <c r="N193" s="347"/>
      <c r="O193" s="312"/>
      <c r="P193" s="347"/>
      <c r="Q193" s="312"/>
      <c r="R193" s="347"/>
      <c r="S193" s="312"/>
      <c r="T193" s="347"/>
    </row>
    <row r="194" spans="1:20" ht="12" customHeight="1" x14ac:dyDescent="0.3">
      <c r="A194" s="340" t="s">
        <v>289</v>
      </c>
      <c r="B194" s="341">
        <v>2</v>
      </c>
      <c r="C194" s="309">
        <v>46127</v>
      </c>
      <c r="D194" s="310" t="s">
        <v>296</v>
      </c>
      <c r="E194" s="342">
        <v>14.67</v>
      </c>
      <c r="F194" s="342"/>
      <c r="G194" s="344">
        <f t="shared" si="3"/>
        <v>-212.31000000001481</v>
      </c>
      <c r="H194" s="345"/>
      <c r="I194" s="346"/>
      <c r="J194" s="347"/>
      <c r="K194" s="312"/>
      <c r="L194" s="347"/>
      <c r="M194" s="312"/>
      <c r="N194" s="347"/>
      <c r="O194" s="312"/>
      <c r="P194" s="347"/>
      <c r="Q194" s="312"/>
      <c r="R194" s="347"/>
      <c r="S194" s="312"/>
      <c r="T194" s="347"/>
    </row>
    <row r="195" spans="1:20" ht="12" customHeight="1" x14ac:dyDescent="0.3">
      <c r="A195" s="340" t="s">
        <v>289</v>
      </c>
      <c r="B195" s="341">
        <v>2</v>
      </c>
      <c r="C195" s="309">
        <v>46127</v>
      </c>
      <c r="D195" s="310" t="s">
        <v>349</v>
      </c>
      <c r="E195" s="342">
        <v>102.2</v>
      </c>
      <c r="F195" s="342"/>
      <c r="G195" s="344">
        <f t="shared" si="3"/>
        <v>-197.64000000001482</v>
      </c>
      <c r="H195" s="345"/>
      <c r="I195" s="346"/>
      <c r="J195" s="347"/>
      <c r="K195" s="312"/>
      <c r="L195" s="347"/>
      <c r="M195" s="312"/>
      <c r="N195" s="347"/>
      <c r="O195" s="312"/>
      <c r="P195" s="347"/>
      <c r="Q195" s="312"/>
      <c r="R195" s="347"/>
      <c r="S195" s="312"/>
      <c r="T195" s="347"/>
    </row>
    <row r="196" spans="1:20" ht="12" customHeight="1" x14ac:dyDescent="0.3">
      <c r="A196" s="340" t="s">
        <v>289</v>
      </c>
      <c r="B196" s="341">
        <v>8</v>
      </c>
      <c r="C196" s="309">
        <v>46126</v>
      </c>
      <c r="D196" s="310" t="s">
        <v>321</v>
      </c>
      <c r="E196" s="342">
        <v>15.53</v>
      </c>
      <c r="F196" s="342"/>
      <c r="G196" s="344">
        <f t="shared" si="3"/>
        <v>-95.440000000014805</v>
      </c>
      <c r="H196" s="345"/>
      <c r="I196" s="346"/>
      <c r="J196" s="347"/>
      <c r="K196" s="312"/>
      <c r="L196" s="347"/>
      <c r="M196" s="312"/>
      <c r="N196" s="347"/>
      <c r="O196" s="312"/>
      <c r="P196" s="347"/>
      <c r="Q196" s="312"/>
      <c r="R196" s="347"/>
      <c r="S196" s="312"/>
      <c r="T196" s="347"/>
    </row>
    <row r="197" spans="1:20" ht="12" customHeight="1" x14ac:dyDescent="0.3">
      <c r="A197" s="340" t="s">
        <v>294</v>
      </c>
      <c r="B197" s="341">
        <v>24</v>
      </c>
      <c r="C197" s="309">
        <v>46126</v>
      </c>
      <c r="D197" s="310" t="s">
        <v>199</v>
      </c>
      <c r="E197" s="342">
        <v>105.33</v>
      </c>
      <c r="F197" s="342"/>
      <c r="G197" s="344">
        <f t="shared" si="3"/>
        <v>-79.910000000014804</v>
      </c>
      <c r="H197" s="345"/>
      <c r="I197" s="346"/>
      <c r="J197" s="347"/>
      <c r="K197" s="312"/>
      <c r="L197" s="347"/>
      <c r="M197" s="312"/>
      <c r="N197" s="347"/>
      <c r="O197" s="312"/>
      <c r="P197" s="347"/>
      <c r="Q197" s="312"/>
      <c r="R197" s="347"/>
      <c r="S197" s="312"/>
      <c r="T197" s="347"/>
    </row>
    <row r="198" spans="1:20" ht="12" customHeight="1" x14ac:dyDescent="0.3">
      <c r="A198" s="340" t="s">
        <v>289</v>
      </c>
      <c r="B198" s="341">
        <v>2</v>
      </c>
      <c r="C198" s="309">
        <v>46125</v>
      </c>
      <c r="D198" s="310" t="s">
        <v>350</v>
      </c>
      <c r="E198" s="342">
        <v>11.64</v>
      </c>
      <c r="F198" s="342"/>
      <c r="G198" s="344">
        <f t="shared" si="3"/>
        <v>25.419999999985201</v>
      </c>
      <c r="H198" s="345"/>
      <c r="I198" s="346"/>
      <c r="J198" s="347"/>
      <c r="K198" s="312"/>
      <c r="L198" s="347"/>
      <c r="M198" s="312"/>
      <c r="N198" s="347"/>
      <c r="O198" s="312"/>
      <c r="P198" s="347"/>
      <c r="Q198" s="312"/>
      <c r="R198" s="347"/>
      <c r="S198" s="312"/>
      <c r="T198" s="347"/>
    </row>
    <row r="199" spans="1:20" ht="12" customHeight="1" x14ac:dyDescent="0.3">
      <c r="A199" s="340" t="s">
        <v>289</v>
      </c>
      <c r="B199" s="341">
        <v>1</v>
      </c>
      <c r="C199" s="309">
        <v>46125</v>
      </c>
      <c r="D199" s="310" t="s">
        <v>307</v>
      </c>
      <c r="E199" s="342">
        <v>50.71</v>
      </c>
      <c r="F199" s="342"/>
      <c r="G199" s="344">
        <f t="shared" si="3"/>
        <v>37.059999999985202</v>
      </c>
      <c r="H199" s="345"/>
      <c r="I199" s="346"/>
      <c r="J199" s="347"/>
      <c r="K199" s="312"/>
      <c r="L199" s="347"/>
      <c r="M199" s="312"/>
      <c r="N199" s="347"/>
      <c r="O199" s="312"/>
      <c r="P199" s="347"/>
      <c r="Q199" s="312"/>
      <c r="R199" s="347"/>
      <c r="S199" s="312"/>
      <c r="T199" s="347"/>
    </row>
    <row r="200" spans="1:20" ht="12" customHeight="1" x14ac:dyDescent="0.3">
      <c r="A200" s="340" t="s">
        <v>289</v>
      </c>
      <c r="B200" s="341">
        <v>2</v>
      </c>
      <c r="C200" s="309">
        <v>46125</v>
      </c>
      <c r="D200" s="310" t="s">
        <v>338</v>
      </c>
      <c r="E200" s="342">
        <v>11.06</v>
      </c>
      <c r="F200" s="342"/>
      <c r="G200" s="344">
        <f t="shared" si="3"/>
        <v>87.769999999985203</v>
      </c>
      <c r="H200" s="345"/>
      <c r="I200" s="346"/>
      <c r="J200" s="347"/>
      <c r="K200" s="312"/>
      <c r="L200" s="347"/>
      <c r="M200" s="312"/>
      <c r="N200" s="347"/>
      <c r="O200" s="312"/>
      <c r="P200" s="347"/>
      <c r="Q200" s="312"/>
      <c r="R200" s="347"/>
      <c r="S200" s="312"/>
      <c r="T200" s="347"/>
    </row>
    <row r="201" spans="1:20" ht="12" customHeight="1" x14ac:dyDescent="0.3">
      <c r="A201" s="340" t="s">
        <v>289</v>
      </c>
      <c r="B201" s="341">
        <v>4</v>
      </c>
      <c r="C201" s="309">
        <v>46125</v>
      </c>
      <c r="D201" s="310" t="s">
        <v>295</v>
      </c>
      <c r="E201" s="342">
        <v>35.979999999999997</v>
      </c>
      <c r="F201" s="342"/>
      <c r="G201" s="344">
        <f t="shared" si="3"/>
        <v>98.829999999985205</v>
      </c>
      <c r="H201" s="345"/>
      <c r="I201" s="346"/>
      <c r="J201" s="347"/>
      <c r="K201" s="312"/>
      <c r="L201" s="347"/>
      <c r="M201" s="312"/>
      <c r="N201" s="347"/>
      <c r="O201" s="312"/>
      <c r="P201" s="347"/>
      <c r="Q201" s="312"/>
      <c r="R201" s="347"/>
      <c r="S201" s="312"/>
      <c r="T201" s="347"/>
    </row>
    <row r="202" spans="1:20" ht="12" customHeight="1" x14ac:dyDescent="0.3">
      <c r="A202" s="340" t="s">
        <v>289</v>
      </c>
      <c r="B202" s="341">
        <v>8</v>
      </c>
      <c r="C202" s="309">
        <v>46125</v>
      </c>
      <c r="D202" s="310" t="s">
        <v>351</v>
      </c>
      <c r="E202" s="342">
        <v>7.83</v>
      </c>
      <c r="F202" s="342"/>
      <c r="G202" s="344">
        <f t="shared" si="3"/>
        <v>134.80999999998519</v>
      </c>
      <c r="H202" s="345"/>
      <c r="I202" s="346"/>
      <c r="J202" s="347"/>
      <c r="K202" s="312"/>
      <c r="L202" s="347"/>
      <c r="M202" s="312"/>
      <c r="N202" s="347"/>
      <c r="O202" s="312"/>
      <c r="P202" s="347"/>
      <c r="Q202" s="312"/>
      <c r="R202" s="347"/>
      <c r="S202" s="312"/>
      <c r="T202" s="347"/>
    </row>
    <row r="203" spans="1:20" ht="12" customHeight="1" x14ac:dyDescent="0.3">
      <c r="A203" s="340" t="s">
        <v>289</v>
      </c>
      <c r="B203" s="341">
        <v>3</v>
      </c>
      <c r="C203" s="309">
        <v>46125</v>
      </c>
      <c r="D203" s="310" t="s">
        <v>352</v>
      </c>
      <c r="E203" s="342">
        <v>4.1900000000000004</v>
      </c>
      <c r="F203" s="342"/>
      <c r="G203" s="344">
        <f t="shared" si="3"/>
        <v>142.63999999998521</v>
      </c>
      <c r="H203" s="345"/>
      <c r="I203" s="346"/>
      <c r="J203" s="347"/>
      <c r="K203" s="312"/>
      <c r="L203" s="347"/>
      <c r="M203" s="312"/>
      <c r="N203" s="347"/>
      <c r="O203" s="312"/>
      <c r="P203" s="347"/>
      <c r="Q203" s="312"/>
      <c r="R203" s="347"/>
      <c r="S203" s="312"/>
      <c r="T203" s="347"/>
    </row>
    <row r="204" spans="1:20" ht="12" customHeight="1" x14ac:dyDescent="0.3">
      <c r="A204" s="340" t="s">
        <v>289</v>
      </c>
      <c r="B204" s="341">
        <v>8</v>
      </c>
      <c r="C204" s="309">
        <v>46125</v>
      </c>
      <c r="D204" s="310" t="s">
        <v>353</v>
      </c>
      <c r="E204" s="342">
        <v>39.25</v>
      </c>
      <c r="F204" s="342"/>
      <c r="G204" s="344">
        <f t="shared" si="3"/>
        <v>146.8299999999852</v>
      </c>
      <c r="H204" s="345"/>
      <c r="I204" s="346"/>
      <c r="J204" s="347"/>
      <c r="K204" s="312"/>
      <c r="L204" s="347"/>
      <c r="M204" s="312"/>
      <c r="N204" s="347"/>
      <c r="O204" s="312"/>
      <c r="P204" s="347"/>
      <c r="Q204" s="312"/>
      <c r="R204" s="347"/>
      <c r="S204" s="312"/>
      <c r="T204" s="347"/>
    </row>
    <row r="205" spans="1:20" ht="12" customHeight="1" x14ac:dyDescent="0.3">
      <c r="A205" s="340" t="s">
        <v>287</v>
      </c>
      <c r="B205" s="341" t="s">
        <v>287</v>
      </c>
      <c r="C205" s="309">
        <v>46125</v>
      </c>
      <c r="D205" s="310" t="s">
        <v>354</v>
      </c>
      <c r="E205" s="342">
        <v>318.36</v>
      </c>
      <c r="F205" s="342">
        <v>318.36</v>
      </c>
      <c r="G205" s="344">
        <f t="shared" si="3"/>
        <v>186.0799999999852</v>
      </c>
      <c r="H205" s="345"/>
      <c r="I205" s="346"/>
      <c r="J205" s="347"/>
      <c r="K205" s="312"/>
      <c r="L205" s="347"/>
      <c r="M205" s="312"/>
      <c r="N205" s="347"/>
      <c r="O205" s="312"/>
      <c r="P205" s="347"/>
      <c r="Q205" s="312"/>
      <c r="R205" s="347"/>
      <c r="S205" s="312"/>
      <c r="T205" s="347"/>
    </row>
    <row r="206" spans="1:20" ht="12" customHeight="1" x14ac:dyDescent="0.3">
      <c r="A206" s="340" t="s">
        <v>294</v>
      </c>
      <c r="B206" s="341">
        <v>19</v>
      </c>
      <c r="C206" s="309">
        <v>46125</v>
      </c>
      <c r="D206" s="310" t="s">
        <v>191</v>
      </c>
      <c r="E206" s="342">
        <v>200</v>
      </c>
      <c r="F206" s="342"/>
      <c r="G206" s="344">
        <f t="shared" si="3"/>
        <v>186.0799999999852</v>
      </c>
      <c r="H206" s="345"/>
      <c r="I206" s="346"/>
      <c r="J206" s="347"/>
      <c r="K206" s="312"/>
      <c r="L206" s="347"/>
      <c r="M206" s="312"/>
      <c r="N206" s="347"/>
      <c r="O206" s="312"/>
      <c r="P206" s="347"/>
      <c r="Q206" s="312"/>
      <c r="R206" s="347"/>
      <c r="S206" s="312"/>
      <c r="T206" s="347"/>
    </row>
    <row r="207" spans="1:20" ht="12" customHeight="1" x14ac:dyDescent="0.3">
      <c r="A207" s="340" t="s">
        <v>289</v>
      </c>
      <c r="B207" s="341">
        <v>1</v>
      </c>
      <c r="C207" s="309">
        <v>46124</v>
      </c>
      <c r="D207" s="310" t="s">
        <v>304</v>
      </c>
      <c r="E207" s="342">
        <v>136.05000000000001</v>
      </c>
      <c r="F207" s="342"/>
      <c r="G207" s="344">
        <f t="shared" si="3"/>
        <v>386.0799999999852</v>
      </c>
      <c r="H207" s="345"/>
      <c r="I207" s="346"/>
      <c r="J207" s="347"/>
      <c r="K207" s="312"/>
      <c r="L207" s="347"/>
      <c r="M207" s="312"/>
      <c r="N207" s="347"/>
      <c r="O207" s="312"/>
      <c r="P207" s="347"/>
      <c r="Q207" s="312"/>
      <c r="R207" s="347"/>
      <c r="S207" s="312"/>
      <c r="T207" s="347"/>
    </row>
    <row r="208" spans="1:20" ht="12" customHeight="1" x14ac:dyDescent="0.3">
      <c r="A208" s="340" t="s">
        <v>289</v>
      </c>
      <c r="B208" s="341">
        <v>3</v>
      </c>
      <c r="C208" s="309">
        <v>46124</v>
      </c>
      <c r="D208" s="310" t="s">
        <v>352</v>
      </c>
      <c r="E208" s="342">
        <v>13.09</v>
      </c>
      <c r="F208" s="342"/>
      <c r="G208" s="344">
        <f t="shared" si="3"/>
        <v>522.12999999998522</v>
      </c>
      <c r="H208" s="345"/>
      <c r="I208" s="346"/>
      <c r="J208" s="347"/>
      <c r="K208" s="312"/>
      <c r="L208" s="347"/>
      <c r="M208" s="312"/>
      <c r="N208" s="347"/>
      <c r="O208" s="312"/>
      <c r="P208" s="347"/>
      <c r="Q208" s="312"/>
      <c r="R208" s="347"/>
      <c r="S208" s="312"/>
      <c r="T208" s="347"/>
    </row>
    <row r="209" spans="1:20" ht="12" customHeight="1" x14ac:dyDescent="0.3">
      <c r="A209" s="340" t="s">
        <v>289</v>
      </c>
      <c r="B209" s="341">
        <v>8</v>
      </c>
      <c r="C209" s="309">
        <v>46124</v>
      </c>
      <c r="D209" s="310" t="s">
        <v>321</v>
      </c>
      <c r="E209" s="342">
        <v>24.47</v>
      </c>
      <c r="F209" s="342"/>
      <c r="G209" s="344">
        <f t="shared" si="3"/>
        <v>535.21999999998525</v>
      </c>
      <c r="H209" s="345"/>
      <c r="I209" s="346"/>
      <c r="J209" s="347"/>
      <c r="K209" s="312"/>
      <c r="L209" s="347"/>
      <c r="M209" s="312"/>
      <c r="N209" s="347"/>
      <c r="O209" s="312"/>
      <c r="P209" s="347"/>
      <c r="Q209" s="312"/>
      <c r="R209" s="347"/>
      <c r="S209" s="312"/>
      <c r="T209" s="347"/>
    </row>
    <row r="210" spans="1:20" ht="12" customHeight="1" x14ac:dyDescent="0.3">
      <c r="A210" s="340" t="s">
        <v>289</v>
      </c>
      <c r="B210" s="341">
        <v>8</v>
      </c>
      <c r="C210" s="309">
        <v>46124</v>
      </c>
      <c r="D210" s="310" t="s">
        <v>321</v>
      </c>
      <c r="E210" s="342">
        <v>14.29</v>
      </c>
      <c r="F210" s="342"/>
      <c r="G210" s="344">
        <f t="shared" si="3"/>
        <v>559.68999999998528</v>
      </c>
      <c r="H210" s="345"/>
      <c r="I210" s="346"/>
      <c r="J210" s="347"/>
      <c r="K210" s="312"/>
      <c r="L210" s="347"/>
      <c r="M210" s="312"/>
      <c r="N210" s="347"/>
      <c r="O210" s="312"/>
      <c r="P210" s="347"/>
      <c r="Q210" s="312"/>
      <c r="R210" s="347"/>
      <c r="S210" s="312"/>
      <c r="T210" s="347"/>
    </row>
    <row r="211" spans="1:20" ht="12" customHeight="1" x14ac:dyDescent="0.3">
      <c r="A211" s="340" t="s">
        <v>294</v>
      </c>
      <c r="B211" s="341">
        <v>22</v>
      </c>
      <c r="C211" s="309">
        <v>46124</v>
      </c>
      <c r="D211" s="310" t="s">
        <v>306</v>
      </c>
      <c r="E211" s="342">
        <v>9.57</v>
      </c>
      <c r="F211" s="342"/>
      <c r="G211" s="344">
        <f t="shared" si="3"/>
        <v>573.97999999998524</v>
      </c>
      <c r="H211" s="345"/>
      <c r="I211" s="346"/>
      <c r="J211" s="347"/>
      <c r="K211" s="312"/>
      <c r="L211" s="347"/>
      <c r="M211" s="312"/>
      <c r="N211" s="347"/>
      <c r="O211" s="312"/>
      <c r="P211" s="347"/>
      <c r="Q211" s="312"/>
      <c r="R211" s="347"/>
      <c r="S211" s="312"/>
      <c r="T211" s="347"/>
    </row>
    <row r="212" spans="1:20" ht="12" customHeight="1" x14ac:dyDescent="0.3">
      <c r="A212" s="340" t="s">
        <v>289</v>
      </c>
      <c r="B212" s="341">
        <v>3</v>
      </c>
      <c r="C212" s="309">
        <v>46124</v>
      </c>
      <c r="D212" s="310" t="s">
        <v>355</v>
      </c>
      <c r="E212" s="342">
        <v>25</v>
      </c>
      <c r="F212" s="342"/>
      <c r="G212" s="344">
        <f t="shared" si="3"/>
        <v>583.54999999998529</v>
      </c>
      <c r="H212" s="345"/>
      <c r="I212" s="346"/>
      <c r="J212" s="347"/>
      <c r="K212" s="312"/>
      <c r="L212" s="347"/>
      <c r="M212" s="312"/>
      <c r="N212" s="347"/>
      <c r="O212" s="312"/>
      <c r="P212" s="347"/>
      <c r="Q212" s="312"/>
      <c r="R212" s="347"/>
      <c r="S212" s="312"/>
      <c r="T212" s="347"/>
    </row>
    <row r="213" spans="1:20" ht="12" customHeight="1" x14ac:dyDescent="0.3">
      <c r="A213" s="340" t="s">
        <v>294</v>
      </c>
      <c r="B213" s="341">
        <v>22</v>
      </c>
      <c r="C213" s="309">
        <v>46123</v>
      </c>
      <c r="D213" s="310" t="s">
        <v>356</v>
      </c>
      <c r="E213" s="342">
        <v>19.16</v>
      </c>
      <c r="F213" s="342"/>
      <c r="G213" s="344">
        <f t="shared" si="3"/>
        <v>608.54999999998529</v>
      </c>
      <c r="H213" s="345"/>
      <c r="I213" s="346"/>
      <c r="J213" s="347"/>
      <c r="K213" s="312"/>
      <c r="L213" s="347"/>
      <c r="M213" s="312"/>
      <c r="N213" s="347"/>
      <c r="O213" s="312"/>
      <c r="P213" s="347"/>
      <c r="Q213" s="312"/>
      <c r="R213" s="347"/>
      <c r="S213" s="312"/>
      <c r="T213" s="347"/>
    </row>
    <row r="214" spans="1:20" ht="12" customHeight="1" x14ac:dyDescent="0.3">
      <c r="A214" s="340" t="s">
        <v>289</v>
      </c>
      <c r="B214" s="341">
        <v>2</v>
      </c>
      <c r="C214" s="309">
        <v>46123</v>
      </c>
      <c r="D214" s="310" t="s">
        <v>301</v>
      </c>
      <c r="E214" s="342">
        <v>20.91</v>
      </c>
      <c r="F214" s="342"/>
      <c r="G214" s="344">
        <f t="shared" si="3"/>
        <v>627.70999999998526</v>
      </c>
      <c r="H214" s="345"/>
      <c r="I214" s="346"/>
      <c r="J214" s="347"/>
      <c r="K214" s="312"/>
      <c r="L214" s="347"/>
      <c r="M214" s="312"/>
      <c r="N214" s="347"/>
      <c r="O214" s="312"/>
      <c r="P214" s="347"/>
      <c r="Q214" s="312"/>
      <c r="R214" s="347"/>
      <c r="S214" s="312"/>
      <c r="T214" s="347"/>
    </row>
    <row r="215" spans="1:20" ht="12" customHeight="1" x14ac:dyDescent="0.3">
      <c r="A215" s="340" t="s">
        <v>289</v>
      </c>
      <c r="B215" s="341">
        <v>2</v>
      </c>
      <c r="C215" s="309">
        <v>46123</v>
      </c>
      <c r="D215" s="310" t="s">
        <v>296</v>
      </c>
      <c r="E215" s="342">
        <v>12.44</v>
      </c>
      <c r="F215" s="342"/>
      <c r="G215" s="344">
        <f t="shared" si="3"/>
        <v>648.61999999998523</v>
      </c>
      <c r="H215" s="345"/>
      <c r="I215" s="346"/>
      <c r="J215" s="347"/>
      <c r="K215" s="312"/>
      <c r="L215" s="347"/>
      <c r="M215" s="312"/>
      <c r="N215" s="347"/>
      <c r="O215" s="312"/>
      <c r="P215" s="347"/>
      <c r="Q215" s="312"/>
      <c r="R215" s="347"/>
      <c r="S215" s="312"/>
      <c r="T215" s="347"/>
    </row>
    <row r="216" spans="1:20" ht="12" customHeight="1" x14ac:dyDescent="0.3">
      <c r="A216" s="340" t="s">
        <v>289</v>
      </c>
      <c r="B216" s="341">
        <v>2</v>
      </c>
      <c r="C216" s="309">
        <v>46123</v>
      </c>
      <c r="D216" s="310" t="s">
        <v>357</v>
      </c>
      <c r="E216" s="342">
        <v>41.34</v>
      </c>
      <c r="F216" s="342"/>
      <c r="G216" s="344">
        <f t="shared" si="3"/>
        <v>661.05999999998528</v>
      </c>
      <c r="H216" s="345"/>
      <c r="I216" s="346"/>
      <c r="J216" s="347"/>
      <c r="K216" s="312"/>
      <c r="L216" s="347"/>
      <c r="M216" s="312"/>
      <c r="N216" s="347"/>
      <c r="O216" s="312"/>
      <c r="P216" s="347"/>
      <c r="Q216" s="312"/>
      <c r="R216" s="347"/>
      <c r="S216" s="312"/>
      <c r="T216" s="347"/>
    </row>
    <row r="217" spans="1:20" ht="12" customHeight="1" x14ac:dyDescent="0.3">
      <c r="A217" s="340" t="s">
        <v>289</v>
      </c>
      <c r="B217" s="341">
        <v>6</v>
      </c>
      <c r="C217" s="309">
        <v>46122</v>
      </c>
      <c r="D217" s="310" t="s">
        <v>454</v>
      </c>
      <c r="E217" s="342">
        <v>-0.04</v>
      </c>
      <c r="F217" s="342"/>
      <c r="G217" s="344">
        <f t="shared" si="3"/>
        <v>702.39999999998531</v>
      </c>
      <c r="H217" s="345"/>
      <c r="I217" s="346"/>
      <c r="J217" s="347"/>
      <c r="K217" s="312"/>
      <c r="L217" s="347"/>
      <c r="M217" s="312"/>
      <c r="N217" s="347"/>
      <c r="O217" s="312"/>
      <c r="P217" s="347"/>
      <c r="Q217" s="312"/>
      <c r="R217" s="347"/>
      <c r="S217" s="312"/>
      <c r="T217" s="347"/>
    </row>
    <row r="218" spans="1:20" ht="12" customHeight="1" x14ac:dyDescent="0.3">
      <c r="A218" s="340" t="s">
        <v>289</v>
      </c>
      <c r="B218" s="341">
        <v>5</v>
      </c>
      <c r="C218" s="309">
        <v>46122</v>
      </c>
      <c r="D218" s="310" t="s">
        <v>358</v>
      </c>
      <c r="E218" s="342">
        <v>372</v>
      </c>
      <c r="F218" s="342"/>
      <c r="G218" s="344">
        <f t="shared" si="3"/>
        <v>702.35999999998535</v>
      </c>
      <c r="H218" s="345" t="s">
        <v>298</v>
      </c>
      <c r="I218" s="346"/>
      <c r="J218" s="347"/>
      <c r="K218" s="312"/>
      <c r="L218" s="347"/>
      <c r="M218" s="312"/>
      <c r="N218" s="347"/>
      <c r="O218" s="312"/>
      <c r="P218" s="347"/>
      <c r="Q218" s="312"/>
      <c r="R218" s="347"/>
      <c r="S218" s="312"/>
      <c r="T218" s="347"/>
    </row>
    <row r="219" spans="1:20" ht="12" customHeight="1" x14ac:dyDescent="0.3">
      <c r="A219" s="340" t="s">
        <v>289</v>
      </c>
      <c r="B219" s="341">
        <v>2</v>
      </c>
      <c r="C219" s="309">
        <v>46122</v>
      </c>
      <c r="D219" s="310" t="s">
        <v>359</v>
      </c>
      <c r="E219" s="342">
        <v>15.22</v>
      </c>
      <c r="F219" s="342"/>
      <c r="G219" s="344">
        <f t="shared" si="3"/>
        <v>1074.3599999999853</v>
      </c>
      <c r="H219" s="345"/>
      <c r="I219" s="346"/>
      <c r="J219" s="347"/>
      <c r="K219" s="312"/>
      <c r="L219" s="347"/>
      <c r="M219" s="312"/>
      <c r="N219" s="347"/>
      <c r="O219" s="312"/>
      <c r="P219" s="347"/>
      <c r="Q219" s="312"/>
      <c r="R219" s="347"/>
      <c r="S219" s="312"/>
      <c r="T219" s="347"/>
    </row>
    <row r="220" spans="1:20" ht="12" customHeight="1" x14ac:dyDescent="0.3">
      <c r="A220" s="340" t="s">
        <v>289</v>
      </c>
      <c r="B220" s="341">
        <v>3</v>
      </c>
      <c r="C220" s="309">
        <v>46122</v>
      </c>
      <c r="D220" s="310" t="s">
        <v>296</v>
      </c>
      <c r="E220" s="342">
        <v>9.5500000000000007</v>
      </c>
      <c r="F220" s="342"/>
      <c r="G220" s="344">
        <f t="shared" si="3"/>
        <v>1089.5799999999854</v>
      </c>
      <c r="H220" s="345"/>
      <c r="I220" s="346"/>
      <c r="J220" s="347"/>
      <c r="K220" s="312"/>
      <c r="L220" s="347"/>
      <c r="M220" s="312"/>
      <c r="N220" s="347"/>
      <c r="O220" s="312"/>
      <c r="P220" s="347"/>
      <c r="Q220" s="312"/>
      <c r="R220" s="347"/>
      <c r="S220" s="312"/>
      <c r="T220" s="347"/>
    </row>
    <row r="221" spans="1:20" ht="12" customHeight="1" x14ac:dyDescent="0.3">
      <c r="A221" s="340" t="s">
        <v>289</v>
      </c>
      <c r="B221" s="341">
        <v>8</v>
      </c>
      <c r="C221" s="309">
        <v>46122</v>
      </c>
      <c r="D221" s="310" t="s">
        <v>360</v>
      </c>
      <c r="E221" s="342">
        <v>52.65</v>
      </c>
      <c r="F221" s="342"/>
      <c r="G221" s="344">
        <f t="shared" si="3"/>
        <v>1099.1299999999853</v>
      </c>
      <c r="H221" s="345"/>
      <c r="I221" s="346"/>
      <c r="J221" s="347"/>
      <c r="K221" s="312"/>
      <c r="L221" s="347"/>
      <c r="M221" s="312"/>
      <c r="N221" s="347"/>
      <c r="O221" s="312"/>
      <c r="P221" s="347"/>
      <c r="Q221" s="312"/>
      <c r="R221" s="347"/>
      <c r="S221" s="312"/>
      <c r="T221" s="347"/>
    </row>
    <row r="222" spans="1:20" ht="12" customHeight="1" x14ac:dyDescent="0.3">
      <c r="A222" s="340" t="s">
        <v>289</v>
      </c>
      <c r="B222" s="341">
        <v>1</v>
      </c>
      <c r="C222" s="309">
        <v>46122</v>
      </c>
      <c r="D222" s="310" t="s">
        <v>312</v>
      </c>
      <c r="E222" s="342">
        <v>68.989999999999995</v>
      </c>
      <c r="F222" s="342"/>
      <c r="G222" s="344">
        <f t="shared" si="3"/>
        <v>1151.7799999999854</v>
      </c>
      <c r="H222" s="345"/>
      <c r="I222" s="346"/>
      <c r="J222" s="347"/>
      <c r="K222" s="312"/>
      <c r="L222" s="347"/>
      <c r="M222" s="312"/>
      <c r="N222" s="347"/>
      <c r="O222" s="312"/>
      <c r="P222" s="347"/>
      <c r="Q222" s="312"/>
      <c r="R222" s="347"/>
      <c r="S222" s="312"/>
      <c r="T222" s="347"/>
    </row>
    <row r="223" spans="1:20" ht="12" customHeight="1" x14ac:dyDescent="0.3">
      <c r="A223" s="340" t="s">
        <v>289</v>
      </c>
      <c r="B223" s="341">
        <v>2</v>
      </c>
      <c r="C223" s="309">
        <v>46122</v>
      </c>
      <c r="D223" s="310" t="s">
        <v>327</v>
      </c>
      <c r="E223" s="342">
        <v>17.37</v>
      </c>
      <c r="F223" s="342"/>
      <c r="G223" s="344">
        <f t="shared" si="3"/>
        <v>1220.7699999999854</v>
      </c>
      <c r="H223" s="345"/>
      <c r="I223" s="346"/>
      <c r="J223" s="347"/>
      <c r="K223" s="312"/>
      <c r="L223" s="347"/>
      <c r="M223" s="312"/>
      <c r="N223" s="347"/>
      <c r="O223" s="312"/>
      <c r="P223" s="347"/>
      <c r="Q223" s="312"/>
      <c r="R223" s="347"/>
      <c r="S223" s="312"/>
      <c r="T223" s="347"/>
    </row>
    <row r="224" spans="1:20" ht="12" customHeight="1" x14ac:dyDescent="0.3">
      <c r="A224" s="340" t="s">
        <v>289</v>
      </c>
      <c r="B224" s="341">
        <v>8</v>
      </c>
      <c r="C224" s="309">
        <v>46121</v>
      </c>
      <c r="D224" s="310" t="s">
        <v>361</v>
      </c>
      <c r="E224" s="342">
        <v>64.42</v>
      </c>
      <c r="F224" s="342"/>
      <c r="G224" s="344">
        <f t="shared" si="3"/>
        <v>1238.1399999999853</v>
      </c>
      <c r="H224" s="345"/>
      <c r="I224" s="346"/>
      <c r="J224" s="347"/>
      <c r="K224" s="312"/>
      <c r="L224" s="347"/>
      <c r="M224" s="312"/>
      <c r="N224" s="347"/>
      <c r="O224" s="312"/>
      <c r="P224" s="347"/>
      <c r="Q224" s="312"/>
      <c r="R224" s="347"/>
      <c r="S224" s="312"/>
      <c r="T224" s="347"/>
    </row>
    <row r="225" spans="1:20" ht="12" customHeight="1" x14ac:dyDescent="0.3">
      <c r="A225" s="340" t="s">
        <v>289</v>
      </c>
      <c r="B225" s="341">
        <v>2</v>
      </c>
      <c r="C225" s="309">
        <v>46121</v>
      </c>
      <c r="D225" s="310" t="s">
        <v>362</v>
      </c>
      <c r="E225" s="342">
        <v>9.4700000000000006</v>
      </c>
      <c r="F225" s="342"/>
      <c r="G225" s="344">
        <f t="shared" si="3"/>
        <v>1302.5599999999854</v>
      </c>
      <c r="H225" s="345"/>
      <c r="I225" s="346"/>
      <c r="J225" s="347"/>
      <c r="K225" s="312"/>
      <c r="L225" s="347"/>
      <c r="M225" s="312"/>
      <c r="N225" s="347"/>
      <c r="O225" s="312"/>
      <c r="P225" s="347"/>
      <c r="Q225" s="312"/>
      <c r="R225" s="347"/>
      <c r="S225" s="312"/>
      <c r="T225" s="347"/>
    </row>
    <row r="226" spans="1:20" ht="12" customHeight="1" x14ac:dyDescent="0.3">
      <c r="A226" s="340" t="s">
        <v>289</v>
      </c>
      <c r="B226" s="341">
        <v>5</v>
      </c>
      <c r="C226" s="309">
        <v>46121</v>
      </c>
      <c r="D226" s="310" t="s">
        <v>870</v>
      </c>
      <c r="E226" s="342">
        <v>10.68</v>
      </c>
      <c r="F226" s="342"/>
      <c r="G226" s="344">
        <f t="shared" si="3"/>
        <v>1312.0299999999854</v>
      </c>
      <c r="H226" s="345"/>
      <c r="I226" s="346"/>
      <c r="J226" s="347"/>
      <c r="K226" s="312"/>
      <c r="L226" s="347"/>
      <c r="M226" s="312"/>
      <c r="N226" s="347"/>
      <c r="O226" s="312"/>
      <c r="P226" s="347"/>
      <c r="Q226" s="312"/>
      <c r="R226" s="347"/>
      <c r="S226" s="312"/>
      <c r="T226" s="347"/>
    </row>
    <row r="227" spans="1:20" ht="12" customHeight="1" x14ac:dyDescent="0.3">
      <c r="A227" s="340" t="s">
        <v>289</v>
      </c>
      <c r="B227" s="341">
        <v>7</v>
      </c>
      <c r="C227" s="309">
        <v>46121</v>
      </c>
      <c r="D227" s="310" t="s">
        <v>363</v>
      </c>
      <c r="E227" s="342">
        <v>68.010000000000005</v>
      </c>
      <c r="F227" s="342"/>
      <c r="G227" s="344">
        <f t="shared" si="3"/>
        <v>1322.7099999999855</v>
      </c>
      <c r="H227" s="345"/>
      <c r="I227" s="346"/>
      <c r="J227" s="347"/>
      <c r="K227" s="312"/>
      <c r="L227" s="347"/>
      <c r="M227" s="312"/>
      <c r="N227" s="347"/>
      <c r="O227" s="312"/>
      <c r="P227" s="347"/>
      <c r="Q227" s="312"/>
      <c r="R227" s="347"/>
      <c r="S227" s="312"/>
      <c r="T227" s="347"/>
    </row>
    <row r="228" spans="1:20" ht="12" customHeight="1" x14ac:dyDescent="0.3">
      <c r="A228" s="340" t="s">
        <v>289</v>
      </c>
      <c r="B228" s="341">
        <v>4</v>
      </c>
      <c r="C228" s="309">
        <v>46121</v>
      </c>
      <c r="D228" s="310" t="s">
        <v>311</v>
      </c>
      <c r="E228" s="342">
        <v>40.85</v>
      </c>
      <c r="F228" s="342"/>
      <c r="G228" s="344">
        <f t="shared" si="3"/>
        <v>1390.7199999999855</v>
      </c>
      <c r="H228" s="345"/>
      <c r="I228" s="346"/>
      <c r="J228" s="347"/>
      <c r="K228" s="312"/>
      <c r="L228" s="347"/>
      <c r="M228" s="312"/>
      <c r="N228" s="347"/>
      <c r="O228" s="312"/>
      <c r="P228" s="347"/>
      <c r="Q228" s="312"/>
      <c r="R228" s="347"/>
      <c r="S228" s="312"/>
      <c r="T228" s="347"/>
    </row>
    <row r="229" spans="1:20" ht="12" customHeight="1" x14ac:dyDescent="0.3">
      <c r="A229" s="340" t="s">
        <v>289</v>
      </c>
      <c r="B229" s="341">
        <v>6</v>
      </c>
      <c r="C229" s="309">
        <v>46121</v>
      </c>
      <c r="D229" s="310" t="s">
        <v>364</v>
      </c>
      <c r="E229" s="342">
        <v>25</v>
      </c>
      <c r="F229" s="342"/>
      <c r="G229" s="344">
        <f t="shared" si="3"/>
        <v>1431.5699999999854</v>
      </c>
      <c r="H229" s="345"/>
      <c r="I229" s="346"/>
      <c r="J229" s="347"/>
      <c r="K229" s="312"/>
      <c r="L229" s="347"/>
      <c r="M229" s="312"/>
      <c r="N229" s="347"/>
      <c r="O229" s="312"/>
      <c r="P229" s="347"/>
      <c r="Q229" s="312"/>
      <c r="R229" s="347"/>
      <c r="S229" s="312"/>
      <c r="T229" s="347"/>
    </row>
    <row r="230" spans="1:20" ht="12" customHeight="1" x14ac:dyDescent="0.3">
      <c r="A230" s="340" t="s">
        <v>294</v>
      </c>
      <c r="B230" s="341">
        <v>18</v>
      </c>
      <c r="C230" s="309">
        <v>46120</v>
      </c>
      <c r="D230" s="310" t="s">
        <v>365</v>
      </c>
      <c r="E230" s="342">
        <v>400</v>
      </c>
      <c r="F230" s="342"/>
      <c r="G230" s="344">
        <f t="shared" si="3"/>
        <v>1456.5699999999854</v>
      </c>
      <c r="H230" s="345"/>
      <c r="I230" s="346"/>
      <c r="J230" s="347"/>
      <c r="K230" s="312"/>
      <c r="L230" s="347"/>
      <c r="M230" s="312"/>
      <c r="N230" s="347"/>
      <c r="O230" s="312"/>
      <c r="P230" s="347"/>
      <c r="Q230" s="312"/>
      <c r="R230" s="347"/>
      <c r="S230" s="312"/>
      <c r="T230" s="347"/>
    </row>
    <row r="231" spans="1:20" ht="12" customHeight="1" x14ac:dyDescent="0.3">
      <c r="A231" s="340" t="s">
        <v>339</v>
      </c>
      <c r="B231" s="341" t="s">
        <v>339</v>
      </c>
      <c r="C231" s="309">
        <v>46120</v>
      </c>
      <c r="D231" s="310" t="s">
        <v>182</v>
      </c>
      <c r="E231" s="342">
        <v>44.96</v>
      </c>
      <c r="F231" s="342"/>
      <c r="G231" s="344">
        <f t="shared" si="3"/>
        <v>1856.5699999999854</v>
      </c>
      <c r="H231" s="345"/>
      <c r="I231" s="346"/>
      <c r="J231" s="347"/>
      <c r="K231" s="312"/>
      <c r="L231" s="347"/>
      <c r="M231" s="312"/>
      <c r="N231" s="347"/>
      <c r="O231" s="312"/>
      <c r="P231" s="347"/>
      <c r="Q231" s="312"/>
      <c r="R231" s="347"/>
      <c r="S231" s="312"/>
      <c r="T231" s="347"/>
    </row>
    <row r="232" spans="1:20" ht="12" customHeight="1" x14ac:dyDescent="0.3">
      <c r="A232" s="340" t="s">
        <v>294</v>
      </c>
      <c r="B232" s="341">
        <v>13</v>
      </c>
      <c r="C232" s="309">
        <v>46120</v>
      </c>
      <c r="D232" s="310" t="s">
        <v>182</v>
      </c>
      <c r="E232" s="342">
        <v>104.98</v>
      </c>
      <c r="F232" s="342"/>
      <c r="G232" s="344">
        <f t="shared" si="3"/>
        <v>1901.5299999999854</v>
      </c>
      <c r="H232" s="345"/>
      <c r="I232" s="346"/>
      <c r="J232" s="347"/>
      <c r="K232" s="312"/>
      <c r="L232" s="347"/>
      <c r="M232" s="312"/>
      <c r="N232" s="347"/>
      <c r="O232" s="312"/>
      <c r="P232" s="347"/>
      <c r="Q232" s="312"/>
      <c r="R232" s="347"/>
      <c r="S232" s="312"/>
      <c r="T232" s="347"/>
    </row>
    <row r="233" spans="1:20" ht="12" customHeight="1" x14ac:dyDescent="0.3">
      <c r="A233" s="340" t="s">
        <v>289</v>
      </c>
      <c r="B233" s="341">
        <v>2</v>
      </c>
      <c r="C233" s="309">
        <v>46120</v>
      </c>
      <c r="D233" s="310" t="s">
        <v>296</v>
      </c>
      <c r="E233" s="342">
        <v>13.8</v>
      </c>
      <c r="F233" s="342"/>
      <c r="G233" s="344">
        <f t="shared" si="3"/>
        <v>2006.5099999999854</v>
      </c>
      <c r="H233" s="345"/>
      <c r="I233" s="346"/>
      <c r="J233" s="347"/>
      <c r="K233" s="312"/>
      <c r="L233" s="347"/>
      <c r="M233" s="312"/>
      <c r="N233" s="347"/>
      <c r="O233" s="312"/>
      <c r="P233" s="347"/>
      <c r="Q233" s="312"/>
      <c r="R233" s="347"/>
      <c r="S233" s="312"/>
      <c r="T233" s="347"/>
    </row>
    <row r="234" spans="1:20" ht="12" customHeight="1" x14ac:dyDescent="0.3">
      <c r="A234" s="340" t="s">
        <v>289</v>
      </c>
      <c r="B234" s="341">
        <v>4</v>
      </c>
      <c r="C234" s="309">
        <v>46120</v>
      </c>
      <c r="D234" s="310" t="s">
        <v>295</v>
      </c>
      <c r="E234" s="342">
        <v>37.92</v>
      </c>
      <c r="F234" s="342"/>
      <c r="G234" s="344">
        <f t="shared" si="3"/>
        <v>2020.3099999999854</v>
      </c>
      <c r="H234" s="345"/>
      <c r="I234" s="346"/>
      <c r="J234" s="347"/>
      <c r="K234" s="312"/>
      <c r="L234" s="347"/>
      <c r="M234" s="312"/>
      <c r="N234" s="347"/>
      <c r="O234" s="312"/>
      <c r="P234" s="347"/>
      <c r="Q234" s="312"/>
      <c r="R234" s="347"/>
      <c r="S234" s="312"/>
      <c r="T234" s="347"/>
    </row>
    <row r="235" spans="1:20" ht="12" customHeight="1" x14ac:dyDescent="0.3">
      <c r="A235" s="340" t="s">
        <v>289</v>
      </c>
      <c r="B235" s="341">
        <v>6</v>
      </c>
      <c r="C235" s="309">
        <v>46120</v>
      </c>
      <c r="D235" s="310" t="s">
        <v>300</v>
      </c>
      <c r="E235" s="342">
        <v>56.68</v>
      </c>
      <c r="F235" s="342"/>
      <c r="G235" s="344">
        <f t="shared" si="3"/>
        <v>2058.2299999999855</v>
      </c>
      <c r="H235" s="345"/>
      <c r="I235" s="346"/>
      <c r="J235" s="347"/>
      <c r="K235" s="312"/>
      <c r="L235" s="347"/>
      <c r="M235" s="312"/>
      <c r="N235" s="347"/>
      <c r="O235" s="312"/>
      <c r="P235" s="347"/>
      <c r="Q235" s="312"/>
      <c r="R235" s="347"/>
      <c r="S235" s="312"/>
      <c r="T235" s="347"/>
    </row>
    <row r="236" spans="1:20" ht="12" customHeight="1" x14ac:dyDescent="0.3">
      <c r="A236" s="340" t="s">
        <v>289</v>
      </c>
      <c r="B236" s="341">
        <v>6</v>
      </c>
      <c r="C236" s="309">
        <v>46120</v>
      </c>
      <c r="D236" s="310" t="s">
        <v>366</v>
      </c>
      <c r="E236" s="342">
        <v>29.26</v>
      </c>
      <c r="F236" s="342"/>
      <c r="G236" s="344">
        <f t="shared" si="3"/>
        <v>2114.9099999999853</v>
      </c>
      <c r="H236" s="345"/>
      <c r="I236" s="346"/>
      <c r="J236" s="347"/>
      <c r="K236" s="312"/>
      <c r="L236" s="347"/>
      <c r="M236" s="312"/>
      <c r="N236" s="347"/>
      <c r="O236" s="312"/>
      <c r="P236" s="347"/>
      <c r="Q236" s="312"/>
      <c r="R236" s="347"/>
      <c r="S236" s="312"/>
      <c r="T236" s="347"/>
    </row>
    <row r="237" spans="1:20" ht="12" customHeight="1" x14ac:dyDescent="0.3">
      <c r="A237" s="340" t="s">
        <v>294</v>
      </c>
      <c r="B237" s="341">
        <v>9</v>
      </c>
      <c r="C237" s="309">
        <v>46119</v>
      </c>
      <c r="D237" s="310" t="s">
        <v>58</v>
      </c>
      <c r="E237" s="342">
        <v>1281.53</v>
      </c>
      <c r="F237" s="342"/>
      <c r="G237" s="344">
        <f t="shared" si="3"/>
        <v>2144.1699999999855</v>
      </c>
      <c r="H237" s="345"/>
      <c r="I237" s="346"/>
      <c r="J237" s="347"/>
      <c r="K237" s="312"/>
      <c r="L237" s="347"/>
      <c r="M237" s="312"/>
      <c r="N237" s="347"/>
      <c r="O237" s="312"/>
      <c r="P237" s="347"/>
      <c r="Q237" s="312"/>
      <c r="R237" s="347"/>
      <c r="S237" s="312"/>
      <c r="T237" s="347"/>
    </row>
    <row r="238" spans="1:20" ht="12" customHeight="1" x14ac:dyDescent="0.3">
      <c r="A238" s="340" t="s">
        <v>289</v>
      </c>
      <c r="B238" s="341">
        <v>4</v>
      </c>
      <c r="C238" s="309">
        <v>46119</v>
      </c>
      <c r="D238" s="310" t="s">
        <v>367</v>
      </c>
      <c r="E238" s="342">
        <v>25.84</v>
      </c>
      <c r="F238" s="342"/>
      <c r="G238" s="344">
        <f t="shared" si="3"/>
        <v>3425.6999999999853</v>
      </c>
      <c r="H238" s="345"/>
      <c r="I238" s="346"/>
      <c r="J238" s="347"/>
      <c r="K238" s="312"/>
      <c r="L238" s="347"/>
      <c r="M238" s="312"/>
      <c r="N238" s="347"/>
      <c r="O238" s="312"/>
      <c r="P238" s="347"/>
      <c r="Q238" s="312"/>
      <c r="R238" s="347"/>
      <c r="S238" s="312"/>
      <c r="T238" s="347"/>
    </row>
    <row r="239" spans="1:20" ht="12" customHeight="1" x14ac:dyDescent="0.3">
      <c r="A239" s="340" t="s">
        <v>289</v>
      </c>
      <c r="B239" s="341">
        <v>8</v>
      </c>
      <c r="C239" s="309">
        <v>46119</v>
      </c>
      <c r="D239" s="310" t="s">
        <v>321</v>
      </c>
      <c r="E239" s="342">
        <v>12.05</v>
      </c>
      <c r="F239" s="342"/>
      <c r="G239" s="344">
        <f t="shared" si="3"/>
        <v>3451.5399999999854</v>
      </c>
      <c r="H239" s="345"/>
      <c r="I239" s="346"/>
      <c r="J239" s="347"/>
      <c r="K239" s="312"/>
      <c r="L239" s="347"/>
      <c r="M239" s="312"/>
      <c r="N239" s="347"/>
      <c r="O239" s="312"/>
      <c r="P239" s="347"/>
      <c r="Q239" s="312"/>
      <c r="R239" s="347"/>
      <c r="S239" s="312"/>
      <c r="T239" s="347"/>
    </row>
    <row r="240" spans="1:20" ht="12" customHeight="1" x14ac:dyDescent="0.3">
      <c r="A240" s="340" t="s">
        <v>289</v>
      </c>
      <c r="B240" s="341">
        <v>4</v>
      </c>
      <c r="C240" s="309">
        <v>46119</v>
      </c>
      <c r="D240" s="310" t="s">
        <v>338</v>
      </c>
      <c r="E240" s="342">
        <v>82.04</v>
      </c>
      <c r="F240" s="342"/>
      <c r="G240" s="344">
        <f t="shared" si="3"/>
        <v>3463.5899999999856</v>
      </c>
      <c r="H240" s="345"/>
      <c r="I240" s="346"/>
      <c r="J240" s="347"/>
      <c r="K240" s="312"/>
      <c r="L240" s="347"/>
      <c r="M240" s="312"/>
      <c r="N240" s="347"/>
      <c r="O240" s="312"/>
      <c r="P240" s="347"/>
      <c r="Q240" s="312"/>
      <c r="R240" s="347"/>
      <c r="S240" s="312"/>
      <c r="T240" s="347"/>
    </row>
    <row r="241" spans="1:20" ht="12" customHeight="1" x14ac:dyDescent="0.3">
      <c r="A241" s="340" t="s">
        <v>289</v>
      </c>
      <c r="B241" s="341">
        <v>2</v>
      </c>
      <c r="C241" s="309">
        <v>46119</v>
      </c>
      <c r="D241" s="310" t="s">
        <v>368</v>
      </c>
      <c r="E241" s="342">
        <v>22.92</v>
      </c>
      <c r="F241" s="342"/>
      <c r="G241" s="344">
        <f t="shared" si="3"/>
        <v>3545.6299999999856</v>
      </c>
      <c r="H241" s="345"/>
      <c r="I241" s="346"/>
      <c r="J241" s="347"/>
      <c r="K241" s="312"/>
      <c r="L241" s="347"/>
      <c r="M241" s="312"/>
      <c r="N241" s="347"/>
      <c r="O241" s="312"/>
      <c r="P241" s="347"/>
      <c r="Q241" s="312"/>
      <c r="R241" s="347"/>
      <c r="S241" s="312"/>
      <c r="T241" s="347"/>
    </row>
    <row r="242" spans="1:20" ht="12" customHeight="1" x14ac:dyDescent="0.3">
      <c r="A242" s="340" t="s">
        <v>289</v>
      </c>
      <c r="B242" s="341">
        <v>5</v>
      </c>
      <c r="C242" s="309">
        <v>46118</v>
      </c>
      <c r="D242" s="310" t="s">
        <v>369</v>
      </c>
      <c r="E242" s="342">
        <v>400</v>
      </c>
      <c r="F242" s="342"/>
      <c r="G242" s="344">
        <f t="shared" si="3"/>
        <v>3568.5499999999856</v>
      </c>
      <c r="H242" s="345"/>
      <c r="I242" s="346"/>
      <c r="J242" s="347"/>
      <c r="K242" s="312"/>
      <c r="L242" s="347"/>
      <c r="M242" s="312"/>
      <c r="N242" s="347"/>
      <c r="O242" s="312"/>
      <c r="P242" s="347"/>
      <c r="Q242" s="312"/>
      <c r="R242" s="347"/>
      <c r="S242" s="312"/>
      <c r="T242" s="347"/>
    </row>
    <row r="243" spans="1:20" ht="12" customHeight="1" x14ac:dyDescent="0.3">
      <c r="A243" s="340" t="s">
        <v>294</v>
      </c>
      <c r="B243" s="341">
        <v>14</v>
      </c>
      <c r="C243" s="309">
        <v>46118</v>
      </c>
      <c r="D243" s="310" t="s">
        <v>370</v>
      </c>
      <c r="E243" s="342">
        <v>66.67</v>
      </c>
      <c r="F243" s="342"/>
      <c r="G243" s="344">
        <f t="shared" si="3"/>
        <v>3968.5499999999856</v>
      </c>
      <c r="H243" s="345"/>
      <c r="I243" s="346"/>
      <c r="J243" s="347"/>
      <c r="K243" s="312"/>
      <c r="L243" s="347"/>
      <c r="M243" s="312"/>
      <c r="N243" s="347"/>
      <c r="O243" s="312"/>
      <c r="P243" s="347"/>
      <c r="Q243" s="312"/>
      <c r="R243" s="347"/>
      <c r="S243" s="312"/>
      <c r="T243" s="347"/>
    </row>
    <row r="244" spans="1:20" ht="12" customHeight="1" x14ac:dyDescent="0.3">
      <c r="A244" s="340" t="s">
        <v>294</v>
      </c>
      <c r="B244" s="341">
        <v>14</v>
      </c>
      <c r="C244" s="309">
        <v>46118</v>
      </c>
      <c r="D244" s="310" t="s">
        <v>371</v>
      </c>
      <c r="E244" s="342">
        <v>70.25</v>
      </c>
      <c r="F244" s="342"/>
      <c r="G244" s="344">
        <f t="shared" si="3"/>
        <v>4035.2199999999857</v>
      </c>
      <c r="H244" s="345"/>
      <c r="I244" s="346"/>
      <c r="J244" s="347"/>
      <c r="K244" s="312"/>
      <c r="L244" s="347"/>
      <c r="M244" s="312"/>
      <c r="N244" s="347"/>
      <c r="O244" s="312"/>
      <c r="P244" s="347"/>
      <c r="Q244" s="312"/>
      <c r="R244" s="347"/>
      <c r="S244" s="312"/>
      <c r="T244" s="347"/>
    </row>
    <row r="245" spans="1:20" ht="12" customHeight="1" x14ac:dyDescent="0.3">
      <c r="A245" s="340" t="s">
        <v>289</v>
      </c>
      <c r="B245" s="341">
        <v>1</v>
      </c>
      <c r="C245" s="309">
        <v>46117</v>
      </c>
      <c r="D245" s="310" t="s">
        <v>372</v>
      </c>
      <c r="E245" s="342">
        <v>25.6</v>
      </c>
      <c r="F245" s="342"/>
      <c r="G245" s="344">
        <f t="shared" si="3"/>
        <v>4105.4699999999857</v>
      </c>
      <c r="H245" s="345"/>
      <c r="I245" s="346"/>
      <c r="J245" s="347"/>
      <c r="K245" s="312"/>
      <c r="L245" s="347"/>
      <c r="M245" s="312"/>
      <c r="N245" s="347"/>
      <c r="O245" s="312"/>
      <c r="P245" s="347"/>
      <c r="Q245" s="312"/>
      <c r="R245" s="347"/>
      <c r="S245" s="312"/>
      <c r="T245" s="347"/>
    </row>
    <row r="246" spans="1:20" ht="12" customHeight="1" x14ac:dyDescent="0.3">
      <c r="A246" s="340" t="s">
        <v>289</v>
      </c>
      <c r="B246" s="341">
        <v>8</v>
      </c>
      <c r="C246" s="309">
        <v>46117</v>
      </c>
      <c r="D246" s="310" t="s">
        <v>321</v>
      </c>
      <c r="E246" s="342">
        <v>8.56</v>
      </c>
      <c r="F246" s="342"/>
      <c r="G246" s="344">
        <f t="shared" si="3"/>
        <v>4131.0699999999861</v>
      </c>
      <c r="H246" s="345"/>
      <c r="I246" s="346"/>
      <c r="J246" s="347"/>
      <c r="K246" s="312"/>
      <c r="L246" s="347"/>
      <c r="M246" s="312"/>
      <c r="N246" s="347"/>
      <c r="O246" s="312"/>
      <c r="P246" s="347"/>
      <c r="Q246" s="312"/>
      <c r="R246" s="347"/>
      <c r="S246" s="312"/>
      <c r="T246" s="347"/>
    </row>
    <row r="247" spans="1:20" ht="12" customHeight="1" x14ac:dyDescent="0.3">
      <c r="A247" s="340" t="s">
        <v>289</v>
      </c>
      <c r="B247" s="341">
        <v>6</v>
      </c>
      <c r="C247" s="309">
        <v>46117</v>
      </c>
      <c r="D247" s="310" t="s">
        <v>373</v>
      </c>
      <c r="E247" s="342">
        <v>301.67</v>
      </c>
      <c r="F247" s="342"/>
      <c r="G247" s="344">
        <f t="shared" si="3"/>
        <v>4139.6299999999865</v>
      </c>
      <c r="H247" s="345"/>
      <c r="I247" s="346"/>
      <c r="J247" s="347"/>
      <c r="K247" s="312"/>
      <c r="L247" s="347"/>
      <c r="M247" s="312"/>
      <c r="N247" s="347"/>
      <c r="O247" s="312"/>
      <c r="P247" s="347"/>
      <c r="Q247" s="312"/>
      <c r="R247" s="347"/>
      <c r="S247" s="312"/>
      <c r="T247" s="347"/>
    </row>
    <row r="248" spans="1:20" ht="12" customHeight="1" x14ac:dyDescent="0.3">
      <c r="A248" s="340" t="s">
        <v>289</v>
      </c>
      <c r="B248" s="341">
        <v>1</v>
      </c>
      <c r="C248" s="309">
        <v>46116</v>
      </c>
      <c r="D248" s="310" t="s">
        <v>307</v>
      </c>
      <c r="E248" s="342">
        <v>176.85</v>
      </c>
      <c r="F248" s="342"/>
      <c r="G248" s="344">
        <f t="shared" si="3"/>
        <v>4441.2999999999865</v>
      </c>
      <c r="H248" s="345"/>
      <c r="I248" s="346"/>
      <c r="J248" s="347"/>
      <c r="K248" s="312"/>
      <c r="L248" s="347"/>
      <c r="M248" s="312"/>
      <c r="N248" s="347"/>
      <c r="O248" s="312"/>
      <c r="P248" s="347"/>
      <c r="Q248" s="312"/>
      <c r="R248" s="347"/>
      <c r="S248" s="312"/>
      <c r="T248" s="347"/>
    </row>
    <row r="249" spans="1:20" ht="12" customHeight="1" x14ac:dyDescent="0.3">
      <c r="A249" s="340" t="s">
        <v>289</v>
      </c>
      <c r="B249" s="341">
        <v>1</v>
      </c>
      <c r="C249" s="309">
        <v>46116</v>
      </c>
      <c r="D249" s="310" t="s">
        <v>312</v>
      </c>
      <c r="E249" s="342">
        <v>139.34</v>
      </c>
      <c r="F249" s="342"/>
      <c r="G249" s="344">
        <f t="shared" si="3"/>
        <v>4618.1499999999869</v>
      </c>
      <c r="H249" s="345"/>
      <c r="I249" s="346"/>
      <c r="J249" s="347"/>
      <c r="K249" s="312"/>
      <c r="L249" s="347"/>
      <c r="M249" s="312"/>
      <c r="N249" s="347"/>
      <c r="O249" s="312"/>
      <c r="P249" s="347"/>
      <c r="Q249" s="312"/>
      <c r="R249" s="347"/>
      <c r="S249" s="312"/>
      <c r="T249" s="347"/>
    </row>
    <row r="250" spans="1:20" ht="12" customHeight="1" x14ac:dyDescent="0.3">
      <c r="A250" s="340" t="s">
        <v>294</v>
      </c>
      <c r="B250" s="341">
        <v>17</v>
      </c>
      <c r="C250" s="309">
        <v>46116</v>
      </c>
      <c r="D250" s="310" t="s">
        <v>374</v>
      </c>
      <c r="E250" s="342">
        <v>99</v>
      </c>
      <c r="F250" s="342"/>
      <c r="G250" s="344">
        <f t="shared" si="3"/>
        <v>4757.489999999987</v>
      </c>
      <c r="H250" s="345"/>
      <c r="I250" s="346"/>
      <c r="J250" s="347"/>
      <c r="K250" s="312"/>
      <c r="L250" s="347"/>
      <c r="M250" s="312"/>
      <c r="N250" s="347"/>
      <c r="O250" s="312"/>
      <c r="P250" s="347"/>
      <c r="Q250" s="312"/>
      <c r="R250" s="347"/>
      <c r="S250" s="312"/>
      <c r="T250" s="347"/>
    </row>
    <row r="251" spans="1:20" ht="12" customHeight="1" x14ac:dyDescent="0.3">
      <c r="A251" s="340" t="s">
        <v>289</v>
      </c>
      <c r="B251" s="341">
        <v>2</v>
      </c>
      <c r="C251" s="309">
        <v>46116</v>
      </c>
      <c r="D251" s="310" t="s">
        <v>375</v>
      </c>
      <c r="E251" s="342">
        <v>34</v>
      </c>
      <c r="F251" s="342"/>
      <c r="G251" s="344">
        <f t="shared" si="3"/>
        <v>4856.489999999987</v>
      </c>
      <c r="H251" s="345"/>
      <c r="I251" s="346"/>
      <c r="J251" s="347"/>
      <c r="K251" s="312"/>
      <c r="L251" s="347"/>
      <c r="M251" s="312"/>
      <c r="N251" s="347"/>
      <c r="O251" s="312"/>
      <c r="P251" s="347"/>
      <c r="Q251" s="312"/>
      <c r="R251" s="347"/>
      <c r="S251" s="312"/>
      <c r="T251" s="347"/>
    </row>
    <row r="252" spans="1:20" ht="12" customHeight="1" x14ac:dyDescent="0.3">
      <c r="A252" s="340" t="s">
        <v>289</v>
      </c>
      <c r="B252" s="341">
        <v>3</v>
      </c>
      <c r="C252" s="309">
        <v>46116</v>
      </c>
      <c r="D252" s="310" t="s">
        <v>352</v>
      </c>
      <c r="E252" s="342">
        <v>10.24</v>
      </c>
      <c r="F252" s="342"/>
      <c r="G252" s="344">
        <f t="shared" si="3"/>
        <v>4890.489999999987</v>
      </c>
      <c r="H252" s="345"/>
      <c r="I252" s="346"/>
      <c r="J252" s="347"/>
      <c r="K252" s="312"/>
      <c r="L252" s="347"/>
      <c r="M252" s="312"/>
      <c r="N252" s="347"/>
      <c r="O252" s="312"/>
      <c r="P252" s="347"/>
      <c r="Q252" s="312"/>
      <c r="R252" s="347"/>
      <c r="S252" s="312"/>
      <c r="T252" s="347"/>
    </row>
    <row r="253" spans="1:20" ht="12" customHeight="1" x14ac:dyDescent="0.3">
      <c r="A253" s="340" t="s">
        <v>289</v>
      </c>
      <c r="B253" s="341">
        <v>7</v>
      </c>
      <c r="C253" s="309">
        <v>46115</v>
      </c>
      <c r="D253" s="310" t="s">
        <v>376</v>
      </c>
      <c r="E253" s="342">
        <v>100</v>
      </c>
      <c r="F253" s="342"/>
      <c r="G253" s="344">
        <f t="shared" si="3"/>
        <v>4900.7299999999868</v>
      </c>
      <c r="H253" s="345"/>
      <c r="I253" s="346"/>
      <c r="J253" s="347"/>
      <c r="K253" s="312"/>
      <c r="L253" s="347"/>
      <c r="M253" s="312"/>
      <c r="N253" s="347"/>
      <c r="O253" s="312"/>
      <c r="P253" s="347"/>
      <c r="Q253" s="312"/>
      <c r="R253" s="347"/>
      <c r="S253" s="312"/>
      <c r="T253" s="347"/>
    </row>
    <row r="254" spans="1:20" ht="12" customHeight="1" x14ac:dyDescent="0.3">
      <c r="A254" s="340" t="s">
        <v>289</v>
      </c>
      <c r="B254" s="341">
        <v>6</v>
      </c>
      <c r="C254" s="309">
        <v>46115</v>
      </c>
      <c r="D254" s="310" t="s">
        <v>300</v>
      </c>
      <c r="E254" s="342">
        <v>7.68</v>
      </c>
      <c r="F254" s="342"/>
      <c r="G254" s="344">
        <f t="shared" si="3"/>
        <v>5000.7299999999868</v>
      </c>
      <c r="H254" s="345"/>
      <c r="I254" s="346"/>
      <c r="J254" s="347"/>
      <c r="K254" s="312"/>
      <c r="L254" s="347"/>
      <c r="M254" s="312"/>
      <c r="N254" s="347"/>
      <c r="O254" s="312"/>
      <c r="P254" s="347"/>
      <c r="Q254" s="312"/>
      <c r="R254" s="347"/>
      <c r="S254" s="312"/>
      <c r="T254" s="347"/>
    </row>
    <row r="255" spans="1:20" ht="12" customHeight="1" x14ac:dyDescent="0.3">
      <c r="A255" s="340" t="s">
        <v>289</v>
      </c>
      <c r="B255" s="341">
        <v>2</v>
      </c>
      <c r="C255" s="309">
        <v>46115</v>
      </c>
      <c r="D255" s="310" t="s">
        <v>296</v>
      </c>
      <c r="E255" s="342">
        <v>8.7200000000000006</v>
      </c>
      <c r="F255" s="342"/>
      <c r="G255" s="344">
        <f t="shared" si="3"/>
        <v>5008.4099999999871</v>
      </c>
      <c r="H255" s="345"/>
      <c r="I255" s="346"/>
      <c r="J255" s="347"/>
      <c r="K255" s="312"/>
      <c r="L255" s="347"/>
      <c r="M255" s="312"/>
      <c r="N255" s="347"/>
      <c r="O255" s="312"/>
      <c r="P255" s="347"/>
      <c r="Q255" s="312"/>
      <c r="R255" s="347"/>
      <c r="S255" s="312"/>
      <c r="T255" s="347"/>
    </row>
    <row r="256" spans="1:20" ht="12" customHeight="1" x14ac:dyDescent="0.3">
      <c r="A256" s="340" t="s">
        <v>289</v>
      </c>
      <c r="B256" s="341">
        <v>8</v>
      </c>
      <c r="C256" s="309">
        <v>46114</v>
      </c>
      <c r="D256" s="310" t="s">
        <v>377</v>
      </c>
      <c r="E256" s="342">
        <v>81.739999999999995</v>
      </c>
      <c r="F256" s="342"/>
      <c r="G256" s="344">
        <f t="shared" si="3"/>
        <v>5017.1299999999874</v>
      </c>
      <c r="H256" s="345"/>
      <c r="I256" s="346"/>
      <c r="J256" s="347"/>
      <c r="K256" s="312"/>
      <c r="L256" s="347"/>
      <c r="M256" s="312"/>
      <c r="N256" s="347"/>
      <c r="O256" s="312"/>
      <c r="P256" s="347"/>
      <c r="Q256" s="312"/>
      <c r="R256" s="347"/>
      <c r="S256" s="312"/>
      <c r="T256" s="347"/>
    </row>
    <row r="257" spans="1:20" ht="12" customHeight="1" x14ac:dyDescent="0.3">
      <c r="A257" s="340" t="s">
        <v>284</v>
      </c>
      <c r="B257" s="341">
        <v>36</v>
      </c>
      <c r="C257" s="309">
        <v>46114</v>
      </c>
      <c r="D257" s="310" t="s">
        <v>378</v>
      </c>
      <c r="E257" s="342">
        <v>50</v>
      </c>
      <c r="F257" s="342"/>
      <c r="G257" s="344">
        <f t="shared" si="3"/>
        <v>5098.8699999999872</v>
      </c>
      <c r="H257" s="345"/>
      <c r="I257" s="346"/>
      <c r="J257" s="347"/>
      <c r="K257" s="312"/>
      <c r="L257" s="347"/>
      <c r="M257" s="312"/>
      <c r="N257" s="347"/>
      <c r="O257" s="312"/>
      <c r="P257" s="347"/>
      <c r="Q257" s="312"/>
      <c r="R257" s="347"/>
      <c r="S257" s="312"/>
      <c r="T257" s="347"/>
    </row>
    <row r="258" spans="1:20" ht="12" customHeight="1" x14ac:dyDescent="0.3">
      <c r="A258" s="340" t="s">
        <v>294</v>
      </c>
      <c r="B258" s="341">
        <v>22</v>
      </c>
      <c r="C258" s="309">
        <v>46114</v>
      </c>
      <c r="D258" s="310" t="s">
        <v>379</v>
      </c>
      <c r="E258" s="342">
        <v>6.37</v>
      </c>
      <c r="F258" s="342"/>
      <c r="G258" s="344">
        <f t="shared" si="3"/>
        <v>5148.8699999999872</v>
      </c>
      <c r="H258" s="345"/>
      <c r="I258" s="346"/>
      <c r="J258" s="347"/>
      <c r="K258" s="312"/>
      <c r="L258" s="347"/>
      <c r="M258" s="312"/>
      <c r="N258" s="347"/>
      <c r="O258" s="312"/>
      <c r="P258" s="347"/>
      <c r="Q258" s="312"/>
      <c r="R258" s="347"/>
      <c r="S258" s="312"/>
      <c r="T258" s="347"/>
    </row>
    <row r="259" spans="1:20" ht="12" customHeight="1" x14ac:dyDescent="0.3">
      <c r="A259" s="340" t="s">
        <v>289</v>
      </c>
      <c r="B259" s="341">
        <v>2</v>
      </c>
      <c r="C259" s="309">
        <v>46114</v>
      </c>
      <c r="D259" s="310" t="s">
        <v>329</v>
      </c>
      <c r="E259" s="342">
        <v>55.22</v>
      </c>
      <c r="F259" s="342"/>
      <c r="G259" s="344">
        <f t="shared" si="3"/>
        <v>5155.239999999987</v>
      </c>
      <c r="H259" s="345"/>
      <c r="I259" s="346"/>
      <c r="J259" s="347"/>
      <c r="K259" s="312"/>
      <c r="L259" s="347"/>
      <c r="M259" s="312"/>
      <c r="N259" s="347"/>
      <c r="O259" s="312"/>
      <c r="P259" s="347"/>
      <c r="Q259" s="312"/>
      <c r="R259" s="347"/>
      <c r="S259" s="312"/>
      <c r="T259" s="347"/>
    </row>
    <row r="260" spans="1:20" ht="12" customHeight="1" x14ac:dyDescent="0.3">
      <c r="A260" s="340" t="s">
        <v>289</v>
      </c>
      <c r="B260" s="341">
        <v>8</v>
      </c>
      <c r="C260" s="309">
        <v>46114</v>
      </c>
      <c r="D260" s="310" t="s">
        <v>321</v>
      </c>
      <c r="E260" s="342">
        <v>8.5</v>
      </c>
      <c r="F260" s="342"/>
      <c r="G260" s="344">
        <f t="shared" si="3"/>
        <v>5210.4599999999873</v>
      </c>
      <c r="H260" s="345"/>
      <c r="I260" s="346"/>
      <c r="J260" s="347"/>
      <c r="K260" s="312"/>
      <c r="L260" s="347"/>
      <c r="M260" s="312"/>
      <c r="N260" s="347"/>
      <c r="O260" s="312"/>
      <c r="P260" s="347"/>
      <c r="Q260" s="312"/>
      <c r="R260" s="347"/>
      <c r="S260" s="312"/>
      <c r="T260" s="347"/>
    </row>
    <row r="261" spans="1:20" ht="12" customHeight="1" x14ac:dyDescent="0.3">
      <c r="A261" s="340" t="s">
        <v>289</v>
      </c>
      <c r="B261" s="341">
        <v>4</v>
      </c>
      <c r="C261" s="309">
        <v>46114</v>
      </c>
      <c r="D261" s="310" t="s">
        <v>338</v>
      </c>
      <c r="E261" s="342">
        <v>38.99</v>
      </c>
      <c r="F261" s="342"/>
      <c r="G261" s="344">
        <f t="shared" si="3"/>
        <v>5218.9599999999873</v>
      </c>
      <c r="H261" s="345"/>
      <c r="I261" s="346"/>
      <c r="J261" s="347"/>
      <c r="K261" s="312"/>
      <c r="L261" s="347"/>
      <c r="M261" s="312"/>
      <c r="N261" s="347"/>
      <c r="O261" s="312"/>
      <c r="P261" s="347"/>
      <c r="Q261" s="312"/>
      <c r="R261" s="347"/>
      <c r="S261" s="312"/>
      <c r="T261" s="347"/>
    </row>
    <row r="262" spans="1:20" ht="12" customHeight="1" x14ac:dyDescent="0.3">
      <c r="A262" s="340" t="s">
        <v>291</v>
      </c>
      <c r="B262" s="341">
        <v>39</v>
      </c>
      <c r="C262" s="309">
        <v>46113</v>
      </c>
      <c r="D262" s="310" t="s">
        <v>292</v>
      </c>
      <c r="E262" s="342"/>
      <c r="F262" s="342">
        <v>2763.78</v>
      </c>
      <c r="G262" s="344">
        <f t="shared" si="3"/>
        <v>5257.9499999999871</v>
      </c>
      <c r="H262" s="345"/>
      <c r="I262" s="346"/>
      <c r="J262" s="347"/>
      <c r="K262" s="312"/>
      <c r="L262" s="347"/>
      <c r="M262" s="312"/>
      <c r="N262" s="347"/>
      <c r="O262" s="312"/>
      <c r="P262" s="347"/>
      <c r="Q262" s="312"/>
      <c r="R262" s="347"/>
      <c r="S262" s="312"/>
      <c r="T262" s="347"/>
    </row>
    <row r="263" spans="1:20" ht="12" customHeight="1" x14ac:dyDescent="0.3">
      <c r="A263" s="340" t="s">
        <v>289</v>
      </c>
      <c r="B263" s="341">
        <v>4</v>
      </c>
      <c r="C263" s="309">
        <v>46113</v>
      </c>
      <c r="D263" s="310" t="s">
        <v>296</v>
      </c>
      <c r="E263" s="342">
        <v>36.090000000000003</v>
      </c>
      <c r="F263" s="342"/>
      <c r="G263" s="344">
        <f t="shared" si="3"/>
        <v>2494.1699999999869</v>
      </c>
      <c r="H263" s="345"/>
      <c r="I263" s="346"/>
      <c r="J263" s="347"/>
      <c r="K263" s="312"/>
      <c r="L263" s="347"/>
      <c r="M263" s="312"/>
      <c r="N263" s="347"/>
      <c r="O263" s="312"/>
      <c r="P263" s="347"/>
      <c r="Q263" s="312"/>
      <c r="R263" s="347"/>
      <c r="S263" s="312"/>
      <c r="T263" s="347"/>
    </row>
    <row r="264" spans="1:20" ht="12" customHeight="1" x14ac:dyDescent="0.3">
      <c r="A264" s="340" t="s">
        <v>289</v>
      </c>
      <c r="B264" s="341">
        <v>4</v>
      </c>
      <c r="C264" s="309">
        <v>46113</v>
      </c>
      <c r="D264" s="310" t="s">
        <v>311</v>
      </c>
      <c r="E264" s="342">
        <v>80</v>
      </c>
      <c r="F264" s="342"/>
      <c r="G264" s="344">
        <f t="shared" si="3"/>
        <v>2530.259999999987</v>
      </c>
      <c r="H264" s="345"/>
      <c r="I264" s="346"/>
      <c r="J264" s="347"/>
      <c r="K264" s="312"/>
      <c r="L264" s="347"/>
      <c r="M264" s="312"/>
      <c r="N264" s="347"/>
      <c r="O264" s="312"/>
      <c r="P264" s="347"/>
      <c r="Q264" s="312"/>
      <c r="R264" s="347"/>
      <c r="S264" s="312"/>
      <c r="T264" s="347"/>
    </row>
    <row r="265" spans="1:20" ht="12" customHeight="1" x14ac:dyDescent="0.3">
      <c r="A265" s="340" t="s">
        <v>289</v>
      </c>
      <c r="B265" s="341">
        <v>7</v>
      </c>
      <c r="C265" s="309">
        <v>46113</v>
      </c>
      <c r="D265" s="310" t="s">
        <v>322</v>
      </c>
      <c r="E265" s="342">
        <v>47.84</v>
      </c>
      <c r="F265" s="342"/>
      <c r="G265" s="344">
        <f t="shared" si="3"/>
        <v>2610.259999999987</v>
      </c>
      <c r="H265" s="345"/>
      <c r="I265" s="346"/>
      <c r="J265" s="347"/>
      <c r="K265" s="312"/>
      <c r="L265" s="347"/>
      <c r="M265" s="312"/>
      <c r="N265" s="347"/>
      <c r="O265" s="312"/>
      <c r="P265" s="347"/>
      <c r="Q265" s="312"/>
      <c r="R265" s="347"/>
      <c r="S265" s="312"/>
      <c r="T265" s="347"/>
    </row>
    <row r="266" spans="1:20" ht="12" customHeight="1" x14ac:dyDescent="0.3">
      <c r="A266" s="340" t="s">
        <v>289</v>
      </c>
      <c r="B266" s="341">
        <v>7</v>
      </c>
      <c r="C266" s="309">
        <v>46113</v>
      </c>
      <c r="D266" s="310" t="s">
        <v>322</v>
      </c>
      <c r="E266" s="342">
        <v>21.25</v>
      </c>
      <c r="F266" s="342"/>
      <c r="G266" s="344">
        <f t="shared" si="3"/>
        <v>2658.0999999999872</v>
      </c>
      <c r="H266" s="345"/>
      <c r="I266" s="346"/>
      <c r="J266" s="347"/>
      <c r="K266" s="312"/>
      <c r="L266" s="347"/>
      <c r="M266" s="312"/>
      <c r="N266" s="347"/>
      <c r="O266" s="312"/>
      <c r="P266" s="347"/>
      <c r="Q266" s="312"/>
      <c r="R266" s="347"/>
      <c r="S266" s="312"/>
      <c r="T266" s="347"/>
    </row>
    <row r="267" spans="1:20" ht="12" customHeight="1" x14ac:dyDescent="0.3">
      <c r="A267" s="340" t="s">
        <v>289</v>
      </c>
      <c r="B267" s="341">
        <v>2</v>
      </c>
      <c r="C267" s="309">
        <v>46113</v>
      </c>
      <c r="D267" s="310" t="s">
        <v>380</v>
      </c>
      <c r="E267" s="342">
        <v>42.9</v>
      </c>
      <c r="F267" s="342"/>
      <c r="G267" s="344">
        <f t="shared" si="3"/>
        <v>2679.3499999999872</v>
      </c>
      <c r="H267" s="345"/>
      <c r="I267" s="346"/>
      <c r="J267" s="347"/>
      <c r="K267" s="312"/>
      <c r="L267" s="347"/>
      <c r="M267" s="312"/>
      <c r="N267" s="347"/>
      <c r="O267" s="312"/>
      <c r="P267" s="347"/>
      <c r="Q267" s="312"/>
      <c r="R267" s="347"/>
      <c r="S267" s="312"/>
      <c r="T267" s="347"/>
    </row>
    <row r="268" spans="1:20" ht="12" customHeight="1" x14ac:dyDescent="0.3">
      <c r="A268" s="340" t="s">
        <v>284</v>
      </c>
      <c r="B268" s="341">
        <v>37</v>
      </c>
      <c r="C268" s="309">
        <v>46112</v>
      </c>
      <c r="D268" s="310" t="s">
        <v>381</v>
      </c>
      <c r="E268" s="342">
        <v>4309.58</v>
      </c>
      <c r="F268" s="342"/>
      <c r="G268" s="344">
        <f t="shared" si="3"/>
        <v>2722.2499999999873</v>
      </c>
      <c r="H268" s="345"/>
      <c r="I268" s="346"/>
      <c r="J268" s="347"/>
      <c r="K268" s="312"/>
      <c r="L268" s="347"/>
      <c r="M268" s="312"/>
      <c r="N268" s="347"/>
      <c r="O268" s="312"/>
      <c r="P268" s="347"/>
      <c r="Q268" s="312"/>
      <c r="R268" s="347"/>
      <c r="S268" s="312"/>
      <c r="T268" s="347"/>
    </row>
    <row r="269" spans="1:20" ht="12" customHeight="1" x14ac:dyDescent="0.3">
      <c r="A269" s="340" t="s">
        <v>286</v>
      </c>
      <c r="B269" s="341">
        <v>25</v>
      </c>
      <c r="C269" s="309">
        <v>46112</v>
      </c>
      <c r="D269" s="309" t="s">
        <v>204</v>
      </c>
      <c r="E269" s="342">
        <v>350</v>
      </c>
      <c r="F269" s="342"/>
      <c r="G269" s="344">
        <f t="shared" si="3"/>
        <v>7031.8299999999872</v>
      </c>
      <c r="H269" s="345"/>
      <c r="I269" s="346"/>
      <c r="J269" s="347"/>
      <c r="K269" s="312"/>
      <c r="L269" s="347"/>
      <c r="M269" s="312"/>
      <c r="N269" s="347"/>
      <c r="O269" s="312"/>
      <c r="P269" s="347"/>
      <c r="Q269" s="312"/>
      <c r="R269" s="347"/>
      <c r="S269" s="312"/>
      <c r="T269" s="347"/>
    </row>
    <row r="270" spans="1:20" ht="12" customHeight="1" x14ac:dyDescent="0.3">
      <c r="A270" s="340" t="s">
        <v>286</v>
      </c>
      <c r="B270" s="341">
        <v>26</v>
      </c>
      <c r="C270" s="309">
        <v>46112</v>
      </c>
      <c r="D270" s="309" t="s">
        <v>205</v>
      </c>
      <c r="E270" s="342">
        <v>320</v>
      </c>
      <c r="F270" s="342"/>
      <c r="G270" s="344">
        <f t="shared" si="3"/>
        <v>7381.8299999999872</v>
      </c>
      <c r="H270" s="345"/>
      <c r="I270" s="346"/>
      <c r="J270" s="347"/>
      <c r="K270" s="312"/>
      <c r="L270" s="347"/>
      <c r="M270" s="312"/>
      <c r="N270" s="347"/>
      <c r="O270" s="312"/>
      <c r="P270" s="347"/>
      <c r="Q270" s="312"/>
      <c r="R270" s="347"/>
      <c r="S270" s="312"/>
      <c r="T270" s="347"/>
    </row>
    <row r="271" spans="1:20" ht="12" customHeight="1" x14ac:dyDescent="0.3">
      <c r="A271" s="340" t="s">
        <v>286</v>
      </c>
      <c r="B271" s="341">
        <v>27</v>
      </c>
      <c r="C271" s="309">
        <v>46112</v>
      </c>
      <c r="D271" s="309" t="s">
        <v>206</v>
      </c>
      <c r="E271" s="342">
        <v>25</v>
      </c>
      <c r="F271" s="342"/>
      <c r="G271" s="344">
        <f t="shared" si="3"/>
        <v>7701.8299999999872</v>
      </c>
      <c r="H271" s="345"/>
      <c r="I271" s="346"/>
      <c r="J271" s="347"/>
      <c r="K271" s="312"/>
      <c r="L271" s="347"/>
      <c r="M271" s="312"/>
      <c r="N271" s="347"/>
      <c r="O271" s="312"/>
      <c r="P271" s="347"/>
      <c r="Q271" s="312"/>
      <c r="R271" s="347"/>
      <c r="S271" s="312"/>
      <c r="T271" s="347"/>
    </row>
    <row r="272" spans="1:20" ht="12" customHeight="1" x14ac:dyDescent="0.3">
      <c r="A272" s="340" t="s">
        <v>286</v>
      </c>
      <c r="B272" s="341">
        <v>28</v>
      </c>
      <c r="C272" s="309">
        <v>46112</v>
      </c>
      <c r="D272" s="309" t="s">
        <v>207</v>
      </c>
      <c r="E272" s="342">
        <v>25</v>
      </c>
      <c r="F272" s="342"/>
      <c r="G272" s="344">
        <f t="shared" si="3"/>
        <v>7726.8299999999872</v>
      </c>
      <c r="H272" s="345"/>
      <c r="I272" s="346"/>
      <c r="J272" s="347"/>
      <c r="K272" s="312"/>
      <c r="L272" s="347"/>
      <c r="M272" s="312"/>
      <c r="N272" s="347"/>
      <c r="O272" s="312"/>
      <c r="P272" s="347"/>
      <c r="Q272" s="312"/>
      <c r="R272" s="347"/>
      <c r="S272" s="312"/>
      <c r="T272" s="347"/>
    </row>
    <row r="273" spans="1:20" ht="12" customHeight="1" x14ac:dyDescent="0.3">
      <c r="A273" s="340" t="s">
        <v>286</v>
      </c>
      <c r="B273" s="341">
        <v>29</v>
      </c>
      <c r="C273" s="309">
        <v>46112</v>
      </c>
      <c r="D273" s="309" t="s">
        <v>208</v>
      </c>
      <c r="E273" s="342">
        <v>45</v>
      </c>
      <c r="F273" s="342"/>
      <c r="G273" s="344">
        <f t="shared" si="3"/>
        <v>7751.8299999999872</v>
      </c>
      <c r="H273" s="345"/>
      <c r="I273" s="346"/>
      <c r="J273" s="347"/>
      <c r="K273" s="312"/>
      <c r="L273" s="347"/>
      <c r="M273" s="312"/>
      <c r="N273" s="347"/>
      <c r="O273" s="312"/>
      <c r="P273" s="347"/>
      <c r="Q273" s="312"/>
      <c r="R273" s="347"/>
      <c r="S273" s="312"/>
      <c r="T273" s="347"/>
    </row>
    <row r="274" spans="1:20" ht="12" customHeight="1" x14ac:dyDescent="0.3">
      <c r="A274" s="340" t="s">
        <v>286</v>
      </c>
      <c r="B274" s="341">
        <v>30</v>
      </c>
      <c r="C274" s="309">
        <v>46112</v>
      </c>
      <c r="D274" s="309" t="s">
        <v>209</v>
      </c>
      <c r="E274" s="342">
        <v>400</v>
      </c>
      <c r="F274" s="342"/>
      <c r="G274" s="344">
        <f t="shared" si="3"/>
        <v>7796.8299999999872</v>
      </c>
      <c r="H274" s="345"/>
      <c r="I274" s="346"/>
      <c r="J274" s="347"/>
      <c r="K274" s="312"/>
      <c r="L274" s="347"/>
      <c r="M274" s="312"/>
      <c r="N274" s="347"/>
      <c r="O274" s="312"/>
      <c r="P274" s="347"/>
      <c r="Q274" s="312"/>
      <c r="R274" s="347"/>
      <c r="S274" s="312"/>
      <c r="T274" s="347"/>
    </row>
    <row r="275" spans="1:20" ht="12" customHeight="1" x14ac:dyDescent="0.3">
      <c r="A275" s="340" t="s">
        <v>286</v>
      </c>
      <c r="B275" s="341">
        <v>31</v>
      </c>
      <c r="C275" s="309">
        <v>46112</v>
      </c>
      <c r="D275" s="309" t="s">
        <v>210</v>
      </c>
      <c r="E275" s="342">
        <v>375</v>
      </c>
      <c r="F275" s="342"/>
      <c r="G275" s="344">
        <f t="shared" si="3"/>
        <v>8196.8299999999872</v>
      </c>
      <c r="H275" s="345"/>
      <c r="I275" s="346"/>
      <c r="J275" s="347"/>
      <c r="K275" s="312"/>
      <c r="L275" s="347"/>
      <c r="M275" s="312"/>
      <c r="N275" s="347"/>
      <c r="O275" s="312"/>
      <c r="P275" s="347"/>
      <c r="Q275" s="312"/>
      <c r="R275" s="347"/>
      <c r="S275" s="312"/>
      <c r="T275" s="347"/>
    </row>
    <row r="276" spans="1:20" ht="12" customHeight="1" x14ac:dyDescent="0.3">
      <c r="A276" s="340" t="s">
        <v>286</v>
      </c>
      <c r="B276" s="341">
        <v>32</v>
      </c>
      <c r="C276" s="309">
        <v>46112</v>
      </c>
      <c r="D276" s="309" t="s">
        <v>211</v>
      </c>
      <c r="E276" s="342">
        <v>100</v>
      </c>
      <c r="F276" s="342"/>
      <c r="G276" s="344">
        <f t="shared" si="3"/>
        <v>8571.8299999999872</v>
      </c>
      <c r="H276" s="345"/>
      <c r="I276" s="346"/>
      <c r="J276" s="347"/>
      <c r="K276" s="312"/>
      <c r="L276" s="347"/>
      <c r="M276" s="312"/>
      <c r="N276" s="347"/>
      <c r="O276" s="312"/>
      <c r="P276" s="347"/>
      <c r="Q276" s="312"/>
      <c r="R276" s="347"/>
      <c r="S276" s="312"/>
      <c r="T276" s="347"/>
    </row>
    <row r="277" spans="1:20" ht="12" customHeight="1" x14ac:dyDescent="0.3">
      <c r="A277" s="340" t="s">
        <v>286</v>
      </c>
      <c r="B277" s="341">
        <v>33</v>
      </c>
      <c r="C277" s="309">
        <v>46112</v>
      </c>
      <c r="D277" s="309" t="s">
        <v>212</v>
      </c>
      <c r="E277" s="342">
        <v>85</v>
      </c>
      <c r="F277" s="342"/>
      <c r="G277" s="344">
        <f t="shared" si="3"/>
        <v>8671.8299999999872</v>
      </c>
      <c r="H277" s="345"/>
      <c r="I277" s="346"/>
      <c r="J277" s="347"/>
      <c r="K277" s="312"/>
      <c r="L277" s="347"/>
      <c r="M277" s="312"/>
      <c r="N277" s="347"/>
      <c r="O277" s="312"/>
      <c r="P277" s="347"/>
      <c r="Q277" s="312"/>
      <c r="R277" s="347"/>
      <c r="S277" s="312"/>
      <c r="T277" s="347"/>
    </row>
    <row r="278" spans="1:20" ht="12" customHeight="1" x14ac:dyDescent="0.3">
      <c r="A278" s="340" t="s">
        <v>286</v>
      </c>
      <c r="B278" s="341">
        <v>34</v>
      </c>
      <c r="C278" s="309">
        <v>46112</v>
      </c>
      <c r="D278" s="309" t="s">
        <v>213</v>
      </c>
      <c r="E278" s="342">
        <v>230</v>
      </c>
      <c r="F278" s="342"/>
      <c r="G278" s="344">
        <f t="shared" si="3"/>
        <v>8756.8299999999872</v>
      </c>
      <c r="H278" s="345"/>
      <c r="I278" s="346"/>
      <c r="J278" s="347"/>
      <c r="K278" s="312"/>
      <c r="L278" s="347"/>
      <c r="M278" s="312"/>
      <c r="N278" s="347"/>
      <c r="O278" s="312"/>
      <c r="P278" s="347"/>
      <c r="Q278" s="312"/>
      <c r="R278" s="347"/>
      <c r="S278" s="312"/>
      <c r="T278" s="347"/>
    </row>
    <row r="279" spans="1:20" ht="12" customHeight="1" x14ac:dyDescent="0.3">
      <c r="A279" s="340" t="s">
        <v>286</v>
      </c>
      <c r="B279" s="341">
        <v>35</v>
      </c>
      <c r="C279" s="309">
        <v>46112</v>
      </c>
      <c r="D279" s="309" t="s">
        <v>214</v>
      </c>
      <c r="E279" s="342">
        <v>45</v>
      </c>
      <c r="F279" s="342"/>
      <c r="G279" s="344">
        <f t="shared" si="3"/>
        <v>8986.8299999999872</v>
      </c>
      <c r="H279" s="345"/>
      <c r="I279" s="346"/>
      <c r="J279" s="347"/>
      <c r="K279" s="312"/>
      <c r="L279" s="347"/>
      <c r="M279" s="312"/>
      <c r="N279" s="347"/>
      <c r="O279" s="312"/>
      <c r="P279" s="347"/>
      <c r="Q279" s="312"/>
      <c r="R279" s="347"/>
      <c r="S279" s="312"/>
      <c r="T279" s="347"/>
    </row>
    <row r="280" spans="1:20" ht="12" customHeight="1" x14ac:dyDescent="0.3">
      <c r="A280" s="340" t="s">
        <v>289</v>
      </c>
      <c r="B280" s="341">
        <v>6</v>
      </c>
      <c r="C280" s="309">
        <v>46112</v>
      </c>
      <c r="D280" s="309" t="s">
        <v>382</v>
      </c>
      <c r="E280" s="342">
        <v>40</v>
      </c>
      <c r="F280" s="342"/>
      <c r="G280" s="344">
        <f t="shared" si="3"/>
        <v>9031.8299999999872</v>
      </c>
      <c r="H280" s="345"/>
      <c r="I280" s="346"/>
      <c r="J280" s="347"/>
      <c r="K280" s="312"/>
      <c r="L280" s="347"/>
      <c r="M280" s="312"/>
      <c r="N280" s="347"/>
      <c r="O280" s="312"/>
      <c r="P280" s="347"/>
      <c r="Q280" s="312"/>
      <c r="R280" s="347"/>
      <c r="S280" s="312"/>
      <c r="T280" s="347"/>
    </row>
    <row r="281" spans="1:20" ht="12" customHeight="1" x14ac:dyDescent="0.3">
      <c r="A281" s="340" t="s">
        <v>294</v>
      </c>
      <c r="B281" s="341">
        <v>42</v>
      </c>
      <c r="C281" s="309">
        <v>46112</v>
      </c>
      <c r="D281" s="309" t="s">
        <v>200</v>
      </c>
      <c r="E281" s="342">
        <v>59</v>
      </c>
      <c r="F281" s="342"/>
      <c r="G281" s="344">
        <f t="shared" si="3"/>
        <v>9071.8299999999872</v>
      </c>
      <c r="H281" s="345"/>
      <c r="I281" s="346"/>
      <c r="J281" s="347"/>
      <c r="K281" s="312"/>
      <c r="L281" s="347"/>
      <c r="M281" s="312"/>
      <c r="N281" s="347"/>
      <c r="O281" s="312"/>
      <c r="P281" s="347"/>
      <c r="Q281" s="312"/>
      <c r="R281" s="347"/>
      <c r="S281" s="312"/>
      <c r="T281" s="347"/>
    </row>
    <row r="282" spans="1:20" ht="12" customHeight="1" x14ac:dyDescent="0.3">
      <c r="A282" s="340" t="s">
        <v>294</v>
      </c>
      <c r="B282" s="341">
        <v>43</v>
      </c>
      <c r="C282" s="309">
        <v>46112</v>
      </c>
      <c r="D282" s="309" t="s">
        <v>201</v>
      </c>
      <c r="E282" s="342">
        <v>42.84</v>
      </c>
      <c r="F282" s="342"/>
      <c r="G282" s="344">
        <f t="shared" si="3"/>
        <v>9130.8299999999872</v>
      </c>
      <c r="H282" s="345"/>
      <c r="I282" s="346"/>
      <c r="J282" s="347"/>
      <c r="K282" s="312"/>
      <c r="L282" s="347"/>
      <c r="M282" s="312"/>
      <c r="N282" s="347"/>
      <c r="O282" s="312"/>
      <c r="P282" s="347"/>
      <c r="Q282" s="312"/>
      <c r="R282" s="347"/>
      <c r="S282" s="312"/>
      <c r="T282" s="347"/>
    </row>
    <row r="283" spans="1:20" ht="12" customHeight="1" x14ac:dyDescent="0.3">
      <c r="A283" s="340" t="s">
        <v>289</v>
      </c>
      <c r="B283" s="341">
        <v>6</v>
      </c>
      <c r="C283" s="309">
        <v>46112</v>
      </c>
      <c r="D283" s="309" t="s">
        <v>300</v>
      </c>
      <c r="E283" s="342">
        <v>57.21</v>
      </c>
      <c r="F283" s="342"/>
      <c r="G283" s="344">
        <f t="shared" si="3"/>
        <v>9173.6699999999873</v>
      </c>
      <c r="H283" s="345"/>
      <c r="I283" s="346"/>
      <c r="J283" s="347"/>
      <c r="K283" s="312"/>
      <c r="L283" s="347"/>
      <c r="M283" s="312"/>
      <c r="N283" s="347"/>
      <c r="O283" s="312"/>
      <c r="P283" s="347"/>
      <c r="Q283" s="312"/>
      <c r="R283" s="347"/>
      <c r="S283" s="312"/>
      <c r="T283" s="347"/>
    </row>
    <row r="284" spans="1:20" ht="12" customHeight="1" x14ac:dyDescent="0.3">
      <c r="A284" s="340" t="s">
        <v>289</v>
      </c>
      <c r="B284" s="341">
        <v>8</v>
      </c>
      <c r="C284" s="309">
        <v>46112</v>
      </c>
      <c r="D284" s="309" t="s">
        <v>296</v>
      </c>
      <c r="E284" s="342">
        <v>11.18</v>
      </c>
      <c r="F284" s="342"/>
      <c r="G284" s="344">
        <f t="shared" si="3"/>
        <v>9230.8799999999865</v>
      </c>
      <c r="H284" s="345"/>
      <c r="I284" s="346"/>
      <c r="J284" s="347"/>
      <c r="K284" s="312"/>
      <c r="L284" s="347"/>
      <c r="M284" s="312"/>
      <c r="N284" s="347"/>
      <c r="O284" s="312"/>
      <c r="P284" s="347"/>
      <c r="Q284" s="312"/>
      <c r="R284" s="347"/>
      <c r="S284" s="312"/>
      <c r="T284" s="347"/>
    </row>
    <row r="285" spans="1:20" ht="12" customHeight="1" x14ac:dyDescent="0.3">
      <c r="A285" s="340" t="s">
        <v>294</v>
      </c>
      <c r="B285" s="341">
        <v>10</v>
      </c>
      <c r="C285" s="309">
        <v>46112</v>
      </c>
      <c r="D285" s="309" t="s">
        <v>176</v>
      </c>
      <c r="E285" s="342">
        <v>17.899999999999999</v>
      </c>
      <c r="F285" s="342"/>
      <c r="G285" s="344">
        <f t="shared" si="3"/>
        <v>9242.0599999999868</v>
      </c>
      <c r="H285" s="345"/>
      <c r="I285" s="346"/>
      <c r="J285" s="347"/>
      <c r="K285" s="312"/>
      <c r="L285" s="347"/>
      <c r="M285" s="312"/>
      <c r="N285" s="347"/>
      <c r="O285" s="312"/>
      <c r="P285" s="347"/>
      <c r="Q285" s="312"/>
      <c r="R285" s="347"/>
      <c r="S285" s="312"/>
      <c r="T285" s="347"/>
    </row>
    <row r="286" spans="1:20" ht="12" customHeight="1" x14ac:dyDescent="0.3">
      <c r="A286" s="340" t="s">
        <v>289</v>
      </c>
      <c r="B286" s="341">
        <v>2</v>
      </c>
      <c r="C286" s="309">
        <v>46111</v>
      </c>
      <c r="D286" s="309" t="s">
        <v>338</v>
      </c>
      <c r="E286" s="342">
        <v>23.83</v>
      </c>
      <c r="F286" s="342"/>
      <c r="G286" s="344">
        <f t="shared" si="3"/>
        <v>9259.9599999999864</v>
      </c>
      <c r="H286" s="345"/>
      <c r="I286" s="346"/>
      <c r="J286" s="347"/>
      <c r="K286" s="312"/>
      <c r="L286" s="347"/>
      <c r="M286" s="312"/>
      <c r="N286" s="347"/>
      <c r="O286" s="312"/>
      <c r="P286" s="347"/>
      <c r="Q286" s="312"/>
      <c r="R286" s="347"/>
      <c r="S286" s="312"/>
      <c r="T286" s="347"/>
    </row>
    <row r="287" spans="1:20" ht="12" customHeight="1" x14ac:dyDescent="0.3">
      <c r="A287" s="340" t="s">
        <v>291</v>
      </c>
      <c r="B287" s="341">
        <v>38</v>
      </c>
      <c r="C287" s="309">
        <v>46111</v>
      </c>
      <c r="D287" s="310" t="s">
        <v>293</v>
      </c>
      <c r="E287" s="342"/>
      <c r="F287" s="342">
        <v>4278.1400000000003</v>
      </c>
      <c r="G287" s="344">
        <f t="shared" si="3"/>
        <v>9283.7899999999863</v>
      </c>
      <c r="H287" s="345"/>
      <c r="I287" s="346"/>
      <c r="J287" s="347"/>
      <c r="K287" s="312"/>
      <c r="L287" s="347"/>
      <c r="M287" s="312"/>
      <c r="N287" s="347"/>
      <c r="O287" s="312"/>
      <c r="P287" s="347"/>
      <c r="Q287" s="312"/>
      <c r="R287" s="347"/>
      <c r="S287" s="312"/>
      <c r="T287" s="347"/>
    </row>
    <row r="288" spans="1:20" ht="12" customHeight="1" x14ac:dyDescent="0.3">
      <c r="A288" s="340" t="s">
        <v>289</v>
      </c>
      <c r="B288" s="341">
        <v>3</v>
      </c>
      <c r="C288" s="309">
        <v>46111</v>
      </c>
      <c r="D288" s="310" t="s">
        <v>355</v>
      </c>
      <c r="E288" s="342">
        <v>30</v>
      </c>
      <c r="F288" s="342"/>
      <c r="G288" s="344">
        <f t="shared" si="3"/>
        <v>5005.649999999986</v>
      </c>
      <c r="H288" s="345"/>
      <c r="I288" s="346"/>
      <c r="J288" s="347"/>
      <c r="K288" s="312"/>
      <c r="L288" s="347"/>
      <c r="M288" s="312"/>
      <c r="N288" s="347"/>
      <c r="O288" s="312"/>
      <c r="P288" s="347"/>
      <c r="Q288" s="312"/>
      <c r="R288" s="347"/>
      <c r="S288" s="312"/>
      <c r="T288" s="347"/>
    </row>
    <row r="289" spans="1:20" ht="12" customHeight="1" x14ac:dyDescent="0.3">
      <c r="A289" s="340" t="s">
        <v>289</v>
      </c>
      <c r="B289" s="341">
        <v>6</v>
      </c>
      <c r="C289" s="309">
        <v>46111</v>
      </c>
      <c r="D289" s="310" t="s">
        <v>300</v>
      </c>
      <c r="E289" s="342">
        <v>15.96</v>
      </c>
      <c r="F289" s="342"/>
      <c r="G289" s="344">
        <f t="shared" si="3"/>
        <v>5035.649999999986</v>
      </c>
      <c r="H289" s="345"/>
      <c r="I289" s="346"/>
      <c r="J289" s="347"/>
      <c r="K289" s="312"/>
      <c r="L289" s="347"/>
      <c r="M289" s="312"/>
      <c r="N289" s="347"/>
      <c r="O289" s="312"/>
      <c r="P289" s="347"/>
      <c r="Q289" s="312"/>
      <c r="R289" s="347"/>
      <c r="S289" s="312"/>
      <c r="T289" s="347"/>
    </row>
    <row r="290" spans="1:20" ht="12" customHeight="1" x14ac:dyDescent="0.3">
      <c r="A290" s="340" t="s">
        <v>289</v>
      </c>
      <c r="B290" s="341">
        <v>3</v>
      </c>
      <c r="C290" s="309">
        <v>46111</v>
      </c>
      <c r="D290" s="310" t="s">
        <v>383</v>
      </c>
      <c r="E290" s="342">
        <v>18.96</v>
      </c>
      <c r="F290" s="342"/>
      <c r="G290" s="344">
        <f t="shared" si="3"/>
        <v>5051.609999999986</v>
      </c>
      <c r="H290" s="345"/>
      <c r="I290" s="346"/>
      <c r="J290" s="347"/>
      <c r="K290" s="312"/>
      <c r="L290" s="347"/>
      <c r="M290" s="312"/>
      <c r="N290" s="347"/>
      <c r="O290" s="312"/>
      <c r="P290" s="347"/>
      <c r="Q290" s="312"/>
      <c r="R290" s="347"/>
      <c r="S290" s="312"/>
      <c r="T290" s="347"/>
    </row>
    <row r="291" spans="1:20" ht="12" customHeight="1" x14ac:dyDescent="0.3">
      <c r="A291" s="340" t="s">
        <v>289</v>
      </c>
      <c r="B291" s="341">
        <v>1</v>
      </c>
      <c r="C291" s="309">
        <v>46110</v>
      </c>
      <c r="D291" s="310" t="s">
        <v>312</v>
      </c>
      <c r="E291" s="342">
        <v>144.22</v>
      </c>
      <c r="F291" s="342"/>
      <c r="G291" s="344">
        <f t="shared" si="3"/>
        <v>5070.5699999999861</v>
      </c>
      <c r="H291" s="345"/>
      <c r="I291" s="346"/>
      <c r="J291" s="347"/>
      <c r="K291" s="312"/>
      <c r="L291" s="347"/>
      <c r="M291" s="312"/>
      <c r="N291" s="347"/>
      <c r="O291" s="312"/>
      <c r="P291" s="347"/>
      <c r="Q291" s="312"/>
      <c r="R291" s="347"/>
      <c r="S291" s="312"/>
      <c r="T291" s="347"/>
    </row>
    <row r="292" spans="1:20" ht="12" customHeight="1" x14ac:dyDescent="0.3">
      <c r="A292" s="340" t="s">
        <v>289</v>
      </c>
      <c r="B292" s="341">
        <v>7</v>
      </c>
      <c r="C292" s="309">
        <v>46110</v>
      </c>
      <c r="D292" s="310" t="s">
        <v>384</v>
      </c>
      <c r="E292" s="342">
        <v>181.04</v>
      </c>
      <c r="F292" s="342"/>
      <c r="G292" s="344">
        <f t="shared" si="3"/>
        <v>5214.7899999999863</v>
      </c>
      <c r="H292" s="345"/>
      <c r="I292" s="346"/>
      <c r="J292" s="347"/>
      <c r="K292" s="312"/>
      <c r="L292" s="347"/>
      <c r="M292" s="312"/>
      <c r="N292" s="347"/>
      <c r="O292" s="312"/>
      <c r="P292" s="347"/>
      <c r="Q292" s="312"/>
      <c r="R292" s="347"/>
      <c r="S292" s="312"/>
      <c r="T292" s="347"/>
    </row>
    <row r="293" spans="1:20" ht="12" customHeight="1" x14ac:dyDescent="0.3">
      <c r="A293" s="340" t="s">
        <v>289</v>
      </c>
      <c r="B293" s="341">
        <v>6</v>
      </c>
      <c r="C293" s="309">
        <v>46110</v>
      </c>
      <c r="D293" s="310" t="s">
        <v>385</v>
      </c>
      <c r="E293" s="342">
        <v>196.9</v>
      </c>
      <c r="F293" s="342"/>
      <c r="G293" s="344">
        <f t="shared" si="3"/>
        <v>5395.8299999999863</v>
      </c>
      <c r="H293" s="345"/>
      <c r="I293" s="346"/>
      <c r="J293" s="347"/>
      <c r="K293" s="312"/>
      <c r="L293" s="347"/>
      <c r="M293" s="312"/>
      <c r="N293" s="347"/>
      <c r="O293" s="312"/>
      <c r="P293" s="347"/>
      <c r="Q293" s="312"/>
      <c r="R293" s="347"/>
      <c r="S293" s="312"/>
      <c r="T293" s="347"/>
    </row>
    <row r="294" spans="1:20" ht="12" customHeight="1" x14ac:dyDescent="0.3">
      <c r="A294" s="340" t="s">
        <v>289</v>
      </c>
      <c r="B294" s="341">
        <v>3</v>
      </c>
      <c r="C294" s="309">
        <v>46110</v>
      </c>
      <c r="D294" s="310" t="s">
        <v>386</v>
      </c>
      <c r="E294" s="342">
        <v>7.5</v>
      </c>
      <c r="F294" s="342"/>
      <c r="G294" s="344">
        <f t="shared" si="3"/>
        <v>5592.7299999999859</v>
      </c>
      <c r="H294" s="345"/>
      <c r="I294" s="346"/>
      <c r="J294" s="347"/>
      <c r="K294" s="312"/>
      <c r="L294" s="347"/>
      <c r="M294" s="312"/>
      <c r="N294" s="347"/>
      <c r="O294" s="312"/>
      <c r="P294" s="347"/>
      <c r="Q294" s="312"/>
      <c r="R294" s="347"/>
      <c r="S294" s="312"/>
      <c r="T294" s="347"/>
    </row>
    <row r="295" spans="1:20" ht="12" customHeight="1" x14ac:dyDescent="0.3">
      <c r="A295" s="340" t="s">
        <v>289</v>
      </c>
      <c r="B295" s="341">
        <v>8</v>
      </c>
      <c r="C295" s="309">
        <v>46109</v>
      </c>
      <c r="D295" s="310" t="s">
        <v>321</v>
      </c>
      <c r="E295" s="342">
        <v>11.7</v>
      </c>
      <c r="F295" s="342"/>
      <c r="G295" s="344">
        <f t="shared" si="3"/>
        <v>5600.2299999999859</v>
      </c>
      <c r="H295" s="345"/>
      <c r="I295" s="346"/>
      <c r="J295" s="347"/>
      <c r="K295" s="312"/>
      <c r="L295" s="347"/>
      <c r="M295" s="312"/>
      <c r="N295" s="347"/>
      <c r="O295" s="312"/>
      <c r="P295" s="347"/>
      <c r="Q295" s="312"/>
      <c r="R295" s="347"/>
      <c r="S295" s="312"/>
      <c r="T295" s="347"/>
    </row>
    <row r="296" spans="1:20" ht="12" customHeight="1" x14ac:dyDescent="0.3">
      <c r="A296" s="340" t="s">
        <v>289</v>
      </c>
      <c r="B296" s="341">
        <v>2</v>
      </c>
      <c r="C296" s="309">
        <v>46109</v>
      </c>
      <c r="D296" s="310" t="s">
        <v>309</v>
      </c>
      <c r="E296" s="342">
        <v>210.76</v>
      </c>
      <c r="F296" s="342"/>
      <c r="G296" s="344">
        <f t="shared" si="3"/>
        <v>5611.9299999999857</v>
      </c>
      <c r="H296" s="345"/>
      <c r="I296" s="346"/>
      <c r="J296" s="347"/>
      <c r="K296" s="312"/>
      <c r="L296" s="347"/>
      <c r="M296" s="312"/>
      <c r="N296" s="347"/>
      <c r="O296" s="312"/>
      <c r="P296" s="347"/>
      <c r="Q296" s="312"/>
      <c r="R296" s="347"/>
      <c r="S296" s="312"/>
      <c r="T296" s="347"/>
    </row>
    <row r="297" spans="1:20" ht="12" customHeight="1" x14ac:dyDescent="0.3">
      <c r="A297" s="340" t="s">
        <v>289</v>
      </c>
      <c r="B297" s="341">
        <v>4</v>
      </c>
      <c r="C297" s="309">
        <v>46109</v>
      </c>
      <c r="D297" s="310" t="s">
        <v>311</v>
      </c>
      <c r="E297" s="342">
        <v>46.9</v>
      </c>
      <c r="F297" s="342"/>
      <c r="G297" s="344">
        <f t="shared" si="3"/>
        <v>5822.689999999986</v>
      </c>
      <c r="H297" s="345"/>
      <c r="I297" s="346"/>
      <c r="J297" s="347"/>
      <c r="K297" s="312"/>
      <c r="L297" s="347"/>
      <c r="M297" s="312"/>
      <c r="N297" s="347"/>
      <c r="O297" s="312"/>
      <c r="P297" s="347"/>
      <c r="Q297" s="312"/>
      <c r="R297" s="347"/>
      <c r="S297" s="312"/>
      <c r="T297" s="347"/>
    </row>
    <row r="298" spans="1:20" ht="12" customHeight="1" x14ac:dyDescent="0.3">
      <c r="A298" s="340" t="s">
        <v>289</v>
      </c>
      <c r="B298" s="341">
        <v>1</v>
      </c>
      <c r="C298" s="309">
        <v>46109</v>
      </c>
      <c r="D298" s="310" t="s">
        <v>332</v>
      </c>
      <c r="E298" s="342">
        <v>179.1</v>
      </c>
      <c r="F298" s="342"/>
      <c r="G298" s="344">
        <f t="shared" si="3"/>
        <v>5869.5899999999856</v>
      </c>
      <c r="H298" s="345"/>
      <c r="I298" s="346"/>
      <c r="J298" s="347"/>
      <c r="K298" s="312"/>
      <c r="L298" s="347"/>
      <c r="M298" s="312"/>
      <c r="N298" s="347"/>
      <c r="O298" s="312"/>
      <c r="P298" s="347"/>
      <c r="Q298" s="312"/>
      <c r="R298" s="347"/>
      <c r="S298" s="312"/>
      <c r="T298" s="347"/>
    </row>
    <row r="299" spans="1:20" ht="12" customHeight="1" x14ac:dyDescent="0.3">
      <c r="A299" s="340" t="s">
        <v>289</v>
      </c>
      <c r="B299" s="341">
        <v>8</v>
      </c>
      <c r="C299" s="309">
        <v>46109</v>
      </c>
      <c r="D299" s="310" t="s">
        <v>309</v>
      </c>
      <c r="E299" s="342">
        <v>31.97</v>
      </c>
      <c r="F299" s="342"/>
      <c r="G299" s="344">
        <f t="shared" si="3"/>
        <v>6048.689999999986</v>
      </c>
      <c r="H299" s="345"/>
      <c r="I299" s="346"/>
      <c r="J299" s="347"/>
      <c r="K299" s="312"/>
      <c r="L299" s="347"/>
      <c r="M299" s="312"/>
      <c r="N299" s="347"/>
      <c r="O299" s="312"/>
      <c r="P299" s="347"/>
      <c r="Q299" s="312"/>
      <c r="R299" s="347"/>
      <c r="S299" s="312"/>
      <c r="T299" s="347"/>
    </row>
    <row r="300" spans="1:20" ht="12" customHeight="1" x14ac:dyDescent="0.3">
      <c r="A300" s="340" t="s">
        <v>289</v>
      </c>
      <c r="B300" s="341">
        <v>8</v>
      </c>
      <c r="C300" s="309">
        <v>46109</v>
      </c>
      <c r="D300" s="310" t="s">
        <v>309</v>
      </c>
      <c r="E300" s="342">
        <v>12.19</v>
      </c>
      <c r="F300" s="342"/>
      <c r="G300" s="344">
        <f t="shared" si="3"/>
        <v>6080.6599999999862</v>
      </c>
      <c r="H300" s="345"/>
      <c r="I300" s="346"/>
      <c r="J300" s="347"/>
      <c r="K300" s="312"/>
      <c r="L300" s="347"/>
      <c r="M300" s="312"/>
      <c r="N300" s="347"/>
      <c r="O300" s="312"/>
      <c r="P300" s="347"/>
      <c r="Q300" s="312"/>
      <c r="R300" s="347"/>
      <c r="S300" s="312"/>
      <c r="T300" s="347"/>
    </row>
    <row r="301" spans="1:20" ht="12" customHeight="1" x14ac:dyDescent="0.3">
      <c r="A301" s="340" t="s">
        <v>291</v>
      </c>
      <c r="B301" s="341">
        <v>41</v>
      </c>
      <c r="C301" s="309">
        <v>46108</v>
      </c>
      <c r="D301" s="310" t="s">
        <v>387</v>
      </c>
      <c r="E301" s="342"/>
      <c r="F301" s="342">
        <v>400</v>
      </c>
      <c r="G301" s="344">
        <f t="shared" si="3"/>
        <v>6092.8499999999858</v>
      </c>
      <c r="H301" s="345"/>
      <c r="I301" s="346"/>
      <c r="J301" s="347"/>
      <c r="K301" s="312"/>
      <c r="L301" s="347"/>
      <c r="M301" s="312"/>
      <c r="N301" s="347"/>
      <c r="O301" s="312"/>
      <c r="P301" s="347"/>
      <c r="Q301" s="312"/>
      <c r="R301" s="347"/>
      <c r="S301" s="312"/>
      <c r="T301" s="347"/>
    </row>
    <row r="302" spans="1:20" ht="12" customHeight="1" x14ac:dyDescent="0.3">
      <c r="A302" s="340" t="s">
        <v>289</v>
      </c>
      <c r="B302" s="341">
        <v>2</v>
      </c>
      <c r="C302" s="309">
        <v>46108</v>
      </c>
      <c r="D302" s="310" t="s">
        <v>301</v>
      </c>
      <c r="E302" s="342">
        <v>19.5</v>
      </c>
      <c r="F302" s="342"/>
      <c r="G302" s="344">
        <f t="shared" si="3"/>
        <v>5692.8499999999858</v>
      </c>
      <c r="H302" s="345"/>
      <c r="I302" s="346"/>
      <c r="J302" s="347"/>
      <c r="K302" s="312"/>
      <c r="L302" s="347"/>
      <c r="M302" s="312"/>
      <c r="N302" s="347"/>
      <c r="O302" s="312"/>
      <c r="P302" s="347"/>
      <c r="Q302" s="312"/>
      <c r="R302" s="347"/>
      <c r="S302" s="312"/>
      <c r="T302" s="347"/>
    </row>
    <row r="303" spans="1:20" ht="12" customHeight="1" x14ac:dyDescent="0.3">
      <c r="A303" s="340" t="s">
        <v>289</v>
      </c>
      <c r="B303" s="341">
        <v>2</v>
      </c>
      <c r="C303" s="309">
        <v>46108</v>
      </c>
      <c r="D303" s="310" t="s">
        <v>296</v>
      </c>
      <c r="E303" s="342">
        <v>11.48</v>
      </c>
      <c r="F303" s="342"/>
      <c r="G303" s="344">
        <f t="shared" si="3"/>
        <v>5712.3499999999858</v>
      </c>
      <c r="H303" s="345"/>
      <c r="I303" s="346"/>
      <c r="J303" s="347"/>
      <c r="K303" s="312"/>
      <c r="L303" s="347"/>
      <c r="M303" s="312"/>
      <c r="N303" s="347"/>
      <c r="O303" s="312"/>
      <c r="P303" s="347"/>
      <c r="Q303" s="312"/>
      <c r="R303" s="347"/>
      <c r="S303" s="312"/>
      <c r="T303" s="347"/>
    </row>
    <row r="304" spans="1:20" ht="12" customHeight="1" x14ac:dyDescent="0.3">
      <c r="A304" s="340" t="s">
        <v>289</v>
      </c>
      <c r="B304" s="341">
        <v>8</v>
      </c>
      <c r="C304" s="309">
        <v>46108</v>
      </c>
      <c r="D304" s="310" t="s">
        <v>338</v>
      </c>
      <c r="E304" s="342">
        <v>11.46</v>
      </c>
      <c r="F304" s="342"/>
      <c r="G304" s="344">
        <f t="shared" si="3"/>
        <v>5723.8299999999854</v>
      </c>
      <c r="H304" s="345"/>
      <c r="I304" s="346"/>
      <c r="J304" s="347"/>
      <c r="K304" s="312"/>
      <c r="L304" s="347"/>
      <c r="M304" s="312"/>
      <c r="N304" s="347"/>
      <c r="O304" s="312"/>
      <c r="P304" s="347"/>
      <c r="Q304" s="312"/>
      <c r="R304" s="347"/>
      <c r="S304" s="312"/>
      <c r="T304" s="347"/>
    </row>
    <row r="305" spans="1:20" ht="12" customHeight="1" x14ac:dyDescent="0.3">
      <c r="A305" s="340" t="s">
        <v>289</v>
      </c>
      <c r="B305" s="341">
        <v>4</v>
      </c>
      <c r="C305" s="309">
        <v>46108</v>
      </c>
      <c r="D305" s="310" t="s">
        <v>338</v>
      </c>
      <c r="E305" s="342">
        <v>38.21</v>
      </c>
      <c r="F305" s="342"/>
      <c r="G305" s="344">
        <f t="shared" si="3"/>
        <v>5735.2899999999854</v>
      </c>
      <c r="H305" s="345"/>
      <c r="I305" s="346"/>
      <c r="J305" s="347"/>
      <c r="K305" s="312"/>
      <c r="L305" s="347"/>
      <c r="M305" s="312"/>
      <c r="N305" s="347"/>
      <c r="O305" s="312"/>
      <c r="P305" s="347"/>
      <c r="Q305" s="312"/>
      <c r="R305" s="347"/>
      <c r="S305" s="312"/>
      <c r="T305" s="347"/>
    </row>
    <row r="306" spans="1:20" ht="12" customHeight="1" x14ac:dyDescent="0.3">
      <c r="A306" s="340" t="s">
        <v>289</v>
      </c>
      <c r="B306" s="341">
        <v>2</v>
      </c>
      <c r="C306" s="309">
        <v>46108</v>
      </c>
      <c r="D306" s="310" t="s">
        <v>388</v>
      </c>
      <c r="E306" s="342">
        <v>69.95</v>
      </c>
      <c r="F306" s="342"/>
      <c r="G306" s="344">
        <f t="shared" si="3"/>
        <v>5773.4999999999854</v>
      </c>
      <c r="H306" s="345"/>
      <c r="I306" s="346"/>
      <c r="J306" s="347"/>
      <c r="K306" s="312"/>
      <c r="L306" s="347"/>
      <c r="M306" s="312"/>
      <c r="N306" s="347"/>
      <c r="O306" s="312"/>
      <c r="P306" s="347"/>
      <c r="Q306" s="312"/>
      <c r="R306" s="347"/>
      <c r="S306" s="312"/>
      <c r="T306" s="347"/>
    </row>
    <row r="307" spans="1:20" ht="12" customHeight="1" x14ac:dyDescent="0.3">
      <c r="A307" s="340" t="s">
        <v>289</v>
      </c>
      <c r="B307" s="341">
        <v>3</v>
      </c>
      <c r="C307" s="309">
        <v>46108</v>
      </c>
      <c r="D307" s="310" t="s">
        <v>352</v>
      </c>
      <c r="E307" s="342">
        <v>10.78</v>
      </c>
      <c r="F307" s="342"/>
      <c r="G307" s="344">
        <f t="shared" si="3"/>
        <v>5843.4499999999853</v>
      </c>
      <c r="H307" s="345"/>
      <c r="I307" s="346"/>
      <c r="J307" s="347"/>
      <c r="K307" s="312"/>
      <c r="L307" s="347"/>
      <c r="M307" s="312"/>
      <c r="N307" s="347"/>
      <c r="O307" s="312"/>
      <c r="P307" s="347"/>
      <c r="Q307" s="312"/>
      <c r="R307" s="347"/>
      <c r="S307" s="312"/>
      <c r="T307" s="347"/>
    </row>
    <row r="308" spans="1:20" ht="12" customHeight="1" x14ac:dyDescent="0.3">
      <c r="A308" s="340" t="s">
        <v>289</v>
      </c>
      <c r="B308" s="341">
        <v>6</v>
      </c>
      <c r="C308" s="309">
        <v>46108</v>
      </c>
      <c r="D308" s="310" t="s">
        <v>300</v>
      </c>
      <c r="E308" s="342">
        <v>15.84</v>
      </c>
      <c r="F308" s="342"/>
      <c r="G308" s="344">
        <f t="shared" si="3"/>
        <v>5854.229999999985</v>
      </c>
      <c r="H308" s="345"/>
      <c r="I308" s="346"/>
      <c r="J308" s="347"/>
      <c r="K308" s="312"/>
      <c r="L308" s="347"/>
      <c r="M308" s="312"/>
      <c r="N308" s="347"/>
      <c r="O308" s="312"/>
      <c r="P308" s="347"/>
      <c r="Q308" s="312"/>
      <c r="R308" s="347"/>
      <c r="S308" s="312"/>
      <c r="T308" s="347"/>
    </row>
    <row r="309" spans="1:20" ht="12" customHeight="1" x14ac:dyDescent="0.3">
      <c r="A309" s="340" t="s">
        <v>289</v>
      </c>
      <c r="B309" s="341">
        <v>8</v>
      </c>
      <c r="C309" s="309">
        <v>46108</v>
      </c>
      <c r="D309" s="310" t="s">
        <v>389</v>
      </c>
      <c r="E309" s="342">
        <v>22.48</v>
      </c>
      <c r="F309" s="342"/>
      <c r="G309" s="344">
        <f t="shared" si="3"/>
        <v>5870.0699999999852</v>
      </c>
      <c r="H309" s="345"/>
      <c r="I309" s="346"/>
      <c r="J309" s="347"/>
      <c r="K309" s="312"/>
      <c r="L309" s="347"/>
      <c r="M309" s="312"/>
      <c r="N309" s="347"/>
      <c r="O309" s="312"/>
      <c r="P309" s="347"/>
      <c r="Q309" s="312"/>
      <c r="R309" s="347"/>
      <c r="S309" s="312"/>
      <c r="T309" s="347"/>
    </row>
    <row r="310" spans="1:20" ht="12" customHeight="1" x14ac:dyDescent="0.3">
      <c r="A310" s="340" t="s">
        <v>289</v>
      </c>
      <c r="B310" s="341">
        <v>2</v>
      </c>
      <c r="C310" s="309">
        <v>46107</v>
      </c>
      <c r="D310" s="310" t="s">
        <v>362</v>
      </c>
      <c r="E310" s="342">
        <v>11.17</v>
      </c>
      <c r="F310" s="342"/>
      <c r="G310" s="344">
        <f t="shared" si="3"/>
        <v>5892.5499999999847</v>
      </c>
      <c r="H310" s="345"/>
      <c r="I310" s="346"/>
      <c r="J310" s="347"/>
      <c r="K310" s="312"/>
      <c r="L310" s="347"/>
      <c r="M310" s="312"/>
      <c r="N310" s="347"/>
      <c r="O310" s="312"/>
      <c r="P310" s="347"/>
      <c r="Q310" s="312"/>
      <c r="R310" s="347"/>
      <c r="S310" s="312"/>
      <c r="T310" s="347"/>
    </row>
    <row r="311" spans="1:20" ht="12" customHeight="1" x14ac:dyDescent="0.3">
      <c r="A311" s="340" t="s">
        <v>289</v>
      </c>
      <c r="B311" s="341">
        <v>2</v>
      </c>
      <c r="C311" s="309">
        <v>46107</v>
      </c>
      <c r="D311" s="310" t="s">
        <v>390</v>
      </c>
      <c r="E311" s="342">
        <v>14.38</v>
      </c>
      <c r="F311" s="342"/>
      <c r="G311" s="344">
        <f t="shared" si="3"/>
        <v>5903.7199999999848</v>
      </c>
      <c r="H311" s="345"/>
      <c r="I311" s="346"/>
      <c r="J311" s="347"/>
      <c r="K311" s="312"/>
      <c r="L311" s="347"/>
      <c r="M311" s="312"/>
      <c r="N311" s="347"/>
      <c r="O311" s="312"/>
      <c r="P311" s="347"/>
      <c r="Q311" s="312"/>
      <c r="R311" s="347"/>
      <c r="S311" s="312"/>
      <c r="T311" s="347"/>
    </row>
    <row r="312" spans="1:20" ht="12" customHeight="1" x14ac:dyDescent="0.3">
      <c r="A312" s="340" t="s">
        <v>289</v>
      </c>
      <c r="B312" s="341">
        <v>8</v>
      </c>
      <c r="C312" s="309">
        <v>46107</v>
      </c>
      <c r="D312" s="310" t="s">
        <v>391</v>
      </c>
      <c r="E312" s="342">
        <v>45</v>
      </c>
      <c r="F312" s="342"/>
      <c r="G312" s="344">
        <f t="shared" si="3"/>
        <v>5918.0999999999849</v>
      </c>
      <c r="H312" s="345"/>
      <c r="I312" s="346"/>
      <c r="J312" s="347"/>
      <c r="K312" s="312"/>
      <c r="L312" s="347"/>
      <c r="M312" s="312"/>
      <c r="N312" s="347"/>
      <c r="O312" s="312"/>
      <c r="P312" s="347"/>
      <c r="Q312" s="312"/>
      <c r="R312" s="347"/>
      <c r="S312" s="312"/>
      <c r="T312" s="347"/>
    </row>
    <row r="313" spans="1:20" ht="12" customHeight="1" x14ac:dyDescent="0.3">
      <c r="A313" s="340" t="s">
        <v>289</v>
      </c>
      <c r="B313" s="341">
        <v>2</v>
      </c>
      <c r="C313" s="309">
        <v>46107</v>
      </c>
      <c r="D313" s="310" t="s">
        <v>327</v>
      </c>
      <c r="E313" s="342">
        <v>9.0299999999999994</v>
      </c>
      <c r="F313" s="342"/>
      <c r="G313" s="344">
        <f t="shared" si="3"/>
        <v>5963.0999999999849</v>
      </c>
      <c r="H313" s="345"/>
      <c r="I313" s="346"/>
      <c r="J313" s="347"/>
      <c r="K313" s="312"/>
      <c r="L313" s="347"/>
      <c r="M313" s="312"/>
      <c r="N313" s="347"/>
      <c r="O313" s="312"/>
      <c r="P313" s="347"/>
      <c r="Q313" s="312"/>
      <c r="R313" s="347"/>
      <c r="S313" s="312"/>
      <c r="T313" s="347"/>
    </row>
    <row r="314" spans="1:20" ht="12" customHeight="1" x14ac:dyDescent="0.3">
      <c r="A314" s="340" t="s">
        <v>289</v>
      </c>
      <c r="B314" s="341">
        <v>2</v>
      </c>
      <c r="C314" s="309">
        <v>46107</v>
      </c>
      <c r="D314" s="310" t="s">
        <v>301</v>
      </c>
      <c r="E314" s="342">
        <v>30</v>
      </c>
      <c r="F314" s="342"/>
      <c r="G314" s="344">
        <f t="shared" si="3"/>
        <v>5972.1299999999846</v>
      </c>
      <c r="H314" s="345"/>
      <c r="I314" s="346"/>
      <c r="J314" s="347"/>
      <c r="K314" s="312"/>
      <c r="L314" s="347"/>
      <c r="M314" s="312"/>
      <c r="N314" s="347"/>
      <c r="O314" s="312"/>
      <c r="P314" s="347"/>
      <c r="Q314" s="312"/>
      <c r="R314" s="347"/>
      <c r="S314" s="312"/>
      <c r="T314" s="347"/>
    </row>
    <row r="315" spans="1:20" ht="12" customHeight="1" x14ac:dyDescent="0.3">
      <c r="A315" s="340" t="s">
        <v>289</v>
      </c>
      <c r="B315" s="341">
        <v>6</v>
      </c>
      <c r="C315" s="309">
        <v>46106</v>
      </c>
      <c r="D315" s="310" t="s">
        <v>392</v>
      </c>
      <c r="E315" s="342">
        <v>12</v>
      </c>
      <c r="F315" s="342"/>
      <c r="G315" s="344">
        <f t="shared" si="3"/>
        <v>6002.1299999999846</v>
      </c>
      <c r="H315" s="345"/>
      <c r="I315" s="346"/>
      <c r="J315" s="347"/>
      <c r="K315" s="312"/>
      <c r="L315" s="347"/>
      <c r="M315" s="312"/>
      <c r="N315" s="347"/>
      <c r="O315" s="312"/>
      <c r="P315" s="347"/>
      <c r="Q315" s="312"/>
      <c r="R315" s="347"/>
      <c r="S315" s="312"/>
      <c r="T315" s="347"/>
    </row>
    <row r="316" spans="1:20" ht="12" customHeight="1" x14ac:dyDescent="0.3">
      <c r="A316" s="340" t="s">
        <v>289</v>
      </c>
      <c r="B316" s="341">
        <v>6</v>
      </c>
      <c r="C316" s="309">
        <v>46106</v>
      </c>
      <c r="D316" s="310" t="s">
        <v>393</v>
      </c>
      <c r="E316" s="342">
        <v>20</v>
      </c>
      <c r="F316" s="342"/>
      <c r="G316" s="344">
        <f t="shared" si="3"/>
        <v>6014.1299999999846</v>
      </c>
      <c r="H316" s="345"/>
      <c r="I316" s="346"/>
      <c r="J316" s="347"/>
      <c r="K316" s="312"/>
      <c r="L316" s="347"/>
      <c r="M316" s="312"/>
      <c r="N316" s="347"/>
      <c r="O316" s="312"/>
      <c r="P316" s="347"/>
      <c r="Q316" s="312"/>
      <c r="R316" s="347"/>
      <c r="S316" s="312"/>
      <c r="T316" s="347"/>
    </row>
    <row r="317" spans="1:20" ht="12" customHeight="1" x14ac:dyDescent="0.3">
      <c r="A317" s="340" t="s">
        <v>289</v>
      </c>
      <c r="B317" s="341">
        <v>2</v>
      </c>
      <c r="C317" s="309">
        <v>46106</v>
      </c>
      <c r="D317" s="310" t="s">
        <v>296</v>
      </c>
      <c r="E317" s="342">
        <v>21.05</v>
      </c>
      <c r="F317" s="342"/>
      <c r="G317" s="344">
        <f t="shared" si="3"/>
        <v>6034.1299999999846</v>
      </c>
      <c r="H317" s="345"/>
      <c r="I317" s="346"/>
      <c r="J317" s="347"/>
      <c r="K317" s="312"/>
      <c r="L317" s="347"/>
      <c r="M317" s="312"/>
      <c r="N317" s="347"/>
      <c r="O317" s="312"/>
      <c r="P317" s="347"/>
      <c r="Q317" s="312"/>
      <c r="R317" s="347"/>
      <c r="S317" s="312"/>
      <c r="T317" s="347"/>
    </row>
    <row r="318" spans="1:20" ht="12" customHeight="1" x14ac:dyDescent="0.3">
      <c r="A318" s="340" t="s">
        <v>289</v>
      </c>
      <c r="B318" s="341">
        <v>4</v>
      </c>
      <c r="C318" s="309">
        <v>46106</v>
      </c>
      <c r="D318" s="310" t="s">
        <v>296</v>
      </c>
      <c r="E318" s="342">
        <v>38.58</v>
      </c>
      <c r="F318" s="342"/>
      <c r="G318" s="344">
        <f t="shared" si="3"/>
        <v>6055.1799999999848</v>
      </c>
      <c r="H318" s="345"/>
      <c r="I318" s="346"/>
      <c r="J318" s="347"/>
      <c r="K318" s="312"/>
      <c r="L318" s="347"/>
      <c r="M318" s="312"/>
      <c r="N318" s="347"/>
      <c r="O318" s="312"/>
      <c r="P318" s="347"/>
      <c r="Q318" s="312"/>
      <c r="R318" s="347"/>
      <c r="S318" s="312"/>
      <c r="T318" s="347"/>
    </row>
    <row r="319" spans="1:20" ht="12" customHeight="1" x14ac:dyDescent="0.3">
      <c r="A319" s="340" t="s">
        <v>294</v>
      </c>
      <c r="B319" s="341">
        <v>12</v>
      </c>
      <c r="C319" s="309">
        <v>46106</v>
      </c>
      <c r="D319" s="310" t="s">
        <v>315</v>
      </c>
      <c r="E319" s="342">
        <v>204.47</v>
      </c>
      <c r="F319" s="342"/>
      <c r="G319" s="344">
        <f t="shared" si="3"/>
        <v>6093.7599999999848</v>
      </c>
      <c r="H319" s="345"/>
      <c r="I319" s="346"/>
      <c r="J319" s="347"/>
      <c r="K319" s="312"/>
      <c r="L319" s="347"/>
      <c r="M319" s="312"/>
      <c r="N319" s="347"/>
      <c r="O319" s="312"/>
      <c r="P319" s="347"/>
      <c r="Q319" s="312"/>
      <c r="R319" s="347"/>
      <c r="S319" s="312"/>
      <c r="T319" s="347"/>
    </row>
    <row r="320" spans="1:20" ht="12" customHeight="1" x14ac:dyDescent="0.3">
      <c r="A320" s="340" t="s">
        <v>294</v>
      </c>
      <c r="B320" s="341">
        <v>24</v>
      </c>
      <c r="C320" s="309">
        <v>46105</v>
      </c>
      <c r="D320" s="310" t="s">
        <v>199</v>
      </c>
      <c r="E320" s="342">
        <v>86.58</v>
      </c>
      <c r="F320" s="342"/>
      <c r="G320" s="344">
        <f t="shared" si="3"/>
        <v>6298.229999999985</v>
      </c>
      <c r="H320" s="345"/>
      <c r="I320" s="346"/>
      <c r="J320" s="347"/>
      <c r="K320" s="312"/>
      <c r="L320" s="347"/>
      <c r="M320" s="312"/>
      <c r="N320" s="347"/>
      <c r="O320" s="312"/>
      <c r="P320" s="347"/>
      <c r="Q320" s="312"/>
      <c r="R320" s="347"/>
      <c r="S320" s="312"/>
      <c r="T320" s="347"/>
    </row>
    <row r="321" spans="1:20" ht="12" customHeight="1" x14ac:dyDescent="0.3">
      <c r="A321" s="340" t="s">
        <v>289</v>
      </c>
      <c r="B321" s="341">
        <v>6</v>
      </c>
      <c r="C321" s="309">
        <v>46105</v>
      </c>
      <c r="D321" s="310" t="s">
        <v>393</v>
      </c>
      <c r="E321" s="342">
        <v>20</v>
      </c>
      <c r="F321" s="342"/>
      <c r="G321" s="344">
        <f t="shared" si="3"/>
        <v>6384.8099999999849</v>
      </c>
      <c r="H321" s="345"/>
      <c r="I321" s="346"/>
      <c r="J321" s="347"/>
      <c r="K321" s="312"/>
      <c r="L321" s="347"/>
      <c r="M321" s="312"/>
      <c r="N321" s="347"/>
      <c r="O321" s="312"/>
      <c r="P321" s="347"/>
      <c r="Q321" s="312"/>
      <c r="R321" s="347"/>
      <c r="S321" s="312"/>
      <c r="T321" s="347"/>
    </row>
    <row r="322" spans="1:20" ht="12" customHeight="1" x14ac:dyDescent="0.3">
      <c r="A322" s="340" t="s">
        <v>289</v>
      </c>
      <c r="B322" s="341">
        <v>2</v>
      </c>
      <c r="C322" s="309">
        <v>46105</v>
      </c>
      <c r="D322" s="310" t="s">
        <v>394</v>
      </c>
      <c r="E322" s="342">
        <v>15.29</v>
      </c>
      <c r="F322" s="342"/>
      <c r="G322" s="344">
        <f t="shared" si="3"/>
        <v>6404.8099999999849</v>
      </c>
      <c r="H322" s="345"/>
      <c r="I322" s="346"/>
      <c r="J322" s="347"/>
      <c r="K322" s="312"/>
      <c r="L322" s="347"/>
      <c r="M322" s="312"/>
      <c r="N322" s="347"/>
      <c r="O322" s="312"/>
      <c r="P322" s="347"/>
      <c r="Q322" s="312"/>
      <c r="R322" s="347"/>
      <c r="S322" s="312"/>
      <c r="T322" s="347"/>
    </row>
    <row r="323" spans="1:20" ht="12" customHeight="1" x14ac:dyDescent="0.3">
      <c r="A323" s="340" t="s">
        <v>289</v>
      </c>
      <c r="B323" s="341">
        <v>8</v>
      </c>
      <c r="C323" s="309">
        <v>46105</v>
      </c>
      <c r="D323" s="310" t="s">
        <v>309</v>
      </c>
      <c r="E323" s="342">
        <v>47.99</v>
      </c>
      <c r="F323" s="342"/>
      <c r="G323" s="344">
        <f t="shared" si="3"/>
        <v>6420.0999999999849</v>
      </c>
      <c r="H323" s="345"/>
      <c r="I323" s="346"/>
      <c r="J323" s="347"/>
      <c r="K323" s="312"/>
      <c r="L323" s="347"/>
      <c r="M323" s="312"/>
      <c r="N323" s="347"/>
      <c r="O323" s="312"/>
      <c r="P323" s="347"/>
      <c r="Q323" s="312"/>
      <c r="R323" s="347"/>
      <c r="S323" s="312"/>
      <c r="T323" s="347"/>
    </row>
    <row r="324" spans="1:20" ht="12" customHeight="1" x14ac:dyDescent="0.3">
      <c r="A324" s="340" t="s">
        <v>294</v>
      </c>
      <c r="B324" s="341">
        <v>23</v>
      </c>
      <c r="C324" s="309">
        <v>46104</v>
      </c>
      <c r="D324" s="310" t="s">
        <v>67</v>
      </c>
      <c r="E324" s="342">
        <v>650.88</v>
      </c>
      <c r="F324" s="342"/>
      <c r="G324" s="344">
        <f t="shared" si="3"/>
        <v>6468.0899999999847</v>
      </c>
      <c r="H324" s="345"/>
      <c r="I324" s="346"/>
      <c r="J324" s="347"/>
      <c r="K324" s="312"/>
      <c r="L324" s="347"/>
      <c r="M324" s="312"/>
      <c r="N324" s="347"/>
      <c r="O324" s="312"/>
      <c r="P324" s="347"/>
      <c r="Q324" s="312"/>
      <c r="R324" s="347"/>
      <c r="S324" s="312"/>
      <c r="T324" s="347"/>
    </row>
    <row r="325" spans="1:20" ht="12" customHeight="1" x14ac:dyDescent="0.3">
      <c r="A325" s="340" t="s">
        <v>289</v>
      </c>
      <c r="B325" s="341">
        <v>2</v>
      </c>
      <c r="C325" s="309">
        <v>46104</v>
      </c>
      <c r="D325" s="310" t="s">
        <v>395</v>
      </c>
      <c r="E325" s="342">
        <v>46</v>
      </c>
      <c r="F325" s="342"/>
      <c r="G325" s="344">
        <f t="shared" si="3"/>
        <v>7118.9699999999848</v>
      </c>
      <c r="H325" s="345"/>
      <c r="I325" s="346"/>
      <c r="J325" s="347"/>
      <c r="K325" s="312"/>
      <c r="L325" s="347"/>
      <c r="M325" s="312"/>
      <c r="N325" s="347"/>
      <c r="O325" s="312"/>
      <c r="P325" s="347"/>
      <c r="Q325" s="312"/>
      <c r="R325" s="347"/>
      <c r="S325" s="312"/>
      <c r="T325" s="347"/>
    </row>
    <row r="326" spans="1:20" ht="12" customHeight="1" x14ac:dyDescent="0.3">
      <c r="A326" s="340" t="s">
        <v>289</v>
      </c>
      <c r="B326" s="341">
        <v>2</v>
      </c>
      <c r="C326" s="309">
        <v>46103</v>
      </c>
      <c r="D326" s="310" t="s">
        <v>396</v>
      </c>
      <c r="E326" s="342">
        <v>24.81</v>
      </c>
      <c r="F326" s="342"/>
      <c r="G326" s="344">
        <f t="shared" si="3"/>
        <v>7164.9699999999848</v>
      </c>
      <c r="H326" s="345"/>
      <c r="I326" s="346"/>
      <c r="J326" s="347"/>
      <c r="K326" s="312"/>
      <c r="L326" s="347"/>
      <c r="M326" s="312"/>
      <c r="N326" s="347"/>
      <c r="O326" s="312"/>
      <c r="P326" s="347"/>
      <c r="Q326" s="312"/>
      <c r="R326" s="347"/>
      <c r="S326" s="312"/>
      <c r="T326" s="347"/>
    </row>
    <row r="327" spans="1:20" ht="12" customHeight="1" x14ac:dyDescent="0.3">
      <c r="A327" s="340" t="s">
        <v>289</v>
      </c>
      <c r="B327" s="341">
        <v>4</v>
      </c>
      <c r="C327" s="309">
        <v>46103</v>
      </c>
      <c r="D327" s="310" t="s">
        <v>296</v>
      </c>
      <c r="E327" s="342">
        <v>28.77</v>
      </c>
      <c r="F327" s="342"/>
      <c r="G327" s="344">
        <f t="shared" si="3"/>
        <v>7189.7799999999852</v>
      </c>
      <c r="H327" s="345"/>
      <c r="I327" s="346"/>
      <c r="J327" s="347"/>
      <c r="K327" s="312"/>
      <c r="L327" s="347"/>
      <c r="M327" s="312"/>
      <c r="N327" s="347"/>
      <c r="O327" s="312"/>
      <c r="P327" s="347"/>
      <c r="Q327" s="312"/>
      <c r="R327" s="347"/>
      <c r="S327" s="312"/>
      <c r="T327" s="347"/>
    </row>
    <row r="328" spans="1:20" ht="12" customHeight="1" x14ac:dyDescent="0.3">
      <c r="A328" s="340" t="s">
        <v>289</v>
      </c>
      <c r="B328" s="341">
        <v>8</v>
      </c>
      <c r="C328" s="309">
        <v>46103</v>
      </c>
      <c r="D328" s="310" t="s">
        <v>296</v>
      </c>
      <c r="E328" s="342">
        <v>11.9</v>
      </c>
      <c r="F328" s="342"/>
      <c r="G328" s="344">
        <f t="shared" si="3"/>
        <v>7218.5499999999856</v>
      </c>
      <c r="H328" s="345"/>
      <c r="I328" s="346"/>
      <c r="J328" s="347"/>
      <c r="K328" s="312"/>
      <c r="L328" s="347"/>
      <c r="M328" s="312"/>
      <c r="N328" s="347"/>
      <c r="O328" s="312"/>
      <c r="P328" s="347"/>
      <c r="Q328" s="312"/>
      <c r="R328" s="347"/>
      <c r="S328" s="312"/>
      <c r="T328" s="347"/>
    </row>
    <row r="329" spans="1:20" ht="12" customHeight="1" x14ac:dyDescent="0.3">
      <c r="A329" s="340" t="s">
        <v>289</v>
      </c>
      <c r="B329" s="341">
        <v>1</v>
      </c>
      <c r="C329" s="309">
        <v>46103</v>
      </c>
      <c r="D329" s="310" t="s">
        <v>306</v>
      </c>
      <c r="E329" s="342">
        <v>42.59</v>
      </c>
      <c r="F329" s="342"/>
      <c r="G329" s="344">
        <f t="shared" si="3"/>
        <v>7230.4499999999853</v>
      </c>
      <c r="H329" s="345"/>
      <c r="I329" s="346"/>
      <c r="J329" s="347"/>
      <c r="K329" s="312"/>
      <c r="L329" s="347"/>
      <c r="M329" s="312"/>
      <c r="N329" s="347"/>
      <c r="O329" s="312"/>
      <c r="P329" s="347"/>
      <c r="Q329" s="312"/>
      <c r="R329" s="347"/>
      <c r="S329" s="312"/>
      <c r="T329" s="347"/>
    </row>
    <row r="330" spans="1:20" ht="12" customHeight="1" x14ac:dyDescent="0.3">
      <c r="A330" s="340" t="s">
        <v>289</v>
      </c>
      <c r="B330" s="341">
        <v>6</v>
      </c>
      <c r="C330" s="309">
        <v>46103</v>
      </c>
      <c r="D330" s="310" t="s">
        <v>306</v>
      </c>
      <c r="E330" s="342">
        <v>17.579999999999998</v>
      </c>
      <c r="F330" s="342"/>
      <c r="G330" s="344">
        <f t="shared" si="3"/>
        <v>7273.0399999999854</v>
      </c>
      <c r="H330" s="345"/>
      <c r="I330" s="346"/>
      <c r="J330" s="347"/>
      <c r="K330" s="312"/>
      <c r="L330" s="347"/>
      <c r="M330" s="312"/>
      <c r="N330" s="347"/>
      <c r="O330" s="312"/>
      <c r="P330" s="347"/>
      <c r="Q330" s="312"/>
      <c r="R330" s="347"/>
      <c r="S330" s="312"/>
      <c r="T330" s="347"/>
    </row>
    <row r="331" spans="1:20" ht="12" customHeight="1" x14ac:dyDescent="0.3">
      <c r="A331" s="340" t="s">
        <v>289</v>
      </c>
      <c r="B331" s="341">
        <v>6</v>
      </c>
      <c r="C331" s="309">
        <v>46103</v>
      </c>
      <c r="D331" s="310" t="s">
        <v>306</v>
      </c>
      <c r="E331" s="342">
        <v>11.99</v>
      </c>
      <c r="F331" s="342"/>
      <c r="G331" s="344">
        <f t="shared" si="3"/>
        <v>7290.6199999999853</v>
      </c>
      <c r="H331" s="345"/>
      <c r="I331" s="346"/>
      <c r="J331" s="347"/>
      <c r="K331" s="312"/>
      <c r="L331" s="347"/>
      <c r="M331" s="312"/>
      <c r="N331" s="347"/>
      <c r="O331" s="312"/>
      <c r="P331" s="347"/>
      <c r="Q331" s="312"/>
      <c r="R331" s="347"/>
      <c r="S331" s="312"/>
      <c r="T331" s="347"/>
    </row>
    <row r="332" spans="1:20" ht="12" customHeight="1" x14ac:dyDescent="0.3">
      <c r="A332" s="340" t="s">
        <v>289</v>
      </c>
      <c r="B332" s="341">
        <v>1</v>
      </c>
      <c r="C332" s="309">
        <v>46103</v>
      </c>
      <c r="D332" s="310" t="s">
        <v>312</v>
      </c>
      <c r="E332" s="342">
        <v>81.31</v>
      </c>
      <c r="F332" s="342"/>
      <c r="G332" s="344">
        <f t="shared" si="3"/>
        <v>7302.6099999999851</v>
      </c>
      <c r="H332" s="345"/>
      <c r="I332" s="346"/>
      <c r="J332" s="347"/>
      <c r="K332" s="312"/>
      <c r="L332" s="347"/>
      <c r="M332" s="312"/>
      <c r="N332" s="347"/>
      <c r="O332" s="312"/>
      <c r="P332" s="347"/>
      <c r="Q332" s="312"/>
      <c r="R332" s="347"/>
      <c r="S332" s="312"/>
      <c r="T332" s="347"/>
    </row>
    <row r="333" spans="1:20" ht="12" customHeight="1" x14ac:dyDescent="0.3">
      <c r="A333" s="340" t="s">
        <v>289</v>
      </c>
      <c r="B333" s="341">
        <v>1</v>
      </c>
      <c r="C333" s="309">
        <v>46103</v>
      </c>
      <c r="D333" s="310" t="s">
        <v>397</v>
      </c>
      <c r="E333" s="342">
        <v>38.44</v>
      </c>
      <c r="F333" s="342"/>
      <c r="G333" s="344">
        <f t="shared" si="3"/>
        <v>7383.9199999999855</v>
      </c>
      <c r="H333" s="345"/>
      <c r="I333" s="346"/>
      <c r="J333" s="347"/>
      <c r="K333" s="312"/>
      <c r="L333" s="347"/>
      <c r="M333" s="312"/>
      <c r="N333" s="347"/>
      <c r="O333" s="312"/>
      <c r="P333" s="347"/>
      <c r="Q333" s="312"/>
      <c r="R333" s="347"/>
      <c r="S333" s="312"/>
      <c r="T333" s="347"/>
    </row>
    <row r="334" spans="1:20" ht="12" customHeight="1" x14ac:dyDescent="0.3">
      <c r="A334" s="340" t="s">
        <v>289</v>
      </c>
      <c r="B334" s="341">
        <v>2</v>
      </c>
      <c r="C334" s="309">
        <v>46103</v>
      </c>
      <c r="D334" s="310" t="s">
        <v>398</v>
      </c>
      <c r="E334" s="342">
        <v>35.700000000000003</v>
      </c>
      <c r="F334" s="342"/>
      <c r="G334" s="344">
        <f t="shared" si="3"/>
        <v>7422.3599999999851</v>
      </c>
      <c r="H334" s="345"/>
      <c r="I334" s="346"/>
      <c r="J334" s="347"/>
      <c r="K334" s="312"/>
      <c r="L334" s="347"/>
      <c r="M334" s="312"/>
      <c r="N334" s="347"/>
      <c r="O334" s="312"/>
      <c r="P334" s="347"/>
      <c r="Q334" s="312"/>
      <c r="R334" s="347"/>
      <c r="S334" s="312"/>
      <c r="T334" s="347"/>
    </row>
    <row r="335" spans="1:20" ht="12" customHeight="1" x14ac:dyDescent="0.3">
      <c r="A335" s="340" t="s">
        <v>289</v>
      </c>
      <c r="B335" s="341">
        <v>6</v>
      </c>
      <c r="C335" s="309">
        <v>46102</v>
      </c>
      <c r="D335" s="310" t="s">
        <v>306</v>
      </c>
      <c r="E335" s="342">
        <v>10.64</v>
      </c>
      <c r="F335" s="342"/>
      <c r="G335" s="344">
        <f t="shared" si="3"/>
        <v>7458.0599999999849</v>
      </c>
      <c r="H335" s="345"/>
      <c r="I335" s="346"/>
      <c r="J335" s="347"/>
      <c r="K335" s="312"/>
      <c r="L335" s="347"/>
      <c r="M335" s="312"/>
      <c r="N335" s="347"/>
      <c r="O335" s="312"/>
      <c r="P335" s="347"/>
      <c r="Q335" s="312"/>
      <c r="R335" s="347"/>
      <c r="S335" s="312"/>
      <c r="T335" s="347"/>
    </row>
    <row r="336" spans="1:20" ht="12" customHeight="1" x14ac:dyDescent="0.3">
      <c r="A336" s="340" t="s">
        <v>289</v>
      </c>
      <c r="B336" s="341">
        <v>6</v>
      </c>
      <c r="C336" s="309">
        <v>46102</v>
      </c>
      <c r="D336" s="310" t="s">
        <v>306</v>
      </c>
      <c r="E336" s="342">
        <v>28.69</v>
      </c>
      <c r="F336" s="342"/>
      <c r="G336" s="344">
        <f t="shared" si="3"/>
        <v>7468.6999999999853</v>
      </c>
      <c r="H336" s="345"/>
      <c r="I336" s="346"/>
      <c r="J336" s="347"/>
      <c r="K336" s="312"/>
      <c r="L336" s="347"/>
      <c r="M336" s="312"/>
      <c r="N336" s="347"/>
      <c r="O336" s="312"/>
      <c r="P336" s="347"/>
      <c r="Q336" s="312"/>
      <c r="R336" s="347"/>
      <c r="S336" s="312"/>
      <c r="T336" s="347"/>
    </row>
    <row r="337" spans="1:20" ht="12" customHeight="1" x14ac:dyDescent="0.3">
      <c r="A337" s="340" t="s">
        <v>289</v>
      </c>
      <c r="B337" s="341">
        <v>3</v>
      </c>
      <c r="C337" s="309">
        <v>46102</v>
      </c>
      <c r="D337" s="310" t="s">
        <v>352</v>
      </c>
      <c r="E337" s="342">
        <v>11.59</v>
      </c>
      <c r="F337" s="342"/>
      <c r="G337" s="344">
        <f t="shared" si="3"/>
        <v>7497.3899999999849</v>
      </c>
      <c r="H337" s="345"/>
      <c r="I337" s="346"/>
      <c r="J337" s="347"/>
      <c r="K337" s="312"/>
      <c r="L337" s="347"/>
      <c r="M337" s="312"/>
      <c r="N337" s="347"/>
      <c r="O337" s="312"/>
      <c r="P337" s="347"/>
      <c r="Q337" s="312"/>
      <c r="R337" s="347"/>
      <c r="S337" s="312"/>
      <c r="T337" s="347"/>
    </row>
    <row r="338" spans="1:20" ht="12" customHeight="1" x14ac:dyDescent="0.3">
      <c r="A338" s="340" t="s">
        <v>291</v>
      </c>
      <c r="B338" s="341">
        <v>41</v>
      </c>
      <c r="C338" s="309">
        <v>46102</v>
      </c>
      <c r="D338" s="310" t="s">
        <v>387</v>
      </c>
      <c r="E338" s="342"/>
      <c r="F338" s="342">
        <v>400</v>
      </c>
      <c r="G338" s="344">
        <f t="shared" si="3"/>
        <v>7508.979999999985</v>
      </c>
      <c r="H338" s="345"/>
      <c r="I338" s="346"/>
      <c r="J338" s="347"/>
      <c r="K338" s="312"/>
      <c r="L338" s="347"/>
      <c r="M338" s="312"/>
      <c r="N338" s="347"/>
      <c r="O338" s="312"/>
      <c r="P338" s="347"/>
      <c r="Q338" s="312"/>
      <c r="R338" s="347"/>
      <c r="S338" s="312"/>
      <c r="T338" s="347"/>
    </row>
    <row r="339" spans="1:20" ht="12" customHeight="1" x14ac:dyDescent="0.3">
      <c r="A339" s="340" t="s">
        <v>289</v>
      </c>
      <c r="B339" s="341">
        <v>5</v>
      </c>
      <c r="C339" s="309">
        <v>46102</v>
      </c>
      <c r="D339" s="310" t="s">
        <v>399</v>
      </c>
      <c r="E339" s="342">
        <v>170</v>
      </c>
      <c r="F339" s="342"/>
      <c r="G339" s="344">
        <f t="shared" si="3"/>
        <v>7108.979999999985</v>
      </c>
      <c r="H339" s="345" t="s">
        <v>298</v>
      </c>
      <c r="I339" s="346"/>
      <c r="J339" s="347"/>
      <c r="K339" s="312"/>
      <c r="L339" s="347"/>
      <c r="M339" s="312"/>
      <c r="N339" s="347"/>
      <c r="O339" s="312"/>
      <c r="P339" s="347"/>
      <c r="Q339" s="312"/>
      <c r="R339" s="347"/>
      <c r="S339" s="312"/>
      <c r="T339" s="347"/>
    </row>
    <row r="340" spans="1:20" ht="12" customHeight="1" x14ac:dyDescent="0.3">
      <c r="A340" s="340" t="s">
        <v>289</v>
      </c>
      <c r="B340" s="341">
        <v>5</v>
      </c>
      <c r="C340" s="309">
        <v>46102</v>
      </c>
      <c r="D340" s="310" t="s">
        <v>358</v>
      </c>
      <c r="E340" s="342">
        <v>70</v>
      </c>
      <c r="F340" s="342"/>
      <c r="G340" s="344">
        <f t="shared" si="3"/>
        <v>7278.979999999985</v>
      </c>
      <c r="H340" s="345" t="s">
        <v>298</v>
      </c>
      <c r="I340" s="346"/>
      <c r="J340" s="347"/>
      <c r="K340" s="312"/>
      <c r="L340" s="347"/>
      <c r="M340" s="312"/>
      <c r="N340" s="347"/>
      <c r="O340" s="312"/>
      <c r="P340" s="347"/>
      <c r="Q340" s="312"/>
      <c r="R340" s="347"/>
      <c r="S340" s="312"/>
      <c r="T340" s="347"/>
    </row>
    <row r="341" spans="1:20" ht="12" customHeight="1" x14ac:dyDescent="0.3">
      <c r="A341" s="340" t="s">
        <v>289</v>
      </c>
      <c r="B341" s="341">
        <v>5</v>
      </c>
      <c r="C341" s="309">
        <v>46102</v>
      </c>
      <c r="D341" s="310" t="s">
        <v>400</v>
      </c>
      <c r="E341" s="342">
        <v>40</v>
      </c>
      <c r="F341" s="342"/>
      <c r="G341" s="344">
        <f t="shared" ref="G341:G595" si="4">G342-E341+F341</f>
        <v>7348.979999999985</v>
      </c>
      <c r="H341" s="345" t="s">
        <v>298</v>
      </c>
      <c r="I341" s="346"/>
      <c r="J341" s="347"/>
      <c r="K341" s="312"/>
      <c r="L341" s="347"/>
      <c r="M341" s="312"/>
      <c r="N341" s="347"/>
      <c r="O341" s="312"/>
      <c r="P341" s="347"/>
      <c r="Q341" s="312"/>
      <c r="R341" s="347"/>
      <c r="S341" s="312"/>
      <c r="T341" s="347"/>
    </row>
    <row r="342" spans="1:20" ht="12" customHeight="1" x14ac:dyDescent="0.3">
      <c r="A342" s="340" t="s">
        <v>289</v>
      </c>
      <c r="B342" s="341">
        <v>3</v>
      </c>
      <c r="C342" s="309">
        <v>46102</v>
      </c>
      <c r="D342" s="310" t="s">
        <v>352</v>
      </c>
      <c r="E342" s="342">
        <v>25</v>
      </c>
      <c r="F342" s="342"/>
      <c r="G342" s="344">
        <f t="shared" si="4"/>
        <v>7388.979999999985</v>
      </c>
      <c r="H342" s="345"/>
      <c r="I342" s="346"/>
      <c r="J342" s="347"/>
      <c r="K342" s="312"/>
      <c r="L342" s="347"/>
      <c r="M342" s="312"/>
      <c r="N342" s="347"/>
      <c r="O342" s="312"/>
      <c r="P342" s="347"/>
      <c r="Q342" s="312"/>
      <c r="R342" s="347"/>
      <c r="S342" s="312"/>
      <c r="T342" s="347"/>
    </row>
    <row r="343" spans="1:20" ht="12" customHeight="1" x14ac:dyDescent="0.3">
      <c r="A343" s="340" t="s">
        <v>289</v>
      </c>
      <c r="B343" s="341">
        <v>1</v>
      </c>
      <c r="C343" s="309">
        <v>46102</v>
      </c>
      <c r="D343" s="310" t="s">
        <v>304</v>
      </c>
      <c r="E343" s="342">
        <v>65.19</v>
      </c>
      <c r="F343" s="342"/>
      <c r="G343" s="344">
        <f t="shared" si="4"/>
        <v>7413.979999999985</v>
      </c>
      <c r="H343" s="345"/>
      <c r="I343" s="346"/>
      <c r="J343" s="347"/>
      <c r="K343" s="312"/>
      <c r="L343" s="347"/>
      <c r="M343" s="312"/>
      <c r="N343" s="347"/>
      <c r="O343" s="312"/>
      <c r="P343" s="347"/>
      <c r="Q343" s="312"/>
      <c r="R343" s="347"/>
      <c r="S343" s="312"/>
      <c r="T343" s="347"/>
    </row>
    <row r="344" spans="1:20" ht="12" customHeight="1" x14ac:dyDescent="0.3">
      <c r="A344" s="340" t="s">
        <v>289</v>
      </c>
      <c r="B344" s="341">
        <v>4</v>
      </c>
      <c r="C344" s="309">
        <v>46102</v>
      </c>
      <c r="D344" s="310" t="s">
        <v>311</v>
      </c>
      <c r="E344" s="342">
        <v>37.450000000000003</v>
      </c>
      <c r="F344" s="342"/>
      <c r="G344" s="344">
        <f t="shared" si="4"/>
        <v>7479.1699999999846</v>
      </c>
      <c r="H344" s="345"/>
      <c r="I344" s="346"/>
      <c r="J344" s="347"/>
      <c r="K344" s="312"/>
      <c r="L344" s="347"/>
      <c r="M344" s="312"/>
      <c r="N344" s="347"/>
      <c r="O344" s="312"/>
      <c r="P344" s="347"/>
      <c r="Q344" s="312"/>
      <c r="R344" s="347"/>
      <c r="S344" s="312"/>
      <c r="T344" s="347"/>
    </row>
    <row r="345" spans="1:20" ht="12" customHeight="1" x14ac:dyDescent="0.3">
      <c r="A345" s="340" t="s">
        <v>289</v>
      </c>
      <c r="B345" s="341">
        <v>8</v>
      </c>
      <c r="C345" s="309">
        <v>46101</v>
      </c>
      <c r="D345" s="310" t="s">
        <v>360</v>
      </c>
      <c r="E345" s="342">
        <v>65.099999999999994</v>
      </c>
      <c r="F345" s="342"/>
      <c r="G345" s="344">
        <f t="shared" si="4"/>
        <v>7516.6199999999844</v>
      </c>
      <c r="H345" s="345"/>
      <c r="I345" s="346"/>
      <c r="J345" s="347"/>
      <c r="K345" s="312"/>
      <c r="L345" s="347"/>
      <c r="M345" s="312"/>
      <c r="N345" s="347"/>
      <c r="O345" s="312"/>
      <c r="P345" s="347"/>
      <c r="Q345" s="312"/>
      <c r="R345" s="347"/>
      <c r="S345" s="312"/>
      <c r="T345" s="347"/>
    </row>
    <row r="346" spans="1:20" ht="12" customHeight="1" x14ac:dyDescent="0.3">
      <c r="A346" s="340" t="s">
        <v>294</v>
      </c>
      <c r="B346" s="341">
        <v>22</v>
      </c>
      <c r="C346" s="309">
        <v>46101</v>
      </c>
      <c r="D346" s="310" t="s">
        <v>325</v>
      </c>
      <c r="E346" s="342">
        <v>20.22</v>
      </c>
      <c r="F346" s="342"/>
      <c r="G346" s="344">
        <f t="shared" si="4"/>
        <v>7581.7199999999848</v>
      </c>
      <c r="H346" s="345"/>
      <c r="I346" s="346"/>
      <c r="J346" s="347"/>
      <c r="K346" s="312"/>
      <c r="L346" s="347"/>
      <c r="M346" s="312"/>
      <c r="N346" s="347"/>
      <c r="O346" s="312"/>
      <c r="P346" s="347"/>
      <c r="Q346" s="312"/>
      <c r="R346" s="347"/>
      <c r="S346" s="312"/>
      <c r="T346" s="347"/>
    </row>
    <row r="347" spans="1:20" ht="12" customHeight="1" x14ac:dyDescent="0.3">
      <c r="A347" s="340" t="s">
        <v>289</v>
      </c>
      <c r="B347" s="341">
        <v>6</v>
      </c>
      <c r="C347" s="309">
        <v>46101</v>
      </c>
      <c r="D347" s="310" t="s">
        <v>401</v>
      </c>
      <c r="E347" s="342">
        <v>-73</v>
      </c>
      <c r="F347" s="342"/>
      <c r="G347" s="344">
        <f t="shared" si="4"/>
        <v>7601.939999999985</v>
      </c>
      <c r="H347" s="345"/>
      <c r="I347" s="346"/>
      <c r="J347" s="347"/>
      <c r="K347" s="312"/>
      <c r="L347" s="347"/>
      <c r="M347" s="312"/>
      <c r="N347" s="347"/>
      <c r="O347" s="312"/>
      <c r="P347" s="347"/>
      <c r="Q347" s="312"/>
      <c r="R347" s="347"/>
      <c r="S347" s="312"/>
      <c r="T347" s="347"/>
    </row>
    <row r="348" spans="1:20" ht="12" customHeight="1" x14ac:dyDescent="0.3">
      <c r="A348" s="340" t="s">
        <v>289</v>
      </c>
      <c r="B348" s="341">
        <v>6</v>
      </c>
      <c r="C348" s="309">
        <v>46101</v>
      </c>
      <c r="D348" s="310" t="s">
        <v>300</v>
      </c>
      <c r="E348" s="342">
        <v>34.68</v>
      </c>
      <c r="F348" s="342"/>
      <c r="G348" s="344">
        <f t="shared" si="4"/>
        <v>7528.939999999985</v>
      </c>
      <c r="H348" s="345"/>
      <c r="I348" s="346"/>
      <c r="J348" s="347"/>
      <c r="K348" s="312"/>
      <c r="L348" s="347"/>
      <c r="M348" s="312"/>
      <c r="N348" s="347"/>
      <c r="O348" s="312"/>
      <c r="P348" s="347"/>
      <c r="Q348" s="312"/>
      <c r="R348" s="347"/>
      <c r="S348" s="312"/>
      <c r="T348" s="347"/>
    </row>
    <row r="349" spans="1:20" ht="12" customHeight="1" x14ac:dyDescent="0.3">
      <c r="A349" s="340" t="s">
        <v>289</v>
      </c>
      <c r="B349" s="341">
        <v>6</v>
      </c>
      <c r="C349" s="309">
        <v>46101</v>
      </c>
      <c r="D349" s="310" t="s">
        <v>402</v>
      </c>
      <c r="E349" s="342">
        <v>10.63</v>
      </c>
      <c r="F349" s="342"/>
      <c r="G349" s="344">
        <f t="shared" si="4"/>
        <v>7563.6199999999853</v>
      </c>
      <c r="H349" s="345"/>
      <c r="I349" s="346"/>
      <c r="J349" s="347"/>
      <c r="K349" s="312"/>
      <c r="L349" s="347"/>
      <c r="M349" s="312"/>
      <c r="N349" s="347"/>
      <c r="O349" s="312"/>
      <c r="P349" s="347"/>
      <c r="Q349" s="312"/>
      <c r="R349" s="347"/>
      <c r="S349" s="312"/>
      <c r="T349" s="347"/>
    </row>
    <row r="350" spans="1:20" ht="12" customHeight="1" x14ac:dyDescent="0.3">
      <c r="A350" s="340" t="s">
        <v>289</v>
      </c>
      <c r="B350" s="341">
        <v>5</v>
      </c>
      <c r="C350" s="309">
        <v>46101</v>
      </c>
      <c r="D350" s="310" t="s">
        <v>403</v>
      </c>
      <c r="E350" s="342">
        <v>106.49</v>
      </c>
      <c r="F350" s="342"/>
      <c r="G350" s="344">
        <f t="shared" si="4"/>
        <v>7574.2499999999854</v>
      </c>
      <c r="H350" s="345"/>
      <c r="I350" s="346"/>
      <c r="J350" s="347"/>
      <c r="K350" s="312"/>
      <c r="L350" s="347"/>
      <c r="M350" s="312"/>
      <c r="N350" s="347"/>
      <c r="O350" s="312"/>
      <c r="P350" s="347"/>
      <c r="Q350" s="312"/>
      <c r="R350" s="347"/>
      <c r="S350" s="312"/>
      <c r="T350" s="347"/>
    </row>
    <row r="351" spans="1:20" ht="12" customHeight="1" x14ac:dyDescent="0.3">
      <c r="A351" s="340" t="s">
        <v>289</v>
      </c>
      <c r="B351" s="341">
        <v>8</v>
      </c>
      <c r="C351" s="309">
        <v>46100</v>
      </c>
      <c r="D351" s="310" t="s">
        <v>361</v>
      </c>
      <c r="E351" s="342">
        <v>16.739999999999998</v>
      </c>
      <c r="F351" s="342"/>
      <c r="G351" s="344">
        <f t="shared" si="4"/>
        <v>7680.7399999999852</v>
      </c>
      <c r="H351" s="345"/>
      <c r="I351" s="346"/>
      <c r="J351" s="347"/>
      <c r="K351" s="312"/>
      <c r="L351" s="347"/>
      <c r="M351" s="312"/>
      <c r="N351" s="347"/>
      <c r="O351" s="312"/>
      <c r="P351" s="347"/>
      <c r="Q351" s="312"/>
      <c r="R351" s="347"/>
      <c r="S351" s="312"/>
      <c r="T351" s="347"/>
    </row>
    <row r="352" spans="1:20" ht="12" customHeight="1" x14ac:dyDescent="0.3">
      <c r="A352" s="340" t="s">
        <v>289</v>
      </c>
      <c r="B352" s="341">
        <v>8</v>
      </c>
      <c r="C352" s="309">
        <v>46100</v>
      </c>
      <c r="D352" s="310" t="s">
        <v>404</v>
      </c>
      <c r="E352" s="342">
        <v>108.54</v>
      </c>
      <c r="F352" s="342"/>
      <c r="G352" s="344">
        <f t="shared" si="4"/>
        <v>7697.479999999985</v>
      </c>
      <c r="H352" s="345"/>
      <c r="I352" s="346"/>
      <c r="J352" s="347"/>
      <c r="K352" s="312"/>
      <c r="L352" s="347"/>
      <c r="M352" s="312"/>
      <c r="N352" s="347"/>
      <c r="O352" s="312"/>
      <c r="P352" s="347"/>
      <c r="Q352" s="312"/>
      <c r="R352" s="347"/>
      <c r="S352" s="312"/>
      <c r="T352" s="347"/>
    </row>
    <row r="353" spans="1:20" ht="12" customHeight="1" x14ac:dyDescent="0.3">
      <c r="A353" s="340" t="s">
        <v>294</v>
      </c>
      <c r="B353" s="341">
        <v>22</v>
      </c>
      <c r="C353" s="309">
        <v>46100</v>
      </c>
      <c r="D353" s="310" t="s">
        <v>405</v>
      </c>
      <c r="E353" s="342">
        <v>12.77</v>
      </c>
      <c r="F353" s="342"/>
      <c r="G353" s="344">
        <f t="shared" si="4"/>
        <v>7806.019999999985</v>
      </c>
      <c r="H353" s="345"/>
      <c r="I353" s="346"/>
      <c r="J353" s="347"/>
      <c r="K353" s="312"/>
      <c r="L353" s="347"/>
      <c r="M353" s="312"/>
      <c r="N353" s="347"/>
      <c r="O353" s="312"/>
      <c r="P353" s="347"/>
      <c r="Q353" s="312"/>
      <c r="R353" s="347"/>
      <c r="S353" s="312"/>
      <c r="T353" s="347"/>
    </row>
    <row r="354" spans="1:20" ht="12" customHeight="1" x14ac:dyDescent="0.3">
      <c r="A354" s="340" t="s">
        <v>289</v>
      </c>
      <c r="B354" s="341">
        <v>8</v>
      </c>
      <c r="C354" s="309">
        <v>46100</v>
      </c>
      <c r="D354" s="310" t="s">
        <v>338</v>
      </c>
      <c r="E354" s="342">
        <v>28.33</v>
      </c>
      <c r="F354" s="342"/>
      <c r="G354" s="344">
        <f t="shared" si="4"/>
        <v>7818.7899999999854</v>
      </c>
      <c r="H354" s="345"/>
      <c r="I354" s="346"/>
      <c r="J354" s="347"/>
      <c r="K354" s="312"/>
      <c r="L354" s="347"/>
      <c r="M354" s="312"/>
      <c r="N354" s="347"/>
      <c r="O354" s="312"/>
      <c r="P354" s="347"/>
      <c r="Q354" s="312"/>
      <c r="R354" s="347"/>
      <c r="S354" s="312"/>
      <c r="T354" s="347"/>
    </row>
    <row r="355" spans="1:20" ht="12" customHeight="1" x14ac:dyDescent="0.3">
      <c r="A355" s="340" t="s">
        <v>289</v>
      </c>
      <c r="B355" s="341">
        <v>2</v>
      </c>
      <c r="C355" s="309">
        <v>46100</v>
      </c>
      <c r="D355" s="310" t="s">
        <v>362</v>
      </c>
      <c r="E355" s="342">
        <v>17.45</v>
      </c>
      <c r="F355" s="342"/>
      <c r="G355" s="344">
        <f t="shared" si="4"/>
        <v>7847.1199999999853</v>
      </c>
      <c r="H355" s="345"/>
      <c r="I355" s="346"/>
      <c r="J355" s="347"/>
      <c r="K355" s="312"/>
      <c r="L355" s="347"/>
      <c r="M355" s="312"/>
      <c r="N355" s="347"/>
      <c r="O355" s="312"/>
      <c r="P355" s="347"/>
      <c r="Q355" s="312"/>
      <c r="R355" s="347"/>
      <c r="S355" s="312"/>
      <c r="T355" s="347"/>
    </row>
    <row r="356" spans="1:20" ht="12" customHeight="1" x14ac:dyDescent="0.3">
      <c r="A356" s="340" t="s">
        <v>294</v>
      </c>
      <c r="B356" s="341">
        <v>22</v>
      </c>
      <c r="C356" s="309">
        <v>46100</v>
      </c>
      <c r="D356" s="310" t="s">
        <v>406</v>
      </c>
      <c r="E356" s="342">
        <v>7.46</v>
      </c>
      <c r="F356" s="342"/>
      <c r="G356" s="344">
        <f t="shared" si="4"/>
        <v>7864.5699999999852</v>
      </c>
      <c r="H356" s="345"/>
      <c r="I356" s="346"/>
      <c r="J356" s="347"/>
      <c r="K356" s="312"/>
      <c r="L356" s="347"/>
      <c r="M356" s="312"/>
      <c r="N356" s="347"/>
      <c r="O356" s="312"/>
      <c r="P356" s="347"/>
      <c r="Q356" s="312"/>
      <c r="R356" s="347"/>
      <c r="S356" s="312"/>
      <c r="T356" s="347"/>
    </row>
    <row r="357" spans="1:20" ht="12" customHeight="1" x14ac:dyDescent="0.3">
      <c r="A357" s="340" t="s">
        <v>339</v>
      </c>
      <c r="B357" s="341" t="s">
        <v>339</v>
      </c>
      <c r="C357" s="309">
        <v>46100</v>
      </c>
      <c r="D357" s="310" t="s">
        <v>185</v>
      </c>
      <c r="E357" s="342">
        <v>172.29</v>
      </c>
      <c r="F357" s="342"/>
      <c r="G357" s="344">
        <f t="shared" si="4"/>
        <v>7872.0299999999852</v>
      </c>
      <c r="H357" s="345"/>
      <c r="I357" s="346"/>
      <c r="J357" s="347"/>
      <c r="K357" s="312"/>
      <c r="L357" s="347"/>
      <c r="M357" s="312"/>
      <c r="N357" s="347"/>
      <c r="O357" s="312"/>
      <c r="P357" s="347"/>
      <c r="Q357" s="312"/>
      <c r="R357" s="347"/>
      <c r="S357" s="312"/>
      <c r="T357" s="347"/>
    </row>
    <row r="358" spans="1:20" ht="12" customHeight="1" x14ac:dyDescent="0.3">
      <c r="A358" s="340" t="s">
        <v>294</v>
      </c>
      <c r="B358" s="341">
        <v>15</v>
      </c>
      <c r="C358" s="309">
        <v>46100</v>
      </c>
      <c r="D358" s="310" t="s">
        <v>185</v>
      </c>
      <c r="E358" s="342">
        <v>175.09</v>
      </c>
      <c r="F358" s="342"/>
      <c r="G358" s="344">
        <f t="shared" si="4"/>
        <v>8044.3199999999852</v>
      </c>
      <c r="H358" s="345"/>
      <c r="I358" s="346"/>
      <c r="J358" s="347"/>
      <c r="K358" s="312"/>
      <c r="L358" s="347"/>
      <c r="M358" s="312"/>
      <c r="N358" s="347"/>
      <c r="O358" s="312"/>
      <c r="P358" s="347"/>
      <c r="Q358" s="312"/>
      <c r="R358" s="347"/>
      <c r="S358" s="312"/>
      <c r="T358" s="347"/>
    </row>
    <row r="359" spans="1:20" ht="12" customHeight="1" x14ac:dyDescent="0.3">
      <c r="A359" s="340" t="s">
        <v>291</v>
      </c>
      <c r="B359" s="341">
        <v>39</v>
      </c>
      <c r="C359" s="309">
        <v>46100</v>
      </c>
      <c r="D359" s="310" t="s">
        <v>292</v>
      </c>
      <c r="E359" s="342"/>
      <c r="F359" s="342">
        <v>2763.78</v>
      </c>
      <c r="G359" s="344">
        <f t="shared" si="4"/>
        <v>8219.4099999999853</v>
      </c>
      <c r="H359" s="345"/>
      <c r="I359" s="346"/>
      <c r="J359" s="347"/>
      <c r="K359" s="312"/>
      <c r="L359" s="347"/>
      <c r="M359" s="312"/>
      <c r="N359" s="347"/>
      <c r="O359" s="312"/>
      <c r="P359" s="347"/>
      <c r="Q359" s="312"/>
      <c r="R359" s="347"/>
      <c r="S359" s="312"/>
      <c r="T359" s="347"/>
    </row>
    <row r="360" spans="1:20" ht="12" customHeight="1" x14ac:dyDescent="0.3">
      <c r="A360" s="340" t="s">
        <v>289</v>
      </c>
      <c r="B360" s="341">
        <v>2</v>
      </c>
      <c r="C360" s="309">
        <v>46099</v>
      </c>
      <c r="D360" s="310" t="s">
        <v>407</v>
      </c>
      <c r="E360" s="342">
        <v>47.46</v>
      </c>
      <c r="F360" s="342"/>
      <c r="G360" s="344">
        <f t="shared" si="4"/>
        <v>5455.6299999999856</v>
      </c>
      <c r="H360" s="345"/>
      <c r="I360" s="346"/>
      <c r="J360" s="347"/>
      <c r="K360" s="312"/>
      <c r="L360" s="347"/>
      <c r="M360" s="312"/>
      <c r="N360" s="347"/>
      <c r="O360" s="312"/>
      <c r="P360" s="347"/>
      <c r="Q360" s="312"/>
      <c r="R360" s="347"/>
      <c r="S360" s="312"/>
      <c r="T360" s="347"/>
    </row>
    <row r="361" spans="1:20" ht="12" customHeight="1" x14ac:dyDescent="0.3">
      <c r="A361" s="340" t="s">
        <v>289</v>
      </c>
      <c r="B361" s="341">
        <v>8</v>
      </c>
      <c r="C361" s="309">
        <v>46099</v>
      </c>
      <c r="D361" s="310" t="s">
        <v>407</v>
      </c>
      <c r="E361" s="342">
        <v>15.01</v>
      </c>
      <c r="F361" s="342"/>
      <c r="G361" s="344">
        <f t="shared" si="4"/>
        <v>5503.0899999999856</v>
      </c>
      <c r="H361" s="345"/>
      <c r="I361" s="346"/>
      <c r="J361" s="347"/>
      <c r="K361" s="312"/>
      <c r="L361" s="347"/>
      <c r="M361" s="312"/>
      <c r="N361" s="347"/>
      <c r="O361" s="312"/>
      <c r="P361" s="347"/>
      <c r="Q361" s="312"/>
      <c r="R361" s="347"/>
      <c r="S361" s="312"/>
      <c r="T361" s="347"/>
    </row>
    <row r="362" spans="1:20" ht="12" customHeight="1" x14ac:dyDescent="0.3">
      <c r="A362" s="340" t="s">
        <v>291</v>
      </c>
      <c r="B362" s="341">
        <v>40</v>
      </c>
      <c r="C362" s="309">
        <v>46099</v>
      </c>
      <c r="D362" s="310" t="s">
        <v>318</v>
      </c>
      <c r="E362" s="342"/>
      <c r="F362" s="342">
        <v>838.67</v>
      </c>
      <c r="G362" s="344">
        <f t="shared" si="4"/>
        <v>5518.0999999999858</v>
      </c>
      <c r="H362" s="345"/>
      <c r="I362" s="346"/>
      <c r="J362" s="347"/>
      <c r="K362" s="312"/>
      <c r="L362" s="347"/>
      <c r="M362" s="312"/>
      <c r="N362" s="347"/>
      <c r="O362" s="312"/>
      <c r="P362" s="347"/>
      <c r="Q362" s="312"/>
      <c r="R362" s="347"/>
      <c r="S362" s="312"/>
      <c r="T362" s="347"/>
    </row>
    <row r="363" spans="1:20" ht="12" customHeight="1" x14ac:dyDescent="0.3">
      <c r="A363" s="340" t="s">
        <v>289</v>
      </c>
      <c r="B363" s="341">
        <v>2</v>
      </c>
      <c r="C363" s="309">
        <v>46099</v>
      </c>
      <c r="D363" s="310" t="s">
        <v>296</v>
      </c>
      <c r="E363" s="342">
        <v>14.67</v>
      </c>
      <c r="F363" s="342"/>
      <c r="G363" s="344">
        <f t="shared" si="4"/>
        <v>4679.4299999999857</v>
      </c>
      <c r="H363" s="345"/>
      <c r="I363" s="346"/>
      <c r="J363" s="347"/>
      <c r="K363" s="312"/>
      <c r="L363" s="347"/>
      <c r="M363" s="312"/>
      <c r="N363" s="347"/>
      <c r="O363" s="312"/>
      <c r="P363" s="347"/>
      <c r="Q363" s="312"/>
      <c r="R363" s="347"/>
      <c r="S363" s="312"/>
      <c r="T363" s="347"/>
    </row>
    <row r="364" spans="1:20" ht="12" customHeight="1" x14ac:dyDescent="0.3">
      <c r="A364" s="340" t="s">
        <v>289</v>
      </c>
      <c r="B364" s="341">
        <v>4</v>
      </c>
      <c r="C364" s="309">
        <v>46099</v>
      </c>
      <c r="D364" s="310" t="s">
        <v>296</v>
      </c>
      <c r="E364" s="342">
        <v>40.22</v>
      </c>
      <c r="F364" s="342"/>
      <c r="G364" s="344">
        <f t="shared" si="4"/>
        <v>4694.0999999999858</v>
      </c>
      <c r="H364" s="345"/>
      <c r="I364" s="346"/>
      <c r="J364" s="347"/>
      <c r="K364" s="312"/>
      <c r="L364" s="347"/>
      <c r="M364" s="312"/>
      <c r="N364" s="347"/>
      <c r="O364" s="312"/>
      <c r="P364" s="347"/>
      <c r="Q364" s="312"/>
      <c r="R364" s="347"/>
      <c r="S364" s="312"/>
      <c r="T364" s="347"/>
    </row>
    <row r="365" spans="1:20" ht="12" customHeight="1" x14ac:dyDescent="0.3">
      <c r="A365" s="340" t="s">
        <v>289</v>
      </c>
      <c r="B365" s="341">
        <v>8</v>
      </c>
      <c r="C365" s="309">
        <v>46099</v>
      </c>
      <c r="D365" s="310" t="s">
        <v>295</v>
      </c>
      <c r="E365" s="342">
        <v>3.49</v>
      </c>
      <c r="F365" s="342"/>
      <c r="G365" s="344">
        <f t="shared" si="4"/>
        <v>4734.3199999999861</v>
      </c>
      <c r="H365" s="345"/>
      <c r="I365" s="346"/>
      <c r="J365" s="347"/>
      <c r="K365" s="312"/>
      <c r="L365" s="347"/>
      <c r="M365" s="312"/>
      <c r="N365" s="347"/>
      <c r="O365" s="312"/>
      <c r="P365" s="347"/>
      <c r="Q365" s="312"/>
      <c r="R365" s="347"/>
      <c r="S365" s="312"/>
      <c r="T365" s="347"/>
    </row>
    <row r="366" spans="1:20" ht="12" customHeight="1" x14ac:dyDescent="0.3">
      <c r="A366" s="340" t="s">
        <v>294</v>
      </c>
      <c r="B366" s="341">
        <v>22</v>
      </c>
      <c r="C366" s="309">
        <v>46099</v>
      </c>
      <c r="D366" s="310" t="s">
        <v>408</v>
      </c>
      <c r="E366" s="342">
        <v>13.84</v>
      </c>
      <c r="F366" s="342"/>
      <c r="G366" s="344">
        <f t="shared" si="4"/>
        <v>4737.8099999999858</v>
      </c>
      <c r="H366" s="345"/>
      <c r="I366" s="346"/>
      <c r="J366" s="347"/>
      <c r="K366" s="312"/>
      <c r="L366" s="347"/>
      <c r="M366" s="312"/>
      <c r="N366" s="347"/>
      <c r="O366" s="312"/>
      <c r="P366" s="347"/>
      <c r="Q366" s="312"/>
      <c r="R366" s="347"/>
      <c r="S366" s="312"/>
      <c r="T366" s="347"/>
    </row>
    <row r="367" spans="1:20" ht="12" customHeight="1" x14ac:dyDescent="0.3">
      <c r="A367" s="340" t="s">
        <v>294</v>
      </c>
      <c r="B367" s="341">
        <v>17</v>
      </c>
      <c r="C367" s="309">
        <v>46098</v>
      </c>
      <c r="D367" s="310" t="s">
        <v>188</v>
      </c>
      <c r="E367" s="342">
        <v>42.65</v>
      </c>
      <c r="F367" s="342"/>
      <c r="G367" s="344">
        <f t="shared" si="4"/>
        <v>4751.649999999986</v>
      </c>
      <c r="H367" s="345"/>
      <c r="I367" s="346"/>
      <c r="J367" s="347"/>
      <c r="K367" s="312"/>
      <c r="L367" s="347"/>
      <c r="M367" s="312"/>
      <c r="N367" s="347"/>
      <c r="O367" s="312"/>
      <c r="P367" s="347"/>
      <c r="Q367" s="312"/>
      <c r="R367" s="347"/>
      <c r="S367" s="312"/>
      <c r="T367" s="347"/>
    </row>
    <row r="368" spans="1:20" ht="12" customHeight="1" x14ac:dyDescent="0.3">
      <c r="A368" s="340" t="s">
        <v>294</v>
      </c>
      <c r="B368" s="341">
        <v>23</v>
      </c>
      <c r="C368" s="309">
        <v>46098</v>
      </c>
      <c r="D368" s="310" t="s">
        <v>409</v>
      </c>
      <c r="E368" s="342">
        <v>529.46</v>
      </c>
      <c r="F368" s="342"/>
      <c r="G368" s="344">
        <f t="shared" si="4"/>
        <v>4794.2999999999856</v>
      </c>
      <c r="H368" s="345"/>
      <c r="I368" s="346"/>
      <c r="J368" s="347"/>
      <c r="K368" s="312"/>
      <c r="L368" s="347"/>
      <c r="M368" s="312"/>
      <c r="N368" s="347"/>
      <c r="O368" s="312"/>
      <c r="P368" s="347"/>
      <c r="Q368" s="312"/>
      <c r="R368" s="347"/>
      <c r="S368" s="312"/>
      <c r="T368" s="347"/>
    </row>
    <row r="369" spans="1:20" ht="12" customHeight="1" x14ac:dyDescent="0.3">
      <c r="A369" s="340" t="s">
        <v>294</v>
      </c>
      <c r="B369" s="341">
        <v>43</v>
      </c>
      <c r="C369" s="309">
        <v>46098</v>
      </c>
      <c r="D369" s="310" t="s">
        <v>337</v>
      </c>
      <c r="E369" s="342">
        <v>22.35</v>
      </c>
      <c r="F369" s="342"/>
      <c r="G369" s="344">
        <f t="shared" si="4"/>
        <v>5323.7599999999857</v>
      </c>
      <c r="H369" s="345"/>
      <c r="I369" s="346"/>
      <c r="J369" s="347"/>
      <c r="K369" s="312"/>
      <c r="L369" s="347"/>
      <c r="M369" s="312"/>
      <c r="N369" s="347"/>
      <c r="O369" s="312"/>
      <c r="P369" s="347"/>
      <c r="Q369" s="312"/>
      <c r="R369" s="347"/>
      <c r="S369" s="312"/>
      <c r="T369" s="347"/>
    </row>
    <row r="370" spans="1:20" ht="12" customHeight="1" x14ac:dyDescent="0.3">
      <c r="A370" s="340" t="s">
        <v>294</v>
      </c>
      <c r="B370" s="341">
        <v>42</v>
      </c>
      <c r="C370" s="309">
        <v>46098</v>
      </c>
      <c r="D370" s="310" t="s">
        <v>337</v>
      </c>
      <c r="E370" s="342">
        <v>37.25</v>
      </c>
      <c r="F370" s="342"/>
      <c r="G370" s="344">
        <f t="shared" si="4"/>
        <v>5346.109999999986</v>
      </c>
      <c r="H370" s="345"/>
      <c r="I370" s="346"/>
      <c r="J370" s="347"/>
      <c r="K370" s="312"/>
      <c r="L370" s="347"/>
      <c r="M370" s="312"/>
      <c r="N370" s="347"/>
      <c r="O370" s="312"/>
      <c r="P370" s="347"/>
      <c r="Q370" s="312"/>
      <c r="R370" s="347"/>
      <c r="S370" s="312"/>
      <c r="T370" s="347"/>
    </row>
    <row r="371" spans="1:20" ht="12" customHeight="1" x14ac:dyDescent="0.3">
      <c r="A371" s="340" t="s">
        <v>289</v>
      </c>
      <c r="B371" s="341">
        <v>8</v>
      </c>
      <c r="C371" s="309">
        <v>46098</v>
      </c>
      <c r="D371" s="310" t="s">
        <v>321</v>
      </c>
      <c r="E371" s="342">
        <v>3.99</v>
      </c>
      <c r="F371" s="342"/>
      <c r="G371" s="344">
        <f t="shared" si="4"/>
        <v>5383.359999999986</v>
      </c>
      <c r="H371" s="345"/>
      <c r="I371" s="346"/>
      <c r="J371" s="347"/>
      <c r="K371" s="312"/>
      <c r="L371" s="347"/>
      <c r="M371" s="312"/>
      <c r="N371" s="347"/>
      <c r="O371" s="312"/>
      <c r="P371" s="347"/>
      <c r="Q371" s="312"/>
      <c r="R371" s="347"/>
      <c r="S371" s="312"/>
      <c r="T371" s="347"/>
    </row>
    <row r="372" spans="1:20" ht="12" customHeight="1" x14ac:dyDescent="0.3">
      <c r="A372" s="340" t="s">
        <v>289</v>
      </c>
      <c r="B372" s="341">
        <v>8</v>
      </c>
      <c r="C372" s="309">
        <v>46098</v>
      </c>
      <c r="D372" s="310" t="s">
        <v>321</v>
      </c>
      <c r="E372" s="342">
        <v>24.47</v>
      </c>
      <c r="F372" s="342"/>
      <c r="G372" s="344">
        <f t="shared" si="4"/>
        <v>5387.3499999999858</v>
      </c>
      <c r="H372" s="345"/>
      <c r="I372" s="346"/>
      <c r="J372" s="347"/>
      <c r="K372" s="312"/>
      <c r="L372" s="347"/>
      <c r="M372" s="312"/>
      <c r="N372" s="347"/>
      <c r="O372" s="312"/>
      <c r="P372" s="347"/>
      <c r="Q372" s="312"/>
      <c r="R372" s="347"/>
      <c r="S372" s="312"/>
      <c r="T372" s="347"/>
    </row>
    <row r="373" spans="1:20" ht="12" customHeight="1" x14ac:dyDescent="0.3">
      <c r="A373" s="340" t="s">
        <v>294</v>
      </c>
      <c r="B373" s="341">
        <v>21</v>
      </c>
      <c r="C373" s="309">
        <v>46098</v>
      </c>
      <c r="D373" s="310" t="s">
        <v>194</v>
      </c>
      <c r="E373" s="342">
        <v>75.599999999999994</v>
      </c>
      <c r="F373" s="342"/>
      <c r="G373" s="344">
        <f t="shared" si="4"/>
        <v>5411.8199999999861</v>
      </c>
      <c r="H373" s="345"/>
      <c r="I373" s="346"/>
      <c r="J373" s="347"/>
      <c r="K373" s="312"/>
      <c r="L373" s="347"/>
      <c r="M373" s="312"/>
      <c r="N373" s="347"/>
      <c r="O373" s="312"/>
      <c r="P373" s="347"/>
      <c r="Q373" s="312"/>
      <c r="R373" s="347"/>
      <c r="S373" s="312"/>
      <c r="T373" s="347"/>
    </row>
    <row r="374" spans="1:20" ht="12" customHeight="1" x14ac:dyDescent="0.3">
      <c r="A374" s="340" t="s">
        <v>289</v>
      </c>
      <c r="B374" s="341">
        <v>5</v>
      </c>
      <c r="C374" s="309">
        <v>46097</v>
      </c>
      <c r="D374" s="310" t="s">
        <v>344</v>
      </c>
      <c r="E374" s="342">
        <v>21.3</v>
      </c>
      <c r="F374" s="342"/>
      <c r="G374" s="344">
        <f t="shared" si="4"/>
        <v>5487.4199999999864</v>
      </c>
      <c r="H374" s="345"/>
      <c r="I374" s="346"/>
      <c r="J374" s="347"/>
      <c r="K374" s="312"/>
      <c r="L374" s="347"/>
      <c r="M374" s="312"/>
      <c r="N374" s="347"/>
      <c r="O374" s="312"/>
      <c r="P374" s="347"/>
      <c r="Q374" s="312"/>
      <c r="R374" s="347"/>
      <c r="S374" s="312"/>
      <c r="T374" s="347"/>
    </row>
    <row r="375" spans="1:20" ht="12" customHeight="1" x14ac:dyDescent="0.3">
      <c r="A375" s="340" t="s">
        <v>294</v>
      </c>
      <c r="B375" s="341">
        <v>11</v>
      </c>
      <c r="C375" s="309">
        <v>46097</v>
      </c>
      <c r="D375" s="310" t="s">
        <v>178</v>
      </c>
      <c r="E375" s="342">
        <v>267.91000000000003</v>
      </c>
      <c r="F375" s="342"/>
      <c r="G375" s="344">
        <f t="shared" si="4"/>
        <v>5508.7199999999866</v>
      </c>
      <c r="H375" s="345"/>
      <c r="I375" s="346"/>
      <c r="J375" s="347"/>
      <c r="K375" s="312"/>
      <c r="L375" s="347"/>
      <c r="M375" s="312"/>
      <c r="N375" s="347"/>
      <c r="O375" s="312"/>
      <c r="P375" s="347"/>
      <c r="Q375" s="312"/>
      <c r="R375" s="347"/>
      <c r="S375" s="312"/>
      <c r="T375" s="347"/>
    </row>
    <row r="376" spans="1:20" ht="12" customHeight="1" x14ac:dyDescent="0.3">
      <c r="A376" s="340" t="s">
        <v>287</v>
      </c>
      <c r="B376" s="341" t="s">
        <v>287</v>
      </c>
      <c r="C376" s="309">
        <v>46097</v>
      </c>
      <c r="D376" s="310" t="s">
        <v>410</v>
      </c>
      <c r="E376" s="342"/>
      <c r="F376" s="342">
        <v>80</v>
      </c>
      <c r="G376" s="344">
        <f t="shared" si="4"/>
        <v>5776.6299999999865</v>
      </c>
      <c r="H376" s="345" t="s">
        <v>298</v>
      </c>
      <c r="I376" s="346"/>
      <c r="J376" s="347"/>
      <c r="K376" s="312"/>
      <c r="L376" s="347"/>
      <c r="M376" s="312"/>
      <c r="N376" s="347"/>
      <c r="O376" s="312"/>
      <c r="P376" s="347"/>
      <c r="Q376" s="312"/>
      <c r="R376" s="347"/>
      <c r="S376" s="312"/>
      <c r="T376" s="347"/>
    </row>
    <row r="377" spans="1:20" ht="12" customHeight="1" x14ac:dyDescent="0.3">
      <c r="A377" s="340" t="s">
        <v>287</v>
      </c>
      <c r="B377" s="341" t="s">
        <v>287</v>
      </c>
      <c r="C377" s="309">
        <v>46097</v>
      </c>
      <c r="D377" s="310" t="s">
        <v>302</v>
      </c>
      <c r="E377" s="342">
        <v>80</v>
      </c>
      <c r="F377" s="342"/>
      <c r="G377" s="344">
        <f t="shared" si="4"/>
        <v>5696.6299999999865</v>
      </c>
      <c r="H377" s="345"/>
      <c r="I377" s="346"/>
      <c r="J377" s="347"/>
      <c r="K377" s="312"/>
      <c r="L377" s="347"/>
      <c r="M377" s="312"/>
      <c r="N377" s="347"/>
      <c r="O377" s="312"/>
      <c r="P377" s="347"/>
      <c r="Q377" s="312"/>
      <c r="R377" s="347"/>
      <c r="S377" s="312"/>
      <c r="T377" s="347"/>
    </row>
    <row r="378" spans="1:20" ht="12" customHeight="1" x14ac:dyDescent="0.3">
      <c r="A378" s="340" t="s">
        <v>289</v>
      </c>
      <c r="B378" s="341">
        <v>4</v>
      </c>
      <c r="C378" s="309">
        <v>46097</v>
      </c>
      <c r="D378" s="310" t="s">
        <v>311</v>
      </c>
      <c r="E378" s="342">
        <v>42.47</v>
      </c>
      <c r="F378" s="342"/>
      <c r="G378" s="344">
        <f t="shared" si="4"/>
        <v>5776.6299999999865</v>
      </c>
      <c r="H378" s="345"/>
      <c r="I378" s="346"/>
      <c r="J378" s="347"/>
      <c r="K378" s="312"/>
      <c r="L378" s="347"/>
      <c r="M378" s="312"/>
      <c r="N378" s="347"/>
      <c r="O378" s="312"/>
      <c r="P378" s="347"/>
      <c r="Q378" s="312"/>
      <c r="R378" s="347"/>
      <c r="S378" s="312"/>
      <c r="T378" s="347"/>
    </row>
    <row r="379" spans="1:20" ht="12" customHeight="1" x14ac:dyDescent="0.3">
      <c r="A379" s="340" t="s">
        <v>289</v>
      </c>
      <c r="B379" s="341">
        <v>2</v>
      </c>
      <c r="C379" s="309">
        <v>46097</v>
      </c>
      <c r="D379" s="310" t="s">
        <v>296</v>
      </c>
      <c r="E379" s="342">
        <v>11.18</v>
      </c>
      <c r="F379" s="342"/>
      <c r="G379" s="344">
        <f t="shared" si="4"/>
        <v>5819.0999999999867</v>
      </c>
      <c r="H379" s="345"/>
      <c r="I379" s="346"/>
      <c r="J379" s="347"/>
      <c r="K379" s="312"/>
      <c r="L379" s="347"/>
      <c r="M379" s="312"/>
      <c r="N379" s="347"/>
      <c r="O379" s="312"/>
      <c r="P379" s="347"/>
      <c r="Q379" s="312"/>
      <c r="R379" s="347"/>
      <c r="S379" s="312"/>
      <c r="T379" s="347"/>
    </row>
    <row r="380" spans="1:20" ht="12" customHeight="1" x14ac:dyDescent="0.3">
      <c r="A380" s="340" t="s">
        <v>289</v>
      </c>
      <c r="B380" s="341">
        <v>2</v>
      </c>
      <c r="C380" s="309">
        <v>46096</v>
      </c>
      <c r="D380" s="310" t="s">
        <v>411</v>
      </c>
      <c r="E380" s="342">
        <v>38.67</v>
      </c>
      <c r="F380" s="342"/>
      <c r="G380" s="344">
        <f t="shared" si="4"/>
        <v>5830.279999999987</v>
      </c>
      <c r="H380" s="345"/>
      <c r="I380" s="346"/>
      <c r="J380" s="347"/>
      <c r="K380" s="312"/>
      <c r="L380" s="347"/>
      <c r="M380" s="312"/>
      <c r="N380" s="347"/>
      <c r="O380" s="312"/>
      <c r="P380" s="347"/>
      <c r="Q380" s="312"/>
      <c r="R380" s="347"/>
      <c r="S380" s="312"/>
      <c r="T380" s="347"/>
    </row>
    <row r="381" spans="1:20" ht="12" customHeight="1" x14ac:dyDescent="0.3">
      <c r="A381" s="340" t="s">
        <v>289</v>
      </c>
      <c r="B381" s="341">
        <v>3</v>
      </c>
      <c r="C381" s="309">
        <v>46096</v>
      </c>
      <c r="D381" s="310" t="s">
        <v>352</v>
      </c>
      <c r="E381" s="342">
        <v>7.11</v>
      </c>
      <c r="F381" s="342"/>
      <c r="G381" s="344">
        <f t="shared" si="4"/>
        <v>5868.9499999999871</v>
      </c>
      <c r="H381" s="345"/>
      <c r="I381" s="346"/>
      <c r="J381" s="347"/>
      <c r="K381" s="312"/>
      <c r="L381" s="347"/>
      <c r="M381" s="312"/>
      <c r="N381" s="347"/>
      <c r="O381" s="312"/>
      <c r="P381" s="347"/>
      <c r="Q381" s="312"/>
      <c r="R381" s="347"/>
      <c r="S381" s="312"/>
      <c r="T381" s="347"/>
    </row>
    <row r="382" spans="1:20" ht="12" customHeight="1" x14ac:dyDescent="0.3">
      <c r="A382" s="340" t="s">
        <v>289</v>
      </c>
      <c r="B382" s="341">
        <v>1</v>
      </c>
      <c r="C382" s="309">
        <v>46096</v>
      </c>
      <c r="D382" s="310" t="s">
        <v>304</v>
      </c>
      <c r="E382" s="342">
        <v>126.64</v>
      </c>
      <c r="F382" s="342"/>
      <c r="G382" s="344">
        <f t="shared" si="4"/>
        <v>5876.0599999999868</v>
      </c>
      <c r="H382" s="345"/>
      <c r="I382" s="346"/>
      <c r="J382" s="347"/>
      <c r="K382" s="312"/>
      <c r="L382" s="347"/>
      <c r="M382" s="312"/>
      <c r="N382" s="347"/>
      <c r="O382" s="312"/>
      <c r="P382" s="347"/>
      <c r="Q382" s="312"/>
      <c r="R382" s="347"/>
      <c r="S382" s="312"/>
      <c r="T382" s="347"/>
    </row>
    <row r="383" spans="1:20" ht="12" customHeight="1" x14ac:dyDescent="0.3">
      <c r="A383" s="340" t="s">
        <v>289</v>
      </c>
      <c r="B383" s="341">
        <v>1</v>
      </c>
      <c r="C383" s="309">
        <v>46096</v>
      </c>
      <c r="D383" s="310" t="s">
        <v>312</v>
      </c>
      <c r="E383" s="342">
        <v>125.2</v>
      </c>
      <c r="F383" s="342"/>
      <c r="G383" s="344">
        <f t="shared" si="4"/>
        <v>6002.6999999999871</v>
      </c>
      <c r="H383" s="345"/>
      <c r="I383" s="346"/>
      <c r="J383" s="347"/>
      <c r="K383" s="312"/>
      <c r="L383" s="347"/>
      <c r="M383" s="312"/>
      <c r="N383" s="347"/>
      <c r="O383" s="312"/>
      <c r="P383" s="347"/>
      <c r="Q383" s="312"/>
      <c r="R383" s="347"/>
      <c r="S383" s="312"/>
      <c r="T383" s="347"/>
    </row>
    <row r="384" spans="1:20" ht="12" customHeight="1" x14ac:dyDescent="0.3">
      <c r="A384" s="340" t="s">
        <v>289</v>
      </c>
      <c r="B384" s="341">
        <v>1</v>
      </c>
      <c r="C384" s="309">
        <v>46096</v>
      </c>
      <c r="D384" s="310" t="s">
        <v>307</v>
      </c>
      <c r="E384" s="342">
        <v>37.159999999999997</v>
      </c>
      <c r="F384" s="342"/>
      <c r="G384" s="344">
        <f t="shared" si="4"/>
        <v>6127.8999999999869</v>
      </c>
      <c r="H384" s="345"/>
      <c r="I384" s="346"/>
      <c r="J384" s="347"/>
      <c r="K384" s="312"/>
      <c r="L384" s="347"/>
      <c r="M384" s="312"/>
      <c r="N384" s="347"/>
      <c r="O384" s="312"/>
      <c r="P384" s="347"/>
      <c r="Q384" s="312"/>
      <c r="R384" s="347"/>
      <c r="S384" s="312"/>
      <c r="T384" s="347"/>
    </row>
    <row r="385" spans="1:20" ht="12" customHeight="1" x14ac:dyDescent="0.3">
      <c r="A385" s="340" t="s">
        <v>294</v>
      </c>
      <c r="B385" s="341">
        <v>16</v>
      </c>
      <c r="C385" s="309">
        <v>46096</v>
      </c>
      <c r="D385" s="310" t="s">
        <v>412</v>
      </c>
      <c r="E385" s="342">
        <v>713.06</v>
      </c>
      <c r="F385" s="342"/>
      <c r="G385" s="344">
        <f t="shared" si="4"/>
        <v>6165.0599999999868</v>
      </c>
      <c r="H385" s="345"/>
      <c r="I385" s="346"/>
      <c r="J385" s="347"/>
      <c r="K385" s="312"/>
      <c r="L385" s="347"/>
      <c r="M385" s="312"/>
      <c r="N385" s="347"/>
      <c r="O385" s="312"/>
      <c r="P385" s="347"/>
      <c r="Q385" s="312"/>
      <c r="R385" s="347"/>
      <c r="S385" s="312"/>
      <c r="T385" s="347"/>
    </row>
    <row r="386" spans="1:20" ht="12" customHeight="1" x14ac:dyDescent="0.3">
      <c r="A386" s="340" t="s">
        <v>289</v>
      </c>
      <c r="B386" s="341">
        <v>5</v>
      </c>
      <c r="C386" s="309">
        <v>46095</v>
      </c>
      <c r="D386" s="310" t="s">
        <v>413</v>
      </c>
      <c r="E386" s="342">
        <v>24</v>
      </c>
      <c r="F386" s="342"/>
      <c r="G386" s="344">
        <f t="shared" si="4"/>
        <v>6878.1199999999862</v>
      </c>
      <c r="H386" s="345"/>
      <c r="I386" s="346"/>
      <c r="J386" s="347"/>
      <c r="K386" s="312"/>
      <c r="L386" s="347"/>
      <c r="M386" s="312"/>
      <c r="N386" s="347"/>
      <c r="O386" s="312"/>
      <c r="P386" s="347"/>
      <c r="Q386" s="312"/>
      <c r="R386" s="347"/>
      <c r="S386" s="312"/>
      <c r="T386" s="347"/>
    </row>
    <row r="387" spans="1:20" ht="12" customHeight="1" x14ac:dyDescent="0.3">
      <c r="A387" s="340" t="s">
        <v>289</v>
      </c>
      <c r="B387" s="341">
        <v>3</v>
      </c>
      <c r="C387" s="309">
        <v>46095</v>
      </c>
      <c r="D387" s="310" t="s">
        <v>352</v>
      </c>
      <c r="E387" s="342">
        <v>14.58</v>
      </c>
      <c r="F387" s="342"/>
      <c r="G387" s="344">
        <f t="shared" si="4"/>
        <v>6902.1199999999862</v>
      </c>
      <c r="H387" s="345"/>
      <c r="I387" s="346"/>
      <c r="J387" s="347"/>
      <c r="K387" s="312"/>
      <c r="L387" s="347"/>
      <c r="M387" s="312"/>
      <c r="N387" s="347"/>
      <c r="O387" s="312"/>
      <c r="P387" s="347"/>
      <c r="Q387" s="312"/>
      <c r="R387" s="347"/>
      <c r="S387" s="312"/>
      <c r="T387" s="347"/>
    </row>
    <row r="388" spans="1:20" ht="12" customHeight="1" x14ac:dyDescent="0.3">
      <c r="A388" s="340" t="s">
        <v>291</v>
      </c>
      <c r="B388" s="341">
        <v>41</v>
      </c>
      <c r="C388" s="309">
        <v>46094</v>
      </c>
      <c r="D388" s="310" t="s">
        <v>414</v>
      </c>
      <c r="E388" s="342"/>
      <c r="F388" s="342">
        <v>300</v>
      </c>
      <c r="G388" s="344">
        <f t="shared" si="4"/>
        <v>6916.6999999999862</v>
      </c>
      <c r="H388" s="345"/>
      <c r="I388" s="346"/>
      <c r="J388" s="347"/>
      <c r="K388" s="312"/>
      <c r="L388" s="347"/>
      <c r="M388" s="312"/>
      <c r="N388" s="347"/>
      <c r="O388" s="312"/>
      <c r="P388" s="347"/>
      <c r="Q388" s="312"/>
      <c r="R388" s="347"/>
      <c r="S388" s="312"/>
      <c r="T388" s="347"/>
    </row>
    <row r="389" spans="1:20" ht="12" customHeight="1" x14ac:dyDescent="0.3">
      <c r="A389" s="340" t="s">
        <v>289</v>
      </c>
      <c r="B389" s="341">
        <v>1</v>
      </c>
      <c r="C389" s="309">
        <v>46094</v>
      </c>
      <c r="D389" s="310" t="s">
        <v>312</v>
      </c>
      <c r="E389" s="342">
        <v>17.71</v>
      </c>
      <c r="F389" s="342"/>
      <c r="G389" s="344">
        <f t="shared" si="4"/>
        <v>6616.6999999999862</v>
      </c>
      <c r="H389" s="345"/>
      <c r="I389" s="346"/>
      <c r="J389" s="347"/>
      <c r="K389" s="312"/>
      <c r="L389" s="347"/>
      <c r="M389" s="312"/>
      <c r="N389" s="347"/>
      <c r="O389" s="312"/>
      <c r="P389" s="347"/>
      <c r="Q389" s="312"/>
      <c r="R389" s="347"/>
      <c r="S389" s="312"/>
      <c r="T389" s="347"/>
    </row>
    <row r="390" spans="1:20" ht="12" customHeight="1" x14ac:dyDescent="0.3">
      <c r="A390" s="340" t="s">
        <v>289</v>
      </c>
      <c r="B390" s="341">
        <v>4</v>
      </c>
      <c r="C390" s="309">
        <v>46094</v>
      </c>
      <c r="D390" s="310" t="s">
        <v>296</v>
      </c>
      <c r="E390" s="342">
        <v>31.56</v>
      </c>
      <c r="F390" s="342"/>
      <c r="G390" s="344">
        <f t="shared" si="4"/>
        <v>6634.4099999999862</v>
      </c>
      <c r="H390" s="345"/>
      <c r="I390" s="346"/>
      <c r="J390" s="347"/>
      <c r="K390" s="312"/>
      <c r="L390" s="347"/>
      <c r="M390" s="312"/>
      <c r="N390" s="347"/>
      <c r="O390" s="312"/>
      <c r="P390" s="347"/>
      <c r="Q390" s="312"/>
      <c r="R390" s="347"/>
      <c r="S390" s="312"/>
      <c r="T390" s="347"/>
    </row>
    <row r="391" spans="1:20" ht="12" customHeight="1" x14ac:dyDescent="0.3">
      <c r="A391" s="340" t="s">
        <v>289</v>
      </c>
      <c r="B391" s="341">
        <v>2</v>
      </c>
      <c r="C391" s="309">
        <v>46094</v>
      </c>
      <c r="D391" s="310" t="s">
        <v>296</v>
      </c>
      <c r="E391" s="342">
        <v>34.79</v>
      </c>
      <c r="F391" s="342"/>
      <c r="G391" s="344">
        <f t="shared" si="4"/>
        <v>6665.9699999999866</v>
      </c>
      <c r="H391" s="345"/>
      <c r="I391" s="346"/>
      <c r="J391" s="347"/>
      <c r="K391" s="312"/>
      <c r="L391" s="347"/>
      <c r="M391" s="312"/>
      <c r="N391" s="347"/>
      <c r="O391" s="312"/>
      <c r="P391" s="347"/>
      <c r="Q391" s="312"/>
      <c r="R391" s="347"/>
      <c r="S391" s="312"/>
      <c r="T391" s="347"/>
    </row>
    <row r="392" spans="1:20" ht="12" customHeight="1" x14ac:dyDescent="0.3">
      <c r="A392" s="340" t="s">
        <v>289</v>
      </c>
      <c r="B392" s="341">
        <v>2</v>
      </c>
      <c r="C392" s="309">
        <v>46094</v>
      </c>
      <c r="D392" s="310" t="s">
        <v>415</v>
      </c>
      <c r="E392" s="342">
        <v>23.9</v>
      </c>
      <c r="F392" s="342"/>
      <c r="G392" s="344">
        <f t="shared" si="4"/>
        <v>6700.7599999999866</v>
      </c>
      <c r="H392" s="345"/>
      <c r="I392" s="346"/>
      <c r="J392" s="347"/>
      <c r="K392" s="312"/>
      <c r="L392" s="347"/>
      <c r="M392" s="312"/>
      <c r="N392" s="347"/>
      <c r="O392" s="312"/>
      <c r="P392" s="347"/>
      <c r="Q392" s="312"/>
      <c r="R392" s="347"/>
      <c r="S392" s="312"/>
      <c r="T392" s="347"/>
    </row>
    <row r="393" spans="1:20" ht="12" customHeight="1" x14ac:dyDescent="0.3">
      <c r="A393" s="340" t="s">
        <v>289</v>
      </c>
      <c r="B393" s="341">
        <v>3</v>
      </c>
      <c r="C393" s="309">
        <v>46094</v>
      </c>
      <c r="D393" s="310" t="s">
        <v>352</v>
      </c>
      <c r="E393" s="342">
        <v>7.26</v>
      </c>
      <c r="F393" s="342"/>
      <c r="G393" s="344">
        <f t="shared" si="4"/>
        <v>6724.6599999999862</v>
      </c>
      <c r="H393" s="345"/>
      <c r="I393" s="346"/>
      <c r="J393" s="347"/>
      <c r="K393" s="312"/>
      <c r="L393" s="347"/>
      <c r="M393" s="312"/>
      <c r="N393" s="347"/>
      <c r="O393" s="312"/>
      <c r="P393" s="347"/>
      <c r="Q393" s="312"/>
      <c r="R393" s="347"/>
      <c r="S393" s="312"/>
      <c r="T393" s="347"/>
    </row>
    <row r="394" spans="1:20" ht="12" customHeight="1" x14ac:dyDescent="0.3">
      <c r="A394" s="340" t="s">
        <v>289</v>
      </c>
      <c r="B394" s="341">
        <v>5</v>
      </c>
      <c r="C394" s="309">
        <v>46094</v>
      </c>
      <c r="D394" s="310" t="s">
        <v>358</v>
      </c>
      <c r="E394" s="342">
        <v>85</v>
      </c>
      <c r="F394" s="342"/>
      <c r="G394" s="344">
        <f t="shared" si="4"/>
        <v>6731.9199999999864</v>
      </c>
      <c r="H394" s="345" t="s">
        <v>298</v>
      </c>
      <c r="I394" s="346"/>
      <c r="J394" s="347"/>
      <c r="K394" s="312"/>
      <c r="L394" s="347"/>
      <c r="M394" s="312"/>
      <c r="N394" s="347"/>
      <c r="O394" s="312"/>
      <c r="P394" s="347"/>
      <c r="Q394" s="312"/>
      <c r="R394" s="347"/>
      <c r="S394" s="312"/>
      <c r="T394" s="347"/>
    </row>
    <row r="395" spans="1:20" ht="12" customHeight="1" x14ac:dyDescent="0.3">
      <c r="A395" s="340" t="s">
        <v>289</v>
      </c>
      <c r="B395" s="341">
        <v>8</v>
      </c>
      <c r="C395" s="309">
        <v>46093</v>
      </c>
      <c r="D395" s="310" t="s">
        <v>416</v>
      </c>
      <c r="E395" s="342">
        <v>51.22</v>
      </c>
      <c r="F395" s="342"/>
      <c r="G395" s="344">
        <f t="shared" si="4"/>
        <v>6816.9199999999864</v>
      </c>
      <c r="H395" s="345"/>
      <c r="I395" s="346"/>
      <c r="J395" s="347"/>
      <c r="K395" s="312"/>
      <c r="L395" s="347"/>
      <c r="M395" s="312"/>
      <c r="N395" s="347"/>
      <c r="O395" s="312"/>
      <c r="P395" s="347"/>
      <c r="Q395" s="312"/>
      <c r="R395" s="347"/>
      <c r="S395" s="312"/>
      <c r="T395" s="347"/>
    </row>
    <row r="396" spans="1:20" ht="12" customHeight="1" x14ac:dyDescent="0.3">
      <c r="A396" s="340" t="s">
        <v>289</v>
      </c>
      <c r="B396" s="341">
        <v>2</v>
      </c>
      <c r="C396" s="309">
        <v>46093</v>
      </c>
      <c r="D396" s="310" t="s">
        <v>417</v>
      </c>
      <c r="E396" s="342">
        <v>57.43</v>
      </c>
      <c r="F396" s="342"/>
      <c r="G396" s="344">
        <f t="shared" si="4"/>
        <v>6868.1399999999867</v>
      </c>
      <c r="H396" s="345"/>
      <c r="I396" s="346"/>
      <c r="J396" s="347"/>
      <c r="K396" s="312"/>
      <c r="L396" s="347"/>
      <c r="M396" s="312"/>
      <c r="N396" s="347"/>
      <c r="O396" s="312"/>
      <c r="P396" s="347"/>
      <c r="Q396" s="312"/>
      <c r="R396" s="347"/>
      <c r="S396" s="312"/>
      <c r="T396" s="347"/>
    </row>
    <row r="397" spans="1:20" ht="12" customHeight="1" x14ac:dyDescent="0.3">
      <c r="A397" s="340" t="s">
        <v>289</v>
      </c>
      <c r="B397" s="341">
        <v>2</v>
      </c>
      <c r="C397" s="309">
        <v>46093</v>
      </c>
      <c r="D397" s="310" t="s">
        <v>362</v>
      </c>
      <c r="E397" s="342">
        <v>17.45</v>
      </c>
      <c r="F397" s="342"/>
      <c r="G397" s="344">
        <f t="shared" si="4"/>
        <v>6925.569999999987</v>
      </c>
      <c r="H397" s="345"/>
      <c r="I397" s="346"/>
      <c r="J397" s="347"/>
      <c r="K397" s="312"/>
      <c r="L397" s="347"/>
      <c r="M397" s="312"/>
      <c r="N397" s="347"/>
      <c r="O397" s="312"/>
      <c r="P397" s="347"/>
      <c r="Q397" s="312"/>
      <c r="R397" s="347"/>
      <c r="S397" s="312"/>
      <c r="T397" s="347"/>
    </row>
    <row r="398" spans="1:20" ht="12" customHeight="1" x14ac:dyDescent="0.3">
      <c r="A398" s="340" t="s">
        <v>289</v>
      </c>
      <c r="B398" s="341">
        <v>8</v>
      </c>
      <c r="C398" s="309">
        <v>46093</v>
      </c>
      <c r="D398" s="310" t="s">
        <v>321</v>
      </c>
      <c r="E398" s="342">
        <v>7.92</v>
      </c>
      <c r="F398" s="342"/>
      <c r="G398" s="344">
        <f t="shared" si="4"/>
        <v>6943.0199999999868</v>
      </c>
      <c r="H398" s="345"/>
      <c r="I398" s="346"/>
      <c r="J398" s="347"/>
      <c r="K398" s="312"/>
      <c r="L398" s="347"/>
      <c r="M398" s="312"/>
      <c r="N398" s="347"/>
      <c r="O398" s="312"/>
      <c r="P398" s="347"/>
      <c r="Q398" s="312"/>
      <c r="R398" s="347"/>
      <c r="S398" s="312"/>
      <c r="T398" s="347"/>
    </row>
    <row r="399" spans="1:20" ht="12" customHeight="1" x14ac:dyDescent="0.3">
      <c r="A399" s="340" t="s">
        <v>291</v>
      </c>
      <c r="B399" s="341">
        <v>38</v>
      </c>
      <c r="C399" s="309">
        <v>46093</v>
      </c>
      <c r="D399" s="310" t="s">
        <v>293</v>
      </c>
      <c r="E399" s="342"/>
      <c r="F399" s="342">
        <v>4726.92</v>
      </c>
      <c r="G399" s="344">
        <f t="shared" si="4"/>
        <v>6950.9399999999869</v>
      </c>
      <c r="H399" s="345"/>
      <c r="I399" s="346"/>
      <c r="J399" s="347"/>
      <c r="K399" s="312"/>
      <c r="L399" s="347"/>
      <c r="M399" s="312"/>
      <c r="N399" s="347"/>
      <c r="O399" s="312"/>
      <c r="P399" s="347"/>
      <c r="Q399" s="312"/>
      <c r="R399" s="347"/>
      <c r="S399" s="312"/>
      <c r="T399" s="347"/>
    </row>
    <row r="400" spans="1:20" ht="12" customHeight="1" x14ac:dyDescent="0.3">
      <c r="A400" s="340" t="s">
        <v>289</v>
      </c>
      <c r="B400" s="341">
        <v>2</v>
      </c>
      <c r="C400" s="309">
        <v>46093</v>
      </c>
      <c r="D400" s="310" t="s">
        <v>390</v>
      </c>
      <c r="E400" s="342">
        <v>15</v>
      </c>
      <c r="F400" s="342"/>
      <c r="G400" s="344">
        <f t="shared" si="4"/>
        <v>2224.0199999999868</v>
      </c>
      <c r="H400" s="345"/>
      <c r="I400" s="346"/>
      <c r="J400" s="347"/>
      <c r="K400" s="312"/>
      <c r="L400" s="347"/>
      <c r="M400" s="312"/>
      <c r="N400" s="347"/>
      <c r="O400" s="312"/>
      <c r="P400" s="347"/>
      <c r="Q400" s="312"/>
      <c r="R400" s="347"/>
      <c r="S400" s="312"/>
      <c r="T400" s="347"/>
    </row>
    <row r="401" spans="1:20" ht="12" customHeight="1" x14ac:dyDescent="0.3">
      <c r="A401" s="340" t="s">
        <v>289</v>
      </c>
      <c r="B401" s="341">
        <v>6</v>
      </c>
      <c r="C401" s="309">
        <v>46093</v>
      </c>
      <c r="D401" s="310" t="s">
        <v>418</v>
      </c>
      <c r="E401" s="342">
        <v>12</v>
      </c>
      <c r="F401" s="342"/>
      <c r="G401" s="344">
        <f t="shared" si="4"/>
        <v>2239.0199999999868</v>
      </c>
      <c r="H401" s="345"/>
      <c r="I401" s="346"/>
      <c r="J401" s="347"/>
      <c r="K401" s="312"/>
      <c r="L401" s="347"/>
      <c r="M401" s="312"/>
      <c r="N401" s="347"/>
      <c r="O401" s="312"/>
      <c r="P401" s="347"/>
      <c r="Q401" s="312"/>
      <c r="R401" s="347"/>
      <c r="S401" s="312"/>
      <c r="T401" s="347"/>
    </row>
    <row r="402" spans="1:20" ht="12" customHeight="1" x14ac:dyDescent="0.3">
      <c r="A402" s="340" t="s">
        <v>294</v>
      </c>
      <c r="B402" s="341">
        <v>19</v>
      </c>
      <c r="C402" s="309">
        <v>46093</v>
      </c>
      <c r="D402" s="310" t="s">
        <v>191</v>
      </c>
      <c r="E402" s="342">
        <v>200</v>
      </c>
      <c r="F402" s="342"/>
      <c r="G402" s="344">
        <f t="shared" si="4"/>
        <v>2251.0199999999868</v>
      </c>
      <c r="H402" s="345"/>
      <c r="I402" s="346"/>
      <c r="J402" s="347"/>
      <c r="K402" s="312"/>
      <c r="L402" s="347"/>
      <c r="M402" s="312"/>
      <c r="N402" s="347"/>
      <c r="O402" s="312"/>
      <c r="P402" s="347"/>
      <c r="Q402" s="312"/>
      <c r="R402" s="347"/>
      <c r="S402" s="312"/>
      <c r="T402" s="347"/>
    </row>
    <row r="403" spans="1:20" ht="12" customHeight="1" x14ac:dyDescent="0.3">
      <c r="A403" s="340" t="s">
        <v>289</v>
      </c>
      <c r="B403" s="341">
        <v>6</v>
      </c>
      <c r="C403" s="309">
        <v>46092</v>
      </c>
      <c r="D403" s="310" t="s">
        <v>419</v>
      </c>
      <c r="E403" s="342">
        <v>-10.050000000000001</v>
      </c>
      <c r="F403" s="342"/>
      <c r="G403" s="344">
        <f t="shared" si="4"/>
        <v>2451.0199999999868</v>
      </c>
      <c r="H403" s="345"/>
      <c r="I403" s="346"/>
      <c r="J403" s="347"/>
      <c r="K403" s="312"/>
      <c r="L403" s="347"/>
      <c r="M403" s="312"/>
      <c r="N403" s="347"/>
      <c r="O403" s="312"/>
      <c r="P403" s="347"/>
      <c r="Q403" s="312"/>
      <c r="R403" s="347"/>
      <c r="S403" s="312"/>
      <c r="T403" s="347"/>
    </row>
    <row r="404" spans="1:20" ht="12" customHeight="1" x14ac:dyDescent="0.3">
      <c r="A404" s="340" t="s">
        <v>289</v>
      </c>
      <c r="B404" s="341">
        <v>6</v>
      </c>
      <c r="C404" s="309">
        <v>46092</v>
      </c>
      <c r="D404" s="310" t="s">
        <v>420</v>
      </c>
      <c r="E404" s="342">
        <v>25</v>
      </c>
      <c r="F404" s="342"/>
      <c r="G404" s="344">
        <f t="shared" si="4"/>
        <v>2440.9699999999866</v>
      </c>
      <c r="H404" s="345"/>
      <c r="I404" s="346"/>
      <c r="J404" s="347"/>
      <c r="K404" s="312"/>
      <c r="L404" s="347"/>
      <c r="M404" s="312"/>
      <c r="N404" s="347"/>
      <c r="O404" s="312"/>
      <c r="P404" s="347"/>
      <c r="Q404" s="312"/>
      <c r="R404" s="347"/>
      <c r="S404" s="312"/>
      <c r="T404" s="347"/>
    </row>
    <row r="405" spans="1:20" ht="12" customHeight="1" x14ac:dyDescent="0.3">
      <c r="A405" s="340" t="s">
        <v>289</v>
      </c>
      <c r="B405" s="341">
        <v>2</v>
      </c>
      <c r="C405" s="309">
        <v>46092</v>
      </c>
      <c r="D405" s="310" t="s">
        <v>301</v>
      </c>
      <c r="E405" s="342">
        <v>-9</v>
      </c>
      <c r="F405" s="342"/>
      <c r="G405" s="344">
        <f t="shared" si="4"/>
        <v>2465.9699999999866</v>
      </c>
      <c r="H405" s="345"/>
      <c r="I405" s="346"/>
      <c r="J405" s="347"/>
      <c r="K405" s="312"/>
      <c r="L405" s="347"/>
      <c r="M405" s="312"/>
      <c r="N405" s="347"/>
      <c r="O405" s="312"/>
      <c r="P405" s="347"/>
      <c r="Q405" s="312"/>
      <c r="R405" s="347"/>
      <c r="S405" s="312"/>
      <c r="T405" s="347"/>
    </row>
    <row r="406" spans="1:20" ht="12" customHeight="1" x14ac:dyDescent="0.3">
      <c r="A406" s="340" t="s">
        <v>291</v>
      </c>
      <c r="B406" s="341">
        <v>41</v>
      </c>
      <c r="C406" s="309">
        <v>46092</v>
      </c>
      <c r="D406" s="310" t="s">
        <v>414</v>
      </c>
      <c r="E406" s="342"/>
      <c r="F406" s="342">
        <v>500</v>
      </c>
      <c r="G406" s="344">
        <f t="shared" si="4"/>
        <v>2456.9699999999866</v>
      </c>
      <c r="H406" s="345"/>
      <c r="I406" s="346"/>
      <c r="J406" s="347"/>
      <c r="K406" s="312"/>
      <c r="L406" s="347"/>
      <c r="M406" s="312"/>
      <c r="N406" s="347"/>
      <c r="O406" s="312"/>
      <c r="P406" s="347"/>
      <c r="Q406" s="312"/>
      <c r="R406" s="347"/>
      <c r="S406" s="312"/>
      <c r="T406" s="347"/>
    </row>
    <row r="407" spans="1:20" ht="12" customHeight="1" x14ac:dyDescent="0.3">
      <c r="A407" s="340" t="s">
        <v>289</v>
      </c>
      <c r="B407" s="341">
        <v>2</v>
      </c>
      <c r="C407" s="309">
        <v>46092</v>
      </c>
      <c r="D407" s="310" t="s">
        <v>296</v>
      </c>
      <c r="E407" s="342">
        <v>16.170000000000002</v>
      </c>
      <c r="F407" s="342"/>
      <c r="G407" s="344">
        <f t="shared" si="4"/>
        <v>1956.9699999999864</v>
      </c>
      <c r="H407" s="345"/>
      <c r="I407" s="346"/>
      <c r="J407" s="347"/>
      <c r="K407" s="312"/>
      <c r="L407" s="347"/>
      <c r="M407" s="312"/>
      <c r="N407" s="347"/>
      <c r="O407" s="312"/>
      <c r="P407" s="347"/>
      <c r="Q407" s="312"/>
      <c r="R407" s="347"/>
      <c r="S407" s="312"/>
      <c r="T407" s="347"/>
    </row>
    <row r="408" spans="1:20" ht="12" customHeight="1" x14ac:dyDescent="0.3">
      <c r="A408" s="340" t="s">
        <v>294</v>
      </c>
      <c r="B408" s="341">
        <v>22</v>
      </c>
      <c r="C408" s="309">
        <v>46092</v>
      </c>
      <c r="D408" s="310" t="s">
        <v>356</v>
      </c>
      <c r="E408" s="342">
        <v>19.16</v>
      </c>
      <c r="F408" s="342"/>
      <c r="G408" s="344">
        <f t="shared" si="4"/>
        <v>1973.1399999999865</v>
      </c>
      <c r="H408" s="345"/>
      <c r="I408" s="346"/>
      <c r="J408" s="347"/>
      <c r="K408" s="312"/>
      <c r="L408" s="347"/>
      <c r="M408" s="312"/>
      <c r="N408" s="347"/>
      <c r="O408" s="312"/>
      <c r="P408" s="347"/>
      <c r="Q408" s="312"/>
      <c r="R408" s="347"/>
      <c r="S408" s="312"/>
      <c r="T408" s="347"/>
    </row>
    <row r="409" spans="1:20" ht="12" customHeight="1" x14ac:dyDescent="0.3">
      <c r="A409" s="340" t="s">
        <v>339</v>
      </c>
      <c r="B409" s="341" t="s">
        <v>339</v>
      </c>
      <c r="C409" s="309">
        <v>46091</v>
      </c>
      <c r="D409" s="310" t="s">
        <v>182</v>
      </c>
      <c r="E409" s="342">
        <v>47.28</v>
      </c>
      <c r="F409" s="342"/>
      <c r="G409" s="344">
        <f t="shared" si="4"/>
        <v>1992.2999999999865</v>
      </c>
      <c r="H409" s="345"/>
      <c r="I409" s="346"/>
      <c r="J409" s="347"/>
      <c r="K409" s="312"/>
      <c r="L409" s="347"/>
      <c r="M409" s="312"/>
      <c r="N409" s="347"/>
      <c r="O409" s="312"/>
      <c r="P409" s="347"/>
      <c r="Q409" s="312"/>
      <c r="R409" s="347"/>
      <c r="S409" s="312"/>
      <c r="T409" s="347"/>
    </row>
    <row r="410" spans="1:20" ht="12" customHeight="1" x14ac:dyDescent="0.3">
      <c r="A410" s="340" t="s">
        <v>294</v>
      </c>
      <c r="B410" s="341">
        <v>13</v>
      </c>
      <c r="C410" s="309">
        <v>46091</v>
      </c>
      <c r="D410" s="310" t="s">
        <v>182</v>
      </c>
      <c r="E410" s="342">
        <v>134.93</v>
      </c>
      <c r="F410" s="342"/>
      <c r="G410" s="344">
        <f t="shared" si="4"/>
        <v>2039.5799999999865</v>
      </c>
      <c r="H410" s="345"/>
      <c r="I410" s="346"/>
      <c r="J410" s="347"/>
      <c r="K410" s="312"/>
      <c r="L410" s="347"/>
      <c r="M410" s="312"/>
      <c r="N410" s="347"/>
      <c r="O410" s="312"/>
      <c r="P410" s="347"/>
      <c r="Q410" s="312"/>
      <c r="R410" s="347"/>
      <c r="S410" s="312"/>
      <c r="T410" s="347"/>
    </row>
    <row r="411" spans="1:20" ht="12" customHeight="1" x14ac:dyDescent="0.3">
      <c r="A411" s="340" t="s">
        <v>289</v>
      </c>
      <c r="B411" s="341">
        <v>8</v>
      </c>
      <c r="C411" s="309">
        <v>46091</v>
      </c>
      <c r="D411" s="310" t="s">
        <v>295</v>
      </c>
      <c r="E411" s="342">
        <v>7.44</v>
      </c>
      <c r="F411" s="342"/>
      <c r="G411" s="344">
        <f t="shared" si="4"/>
        <v>2174.5099999999866</v>
      </c>
      <c r="H411" s="345"/>
      <c r="I411" s="346"/>
      <c r="J411" s="347"/>
      <c r="K411" s="312"/>
      <c r="L411" s="347"/>
      <c r="M411" s="312"/>
      <c r="N411" s="347"/>
      <c r="O411" s="312"/>
      <c r="P411" s="347"/>
      <c r="Q411" s="312"/>
      <c r="R411" s="347"/>
      <c r="S411" s="312"/>
      <c r="T411" s="347"/>
    </row>
    <row r="412" spans="1:20" ht="12" customHeight="1" x14ac:dyDescent="0.3">
      <c r="A412" s="340" t="s">
        <v>289</v>
      </c>
      <c r="B412" s="341">
        <v>4</v>
      </c>
      <c r="C412" s="309">
        <v>46091</v>
      </c>
      <c r="D412" s="310" t="s">
        <v>295</v>
      </c>
      <c r="E412" s="342">
        <v>29.53</v>
      </c>
      <c r="F412" s="342"/>
      <c r="G412" s="344">
        <f t="shared" si="4"/>
        <v>2181.9499999999866</v>
      </c>
      <c r="H412" s="345"/>
      <c r="I412" s="346"/>
      <c r="J412" s="347"/>
      <c r="K412" s="312"/>
      <c r="L412" s="347"/>
      <c r="M412" s="312"/>
      <c r="N412" s="347"/>
      <c r="O412" s="312"/>
      <c r="P412" s="347"/>
      <c r="Q412" s="312"/>
      <c r="R412" s="347"/>
      <c r="S412" s="312"/>
      <c r="T412" s="347"/>
    </row>
    <row r="413" spans="1:20" ht="12" customHeight="1" x14ac:dyDescent="0.3">
      <c r="A413" s="340" t="s">
        <v>289</v>
      </c>
      <c r="B413" s="341">
        <v>4</v>
      </c>
      <c r="C413" s="309">
        <v>46091</v>
      </c>
      <c r="D413" s="310" t="s">
        <v>311</v>
      </c>
      <c r="E413" s="342">
        <v>34.119999999999997</v>
      </c>
      <c r="F413" s="342"/>
      <c r="G413" s="344">
        <f t="shared" si="4"/>
        <v>2211.4799999999868</v>
      </c>
      <c r="H413" s="345"/>
      <c r="I413" s="346"/>
      <c r="J413" s="347"/>
      <c r="K413" s="312"/>
      <c r="L413" s="347"/>
      <c r="M413" s="312"/>
      <c r="N413" s="347"/>
      <c r="O413" s="312"/>
      <c r="P413" s="347"/>
      <c r="Q413" s="312"/>
      <c r="R413" s="347"/>
      <c r="S413" s="312"/>
      <c r="T413" s="347"/>
    </row>
    <row r="414" spans="1:20" ht="12" customHeight="1" x14ac:dyDescent="0.3">
      <c r="A414" s="340" t="s">
        <v>289</v>
      </c>
      <c r="B414" s="341">
        <v>2</v>
      </c>
      <c r="C414" s="309">
        <v>46091</v>
      </c>
      <c r="D414" s="310" t="s">
        <v>421</v>
      </c>
      <c r="E414" s="342">
        <v>18.57</v>
      </c>
      <c r="F414" s="342"/>
      <c r="G414" s="344">
        <f t="shared" si="4"/>
        <v>2245.5999999999867</v>
      </c>
      <c r="H414" s="345"/>
      <c r="I414" s="346"/>
      <c r="J414" s="347"/>
      <c r="K414" s="312"/>
      <c r="L414" s="347"/>
      <c r="M414" s="312"/>
      <c r="N414" s="347"/>
      <c r="O414" s="312"/>
      <c r="P414" s="347"/>
      <c r="Q414" s="312"/>
      <c r="R414" s="347"/>
      <c r="S414" s="312"/>
      <c r="T414" s="347"/>
    </row>
    <row r="415" spans="1:20" ht="12" customHeight="1" x14ac:dyDescent="0.3">
      <c r="A415" s="340" t="s">
        <v>294</v>
      </c>
      <c r="B415" s="341">
        <v>16</v>
      </c>
      <c r="C415" s="309">
        <v>46091</v>
      </c>
      <c r="D415" s="310" t="s">
        <v>422</v>
      </c>
      <c r="E415" s="342">
        <v>107</v>
      </c>
      <c r="F415" s="342"/>
      <c r="G415" s="344">
        <f t="shared" si="4"/>
        <v>2264.1699999999869</v>
      </c>
      <c r="H415" s="345"/>
      <c r="I415" s="346"/>
      <c r="J415" s="347"/>
      <c r="K415" s="312"/>
      <c r="L415" s="347"/>
      <c r="M415" s="312"/>
      <c r="N415" s="347"/>
      <c r="O415" s="312"/>
      <c r="P415" s="347"/>
      <c r="Q415" s="312"/>
      <c r="R415" s="347"/>
      <c r="S415" s="312"/>
      <c r="T415" s="347"/>
    </row>
    <row r="416" spans="1:20" ht="12" customHeight="1" x14ac:dyDescent="0.3">
      <c r="A416" s="340" t="s">
        <v>294</v>
      </c>
      <c r="B416" s="341">
        <v>18</v>
      </c>
      <c r="C416" s="309">
        <v>46090</v>
      </c>
      <c r="D416" s="310" t="s">
        <v>365</v>
      </c>
      <c r="E416" s="342">
        <v>400</v>
      </c>
      <c r="F416" s="342"/>
      <c r="G416" s="344">
        <f t="shared" si="4"/>
        <v>2371.1699999999869</v>
      </c>
      <c r="H416" s="345"/>
      <c r="I416" s="346"/>
      <c r="J416" s="347"/>
      <c r="K416" s="312"/>
      <c r="L416" s="347"/>
      <c r="M416" s="312"/>
      <c r="N416" s="347"/>
      <c r="O416" s="312"/>
      <c r="P416" s="347"/>
      <c r="Q416" s="312"/>
      <c r="R416" s="347"/>
      <c r="S416" s="312"/>
      <c r="T416" s="347"/>
    </row>
    <row r="417" spans="1:20" ht="12" customHeight="1" x14ac:dyDescent="0.3">
      <c r="A417" s="340" t="s">
        <v>289</v>
      </c>
      <c r="B417" s="341">
        <v>4</v>
      </c>
      <c r="C417" s="309">
        <v>46090</v>
      </c>
      <c r="D417" s="310" t="s">
        <v>296</v>
      </c>
      <c r="E417" s="342">
        <v>24.69</v>
      </c>
      <c r="F417" s="342"/>
      <c r="G417" s="344">
        <f t="shared" si="4"/>
        <v>2771.1699999999869</v>
      </c>
      <c r="H417" s="345"/>
      <c r="I417" s="346"/>
      <c r="J417" s="347"/>
      <c r="K417" s="312"/>
      <c r="L417" s="347"/>
      <c r="M417" s="312"/>
      <c r="N417" s="347"/>
      <c r="O417" s="312"/>
      <c r="P417" s="347"/>
      <c r="Q417" s="312"/>
      <c r="R417" s="347"/>
      <c r="S417" s="312"/>
      <c r="T417" s="347"/>
    </row>
    <row r="418" spans="1:20" ht="12" customHeight="1" x14ac:dyDescent="0.3">
      <c r="A418" s="340" t="s">
        <v>289</v>
      </c>
      <c r="B418" s="341">
        <v>3</v>
      </c>
      <c r="C418" s="309">
        <v>46090</v>
      </c>
      <c r="D418" s="310" t="s">
        <v>423</v>
      </c>
      <c r="E418" s="342">
        <v>4.59</v>
      </c>
      <c r="F418" s="342"/>
      <c r="G418" s="344">
        <f t="shared" si="4"/>
        <v>2795.8599999999869</v>
      </c>
      <c r="H418" s="345"/>
      <c r="I418" s="346"/>
      <c r="J418" s="347"/>
      <c r="K418" s="312"/>
      <c r="L418" s="347"/>
      <c r="M418" s="312"/>
      <c r="N418" s="347"/>
      <c r="O418" s="312"/>
      <c r="P418" s="347"/>
      <c r="Q418" s="312"/>
      <c r="R418" s="347"/>
      <c r="S418" s="312"/>
      <c r="T418" s="347"/>
    </row>
    <row r="419" spans="1:20" ht="12" customHeight="1" x14ac:dyDescent="0.3">
      <c r="A419" s="340" t="s">
        <v>294</v>
      </c>
      <c r="B419" s="341">
        <v>9</v>
      </c>
      <c r="C419" s="309">
        <v>46090</v>
      </c>
      <c r="D419" s="310" t="s">
        <v>58</v>
      </c>
      <c r="E419" s="342">
        <v>1281.53</v>
      </c>
      <c r="F419" s="342"/>
      <c r="G419" s="344">
        <f t="shared" si="4"/>
        <v>2800.4499999999871</v>
      </c>
      <c r="H419" s="345"/>
      <c r="I419" s="346"/>
      <c r="J419" s="347"/>
      <c r="K419" s="312"/>
      <c r="L419" s="347"/>
      <c r="M419" s="312"/>
      <c r="N419" s="347"/>
      <c r="O419" s="312"/>
      <c r="P419" s="347"/>
      <c r="Q419" s="312"/>
      <c r="R419" s="347"/>
      <c r="S419" s="312"/>
      <c r="T419" s="347"/>
    </row>
    <row r="420" spans="1:20" ht="12" customHeight="1" x14ac:dyDescent="0.3">
      <c r="A420" s="340" t="s">
        <v>289</v>
      </c>
      <c r="B420" s="341">
        <v>7</v>
      </c>
      <c r="C420" s="309">
        <v>46090</v>
      </c>
      <c r="D420" s="310" t="s">
        <v>342</v>
      </c>
      <c r="E420" s="342">
        <v>40.61</v>
      </c>
      <c r="F420" s="342"/>
      <c r="G420" s="344">
        <f t="shared" si="4"/>
        <v>4081.9799999999873</v>
      </c>
      <c r="H420" s="345"/>
      <c r="I420" s="346"/>
      <c r="J420" s="347"/>
      <c r="K420" s="312"/>
      <c r="L420" s="347"/>
      <c r="M420" s="312"/>
      <c r="N420" s="347"/>
      <c r="O420" s="312"/>
      <c r="P420" s="347"/>
      <c r="Q420" s="312"/>
      <c r="R420" s="347"/>
      <c r="S420" s="312"/>
      <c r="T420" s="347"/>
    </row>
    <row r="421" spans="1:20" ht="12" customHeight="1" x14ac:dyDescent="0.3">
      <c r="A421" s="340" t="s">
        <v>287</v>
      </c>
      <c r="B421" s="341" t="s">
        <v>287</v>
      </c>
      <c r="C421" s="309">
        <v>46090</v>
      </c>
      <c r="D421" s="310" t="s">
        <v>424</v>
      </c>
      <c r="E421" s="342">
        <v>380</v>
      </c>
      <c r="F421" s="342">
        <v>380</v>
      </c>
      <c r="G421" s="344">
        <f t="shared" si="4"/>
        <v>4122.5899999999874</v>
      </c>
      <c r="H421" s="345"/>
      <c r="I421" s="346"/>
      <c r="J421" s="347"/>
      <c r="K421" s="312"/>
      <c r="L421" s="347"/>
      <c r="M421" s="312"/>
      <c r="N421" s="347"/>
      <c r="O421" s="312"/>
      <c r="P421" s="347"/>
      <c r="Q421" s="312"/>
      <c r="R421" s="347"/>
      <c r="S421" s="312"/>
      <c r="T421" s="347"/>
    </row>
    <row r="422" spans="1:20" ht="12" customHeight="1" x14ac:dyDescent="0.3">
      <c r="A422" s="340" t="s">
        <v>289</v>
      </c>
      <c r="B422" s="341">
        <v>2</v>
      </c>
      <c r="C422" s="309">
        <v>46090</v>
      </c>
      <c r="D422" s="310" t="s">
        <v>425</v>
      </c>
      <c r="E422" s="342">
        <v>15</v>
      </c>
      <c r="F422" s="342"/>
      <c r="G422" s="344">
        <f t="shared" si="4"/>
        <v>4122.5899999999874</v>
      </c>
      <c r="H422" s="345"/>
      <c r="I422" s="346"/>
      <c r="J422" s="347"/>
      <c r="K422" s="312"/>
      <c r="L422" s="347"/>
      <c r="M422" s="312"/>
      <c r="N422" s="347"/>
      <c r="O422" s="312"/>
      <c r="P422" s="347"/>
      <c r="Q422" s="312"/>
      <c r="R422" s="347"/>
      <c r="S422" s="312"/>
      <c r="T422" s="347"/>
    </row>
    <row r="423" spans="1:20" ht="12" customHeight="1" x14ac:dyDescent="0.3">
      <c r="A423" s="340" t="s">
        <v>289</v>
      </c>
      <c r="B423" s="341">
        <v>2</v>
      </c>
      <c r="C423" s="309">
        <v>46090</v>
      </c>
      <c r="D423" s="310" t="s">
        <v>390</v>
      </c>
      <c r="E423" s="342">
        <v>15</v>
      </c>
      <c r="F423" s="342"/>
      <c r="G423" s="344">
        <f t="shared" si="4"/>
        <v>4137.5899999999874</v>
      </c>
      <c r="H423" s="345"/>
      <c r="I423" s="346"/>
      <c r="J423" s="347"/>
      <c r="K423" s="312"/>
      <c r="L423" s="347"/>
      <c r="M423" s="312"/>
      <c r="N423" s="347"/>
      <c r="O423" s="312"/>
      <c r="P423" s="347"/>
      <c r="Q423" s="312"/>
      <c r="R423" s="347"/>
      <c r="S423" s="312"/>
      <c r="T423" s="347"/>
    </row>
    <row r="424" spans="1:20" ht="12" customHeight="1" x14ac:dyDescent="0.3">
      <c r="A424" s="340" t="s">
        <v>289</v>
      </c>
      <c r="B424" s="341">
        <v>6</v>
      </c>
      <c r="C424" s="309">
        <v>46090</v>
      </c>
      <c r="D424" s="310" t="s">
        <v>300</v>
      </c>
      <c r="E424" s="342">
        <v>70.66</v>
      </c>
      <c r="F424" s="342"/>
      <c r="G424" s="344">
        <f t="shared" si="4"/>
        <v>4152.5899999999874</v>
      </c>
      <c r="H424" s="345"/>
      <c r="I424" s="346"/>
      <c r="J424" s="347"/>
      <c r="K424" s="312"/>
      <c r="L424" s="347"/>
      <c r="M424" s="312"/>
      <c r="N424" s="347"/>
      <c r="O424" s="312"/>
      <c r="P424" s="347"/>
      <c r="Q424" s="312"/>
      <c r="R424" s="347"/>
      <c r="S424" s="312"/>
      <c r="T424" s="347"/>
    </row>
    <row r="425" spans="1:20" ht="12" customHeight="1" x14ac:dyDescent="0.3">
      <c r="A425" s="340" t="s">
        <v>289</v>
      </c>
      <c r="B425" s="341">
        <v>1</v>
      </c>
      <c r="C425" s="309">
        <v>46089</v>
      </c>
      <c r="D425" s="310" t="s">
        <v>312</v>
      </c>
      <c r="E425" s="342">
        <v>109.77</v>
      </c>
      <c r="F425" s="342"/>
      <c r="G425" s="344">
        <f t="shared" si="4"/>
        <v>4223.2499999999873</v>
      </c>
      <c r="H425" s="345"/>
      <c r="I425" s="346"/>
      <c r="J425" s="347"/>
      <c r="K425" s="312"/>
      <c r="L425" s="347"/>
      <c r="M425" s="312"/>
      <c r="N425" s="347"/>
      <c r="O425" s="312"/>
      <c r="P425" s="347"/>
      <c r="Q425" s="312"/>
      <c r="R425" s="347"/>
      <c r="S425" s="312"/>
      <c r="T425" s="347"/>
    </row>
    <row r="426" spans="1:20" ht="12" customHeight="1" x14ac:dyDescent="0.3">
      <c r="A426" s="340" t="s">
        <v>289</v>
      </c>
      <c r="B426" s="341">
        <v>6</v>
      </c>
      <c r="C426" s="309">
        <v>46089</v>
      </c>
      <c r="D426" s="310" t="s">
        <v>307</v>
      </c>
      <c r="E426" s="342">
        <v>9.3800000000000008</v>
      </c>
      <c r="F426" s="342"/>
      <c r="G426" s="344">
        <f t="shared" si="4"/>
        <v>4333.0199999999877</v>
      </c>
      <c r="H426" s="345"/>
      <c r="I426" s="346"/>
      <c r="J426" s="347"/>
      <c r="K426" s="312"/>
      <c r="L426" s="347"/>
      <c r="M426" s="312"/>
      <c r="N426" s="347"/>
      <c r="O426" s="312"/>
      <c r="P426" s="347"/>
      <c r="Q426" s="312"/>
      <c r="R426" s="347"/>
      <c r="S426" s="312"/>
      <c r="T426" s="347"/>
    </row>
    <row r="427" spans="1:20" ht="12" customHeight="1" x14ac:dyDescent="0.3">
      <c r="A427" s="340" t="s">
        <v>289</v>
      </c>
      <c r="B427" s="341">
        <v>3</v>
      </c>
      <c r="C427" s="309">
        <v>46089</v>
      </c>
      <c r="D427" s="310" t="s">
        <v>426</v>
      </c>
      <c r="E427" s="342">
        <v>3.85</v>
      </c>
      <c r="F427" s="342"/>
      <c r="G427" s="344">
        <f t="shared" si="4"/>
        <v>4342.3999999999878</v>
      </c>
      <c r="H427" s="345"/>
      <c r="I427" s="346"/>
      <c r="J427" s="347"/>
      <c r="K427" s="312"/>
      <c r="L427" s="347"/>
      <c r="M427" s="312"/>
      <c r="N427" s="347"/>
      <c r="O427" s="312"/>
      <c r="P427" s="347"/>
      <c r="Q427" s="312"/>
      <c r="R427" s="347"/>
      <c r="S427" s="312"/>
      <c r="T427" s="347"/>
    </row>
    <row r="428" spans="1:20" ht="12" customHeight="1" x14ac:dyDescent="0.3">
      <c r="A428" s="340" t="s">
        <v>289</v>
      </c>
      <c r="B428" s="341">
        <v>2</v>
      </c>
      <c r="C428" s="309">
        <v>46089</v>
      </c>
      <c r="D428" s="310" t="s">
        <v>411</v>
      </c>
      <c r="E428" s="342">
        <v>88.54</v>
      </c>
      <c r="F428" s="342"/>
      <c r="G428" s="344">
        <f t="shared" si="4"/>
        <v>4346.2499999999882</v>
      </c>
      <c r="H428" s="345"/>
      <c r="I428" s="346"/>
      <c r="J428" s="347"/>
      <c r="K428" s="312"/>
      <c r="L428" s="347"/>
      <c r="M428" s="312"/>
      <c r="N428" s="347"/>
      <c r="O428" s="312"/>
      <c r="P428" s="347"/>
      <c r="Q428" s="312"/>
      <c r="R428" s="347"/>
      <c r="S428" s="312"/>
      <c r="T428" s="347"/>
    </row>
    <row r="429" spans="1:20" ht="12" customHeight="1" x14ac:dyDescent="0.3">
      <c r="A429" s="340" t="s">
        <v>289</v>
      </c>
      <c r="B429" s="341">
        <v>2</v>
      </c>
      <c r="C429" s="309">
        <v>46089</v>
      </c>
      <c r="D429" s="310" t="s">
        <v>362</v>
      </c>
      <c r="E429" s="342">
        <v>8.3800000000000008</v>
      </c>
      <c r="F429" s="342"/>
      <c r="G429" s="344">
        <f t="shared" si="4"/>
        <v>4434.7899999999881</v>
      </c>
      <c r="H429" s="345"/>
      <c r="I429" s="346"/>
      <c r="J429" s="347"/>
      <c r="K429" s="312"/>
      <c r="L429" s="347"/>
      <c r="M429" s="312"/>
      <c r="N429" s="347"/>
      <c r="O429" s="312"/>
      <c r="P429" s="347"/>
      <c r="Q429" s="312"/>
      <c r="R429" s="347"/>
      <c r="S429" s="312"/>
      <c r="T429" s="347"/>
    </row>
    <row r="430" spans="1:20" ht="12" customHeight="1" x14ac:dyDescent="0.3">
      <c r="A430" s="340" t="s">
        <v>289</v>
      </c>
      <c r="B430" s="341">
        <v>2</v>
      </c>
      <c r="C430" s="309">
        <v>46089</v>
      </c>
      <c r="D430" s="310" t="s">
        <v>301</v>
      </c>
      <c r="E430" s="342">
        <v>39.549999999999997</v>
      </c>
      <c r="F430" s="342"/>
      <c r="G430" s="344">
        <f t="shared" si="4"/>
        <v>4443.1699999999882</v>
      </c>
      <c r="H430" s="345"/>
      <c r="I430" s="346"/>
      <c r="J430" s="347"/>
      <c r="K430" s="312"/>
      <c r="L430" s="347"/>
      <c r="M430" s="312"/>
      <c r="N430" s="347"/>
      <c r="O430" s="312"/>
      <c r="P430" s="347"/>
      <c r="Q430" s="312"/>
      <c r="R430" s="347"/>
      <c r="S430" s="312"/>
      <c r="T430" s="347"/>
    </row>
    <row r="431" spans="1:20" ht="12" customHeight="1" x14ac:dyDescent="0.3">
      <c r="A431" s="340" t="s">
        <v>289</v>
      </c>
      <c r="B431" s="341">
        <v>4</v>
      </c>
      <c r="C431" s="309">
        <v>46089</v>
      </c>
      <c r="D431" s="310" t="s">
        <v>427</v>
      </c>
      <c r="E431" s="342">
        <v>31.68</v>
      </c>
      <c r="F431" s="342"/>
      <c r="G431" s="344">
        <f t="shared" si="4"/>
        <v>4482.7199999999884</v>
      </c>
      <c r="H431" s="345"/>
      <c r="I431" s="346"/>
      <c r="J431" s="347"/>
      <c r="K431" s="312"/>
      <c r="L431" s="347"/>
      <c r="M431" s="312"/>
      <c r="N431" s="347"/>
      <c r="O431" s="312"/>
      <c r="P431" s="347"/>
      <c r="Q431" s="312"/>
      <c r="R431" s="347"/>
      <c r="S431" s="312"/>
      <c r="T431" s="347"/>
    </row>
    <row r="432" spans="1:20" ht="12" customHeight="1" x14ac:dyDescent="0.3">
      <c r="A432" s="340" t="s">
        <v>289</v>
      </c>
      <c r="B432" s="341">
        <v>8</v>
      </c>
      <c r="C432" s="309">
        <v>46088</v>
      </c>
      <c r="D432" s="310" t="s">
        <v>309</v>
      </c>
      <c r="E432" s="342">
        <v>24.65</v>
      </c>
      <c r="F432" s="342"/>
      <c r="G432" s="344">
        <f t="shared" si="4"/>
        <v>4514.3999999999887</v>
      </c>
      <c r="H432" s="345"/>
      <c r="I432" s="346"/>
      <c r="J432" s="347"/>
      <c r="K432" s="312"/>
      <c r="L432" s="347"/>
      <c r="M432" s="312"/>
      <c r="N432" s="347"/>
      <c r="O432" s="312"/>
      <c r="P432" s="347"/>
      <c r="Q432" s="312"/>
      <c r="R432" s="347"/>
      <c r="S432" s="312"/>
      <c r="T432" s="347"/>
    </row>
    <row r="433" spans="1:20" ht="12" customHeight="1" x14ac:dyDescent="0.3">
      <c r="A433" s="340" t="s">
        <v>289</v>
      </c>
      <c r="B433" s="341">
        <v>2</v>
      </c>
      <c r="C433" s="309">
        <v>46088</v>
      </c>
      <c r="D433" s="310" t="s">
        <v>350</v>
      </c>
      <c r="E433" s="342">
        <v>11.04</v>
      </c>
      <c r="F433" s="342"/>
      <c r="G433" s="344">
        <f t="shared" si="4"/>
        <v>4539.0499999999884</v>
      </c>
      <c r="H433" s="345"/>
      <c r="I433" s="346"/>
      <c r="J433" s="347"/>
      <c r="K433" s="312"/>
      <c r="L433" s="347"/>
      <c r="M433" s="312"/>
      <c r="N433" s="347"/>
      <c r="O433" s="312"/>
      <c r="P433" s="347"/>
      <c r="Q433" s="312"/>
      <c r="R433" s="347"/>
      <c r="S433" s="312"/>
      <c r="T433" s="347"/>
    </row>
    <row r="434" spans="1:20" ht="12" customHeight="1" x14ac:dyDescent="0.3">
      <c r="A434" s="340" t="s">
        <v>289</v>
      </c>
      <c r="B434" s="341">
        <v>8</v>
      </c>
      <c r="C434" s="309">
        <v>46088</v>
      </c>
      <c r="D434" s="310" t="s">
        <v>321</v>
      </c>
      <c r="E434" s="342">
        <v>11.5</v>
      </c>
      <c r="F434" s="342"/>
      <c r="G434" s="344">
        <f t="shared" si="4"/>
        <v>4550.0899999999883</v>
      </c>
      <c r="H434" s="345"/>
      <c r="I434" s="346"/>
      <c r="J434" s="347"/>
      <c r="K434" s="312"/>
      <c r="L434" s="347"/>
      <c r="M434" s="312"/>
      <c r="N434" s="347"/>
      <c r="O434" s="312"/>
      <c r="P434" s="347"/>
      <c r="Q434" s="312"/>
      <c r="R434" s="347"/>
      <c r="S434" s="312"/>
      <c r="T434" s="347"/>
    </row>
    <row r="435" spans="1:20" ht="12" customHeight="1" x14ac:dyDescent="0.3">
      <c r="A435" s="340" t="s">
        <v>289</v>
      </c>
      <c r="B435" s="341">
        <v>8</v>
      </c>
      <c r="C435" s="309">
        <v>46088</v>
      </c>
      <c r="D435" s="310" t="s">
        <v>296</v>
      </c>
      <c r="E435" s="342">
        <v>12.44</v>
      </c>
      <c r="F435" s="342"/>
      <c r="G435" s="344">
        <f t="shared" si="4"/>
        <v>4561.5899999999883</v>
      </c>
      <c r="H435" s="345"/>
      <c r="I435" s="346"/>
      <c r="J435" s="347"/>
      <c r="K435" s="312"/>
      <c r="L435" s="347"/>
      <c r="M435" s="312"/>
      <c r="N435" s="347"/>
      <c r="O435" s="312"/>
      <c r="P435" s="347"/>
      <c r="Q435" s="312"/>
      <c r="R435" s="347"/>
      <c r="S435" s="312"/>
      <c r="T435" s="347"/>
    </row>
    <row r="436" spans="1:20" ht="12" customHeight="1" x14ac:dyDescent="0.3">
      <c r="A436" s="340" t="s">
        <v>289</v>
      </c>
      <c r="B436" s="341">
        <v>4</v>
      </c>
      <c r="C436" s="309">
        <v>46088</v>
      </c>
      <c r="D436" s="310" t="s">
        <v>296</v>
      </c>
      <c r="E436" s="342">
        <v>23.62</v>
      </c>
      <c r="F436" s="342"/>
      <c r="G436" s="344">
        <f t="shared" si="4"/>
        <v>4574.0299999999879</v>
      </c>
      <c r="H436" s="345"/>
      <c r="I436" s="346"/>
      <c r="J436" s="347"/>
      <c r="K436" s="312"/>
      <c r="L436" s="347"/>
      <c r="M436" s="312"/>
      <c r="N436" s="347"/>
      <c r="O436" s="312"/>
      <c r="P436" s="347"/>
      <c r="Q436" s="312"/>
      <c r="R436" s="347"/>
      <c r="S436" s="312"/>
      <c r="T436" s="347"/>
    </row>
    <row r="437" spans="1:20" ht="12" customHeight="1" x14ac:dyDescent="0.3">
      <c r="A437" s="340" t="s">
        <v>289</v>
      </c>
      <c r="B437" s="341">
        <v>2</v>
      </c>
      <c r="C437" s="309">
        <v>46088</v>
      </c>
      <c r="D437" s="310" t="s">
        <v>301</v>
      </c>
      <c r="E437" s="342">
        <v>36.049999999999997</v>
      </c>
      <c r="F437" s="342"/>
      <c r="G437" s="344">
        <f t="shared" si="4"/>
        <v>4597.6499999999878</v>
      </c>
      <c r="H437" s="345"/>
      <c r="I437" s="346"/>
      <c r="J437" s="347"/>
      <c r="K437" s="312"/>
      <c r="L437" s="347"/>
      <c r="M437" s="312"/>
      <c r="N437" s="347"/>
      <c r="O437" s="312"/>
      <c r="P437" s="347"/>
      <c r="Q437" s="312"/>
      <c r="R437" s="347"/>
      <c r="S437" s="312"/>
      <c r="T437" s="347"/>
    </row>
    <row r="438" spans="1:20" ht="12" customHeight="1" x14ac:dyDescent="0.3">
      <c r="A438" s="340" t="s">
        <v>294</v>
      </c>
      <c r="B438" s="341">
        <v>14</v>
      </c>
      <c r="C438" s="309">
        <v>46087</v>
      </c>
      <c r="D438" s="310" t="s">
        <v>370</v>
      </c>
      <c r="E438" s="342">
        <v>66.67</v>
      </c>
      <c r="F438" s="342"/>
      <c r="G438" s="344">
        <f t="shared" si="4"/>
        <v>4633.699999999988</v>
      </c>
      <c r="H438" s="345"/>
      <c r="I438" s="346"/>
      <c r="J438" s="347"/>
      <c r="K438" s="312"/>
      <c r="L438" s="347"/>
      <c r="M438" s="312"/>
      <c r="N438" s="347"/>
      <c r="O438" s="312"/>
      <c r="P438" s="347"/>
      <c r="Q438" s="312"/>
      <c r="R438" s="347"/>
      <c r="S438" s="312"/>
      <c r="T438" s="347"/>
    </row>
    <row r="439" spans="1:20" ht="12" customHeight="1" x14ac:dyDescent="0.3">
      <c r="A439" s="340" t="s">
        <v>289</v>
      </c>
      <c r="B439" s="341">
        <v>2</v>
      </c>
      <c r="C439" s="309">
        <v>46087</v>
      </c>
      <c r="D439" s="310" t="s">
        <v>296</v>
      </c>
      <c r="E439" s="342">
        <v>17.850000000000001</v>
      </c>
      <c r="F439" s="342"/>
      <c r="G439" s="344">
        <f t="shared" si="4"/>
        <v>4700.3699999999881</v>
      </c>
      <c r="H439" s="345"/>
      <c r="I439" s="346"/>
      <c r="J439" s="347"/>
      <c r="K439" s="312"/>
      <c r="L439" s="347"/>
      <c r="M439" s="312"/>
      <c r="N439" s="347"/>
      <c r="O439" s="312"/>
      <c r="P439" s="347"/>
      <c r="Q439" s="312"/>
      <c r="R439" s="347"/>
      <c r="S439" s="312"/>
      <c r="T439" s="347"/>
    </row>
    <row r="440" spans="1:20" ht="12" customHeight="1" x14ac:dyDescent="0.3">
      <c r="A440" s="340" t="s">
        <v>289</v>
      </c>
      <c r="B440" s="341">
        <v>1</v>
      </c>
      <c r="C440" s="309">
        <v>46087</v>
      </c>
      <c r="D440" s="310" t="s">
        <v>304</v>
      </c>
      <c r="E440" s="342">
        <v>112.13</v>
      </c>
      <c r="F440" s="342"/>
      <c r="G440" s="344">
        <f t="shared" si="4"/>
        <v>4718.2199999999884</v>
      </c>
      <c r="H440" s="345"/>
      <c r="I440" s="346"/>
      <c r="J440" s="347"/>
      <c r="K440" s="312"/>
      <c r="L440" s="347"/>
      <c r="M440" s="312"/>
      <c r="N440" s="347"/>
      <c r="O440" s="312"/>
      <c r="P440" s="347"/>
      <c r="Q440" s="312"/>
      <c r="R440" s="347"/>
      <c r="S440" s="312"/>
      <c r="T440" s="347"/>
    </row>
    <row r="441" spans="1:20" ht="12" customHeight="1" x14ac:dyDescent="0.3">
      <c r="A441" s="340" t="s">
        <v>289</v>
      </c>
      <c r="B441" s="341">
        <v>3</v>
      </c>
      <c r="C441" s="309">
        <v>46087</v>
      </c>
      <c r="D441" s="310" t="s">
        <v>327</v>
      </c>
      <c r="E441" s="342">
        <v>7.31</v>
      </c>
      <c r="F441" s="342"/>
      <c r="G441" s="344">
        <f t="shared" si="4"/>
        <v>4830.3499999999885</v>
      </c>
      <c r="H441" s="345"/>
      <c r="I441" s="346"/>
      <c r="J441" s="347"/>
      <c r="K441" s="312"/>
      <c r="L441" s="347"/>
      <c r="M441" s="312"/>
      <c r="N441" s="347"/>
      <c r="O441" s="312"/>
      <c r="P441" s="347"/>
      <c r="Q441" s="312"/>
      <c r="R441" s="347"/>
      <c r="S441" s="312"/>
      <c r="T441" s="347"/>
    </row>
    <row r="442" spans="1:20" ht="12" customHeight="1" x14ac:dyDescent="0.3">
      <c r="A442" s="340" t="s">
        <v>291</v>
      </c>
      <c r="B442" s="341">
        <v>39</v>
      </c>
      <c r="C442" s="309">
        <v>46086</v>
      </c>
      <c r="D442" s="310" t="s">
        <v>292</v>
      </c>
      <c r="E442" s="342"/>
      <c r="F442" s="342">
        <v>2763.78</v>
      </c>
      <c r="G442" s="344">
        <f t="shared" si="4"/>
        <v>4837.6599999999889</v>
      </c>
      <c r="H442" s="345"/>
      <c r="I442" s="346"/>
      <c r="J442" s="347"/>
      <c r="K442" s="312"/>
      <c r="L442" s="347"/>
      <c r="M442" s="312"/>
      <c r="N442" s="347"/>
      <c r="O442" s="312"/>
      <c r="P442" s="347"/>
      <c r="Q442" s="312"/>
      <c r="R442" s="347"/>
      <c r="S442" s="312"/>
      <c r="T442" s="347"/>
    </row>
    <row r="443" spans="1:20" ht="12" customHeight="1" x14ac:dyDescent="0.3">
      <c r="A443" s="340" t="s">
        <v>289</v>
      </c>
      <c r="B443" s="341">
        <v>4</v>
      </c>
      <c r="C443" s="309">
        <v>46086</v>
      </c>
      <c r="D443" s="310" t="s">
        <v>295</v>
      </c>
      <c r="E443" s="342">
        <v>31.52</v>
      </c>
      <c r="F443" s="342"/>
      <c r="G443" s="344">
        <f t="shared" si="4"/>
        <v>2073.8799999999892</v>
      </c>
      <c r="H443" s="345"/>
      <c r="I443" s="346"/>
      <c r="J443" s="347"/>
      <c r="K443" s="312"/>
      <c r="L443" s="347"/>
      <c r="M443" s="312"/>
      <c r="N443" s="347"/>
      <c r="O443" s="312"/>
      <c r="P443" s="347"/>
      <c r="Q443" s="312"/>
      <c r="R443" s="347"/>
      <c r="S443" s="312"/>
      <c r="T443" s="347"/>
    </row>
    <row r="444" spans="1:20" ht="12" customHeight="1" x14ac:dyDescent="0.3">
      <c r="A444" s="340" t="s">
        <v>289</v>
      </c>
      <c r="B444" s="341">
        <v>2</v>
      </c>
      <c r="C444" s="309">
        <v>46086</v>
      </c>
      <c r="D444" s="310" t="s">
        <v>362</v>
      </c>
      <c r="E444" s="342">
        <v>14.86</v>
      </c>
      <c r="F444" s="342"/>
      <c r="G444" s="344">
        <f t="shared" si="4"/>
        <v>2105.3999999999892</v>
      </c>
      <c r="H444" s="345"/>
      <c r="I444" s="346"/>
      <c r="J444" s="347"/>
      <c r="K444" s="312"/>
      <c r="L444" s="347"/>
      <c r="M444" s="312"/>
      <c r="N444" s="347"/>
      <c r="O444" s="312"/>
      <c r="P444" s="347"/>
      <c r="Q444" s="312"/>
      <c r="R444" s="347"/>
      <c r="S444" s="312"/>
      <c r="T444" s="347"/>
    </row>
    <row r="445" spans="1:20" ht="12" customHeight="1" x14ac:dyDescent="0.3">
      <c r="A445" s="340" t="s">
        <v>289</v>
      </c>
      <c r="B445" s="341">
        <v>8</v>
      </c>
      <c r="C445" s="309">
        <v>46086</v>
      </c>
      <c r="D445" s="310" t="s">
        <v>416</v>
      </c>
      <c r="E445" s="342">
        <v>44.99</v>
      </c>
      <c r="F445" s="342"/>
      <c r="G445" s="344">
        <f t="shared" si="4"/>
        <v>2120.2599999999893</v>
      </c>
      <c r="H445" s="345"/>
      <c r="I445" s="346"/>
      <c r="J445" s="347"/>
      <c r="K445" s="312"/>
      <c r="L445" s="347"/>
      <c r="M445" s="312"/>
      <c r="N445" s="347"/>
      <c r="O445" s="312"/>
      <c r="P445" s="347"/>
      <c r="Q445" s="312"/>
      <c r="R445" s="347"/>
      <c r="S445" s="312"/>
      <c r="T445" s="347"/>
    </row>
    <row r="446" spans="1:20" ht="12" customHeight="1" x14ac:dyDescent="0.3">
      <c r="A446" s="340" t="s">
        <v>289</v>
      </c>
      <c r="B446" s="341">
        <v>2</v>
      </c>
      <c r="C446" s="309">
        <v>46085</v>
      </c>
      <c r="D446" s="310" t="s">
        <v>428</v>
      </c>
      <c r="E446" s="342">
        <v>15</v>
      </c>
      <c r="F446" s="342"/>
      <c r="G446" s="344">
        <f t="shared" si="4"/>
        <v>2165.2499999999891</v>
      </c>
      <c r="H446" s="345"/>
      <c r="I446" s="346"/>
      <c r="J446" s="347"/>
      <c r="K446" s="312"/>
      <c r="L446" s="347"/>
      <c r="M446" s="312"/>
      <c r="N446" s="347"/>
      <c r="O446" s="312"/>
      <c r="P446" s="347"/>
      <c r="Q446" s="312"/>
      <c r="R446" s="347"/>
      <c r="S446" s="312"/>
      <c r="T446" s="347"/>
    </row>
    <row r="447" spans="1:20" ht="12" customHeight="1" x14ac:dyDescent="0.3">
      <c r="A447" s="340" t="s">
        <v>289</v>
      </c>
      <c r="B447" s="341">
        <v>2</v>
      </c>
      <c r="C447" s="309">
        <v>46085</v>
      </c>
      <c r="D447" s="310" t="s">
        <v>296</v>
      </c>
      <c r="E447" s="342">
        <v>10.84</v>
      </c>
      <c r="F447" s="342"/>
      <c r="G447" s="344">
        <f t="shared" si="4"/>
        <v>2180.2499999999891</v>
      </c>
      <c r="H447" s="345"/>
      <c r="I447" s="346"/>
      <c r="J447" s="347"/>
      <c r="K447" s="312"/>
      <c r="L447" s="347"/>
      <c r="M447" s="312"/>
      <c r="N447" s="347"/>
      <c r="O447" s="312"/>
      <c r="P447" s="347"/>
      <c r="Q447" s="312"/>
      <c r="R447" s="347"/>
      <c r="S447" s="312"/>
      <c r="T447" s="347"/>
    </row>
    <row r="448" spans="1:20" ht="12" customHeight="1" x14ac:dyDescent="0.3">
      <c r="A448" s="340" t="s">
        <v>294</v>
      </c>
      <c r="B448" s="341">
        <v>14</v>
      </c>
      <c r="C448" s="309">
        <v>46085</v>
      </c>
      <c r="D448" s="310" t="s">
        <v>371</v>
      </c>
      <c r="E448" s="342">
        <v>68.739999999999995</v>
      </c>
      <c r="F448" s="342"/>
      <c r="G448" s="344">
        <f t="shared" si="4"/>
        <v>2191.0899999999892</v>
      </c>
      <c r="H448" s="345"/>
      <c r="I448" s="346"/>
      <c r="J448" s="347"/>
      <c r="K448" s="312"/>
      <c r="L448" s="347"/>
      <c r="M448" s="312"/>
      <c r="N448" s="347"/>
      <c r="O448" s="312"/>
      <c r="P448" s="347"/>
      <c r="Q448" s="312"/>
      <c r="R448" s="347"/>
      <c r="S448" s="312"/>
      <c r="T448" s="347"/>
    </row>
    <row r="449" spans="1:20" ht="12" customHeight="1" x14ac:dyDescent="0.3">
      <c r="A449" s="340" t="s">
        <v>289</v>
      </c>
      <c r="B449" s="341">
        <v>4</v>
      </c>
      <c r="C449" s="309">
        <v>46085</v>
      </c>
      <c r="D449" s="310" t="s">
        <v>311</v>
      </c>
      <c r="E449" s="342">
        <v>30.67</v>
      </c>
      <c r="F449" s="342"/>
      <c r="G449" s="344">
        <f t="shared" si="4"/>
        <v>2259.829999999989</v>
      </c>
      <c r="H449" s="345"/>
      <c r="I449" s="346"/>
      <c r="J449" s="347"/>
      <c r="K449" s="312"/>
      <c r="L449" s="347"/>
      <c r="M449" s="312"/>
      <c r="N449" s="347"/>
      <c r="O449" s="312"/>
      <c r="P449" s="347"/>
      <c r="Q449" s="312"/>
      <c r="R449" s="347"/>
      <c r="S449" s="312"/>
      <c r="T449" s="347"/>
    </row>
    <row r="450" spans="1:20" ht="12" customHeight="1" x14ac:dyDescent="0.3">
      <c r="A450" s="340" t="s">
        <v>294</v>
      </c>
      <c r="B450" s="341">
        <v>17</v>
      </c>
      <c r="C450" s="309">
        <v>46085</v>
      </c>
      <c r="D450" s="310" t="s">
        <v>374</v>
      </c>
      <c r="E450" s="342">
        <v>99</v>
      </c>
      <c r="F450" s="342"/>
      <c r="G450" s="344">
        <f t="shared" si="4"/>
        <v>2290.4999999999891</v>
      </c>
      <c r="H450" s="345"/>
      <c r="I450" s="346"/>
      <c r="J450" s="347"/>
      <c r="K450" s="312"/>
      <c r="L450" s="347"/>
      <c r="M450" s="312"/>
      <c r="N450" s="347"/>
      <c r="O450" s="312"/>
      <c r="P450" s="347"/>
      <c r="Q450" s="312"/>
      <c r="R450" s="347"/>
      <c r="S450" s="312"/>
      <c r="T450" s="347"/>
    </row>
    <row r="451" spans="1:20" ht="12" customHeight="1" x14ac:dyDescent="0.3">
      <c r="A451" s="340" t="s">
        <v>294</v>
      </c>
      <c r="B451" s="341">
        <v>21</v>
      </c>
      <c r="C451" s="309">
        <v>46084</v>
      </c>
      <c r="D451" s="310" t="s">
        <v>194</v>
      </c>
      <c r="E451" s="342">
        <v>40.72</v>
      </c>
      <c r="F451" s="342"/>
      <c r="G451" s="344">
        <f t="shared" si="4"/>
        <v>2389.4999999999891</v>
      </c>
      <c r="H451" s="345"/>
      <c r="I451" s="346"/>
      <c r="J451" s="347"/>
      <c r="K451" s="312"/>
      <c r="L451" s="347"/>
      <c r="M451" s="312"/>
      <c r="N451" s="347"/>
      <c r="O451" s="312"/>
      <c r="P451" s="347"/>
      <c r="Q451" s="312"/>
      <c r="R451" s="347"/>
      <c r="S451" s="312"/>
      <c r="T451" s="347"/>
    </row>
    <row r="452" spans="1:20" ht="12" customHeight="1" x14ac:dyDescent="0.3">
      <c r="A452" s="340" t="s">
        <v>284</v>
      </c>
      <c r="B452" s="341">
        <v>36</v>
      </c>
      <c r="C452" s="309">
        <v>46084</v>
      </c>
      <c r="D452" s="310" t="s">
        <v>378</v>
      </c>
      <c r="E452" s="342">
        <v>50</v>
      </c>
      <c r="F452" s="342"/>
      <c r="G452" s="344">
        <f t="shared" si="4"/>
        <v>2430.2199999999889</v>
      </c>
      <c r="H452" s="345"/>
      <c r="I452" s="346"/>
      <c r="J452" s="347"/>
      <c r="K452" s="312"/>
      <c r="L452" s="347"/>
      <c r="M452" s="312"/>
      <c r="N452" s="347"/>
      <c r="O452" s="312"/>
      <c r="P452" s="347"/>
      <c r="Q452" s="312"/>
      <c r="R452" s="347"/>
      <c r="S452" s="312"/>
      <c r="T452" s="347"/>
    </row>
    <row r="453" spans="1:20" ht="12" customHeight="1" x14ac:dyDescent="0.3">
      <c r="A453" s="340" t="s">
        <v>289</v>
      </c>
      <c r="B453" s="341">
        <v>2</v>
      </c>
      <c r="C453" s="309">
        <v>46084</v>
      </c>
      <c r="D453" s="310" t="s">
        <v>296</v>
      </c>
      <c r="E453" s="342">
        <v>14.67</v>
      </c>
      <c r="F453" s="342"/>
      <c r="G453" s="344">
        <f t="shared" si="4"/>
        <v>2480.2199999999889</v>
      </c>
      <c r="H453" s="345"/>
      <c r="I453" s="346"/>
      <c r="J453" s="347"/>
      <c r="K453" s="312"/>
      <c r="L453" s="347"/>
      <c r="M453" s="312"/>
      <c r="N453" s="347"/>
      <c r="O453" s="312"/>
      <c r="P453" s="347"/>
      <c r="Q453" s="312"/>
      <c r="R453" s="347"/>
      <c r="S453" s="312"/>
      <c r="T453" s="347"/>
    </row>
    <row r="454" spans="1:20" ht="12" customHeight="1" x14ac:dyDescent="0.3">
      <c r="A454" s="340" t="s">
        <v>289</v>
      </c>
      <c r="B454" s="341">
        <v>4</v>
      </c>
      <c r="C454" s="309">
        <v>46084</v>
      </c>
      <c r="D454" s="310" t="s">
        <v>296</v>
      </c>
      <c r="E454" s="342">
        <v>27.42</v>
      </c>
      <c r="F454" s="342"/>
      <c r="G454" s="344">
        <f t="shared" si="4"/>
        <v>2494.889999999989</v>
      </c>
      <c r="H454" s="345"/>
      <c r="I454" s="346"/>
      <c r="J454" s="347"/>
      <c r="K454" s="312"/>
      <c r="L454" s="347"/>
      <c r="M454" s="312"/>
      <c r="N454" s="347"/>
      <c r="O454" s="312"/>
      <c r="P454" s="347"/>
      <c r="Q454" s="312"/>
      <c r="R454" s="347"/>
      <c r="S454" s="312"/>
      <c r="T454" s="347"/>
    </row>
    <row r="455" spans="1:20" ht="12" customHeight="1" x14ac:dyDescent="0.3">
      <c r="A455" s="340" t="s">
        <v>289</v>
      </c>
      <c r="B455" s="341">
        <v>6</v>
      </c>
      <c r="C455" s="309">
        <v>46084</v>
      </c>
      <c r="D455" s="310" t="s">
        <v>429</v>
      </c>
      <c r="E455" s="342">
        <v>106.27</v>
      </c>
      <c r="F455" s="342"/>
      <c r="G455" s="344">
        <f t="shared" si="4"/>
        <v>2522.309999999989</v>
      </c>
      <c r="H455" s="345"/>
      <c r="I455" s="346"/>
      <c r="J455" s="347"/>
      <c r="K455" s="312"/>
      <c r="L455" s="347"/>
      <c r="M455" s="312"/>
      <c r="N455" s="347"/>
      <c r="O455" s="312"/>
      <c r="P455" s="347"/>
      <c r="Q455" s="312"/>
      <c r="R455" s="347"/>
      <c r="S455" s="312"/>
      <c r="T455" s="347"/>
    </row>
    <row r="456" spans="1:20" ht="12" customHeight="1" x14ac:dyDescent="0.3">
      <c r="A456" s="340" t="s">
        <v>289</v>
      </c>
      <c r="B456" s="341">
        <v>6</v>
      </c>
      <c r="C456" s="309">
        <v>46084</v>
      </c>
      <c r="D456" s="310" t="s">
        <v>429</v>
      </c>
      <c r="E456" s="342">
        <v>-107</v>
      </c>
      <c r="F456" s="342"/>
      <c r="G456" s="344">
        <f t="shared" si="4"/>
        <v>2628.579999999989</v>
      </c>
      <c r="H456" s="345" t="s">
        <v>298</v>
      </c>
      <c r="I456" s="346"/>
      <c r="J456" s="347"/>
      <c r="K456" s="312"/>
      <c r="L456" s="347"/>
      <c r="M456" s="312"/>
      <c r="N456" s="347"/>
      <c r="O456" s="312"/>
      <c r="P456" s="347"/>
      <c r="Q456" s="312"/>
      <c r="R456" s="347"/>
      <c r="S456" s="312"/>
      <c r="T456" s="347"/>
    </row>
    <row r="457" spans="1:20" ht="12" customHeight="1" x14ac:dyDescent="0.3">
      <c r="A457" s="340" t="s">
        <v>289</v>
      </c>
      <c r="B457" s="341">
        <v>2</v>
      </c>
      <c r="C457" s="309">
        <v>46083</v>
      </c>
      <c r="D457" s="310" t="s">
        <v>301</v>
      </c>
      <c r="E457" s="342">
        <v>20</v>
      </c>
      <c r="F457" s="342"/>
      <c r="G457" s="344">
        <f t="shared" si="4"/>
        <v>2521.579999999989</v>
      </c>
      <c r="H457" s="345"/>
      <c r="I457" s="346"/>
      <c r="J457" s="347"/>
      <c r="K457" s="312"/>
      <c r="L457" s="347"/>
      <c r="M457" s="312"/>
      <c r="N457" s="347"/>
      <c r="O457" s="312"/>
      <c r="P457" s="347"/>
      <c r="Q457" s="312"/>
      <c r="R457" s="347"/>
      <c r="S457" s="312"/>
      <c r="T457" s="347"/>
    </row>
    <row r="458" spans="1:20" ht="12" customHeight="1" x14ac:dyDescent="0.3">
      <c r="A458" s="340" t="s">
        <v>287</v>
      </c>
      <c r="B458" s="341" t="s">
        <v>287</v>
      </c>
      <c r="C458" s="309">
        <v>46083</v>
      </c>
      <c r="D458" s="310" t="s">
        <v>430</v>
      </c>
      <c r="E458" s="342">
        <v>185.64</v>
      </c>
      <c r="F458" s="342">
        <v>185.64</v>
      </c>
      <c r="G458" s="344">
        <f t="shared" si="4"/>
        <v>2541.579999999989</v>
      </c>
      <c r="H458" s="345"/>
      <c r="I458" s="346"/>
      <c r="J458" s="347"/>
      <c r="K458" s="312"/>
      <c r="L458" s="347"/>
      <c r="M458" s="312"/>
      <c r="N458" s="347"/>
      <c r="O458" s="312"/>
      <c r="P458" s="347"/>
      <c r="Q458" s="312"/>
      <c r="R458" s="347"/>
      <c r="S458" s="312"/>
      <c r="T458" s="347"/>
    </row>
    <row r="459" spans="1:20" ht="12" customHeight="1" x14ac:dyDescent="0.3">
      <c r="A459" s="340" t="s">
        <v>289</v>
      </c>
      <c r="B459" s="341">
        <v>2</v>
      </c>
      <c r="C459" s="309">
        <v>46083</v>
      </c>
      <c r="D459" s="310" t="s">
        <v>431</v>
      </c>
      <c r="E459" s="342">
        <v>70.12</v>
      </c>
      <c r="F459" s="342"/>
      <c r="G459" s="344">
        <f t="shared" si="4"/>
        <v>2541.579999999989</v>
      </c>
      <c r="H459" s="345"/>
      <c r="I459" s="346"/>
      <c r="J459" s="347"/>
      <c r="K459" s="312"/>
      <c r="L459" s="347"/>
      <c r="M459" s="312"/>
      <c r="N459" s="347"/>
      <c r="O459" s="312"/>
      <c r="P459" s="347"/>
      <c r="Q459" s="312"/>
      <c r="R459" s="347"/>
      <c r="S459" s="312"/>
      <c r="T459" s="347"/>
    </row>
    <row r="460" spans="1:20" ht="12" customHeight="1" x14ac:dyDescent="0.3">
      <c r="A460" s="340" t="s">
        <v>294</v>
      </c>
      <c r="B460" s="341">
        <v>17</v>
      </c>
      <c r="C460" s="309">
        <v>46083</v>
      </c>
      <c r="D460" s="310" t="s">
        <v>188</v>
      </c>
      <c r="E460" s="342">
        <v>41.44</v>
      </c>
      <c r="F460" s="342"/>
      <c r="G460" s="344">
        <f t="shared" si="4"/>
        <v>2611.6999999999889</v>
      </c>
      <c r="H460" s="345"/>
      <c r="I460" s="346"/>
      <c r="J460" s="347"/>
      <c r="K460" s="312"/>
      <c r="L460" s="347"/>
      <c r="M460" s="312"/>
      <c r="N460" s="347"/>
      <c r="O460" s="312"/>
      <c r="P460" s="347"/>
      <c r="Q460" s="312"/>
      <c r="R460" s="347"/>
      <c r="S460" s="312"/>
      <c r="T460" s="347"/>
    </row>
    <row r="461" spans="1:20" ht="12" customHeight="1" x14ac:dyDescent="0.3">
      <c r="A461" s="340" t="s">
        <v>289</v>
      </c>
      <c r="B461" s="341">
        <v>8</v>
      </c>
      <c r="C461" s="309">
        <v>46083</v>
      </c>
      <c r="D461" s="310" t="s">
        <v>296</v>
      </c>
      <c r="E461" s="342">
        <v>8.7200000000000006</v>
      </c>
      <c r="F461" s="342"/>
      <c r="G461" s="344">
        <f t="shared" si="4"/>
        <v>2653.139999999989</v>
      </c>
      <c r="H461" s="345"/>
      <c r="I461" s="346"/>
      <c r="J461" s="347"/>
      <c r="K461" s="312"/>
      <c r="L461" s="347"/>
      <c r="M461" s="312"/>
      <c r="N461" s="347"/>
      <c r="O461" s="312"/>
      <c r="P461" s="347"/>
      <c r="Q461" s="312"/>
      <c r="R461" s="347"/>
      <c r="S461" s="312"/>
      <c r="T461" s="347"/>
    </row>
    <row r="462" spans="1:20" ht="12" customHeight="1" x14ac:dyDescent="0.3">
      <c r="A462" s="340" t="s">
        <v>294</v>
      </c>
      <c r="B462" s="341">
        <v>22</v>
      </c>
      <c r="C462" s="309">
        <v>46082</v>
      </c>
      <c r="D462" s="310" t="s">
        <v>379</v>
      </c>
      <c r="E462" s="342">
        <v>6.37</v>
      </c>
      <c r="F462" s="342"/>
      <c r="G462" s="344">
        <f t="shared" si="4"/>
        <v>2661.8599999999888</v>
      </c>
      <c r="H462" s="345"/>
      <c r="I462" s="346"/>
      <c r="J462" s="347"/>
      <c r="K462" s="312"/>
      <c r="L462" s="347"/>
      <c r="M462" s="312"/>
      <c r="N462" s="347"/>
      <c r="O462" s="312"/>
      <c r="P462" s="347"/>
      <c r="Q462" s="312"/>
      <c r="R462" s="347"/>
      <c r="S462" s="312"/>
      <c r="T462" s="347"/>
    </row>
    <row r="463" spans="1:20" ht="12" customHeight="1" x14ac:dyDescent="0.3">
      <c r="A463" s="340" t="s">
        <v>289</v>
      </c>
      <c r="B463" s="341">
        <v>2</v>
      </c>
      <c r="C463" s="309">
        <v>46082</v>
      </c>
      <c r="D463" s="310" t="s">
        <v>296</v>
      </c>
      <c r="E463" s="342">
        <v>9.8699999999999992</v>
      </c>
      <c r="F463" s="342"/>
      <c r="G463" s="344">
        <f t="shared" si="4"/>
        <v>2668.2299999999886</v>
      </c>
      <c r="H463" s="345"/>
      <c r="I463" s="346"/>
      <c r="J463" s="347"/>
      <c r="K463" s="312"/>
      <c r="L463" s="347"/>
      <c r="M463" s="312"/>
      <c r="N463" s="347"/>
      <c r="O463" s="312"/>
      <c r="P463" s="347"/>
      <c r="Q463" s="312"/>
      <c r="R463" s="347"/>
      <c r="S463" s="312"/>
      <c r="T463" s="347"/>
    </row>
    <row r="464" spans="1:20" ht="12" customHeight="1" x14ac:dyDescent="0.3">
      <c r="A464" s="340" t="s">
        <v>289</v>
      </c>
      <c r="B464" s="341">
        <v>1</v>
      </c>
      <c r="C464" s="309">
        <v>46082</v>
      </c>
      <c r="D464" s="310" t="s">
        <v>312</v>
      </c>
      <c r="E464" s="342">
        <v>119.55</v>
      </c>
      <c r="F464" s="342"/>
      <c r="G464" s="344">
        <f t="shared" si="4"/>
        <v>2678.0999999999885</v>
      </c>
      <c r="H464" s="345"/>
      <c r="I464" s="346"/>
      <c r="J464" s="347"/>
      <c r="K464" s="312"/>
      <c r="L464" s="347"/>
      <c r="M464" s="312"/>
      <c r="N464" s="347"/>
      <c r="O464" s="312"/>
      <c r="P464" s="347"/>
      <c r="Q464" s="312"/>
      <c r="R464" s="347"/>
      <c r="S464" s="312"/>
      <c r="T464" s="347"/>
    </row>
    <row r="465" spans="1:20" ht="12" customHeight="1" x14ac:dyDescent="0.3">
      <c r="A465" s="340" t="s">
        <v>289</v>
      </c>
      <c r="B465" s="341">
        <v>3</v>
      </c>
      <c r="C465" s="309">
        <v>46082</v>
      </c>
      <c r="D465" s="310" t="s">
        <v>352</v>
      </c>
      <c r="E465" s="342">
        <v>25</v>
      </c>
      <c r="F465" s="342"/>
      <c r="G465" s="344">
        <f t="shared" si="4"/>
        <v>2797.6499999999887</v>
      </c>
      <c r="H465" s="345"/>
      <c r="I465" s="346"/>
      <c r="J465" s="347"/>
      <c r="K465" s="312"/>
      <c r="L465" s="347"/>
      <c r="M465" s="312"/>
      <c r="N465" s="347"/>
      <c r="O465" s="312"/>
      <c r="P465" s="347"/>
      <c r="Q465" s="312"/>
      <c r="R465" s="347"/>
      <c r="S465" s="312"/>
      <c r="T465" s="347"/>
    </row>
    <row r="466" spans="1:20" ht="12" customHeight="1" x14ac:dyDescent="0.3">
      <c r="A466" s="340" t="s">
        <v>289</v>
      </c>
      <c r="B466" s="341">
        <v>1</v>
      </c>
      <c r="C466" s="309">
        <v>46082</v>
      </c>
      <c r="D466" s="310" t="s">
        <v>304</v>
      </c>
      <c r="E466" s="342">
        <v>119.17</v>
      </c>
      <c r="F466" s="342"/>
      <c r="G466" s="344">
        <f t="shared" si="4"/>
        <v>2822.6499999999887</v>
      </c>
      <c r="H466" s="345"/>
      <c r="I466" s="346"/>
      <c r="J466" s="347"/>
      <c r="K466" s="312"/>
      <c r="L466" s="347"/>
      <c r="M466" s="312"/>
      <c r="N466" s="347"/>
      <c r="O466" s="312"/>
      <c r="P466" s="347"/>
      <c r="Q466" s="312"/>
      <c r="R466" s="347"/>
      <c r="S466" s="312"/>
      <c r="T466" s="347"/>
    </row>
    <row r="467" spans="1:20" ht="12" customHeight="1" x14ac:dyDescent="0.3">
      <c r="A467" s="340" t="s">
        <v>284</v>
      </c>
      <c r="B467" s="341">
        <v>37</v>
      </c>
      <c r="C467" s="309">
        <v>46081</v>
      </c>
      <c r="D467" s="310" t="s">
        <v>432</v>
      </c>
      <c r="E467" s="342">
        <v>3764.91</v>
      </c>
      <c r="F467" s="342"/>
      <c r="G467" s="344">
        <f t="shared" si="4"/>
        <v>2941.8199999999888</v>
      </c>
      <c r="H467" s="345"/>
      <c r="I467" s="346"/>
      <c r="J467" s="347"/>
      <c r="K467" s="312"/>
      <c r="L467" s="347"/>
      <c r="M467" s="312"/>
      <c r="N467" s="347"/>
      <c r="O467" s="312"/>
      <c r="P467" s="347"/>
      <c r="Q467" s="312"/>
      <c r="R467" s="347"/>
      <c r="S467" s="312"/>
      <c r="T467" s="347"/>
    </row>
    <row r="468" spans="1:20" ht="12" customHeight="1" x14ac:dyDescent="0.3">
      <c r="A468" s="340" t="s">
        <v>286</v>
      </c>
      <c r="B468" s="341">
        <v>25</v>
      </c>
      <c r="C468" s="309">
        <v>46081</v>
      </c>
      <c r="D468" s="309" t="s">
        <v>204</v>
      </c>
      <c r="E468" s="342">
        <v>350</v>
      </c>
      <c r="F468" s="342"/>
      <c r="G468" s="344">
        <f t="shared" si="4"/>
        <v>6706.7299999999886</v>
      </c>
      <c r="H468" s="345"/>
      <c r="I468" s="346"/>
      <c r="J468" s="347"/>
      <c r="K468" s="312"/>
      <c r="L468" s="347"/>
      <c r="M468" s="312"/>
      <c r="N468" s="347"/>
      <c r="O468" s="312"/>
      <c r="P468" s="347"/>
      <c r="Q468" s="312"/>
      <c r="R468" s="347"/>
      <c r="S468" s="312"/>
      <c r="T468" s="347"/>
    </row>
    <row r="469" spans="1:20" ht="12" customHeight="1" x14ac:dyDescent="0.3">
      <c r="A469" s="340" t="s">
        <v>286</v>
      </c>
      <c r="B469" s="341">
        <v>26</v>
      </c>
      <c r="C469" s="309">
        <v>46081</v>
      </c>
      <c r="D469" s="309" t="s">
        <v>205</v>
      </c>
      <c r="E469" s="342">
        <v>320</v>
      </c>
      <c r="F469" s="342"/>
      <c r="G469" s="344">
        <f t="shared" si="4"/>
        <v>7056.7299999999886</v>
      </c>
      <c r="H469" s="345"/>
      <c r="I469" s="346"/>
      <c r="J469" s="347"/>
      <c r="K469" s="312"/>
      <c r="L469" s="347"/>
      <c r="M469" s="312"/>
      <c r="N469" s="347"/>
      <c r="O469" s="312"/>
      <c r="P469" s="347"/>
      <c r="Q469" s="312"/>
      <c r="R469" s="347"/>
      <c r="S469" s="312"/>
      <c r="T469" s="347"/>
    </row>
    <row r="470" spans="1:20" ht="12" customHeight="1" x14ac:dyDescent="0.3">
      <c r="A470" s="340" t="s">
        <v>286</v>
      </c>
      <c r="B470" s="341">
        <v>27</v>
      </c>
      <c r="C470" s="309">
        <v>46081</v>
      </c>
      <c r="D470" s="309" t="s">
        <v>206</v>
      </c>
      <c r="E470" s="342">
        <v>25</v>
      </c>
      <c r="F470" s="342"/>
      <c r="G470" s="344">
        <f t="shared" si="4"/>
        <v>7376.7299999999886</v>
      </c>
      <c r="H470" s="345"/>
      <c r="I470" s="346"/>
      <c r="J470" s="347"/>
      <c r="K470" s="312"/>
      <c r="L470" s="347"/>
      <c r="M470" s="312"/>
      <c r="N470" s="347"/>
      <c r="O470" s="312"/>
      <c r="P470" s="347"/>
      <c r="Q470" s="312"/>
      <c r="R470" s="347"/>
      <c r="S470" s="312"/>
      <c r="T470" s="347"/>
    </row>
    <row r="471" spans="1:20" ht="12" customHeight="1" x14ac:dyDescent="0.3">
      <c r="A471" s="340" t="s">
        <v>286</v>
      </c>
      <c r="B471" s="341">
        <v>28</v>
      </c>
      <c r="C471" s="309">
        <v>46081</v>
      </c>
      <c r="D471" s="309" t="s">
        <v>207</v>
      </c>
      <c r="E471" s="342">
        <v>25</v>
      </c>
      <c r="F471" s="342"/>
      <c r="G471" s="344">
        <f t="shared" si="4"/>
        <v>7401.7299999999886</v>
      </c>
      <c r="H471" s="345"/>
      <c r="I471" s="346"/>
      <c r="J471" s="347"/>
      <c r="K471" s="312"/>
      <c r="L471" s="347"/>
      <c r="M471" s="312"/>
      <c r="N471" s="347"/>
      <c r="O471" s="312"/>
      <c r="P471" s="347"/>
      <c r="Q471" s="312"/>
      <c r="R471" s="347"/>
      <c r="S471" s="312"/>
      <c r="T471" s="347"/>
    </row>
    <row r="472" spans="1:20" ht="12" customHeight="1" x14ac:dyDescent="0.3">
      <c r="A472" s="340" t="s">
        <v>286</v>
      </c>
      <c r="B472" s="341">
        <v>29</v>
      </c>
      <c r="C472" s="309">
        <v>46081</v>
      </c>
      <c r="D472" s="309" t="s">
        <v>208</v>
      </c>
      <c r="E472" s="342">
        <v>45</v>
      </c>
      <c r="F472" s="342"/>
      <c r="G472" s="344">
        <f t="shared" si="4"/>
        <v>7426.7299999999886</v>
      </c>
      <c r="H472" s="345"/>
      <c r="I472" s="346"/>
      <c r="J472" s="347"/>
      <c r="K472" s="312"/>
      <c r="L472" s="347"/>
      <c r="M472" s="312"/>
      <c r="N472" s="347"/>
      <c r="O472" s="312"/>
      <c r="P472" s="347"/>
      <c r="Q472" s="312"/>
      <c r="R472" s="347"/>
      <c r="S472" s="312"/>
      <c r="T472" s="347"/>
    </row>
    <row r="473" spans="1:20" ht="12" customHeight="1" x14ac:dyDescent="0.3">
      <c r="A473" s="340" t="s">
        <v>286</v>
      </c>
      <c r="B473" s="341">
        <v>30</v>
      </c>
      <c r="C473" s="309">
        <v>46081</v>
      </c>
      <c r="D473" s="309" t="s">
        <v>209</v>
      </c>
      <c r="E473" s="342">
        <v>400</v>
      </c>
      <c r="F473" s="342"/>
      <c r="G473" s="344">
        <f t="shared" si="4"/>
        <v>7471.7299999999886</v>
      </c>
      <c r="H473" s="345"/>
      <c r="I473" s="346"/>
      <c r="J473" s="347"/>
      <c r="K473" s="312"/>
      <c r="L473" s="347"/>
      <c r="M473" s="312"/>
      <c r="N473" s="347"/>
      <c r="O473" s="312"/>
      <c r="P473" s="347"/>
      <c r="Q473" s="312"/>
      <c r="R473" s="347"/>
      <c r="S473" s="312"/>
      <c r="T473" s="347"/>
    </row>
    <row r="474" spans="1:20" ht="12" customHeight="1" x14ac:dyDescent="0.3">
      <c r="A474" s="340" t="s">
        <v>286</v>
      </c>
      <c r="B474" s="341">
        <v>31</v>
      </c>
      <c r="C474" s="309">
        <v>46081</v>
      </c>
      <c r="D474" s="309" t="s">
        <v>210</v>
      </c>
      <c r="E474" s="342">
        <v>375</v>
      </c>
      <c r="F474" s="342"/>
      <c r="G474" s="344">
        <f t="shared" si="4"/>
        <v>7871.7299999999886</v>
      </c>
      <c r="H474" s="345"/>
      <c r="I474" s="346"/>
      <c r="J474" s="347"/>
      <c r="K474" s="312"/>
      <c r="L474" s="347"/>
      <c r="M474" s="312"/>
      <c r="N474" s="347"/>
      <c r="O474" s="312"/>
      <c r="P474" s="347"/>
      <c r="Q474" s="312"/>
      <c r="R474" s="347"/>
      <c r="S474" s="312"/>
      <c r="T474" s="347"/>
    </row>
    <row r="475" spans="1:20" ht="12" customHeight="1" x14ac:dyDescent="0.3">
      <c r="A475" s="340" t="s">
        <v>286</v>
      </c>
      <c r="B475" s="341">
        <v>32</v>
      </c>
      <c r="C475" s="309">
        <v>46081</v>
      </c>
      <c r="D475" s="309" t="s">
        <v>211</v>
      </c>
      <c r="E475" s="342">
        <v>100</v>
      </c>
      <c r="F475" s="342"/>
      <c r="G475" s="344">
        <f t="shared" si="4"/>
        <v>8246.7299999999886</v>
      </c>
      <c r="H475" s="345"/>
      <c r="I475" s="346"/>
      <c r="J475" s="347"/>
      <c r="K475" s="312"/>
      <c r="L475" s="347"/>
      <c r="M475" s="312"/>
      <c r="N475" s="347"/>
      <c r="O475" s="312"/>
      <c r="P475" s="347"/>
      <c r="Q475" s="312"/>
      <c r="R475" s="347"/>
      <c r="S475" s="312"/>
      <c r="T475" s="347"/>
    </row>
    <row r="476" spans="1:20" ht="12" customHeight="1" x14ac:dyDescent="0.3">
      <c r="A476" s="340" t="s">
        <v>286</v>
      </c>
      <c r="B476" s="341">
        <v>33</v>
      </c>
      <c r="C476" s="309">
        <v>46081</v>
      </c>
      <c r="D476" s="309" t="s">
        <v>212</v>
      </c>
      <c r="E476" s="342">
        <v>85</v>
      </c>
      <c r="F476" s="342"/>
      <c r="G476" s="344">
        <f t="shared" si="4"/>
        <v>8346.7299999999886</v>
      </c>
      <c r="H476" s="345"/>
      <c r="I476" s="346"/>
      <c r="J476" s="347"/>
      <c r="K476" s="312"/>
      <c r="L476" s="347"/>
      <c r="M476" s="312"/>
      <c r="N476" s="347"/>
      <c r="O476" s="312"/>
      <c r="P476" s="347"/>
      <c r="Q476" s="312"/>
      <c r="R476" s="347"/>
      <c r="S476" s="312"/>
      <c r="T476" s="347"/>
    </row>
    <row r="477" spans="1:20" ht="12" customHeight="1" x14ac:dyDescent="0.3">
      <c r="A477" s="340" t="s">
        <v>286</v>
      </c>
      <c r="B477" s="341">
        <v>34</v>
      </c>
      <c r="C477" s="309">
        <v>46081</v>
      </c>
      <c r="D477" s="309" t="s">
        <v>213</v>
      </c>
      <c r="E477" s="342">
        <v>230</v>
      </c>
      <c r="F477" s="342"/>
      <c r="G477" s="344">
        <f t="shared" si="4"/>
        <v>8431.7299999999886</v>
      </c>
      <c r="H477" s="345"/>
      <c r="I477" s="346"/>
      <c r="J477" s="347"/>
      <c r="K477" s="312"/>
      <c r="L477" s="347"/>
      <c r="M477" s="312"/>
      <c r="N477" s="347"/>
      <c r="O477" s="312"/>
      <c r="P477" s="347"/>
      <c r="Q477" s="312"/>
      <c r="R477" s="347"/>
      <c r="S477" s="312"/>
      <c r="T477" s="347"/>
    </row>
    <row r="478" spans="1:20" ht="12" customHeight="1" x14ac:dyDescent="0.3">
      <c r="A478" s="340" t="s">
        <v>286</v>
      </c>
      <c r="B478" s="341">
        <v>35</v>
      </c>
      <c r="C478" s="309">
        <v>46081</v>
      </c>
      <c r="D478" s="309" t="s">
        <v>214</v>
      </c>
      <c r="E478" s="342">
        <v>45</v>
      </c>
      <c r="F478" s="342"/>
      <c r="G478" s="344">
        <f t="shared" si="4"/>
        <v>8661.7299999999886</v>
      </c>
      <c r="H478" s="345"/>
      <c r="I478" s="346"/>
      <c r="J478" s="347"/>
      <c r="K478" s="312"/>
      <c r="L478" s="347"/>
      <c r="M478" s="312"/>
      <c r="N478" s="347"/>
      <c r="O478" s="312"/>
      <c r="P478" s="347"/>
      <c r="Q478" s="312"/>
      <c r="R478" s="347"/>
      <c r="S478" s="312"/>
      <c r="T478" s="347"/>
    </row>
    <row r="479" spans="1:20" ht="12" customHeight="1" x14ac:dyDescent="0.3">
      <c r="A479" s="340" t="s">
        <v>294</v>
      </c>
      <c r="B479" s="341">
        <v>42</v>
      </c>
      <c r="C479" s="309">
        <v>46081</v>
      </c>
      <c r="D479" s="309" t="s">
        <v>200</v>
      </c>
      <c r="E479" s="342">
        <v>51.19</v>
      </c>
      <c r="F479" s="342"/>
      <c r="G479" s="344">
        <f t="shared" si="4"/>
        <v>8706.7299999999886</v>
      </c>
      <c r="H479" s="345"/>
      <c r="I479" s="346"/>
      <c r="J479" s="347"/>
      <c r="K479" s="312"/>
      <c r="L479" s="347"/>
      <c r="M479" s="312"/>
      <c r="N479" s="347"/>
      <c r="O479" s="312"/>
      <c r="P479" s="347"/>
      <c r="Q479" s="312"/>
      <c r="R479" s="347"/>
      <c r="S479" s="312"/>
      <c r="T479" s="347"/>
    </row>
    <row r="480" spans="1:20" ht="12" customHeight="1" x14ac:dyDescent="0.3">
      <c r="A480" s="340" t="s">
        <v>294</v>
      </c>
      <c r="B480" s="341">
        <v>43</v>
      </c>
      <c r="C480" s="309">
        <v>46081</v>
      </c>
      <c r="D480" s="309" t="s">
        <v>201</v>
      </c>
      <c r="E480" s="342">
        <v>37.17</v>
      </c>
      <c r="F480" s="342"/>
      <c r="G480" s="344">
        <f t="shared" si="4"/>
        <v>8757.9199999999892</v>
      </c>
      <c r="H480" s="345"/>
      <c r="I480" s="346"/>
      <c r="J480" s="347"/>
      <c r="K480" s="312"/>
      <c r="L480" s="347"/>
      <c r="M480" s="312"/>
      <c r="N480" s="347"/>
      <c r="O480" s="312"/>
      <c r="P480" s="347"/>
      <c r="Q480" s="312"/>
      <c r="R480" s="347"/>
      <c r="S480" s="312"/>
      <c r="T480" s="347"/>
    </row>
    <row r="481" spans="1:20" ht="12" customHeight="1" x14ac:dyDescent="0.3">
      <c r="A481" s="340" t="s">
        <v>294</v>
      </c>
      <c r="B481" s="341">
        <v>10</v>
      </c>
      <c r="C481" s="309">
        <v>46081</v>
      </c>
      <c r="D481" s="309" t="s">
        <v>176</v>
      </c>
      <c r="E481" s="342">
        <v>17.899999999999999</v>
      </c>
      <c r="F481" s="342"/>
      <c r="G481" s="344">
        <f t="shared" si="4"/>
        <v>8795.0899999999892</v>
      </c>
      <c r="H481" s="345"/>
      <c r="I481" s="346"/>
      <c r="J481" s="347"/>
      <c r="K481" s="312"/>
      <c r="L481" s="347"/>
      <c r="M481" s="312"/>
      <c r="N481" s="347"/>
      <c r="O481" s="312"/>
      <c r="P481" s="347"/>
      <c r="Q481" s="312"/>
      <c r="R481" s="347"/>
      <c r="S481" s="312"/>
      <c r="T481" s="347"/>
    </row>
    <row r="482" spans="1:20" ht="12" customHeight="1" x14ac:dyDescent="0.3">
      <c r="A482" s="340" t="s">
        <v>289</v>
      </c>
      <c r="B482" s="341">
        <v>2</v>
      </c>
      <c r="C482" s="309">
        <v>46080</v>
      </c>
      <c r="D482" s="309" t="s">
        <v>362</v>
      </c>
      <c r="E482" s="342">
        <v>11.17</v>
      </c>
      <c r="F482" s="342"/>
      <c r="G482" s="344">
        <f t="shared" si="4"/>
        <v>8812.9899999999889</v>
      </c>
      <c r="H482" s="345"/>
      <c r="I482" s="346"/>
      <c r="J482" s="347"/>
      <c r="K482" s="312"/>
      <c r="L482" s="347"/>
      <c r="M482" s="312"/>
      <c r="N482" s="347"/>
      <c r="O482" s="312"/>
      <c r="P482" s="347"/>
      <c r="Q482" s="312"/>
      <c r="R482" s="347"/>
      <c r="S482" s="312"/>
      <c r="T482" s="347"/>
    </row>
    <row r="483" spans="1:20" ht="12" customHeight="1" x14ac:dyDescent="0.3">
      <c r="A483" s="340" t="s">
        <v>289</v>
      </c>
      <c r="B483" s="341">
        <v>2</v>
      </c>
      <c r="C483" s="309">
        <v>46080</v>
      </c>
      <c r="D483" s="310" t="s">
        <v>433</v>
      </c>
      <c r="E483" s="342">
        <v>25</v>
      </c>
      <c r="F483" s="342"/>
      <c r="G483" s="344">
        <f t="shared" si="4"/>
        <v>8824.1599999999889</v>
      </c>
      <c r="H483" s="345"/>
      <c r="I483" s="346"/>
      <c r="J483" s="347"/>
      <c r="K483" s="312"/>
      <c r="L483" s="347"/>
      <c r="M483" s="312"/>
      <c r="N483" s="347"/>
      <c r="O483" s="312"/>
      <c r="P483" s="347"/>
      <c r="Q483" s="312"/>
      <c r="R483" s="347"/>
      <c r="S483" s="312"/>
      <c r="T483" s="347"/>
    </row>
    <row r="484" spans="1:20" ht="12" customHeight="1" x14ac:dyDescent="0.3">
      <c r="A484" s="340" t="s">
        <v>289</v>
      </c>
      <c r="B484" s="341">
        <v>2</v>
      </c>
      <c r="C484" s="309">
        <v>46080</v>
      </c>
      <c r="D484" s="310" t="s">
        <v>362</v>
      </c>
      <c r="E484" s="342">
        <v>22.84</v>
      </c>
      <c r="F484" s="342"/>
      <c r="G484" s="344">
        <f t="shared" si="4"/>
        <v>8849.1599999999889</v>
      </c>
      <c r="H484" s="345"/>
      <c r="I484" s="346"/>
      <c r="J484" s="347"/>
      <c r="K484" s="312"/>
      <c r="L484" s="347"/>
      <c r="M484" s="312"/>
      <c r="N484" s="347"/>
      <c r="O484" s="312"/>
      <c r="P484" s="347"/>
      <c r="Q484" s="312"/>
      <c r="R484" s="347"/>
      <c r="S484" s="312"/>
      <c r="T484" s="347"/>
    </row>
    <row r="485" spans="1:20" ht="12" customHeight="1" x14ac:dyDescent="0.3">
      <c r="A485" s="340" t="s">
        <v>289</v>
      </c>
      <c r="B485" s="341">
        <v>6</v>
      </c>
      <c r="C485" s="309">
        <v>46080</v>
      </c>
      <c r="D485" s="310" t="s">
        <v>434</v>
      </c>
      <c r="E485" s="342">
        <v>-88</v>
      </c>
      <c r="F485" s="342"/>
      <c r="G485" s="344">
        <f t="shared" si="4"/>
        <v>8871.9999999999891</v>
      </c>
      <c r="H485" s="345"/>
      <c r="I485" s="346"/>
      <c r="J485" s="347"/>
      <c r="K485" s="312"/>
      <c r="L485" s="347"/>
      <c r="M485" s="312"/>
      <c r="N485" s="347"/>
      <c r="O485" s="312"/>
      <c r="P485" s="347"/>
      <c r="Q485" s="312"/>
      <c r="R485" s="347"/>
      <c r="S485" s="312"/>
      <c r="T485" s="347"/>
    </row>
    <row r="486" spans="1:20" ht="12" customHeight="1" x14ac:dyDescent="0.3">
      <c r="A486" s="340" t="s">
        <v>291</v>
      </c>
      <c r="B486" s="341">
        <v>38</v>
      </c>
      <c r="C486" s="309">
        <v>46080</v>
      </c>
      <c r="D486" s="310" t="s">
        <v>293</v>
      </c>
      <c r="E486" s="342"/>
      <c r="F486" s="342">
        <v>4278.1499999999996</v>
      </c>
      <c r="G486" s="344">
        <f t="shared" si="4"/>
        <v>8783.9999999999891</v>
      </c>
      <c r="H486" s="345"/>
      <c r="I486" s="346"/>
      <c r="J486" s="347"/>
      <c r="K486" s="312"/>
      <c r="L486" s="347"/>
      <c r="M486" s="312"/>
      <c r="N486" s="347"/>
      <c r="O486" s="312"/>
      <c r="P486" s="347"/>
      <c r="Q486" s="312"/>
      <c r="R486" s="347"/>
      <c r="S486" s="312"/>
      <c r="T486" s="347"/>
    </row>
    <row r="487" spans="1:20" ht="12" customHeight="1" x14ac:dyDescent="0.3">
      <c r="A487" s="340" t="s">
        <v>289</v>
      </c>
      <c r="B487" s="341">
        <v>6</v>
      </c>
      <c r="C487" s="309">
        <v>46080</v>
      </c>
      <c r="D487" s="310" t="s">
        <v>435</v>
      </c>
      <c r="E487" s="342">
        <v>25.93</v>
      </c>
      <c r="F487" s="342"/>
      <c r="G487" s="344">
        <f t="shared" si="4"/>
        <v>4505.8499999999904</v>
      </c>
      <c r="H487" s="345"/>
      <c r="I487" s="346"/>
      <c r="J487" s="347"/>
      <c r="K487" s="312"/>
      <c r="L487" s="347"/>
      <c r="M487" s="312"/>
      <c r="N487" s="347"/>
      <c r="O487" s="312"/>
      <c r="P487" s="347"/>
      <c r="Q487" s="312"/>
      <c r="R487" s="347"/>
      <c r="S487" s="312"/>
      <c r="T487" s="347"/>
    </row>
    <row r="488" spans="1:20" ht="12" customHeight="1" x14ac:dyDescent="0.3">
      <c r="A488" s="340" t="s">
        <v>289</v>
      </c>
      <c r="B488" s="341">
        <v>4</v>
      </c>
      <c r="C488" s="309">
        <v>46079</v>
      </c>
      <c r="D488" s="310" t="s">
        <v>311</v>
      </c>
      <c r="E488" s="342">
        <v>29.84</v>
      </c>
      <c r="F488" s="342"/>
      <c r="G488" s="344">
        <f t="shared" si="4"/>
        <v>4531.7799999999907</v>
      </c>
      <c r="H488" s="345"/>
      <c r="I488" s="346"/>
      <c r="J488" s="347"/>
      <c r="K488" s="312"/>
      <c r="L488" s="347"/>
      <c r="M488" s="312"/>
      <c r="N488" s="347"/>
      <c r="O488" s="312"/>
      <c r="P488" s="347"/>
      <c r="Q488" s="312"/>
      <c r="R488" s="347"/>
      <c r="S488" s="312"/>
      <c r="T488" s="347"/>
    </row>
    <row r="489" spans="1:20" ht="12" customHeight="1" x14ac:dyDescent="0.3">
      <c r="A489" s="340" t="s">
        <v>289</v>
      </c>
      <c r="B489" s="341">
        <v>5</v>
      </c>
      <c r="C489" s="309">
        <v>46079</v>
      </c>
      <c r="D489" s="310" t="s">
        <v>436</v>
      </c>
      <c r="E489" s="342">
        <v>103.25</v>
      </c>
      <c r="F489" s="342"/>
      <c r="G489" s="344">
        <f t="shared" si="4"/>
        <v>4561.6199999999908</v>
      </c>
      <c r="H489" s="345"/>
      <c r="I489" s="346"/>
      <c r="J489" s="347"/>
      <c r="K489" s="312"/>
      <c r="L489" s="347"/>
      <c r="M489" s="312"/>
      <c r="N489" s="347"/>
      <c r="O489" s="312"/>
      <c r="P489" s="347"/>
      <c r="Q489" s="312"/>
      <c r="R489" s="347"/>
      <c r="S489" s="312"/>
      <c r="T489" s="347"/>
    </row>
    <row r="490" spans="1:20" ht="12" customHeight="1" x14ac:dyDescent="0.3">
      <c r="A490" s="340" t="s">
        <v>289</v>
      </c>
      <c r="B490" s="341">
        <v>8</v>
      </c>
      <c r="C490" s="309">
        <v>46079</v>
      </c>
      <c r="D490" s="310" t="s">
        <v>361</v>
      </c>
      <c r="E490" s="342">
        <v>26.02</v>
      </c>
      <c r="F490" s="342"/>
      <c r="G490" s="344">
        <f t="shared" si="4"/>
        <v>4664.8699999999908</v>
      </c>
      <c r="H490" s="345"/>
      <c r="I490" s="346"/>
      <c r="J490" s="347"/>
      <c r="K490" s="312"/>
      <c r="L490" s="347"/>
      <c r="M490" s="312"/>
      <c r="N490" s="347"/>
      <c r="O490" s="312"/>
      <c r="P490" s="347"/>
      <c r="Q490" s="312"/>
      <c r="R490" s="347"/>
      <c r="S490" s="312"/>
      <c r="T490" s="347"/>
    </row>
    <row r="491" spans="1:20" ht="12" customHeight="1" x14ac:dyDescent="0.3">
      <c r="A491" s="340" t="s">
        <v>294</v>
      </c>
      <c r="B491" s="341">
        <v>24</v>
      </c>
      <c r="C491" s="309">
        <v>46079</v>
      </c>
      <c r="D491" s="310" t="s">
        <v>437</v>
      </c>
      <c r="E491" s="342">
        <v>84.83</v>
      </c>
      <c r="F491" s="342"/>
      <c r="G491" s="344">
        <f t="shared" si="4"/>
        <v>4690.8899999999912</v>
      </c>
      <c r="H491" s="345"/>
      <c r="I491" s="346"/>
      <c r="J491" s="347"/>
      <c r="K491" s="312"/>
      <c r="L491" s="347"/>
      <c r="M491" s="312"/>
      <c r="N491" s="347"/>
      <c r="O491" s="312"/>
      <c r="P491" s="347"/>
      <c r="Q491" s="312"/>
      <c r="R491" s="347"/>
      <c r="S491" s="312"/>
      <c r="T491" s="347"/>
    </row>
    <row r="492" spans="1:20" ht="12" customHeight="1" x14ac:dyDescent="0.3">
      <c r="A492" s="340" t="s">
        <v>289</v>
      </c>
      <c r="B492" s="341">
        <v>2</v>
      </c>
      <c r="C492" s="309">
        <v>46079</v>
      </c>
      <c r="D492" s="310" t="s">
        <v>296</v>
      </c>
      <c r="E492" s="342">
        <v>17.87</v>
      </c>
      <c r="F492" s="342"/>
      <c r="G492" s="344">
        <f t="shared" si="4"/>
        <v>4775.7199999999912</v>
      </c>
      <c r="H492" s="345"/>
      <c r="I492" s="346"/>
      <c r="J492" s="347"/>
      <c r="K492" s="312"/>
      <c r="L492" s="347"/>
      <c r="M492" s="312"/>
      <c r="N492" s="347"/>
      <c r="O492" s="312"/>
      <c r="P492" s="347"/>
      <c r="Q492" s="312"/>
      <c r="R492" s="347"/>
      <c r="S492" s="312"/>
      <c r="T492" s="347"/>
    </row>
    <row r="493" spans="1:20" ht="12" customHeight="1" x14ac:dyDescent="0.3">
      <c r="A493" s="340" t="s">
        <v>289</v>
      </c>
      <c r="B493" s="341">
        <v>5</v>
      </c>
      <c r="C493" s="309">
        <v>46079</v>
      </c>
      <c r="D493" s="310" t="s">
        <v>438</v>
      </c>
      <c r="E493" s="342">
        <v>123.64</v>
      </c>
      <c r="F493" s="342"/>
      <c r="G493" s="344">
        <f t="shared" si="4"/>
        <v>4793.5899999999911</v>
      </c>
      <c r="H493" s="345"/>
      <c r="I493" s="346"/>
      <c r="J493" s="347"/>
      <c r="K493" s="312"/>
      <c r="L493" s="347"/>
      <c r="M493" s="312"/>
      <c r="N493" s="347"/>
      <c r="O493" s="312"/>
      <c r="P493" s="347"/>
      <c r="Q493" s="312"/>
      <c r="R493" s="347"/>
      <c r="S493" s="312"/>
      <c r="T493" s="347"/>
    </row>
    <row r="494" spans="1:20" ht="12" customHeight="1" x14ac:dyDescent="0.3">
      <c r="A494" s="340" t="s">
        <v>289</v>
      </c>
      <c r="B494" s="341">
        <v>8</v>
      </c>
      <c r="C494" s="309">
        <v>46078</v>
      </c>
      <c r="D494" s="310" t="s">
        <v>321</v>
      </c>
      <c r="E494" s="342">
        <v>18.5</v>
      </c>
      <c r="F494" s="342"/>
      <c r="G494" s="344">
        <f t="shared" si="4"/>
        <v>4917.2299999999914</v>
      </c>
      <c r="H494" s="345"/>
      <c r="I494" s="346"/>
      <c r="J494" s="347"/>
      <c r="K494" s="312"/>
      <c r="L494" s="347"/>
      <c r="M494" s="312"/>
      <c r="N494" s="347"/>
      <c r="O494" s="312"/>
      <c r="P494" s="347"/>
      <c r="Q494" s="312"/>
      <c r="R494" s="347"/>
      <c r="S494" s="312"/>
      <c r="T494" s="347"/>
    </row>
    <row r="495" spans="1:20" ht="12" customHeight="1" x14ac:dyDescent="0.3">
      <c r="A495" s="340" t="s">
        <v>289</v>
      </c>
      <c r="B495" s="341">
        <v>4</v>
      </c>
      <c r="C495" s="309">
        <v>46078</v>
      </c>
      <c r="D495" s="310" t="s">
        <v>296</v>
      </c>
      <c r="E495" s="342">
        <v>50.96</v>
      </c>
      <c r="F495" s="342"/>
      <c r="G495" s="344">
        <f t="shared" si="4"/>
        <v>4935.7299999999914</v>
      </c>
      <c r="H495" s="345"/>
      <c r="I495" s="346"/>
      <c r="J495" s="347"/>
      <c r="K495" s="312"/>
      <c r="L495" s="347"/>
      <c r="M495" s="312"/>
      <c r="N495" s="347"/>
      <c r="O495" s="312"/>
      <c r="P495" s="347"/>
      <c r="Q495" s="312"/>
      <c r="R495" s="347"/>
      <c r="S495" s="312"/>
      <c r="T495" s="347"/>
    </row>
    <row r="496" spans="1:20" ht="12" customHeight="1" x14ac:dyDescent="0.3">
      <c r="A496" s="340" t="s">
        <v>289</v>
      </c>
      <c r="B496" s="341">
        <v>8</v>
      </c>
      <c r="C496" s="309">
        <v>46078</v>
      </c>
      <c r="D496" s="310" t="s">
        <v>296</v>
      </c>
      <c r="E496" s="342">
        <v>11.28</v>
      </c>
      <c r="F496" s="342"/>
      <c r="G496" s="344">
        <f t="shared" si="4"/>
        <v>4986.6899999999914</v>
      </c>
      <c r="H496" s="345"/>
      <c r="I496" s="346"/>
      <c r="J496" s="347"/>
      <c r="K496" s="312"/>
      <c r="L496" s="347"/>
      <c r="M496" s="312"/>
      <c r="N496" s="347"/>
      <c r="O496" s="312"/>
      <c r="P496" s="347"/>
      <c r="Q496" s="312"/>
      <c r="R496" s="347"/>
      <c r="S496" s="312"/>
      <c r="T496" s="347"/>
    </row>
    <row r="497" spans="1:20" ht="12" customHeight="1" x14ac:dyDescent="0.3">
      <c r="A497" s="340" t="s">
        <v>294</v>
      </c>
      <c r="B497" s="341">
        <v>12</v>
      </c>
      <c r="C497" s="309">
        <v>46078</v>
      </c>
      <c r="D497" s="310" t="s">
        <v>315</v>
      </c>
      <c r="E497" s="342">
        <v>204.47</v>
      </c>
      <c r="F497" s="342"/>
      <c r="G497" s="344">
        <f t="shared" si="4"/>
        <v>4997.9699999999912</v>
      </c>
      <c r="H497" s="345"/>
      <c r="I497" s="346"/>
      <c r="J497" s="347"/>
      <c r="K497" s="312"/>
      <c r="L497" s="347"/>
      <c r="M497" s="312"/>
      <c r="N497" s="347"/>
      <c r="O497" s="312"/>
      <c r="P497" s="347"/>
      <c r="Q497" s="312"/>
      <c r="R497" s="347"/>
      <c r="S497" s="312"/>
      <c r="T497" s="347"/>
    </row>
    <row r="498" spans="1:20" ht="12" customHeight="1" x14ac:dyDescent="0.3">
      <c r="A498" s="340" t="s">
        <v>289</v>
      </c>
      <c r="B498" s="341">
        <v>8</v>
      </c>
      <c r="C498" s="309">
        <v>46078</v>
      </c>
      <c r="D498" s="310" t="s">
        <v>309</v>
      </c>
      <c r="E498" s="342">
        <v>47.99</v>
      </c>
      <c r="F498" s="342"/>
      <c r="G498" s="344">
        <f t="shared" si="4"/>
        <v>5202.4399999999914</v>
      </c>
      <c r="H498" s="345"/>
      <c r="I498" s="346"/>
      <c r="J498" s="347"/>
      <c r="K498" s="312"/>
      <c r="L498" s="347"/>
      <c r="M498" s="312"/>
      <c r="N498" s="347"/>
      <c r="O498" s="312"/>
      <c r="P498" s="347"/>
      <c r="Q498" s="312"/>
      <c r="R498" s="347"/>
      <c r="S498" s="312"/>
      <c r="T498" s="347"/>
    </row>
    <row r="499" spans="1:20" ht="12" customHeight="1" x14ac:dyDescent="0.3">
      <c r="A499" s="340" t="s">
        <v>289</v>
      </c>
      <c r="B499" s="341">
        <v>1</v>
      </c>
      <c r="C499" s="309">
        <v>46078</v>
      </c>
      <c r="D499" s="310" t="s">
        <v>304</v>
      </c>
      <c r="E499" s="342">
        <v>19.09</v>
      </c>
      <c r="F499" s="342"/>
      <c r="G499" s="344">
        <f t="shared" si="4"/>
        <v>5250.4299999999912</v>
      </c>
      <c r="H499" s="345"/>
      <c r="I499" s="346"/>
      <c r="J499" s="347"/>
      <c r="K499" s="312"/>
      <c r="L499" s="347"/>
      <c r="M499" s="312"/>
      <c r="N499" s="347"/>
      <c r="O499" s="312"/>
      <c r="P499" s="347"/>
      <c r="Q499" s="312"/>
      <c r="R499" s="347"/>
      <c r="S499" s="312"/>
      <c r="T499" s="347"/>
    </row>
    <row r="500" spans="1:20" ht="12" customHeight="1" x14ac:dyDescent="0.3">
      <c r="A500" s="340" t="s">
        <v>294</v>
      </c>
      <c r="B500" s="341">
        <v>23</v>
      </c>
      <c r="C500" s="309">
        <v>46076</v>
      </c>
      <c r="D500" s="310" t="s">
        <v>67</v>
      </c>
      <c r="E500" s="342">
        <v>650.88</v>
      </c>
      <c r="F500" s="342"/>
      <c r="G500" s="344">
        <f t="shared" si="4"/>
        <v>5269.5199999999913</v>
      </c>
      <c r="H500" s="345"/>
      <c r="I500" s="346"/>
      <c r="J500" s="347"/>
      <c r="K500" s="312"/>
      <c r="L500" s="347"/>
      <c r="M500" s="312"/>
      <c r="N500" s="347"/>
      <c r="O500" s="312"/>
      <c r="P500" s="347"/>
      <c r="Q500" s="312"/>
      <c r="R500" s="347"/>
      <c r="S500" s="312"/>
      <c r="T500" s="347"/>
    </row>
    <row r="501" spans="1:20" ht="12" customHeight="1" x14ac:dyDescent="0.3">
      <c r="A501" s="340" t="s">
        <v>289</v>
      </c>
      <c r="B501" s="341">
        <v>6</v>
      </c>
      <c r="C501" s="309">
        <v>46076</v>
      </c>
      <c r="D501" s="310" t="s">
        <v>355</v>
      </c>
      <c r="E501" s="342">
        <v>35</v>
      </c>
      <c r="F501" s="342"/>
      <c r="G501" s="344">
        <f t="shared" si="4"/>
        <v>5920.3999999999915</v>
      </c>
      <c r="H501" s="345"/>
      <c r="I501" s="346"/>
      <c r="J501" s="347"/>
      <c r="K501" s="312"/>
      <c r="L501" s="347"/>
      <c r="M501" s="312"/>
      <c r="N501" s="347"/>
      <c r="O501" s="312"/>
      <c r="P501" s="347"/>
      <c r="Q501" s="312"/>
      <c r="R501" s="347"/>
      <c r="S501" s="312"/>
      <c r="T501" s="347"/>
    </row>
    <row r="502" spans="1:20" ht="12" customHeight="1" x14ac:dyDescent="0.3">
      <c r="A502" s="340" t="s">
        <v>289</v>
      </c>
      <c r="B502" s="341">
        <v>1</v>
      </c>
      <c r="C502" s="309">
        <v>46076</v>
      </c>
      <c r="D502" s="310" t="s">
        <v>307</v>
      </c>
      <c r="E502" s="342">
        <v>128.97999999999999</v>
      </c>
      <c r="F502" s="342"/>
      <c r="G502" s="344">
        <f t="shared" si="4"/>
        <v>5955.3999999999915</v>
      </c>
      <c r="H502" s="345"/>
      <c r="I502" s="346"/>
      <c r="J502" s="347"/>
      <c r="K502" s="312"/>
      <c r="L502" s="347"/>
      <c r="M502" s="312"/>
      <c r="N502" s="347"/>
      <c r="O502" s="312"/>
      <c r="P502" s="347"/>
      <c r="Q502" s="312"/>
      <c r="R502" s="347"/>
      <c r="S502" s="312"/>
      <c r="T502" s="347"/>
    </row>
    <row r="503" spans="1:20" ht="12" customHeight="1" x14ac:dyDescent="0.3">
      <c r="A503" s="340" t="s">
        <v>289</v>
      </c>
      <c r="B503" s="341">
        <v>1</v>
      </c>
      <c r="C503" s="309">
        <v>46076</v>
      </c>
      <c r="D503" s="310" t="s">
        <v>322</v>
      </c>
      <c r="E503" s="342">
        <v>52.55</v>
      </c>
      <c r="F503" s="342"/>
      <c r="G503" s="344">
        <f t="shared" si="4"/>
        <v>6084.379999999991</v>
      </c>
      <c r="H503" s="345"/>
      <c r="I503" s="346"/>
      <c r="J503" s="347"/>
      <c r="K503" s="312"/>
      <c r="L503" s="347"/>
      <c r="M503" s="312"/>
      <c r="N503" s="347"/>
      <c r="O503" s="312"/>
      <c r="P503" s="347"/>
      <c r="Q503" s="312"/>
      <c r="R503" s="347"/>
      <c r="S503" s="312"/>
      <c r="T503" s="347"/>
    </row>
    <row r="504" spans="1:20" ht="12" customHeight="1" x14ac:dyDescent="0.3">
      <c r="A504" s="340" t="s">
        <v>289</v>
      </c>
      <c r="B504" s="341">
        <v>3</v>
      </c>
      <c r="C504" s="309">
        <v>46075</v>
      </c>
      <c r="D504" s="310" t="s">
        <v>352</v>
      </c>
      <c r="E504" s="342">
        <v>13.76</v>
      </c>
      <c r="F504" s="342"/>
      <c r="G504" s="344">
        <f t="shared" si="4"/>
        <v>6136.9299999999912</v>
      </c>
      <c r="H504" s="345"/>
      <c r="I504" s="346"/>
      <c r="J504" s="347"/>
      <c r="K504" s="312"/>
      <c r="L504" s="347"/>
      <c r="M504" s="312"/>
      <c r="N504" s="347"/>
      <c r="O504" s="312"/>
      <c r="P504" s="347"/>
      <c r="Q504" s="312"/>
      <c r="R504" s="347"/>
      <c r="S504" s="312"/>
      <c r="T504" s="347"/>
    </row>
    <row r="505" spans="1:20" ht="12" customHeight="1" x14ac:dyDescent="0.3">
      <c r="A505" s="340" t="s">
        <v>289</v>
      </c>
      <c r="B505" s="341">
        <v>1</v>
      </c>
      <c r="C505" s="309">
        <v>46075</v>
      </c>
      <c r="D505" s="310" t="s">
        <v>312</v>
      </c>
      <c r="E505" s="342">
        <v>187.64</v>
      </c>
      <c r="F505" s="342"/>
      <c r="G505" s="344">
        <f t="shared" si="4"/>
        <v>6150.6899999999914</v>
      </c>
      <c r="H505" s="345"/>
      <c r="I505" s="346"/>
      <c r="J505" s="347"/>
      <c r="K505" s="312"/>
      <c r="L505" s="347"/>
      <c r="M505" s="312"/>
      <c r="N505" s="347"/>
      <c r="O505" s="312"/>
      <c r="P505" s="347"/>
      <c r="Q505" s="312"/>
      <c r="R505" s="347"/>
      <c r="S505" s="312"/>
      <c r="T505" s="347"/>
    </row>
    <row r="506" spans="1:20" ht="12" customHeight="1" x14ac:dyDescent="0.3">
      <c r="A506" s="340" t="s">
        <v>289</v>
      </c>
      <c r="B506" s="341">
        <v>1</v>
      </c>
      <c r="C506" s="309">
        <v>46074</v>
      </c>
      <c r="D506" s="310" t="s">
        <v>397</v>
      </c>
      <c r="E506" s="342">
        <v>75.78</v>
      </c>
      <c r="F506" s="342"/>
      <c r="G506" s="344">
        <f t="shared" si="4"/>
        <v>6338.3299999999917</v>
      </c>
      <c r="H506" s="345"/>
      <c r="I506" s="346"/>
      <c r="J506" s="347"/>
      <c r="K506" s="312"/>
      <c r="L506" s="347"/>
      <c r="M506" s="312"/>
      <c r="N506" s="347"/>
      <c r="O506" s="312"/>
      <c r="P506" s="347"/>
      <c r="Q506" s="312"/>
      <c r="R506" s="347"/>
      <c r="S506" s="312"/>
      <c r="T506" s="347"/>
    </row>
    <row r="507" spans="1:20" ht="12" customHeight="1" x14ac:dyDescent="0.3">
      <c r="A507" s="340" t="s">
        <v>289</v>
      </c>
      <c r="B507" s="341">
        <v>2</v>
      </c>
      <c r="C507" s="309">
        <v>46074</v>
      </c>
      <c r="D507" s="310" t="s">
        <v>396</v>
      </c>
      <c r="E507" s="342">
        <v>27.41</v>
      </c>
      <c r="F507" s="342"/>
      <c r="G507" s="344">
        <f t="shared" si="4"/>
        <v>6414.1099999999915</v>
      </c>
      <c r="H507" s="345"/>
      <c r="I507" s="346"/>
      <c r="J507" s="347"/>
      <c r="K507" s="312"/>
      <c r="L507" s="347"/>
      <c r="M507" s="312"/>
      <c r="N507" s="347"/>
      <c r="O507" s="312"/>
      <c r="P507" s="347"/>
      <c r="Q507" s="312"/>
      <c r="R507" s="347"/>
      <c r="S507" s="312"/>
      <c r="T507" s="347"/>
    </row>
    <row r="508" spans="1:20" ht="12" customHeight="1" x14ac:dyDescent="0.3">
      <c r="A508" s="340" t="s">
        <v>289</v>
      </c>
      <c r="B508" s="341">
        <v>4</v>
      </c>
      <c r="C508" s="309">
        <v>46074</v>
      </c>
      <c r="D508" s="310" t="s">
        <v>439</v>
      </c>
      <c r="E508" s="342">
        <v>32.049999999999997</v>
      </c>
      <c r="F508" s="342"/>
      <c r="G508" s="344">
        <f t="shared" si="4"/>
        <v>6441.5199999999913</v>
      </c>
      <c r="H508" s="345"/>
      <c r="I508" s="346"/>
      <c r="J508" s="347"/>
      <c r="K508" s="312"/>
      <c r="L508" s="347"/>
      <c r="M508" s="312"/>
      <c r="N508" s="347"/>
      <c r="O508" s="312"/>
      <c r="P508" s="347"/>
      <c r="Q508" s="312"/>
      <c r="R508" s="347"/>
      <c r="S508" s="312"/>
      <c r="T508" s="347"/>
    </row>
    <row r="509" spans="1:20" ht="12" customHeight="1" x14ac:dyDescent="0.3">
      <c r="A509" s="340" t="s">
        <v>289</v>
      </c>
      <c r="B509" s="341">
        <v>2</v>
      </c>
      <c r="C509" s="309">
        <v>46074</v>
      </c>
      <c r="D509" s="310" t="s">
        <v>362</v>
      </c>
      <c r="E509" s="342">
        <v>9.4700000000000006</v>
      </c>
      <c r="F509" s="342"/>
      <c r="G509" s="344">
        <f t="shared" si="4"/>
        <v>6473.5699999999915</v>
      </c>
      <c r="H509" s="345"/>
      <c r="I509" s="346"/>
      <c r="J509" s="347"/>
      <c r="K509" s="312"/>
      <c r="L509" s="347"/>
      <c r="M509" s="312"/>
      <c r="N509" s="347"/>
      <c r="O509" s="312"/>
      <c r="P509" s="347"/>
      <c r="Q509" s="312"/>
      <c r="R509" s="347"/>
      <c r="S509" s="312"/>
      <c r="T509" s="347"/>
    </row>
    <row r="510" spans="1:20" ht="12" customHeight="1" x14ac:dyDescent="0.3">
      <c r="A510" s="340" t="s">
        <v>289</v>
      </c>
      <c r="B510" s="341">
        <v>2</v>
      </c>
      <c r="C510" s="309">
        <v>46073</v>
      </c>
      <c r="D510" s="310" t="s">
        <v>296</v>
      </c>
      <c r="E510" s="342">
        <v>14.47</v>
      </c>
      <c r="F510" s="342"/>
      <c r="G510" s="344">
        <f t="shared" si="4"/>
        <v>6483.0399999999918</v>
      </c>
      <c r="H510" s="345"/>
      <c r="I510" s="346"/>
      <c r="J510" s="347"/>
      <c r="K510" s="312"/>
      <c r="L510" s="347"/>
      <c r="M510" s="312"/>
      <c r="N510" s="347"/>
      <c r="O510" s="312"/>
      <c r="P510" s="347"/>
      <c r="Q510" s="312"/>
      <c r="R510" s="347"/>
      <c r="S510" s="312"/>
      <c r="T510" s="347"/>
    </row>
    <row r="511" spans="1:20" ht="12" customHeight="1" x14ac:dyDescent="0.3">
      <c r="A511" s="340" t="s">
        <v>289</v>
      </c>
      <c r="B511" s="341">
        <v>3</v>
      </c>
      <c r="C511" s="309">
        <v>46073</v>
      </c>
      <c r="D511" s="310" t="s">
        <v>359</v>
      </c>
      <c r="E511" s="342">
        <v>11.97</v>
      </c>
      <c r="F511" s="342"/>
      <c r="G511" s="344">
        <f t="shared" si="4"/>
        <v>6497.509999999992</v>
      </c>
      <c r="H511" s="345"/>
      <c r="I511" s="346"/>
      <c r="J511" s="347"/>
      <c r="K511" s="312"/>
      <c r="L511" s="347"/>
      <c r="M511" s="312"/>
      <c r="N511" s="347"/>
      <c r="O511" s="312"/>
      <c r="P511" s="347"/>
      <c r="Q511" s="312"/>
      <c r="R511" s="347"/>
      <c r="S511" s="312"/>
      <c r="T511" s="347"/>
    </row>
    <row r="512" spans="1:20" ht="12" customHeight="1" x14ac:dyDescent="0.3">
      <c r="A512" s="340" t="s">
        <v>289</v>
      </c>
      <c r="B512" s="341">
        <v>4</v>
      </c>
      <c r="C512" s="309">
        <v>46073</v>
      </c>
      <c r="D512" s="310" t="s">
        <v>359</v>
      </c>
      <c r="E512" s="342">
        <v>59.88</v>
      </c>
      <c r="F512" s="342"/>
      <c r="G512" s="344">
        <f t="shared" si="4"/>
        <v>6509.4799999999923</v>
      </c>
      <c r="H512" s="345"/>
      <c r="I512" s="346"/>
      <c r="J512" s="347"/>
      <c r="K512" s="312"/>
      <c r="L512" s="347"/>
      <c r="M512" s="312"/>
      <c r="N512" s="347"/>
      <c r="O512" s="312"/>
      <c r="P512" s="347"/>
      <c r="Q512" s="312"/>
      <c r="R512" s="347"/>
      <c r="S512" s="312"/>
      <c r="T512" s="347"/>
    </row>
    <row r="513" spans="1:20" ht="12" customHeight="1" x14ac:dyDescent="0.3">
      <c r="A513" s="340" t="s">
        <v>289</v>
      </c>
      <c r="B513" s="341">
        <v>2</v>
      </c>
      <c r="C513" s="309">
        <v>46073</v>
      </c>
      <c r="D513" s="310" t="s">
        <v>425</v>
      </c>
      <c r="E513" s="342">
        <v>19.57</v>
      </c>
      <c r="F513" s="342"/>
      <c r="G513" s="344">
        <f t="shared" si="4"/>
        <v>6569.3599999999924</v>
      </c>
      <c r="H513" s="345"/>
      <c r="I513" s="346"/>
      <c r="J513" s="347"/>
      <c r="K513" s="312"/>
      <c r="L513" s="347"/>
      <c r="M513" s="312"/>
      <c r="N513" s="347"/>
      <c r="O513" s="312"/>
      <c r="P513" s="347"/>
      <c r="Q513" s="312"/>
      <c r="R513" s="347"/>
      <c r="S513" s="312"/>
      <c r="T513" s="347"/>
    </row>
    <row r="514" spans="1:20" ht="12" customHeight="1" x14ac:dyDescent="0.3">
      <c r="A514" s="340" t="s">
        <v>294</v>
      </c>
      <c r="B514" s="341">
        <v>22</v>
      </c>
      <c r="C514" s="309">
        <v>46073</v>
      </c>
      <c r="D514" s="310" t="s">
        <v>325</v>
      </c>
      <c r="E514" s="342">
        <v>20.22</v>
      </c>
      <c r="F514" s="342"/>
      <c r="G514" s="344">
        <f t="shared" si="4"/>
        <v>6588.9299999999921</v>
      </c>
      <c r="H514" s="345"/>
      <c r="I514" s="346"/>
      <c r="J514" s="347"/>
      <c r="K514" s="312"/>
      <c r="L514" s="347"/>
      <c r="M514" s="312"/>
      <c r="N514" s="347"/>
      <c r="O514" s="312"/>
      <c r="P514" s="347"/>
      <c r="Q514" s="312"/>
      <c r="R514" s="347"/>
      <c r="S514" s="312"/>
      <c r="T514" s="347"/>
    </row>
    <row r="515" spans="1:20" ht="12" customHeight="1" x14ac:dyDescent="0.3">
      <c r="A515" s="340" t="s">
        <v>289</v>
      </c>
      <c r="B515" s="341">
        <v>2</v>
      </c>
      <c r="C515" s="309">
        <v>46073</v>
      </c>
      <c r="D515" s="310" t="s">
        <v>362</v>
      </c>
      <c r="E515" s="342">
        <v>5.3</v>
      </c>
      <c r="F515" s="342"/>
      <c r="G515" s="344">
        <f t="shared" si="4"/>
        <v>6609.1499999999924</v>
      </c>
      <c r="H515" s="345"/>
      <c r="I515" s="346"/>
      <c r="J515" s="347"/>
      <c r="K515" s="312"/>
      <c r="L515" s="347"/>
      <c r="M515" s="312"/>
      <c r="N515" s="347"/>
      <c r="O515" s="312"/>
      <c r="P515" s="347"/>
      <c r="Q515" s="312"/>
      <c r="R515" s="347"/>
      <c r="S515" s="312"/>
      <c r="T515" s="347"/>
    </row>
    <row r="516" spans="1:20" ht="12" customHeight="1" x14ac:dyDescent="0.3">
      <c r="A516" s="340" t="s">
        <v>289</v>
      </c>
      <c r="B516" s="341">
        <v>3</v>
      </c>
      <c r="C516" s="309">
        <v>46073</v>
      </c>
      <c r="D516" s="310" t="s">
        <v>327</v>
      </c>
      <c r="E516" s="342">
        <v>8.1300000000000008</v>
      </c>
      <c r="F516" s="342"/>
      <c r="G516" s="344">
        <f t="shared" si="4"/>
        <v>6614.4499999999925</v>
      </c>
      <c r="H516" s="345"/>
      <c r="I516" s="346"/>
      <c r="J516" s="347"/>
      <c r="K516" s="312"/>
      <c r="L516" s="347"/>
      <c r="M516" s="312"/>
      <c r="N516" s="347"/>
      <c r="O516" s="312"/>
      <c r="P516" s="347"/>
      <c r="Q516" s="312"/>
      <c r="R516" s="347"/>
      <c r="S516" s="312"/>
      <c r="T516" s="347"/>
    </row>
    <row r="517" spans="1:20" ht="12" customHeight="1" x14ac:dyDescent="0.3">
      <c r="A517" s="340" t="s">
        <v>289</v>
      </c>
      <c r="B517" s="341">
        <v>4</v>
      </c>
      <c r="C517" s="309">
        <v>46073</v>
      </c>
      <c r="D517" s="310" t="s">
        <v>311</v>
      </c>
      <c r="E517" s="342">
        <v>32.43</v>
      </c>
      <c r="F517" s="342"/>
      <c r="G517" s="344">
        <f t="shared" si="4"/>
        <v>6622.5799999999927</v>
      </c>
      <c r="H517" s="345"/>
      <c r="I517" s="346"/>
      <c r="J517" s="347"/>
      <c r="K517" s="312"/>
      <c r="L517" s="347"/>
      <c r="M517" s="312"/>
      <c r="N517" s="347"/>
      <c r="O517" s="312"/>
      <c r="P517" s="347"/>
      <c r="Q517" s="312"/>
      <c r="R517" s="347"/>
      <c r="S517" s="312"/>
      <c r="T517" s="347"/>
    </row>
    <row r="518" spans="1:20" ht="12" customHeight="1" x14ac:dyDescent="0.3">
      <c r="A518" s="340" t="s">
        <v>289</v>
      </c>
      <c r="B518" s="341">
        <v>8</v>
      </c>
      <c r="C518" s="309">
        <v>46073</v>
      </c>
      <c r="D518" s="310" t="s">
        <v>440</v>
      </c>
      <c r="E518" s="342">
        <v>98.65</v>
      </c>
      <c r="F518" s="342"/>
      <c r="G518" s="344">
        <f t="shared" si="4"/>
        <v>6655.0099999999929</v>
      </c>
      <c r="H518" s="345"/>
      <c r="I518" s="346"/>
      <c r="J518" s="347"/>
      <c r="K518" s="312"/>
      <c r="L518" s="347"/>
      <c r="M518" s="312"/>
      <c r="N518" s="347"/>
      <c r="O518" s="312"/>
      <c r="P518" s="347"/>
      <c r="Q518" s="312"/>
      <c r="R518" s="347"/>
      <c r="S518" s="312"/>
      <c r="T518" s="347"/>
    </row>
    <row r="519" spans="1:20" ht="12" customHeight="1" x14ac:dyDescent="0.3">
      <c r="A519" s="340" t="s">
        <v>289</v>
      </c>
      <c r="B519" s="341">
        <v>6</v>
      </c>
      <c r="C519" s="309">
        <v>46072</v>
      </c>
      <c r="D519" s="310" t="s">
        <v>300</v>
      </c>
      <c r="E519" s="342">
        <v>30.87</v>
      </c>
      <c r="F519" s="342"/>
      <c r="G519" s="344">
        <f t="shared" si="4"/>
        <v>6753.6599999999926</v>
      </c>
      <c r="H519" s="345"/>
      <c r="I519" s="346"/>
      <c r="J519" s="347"/>
      <c r="K519" s="312"/>
      <c r="L519" s="347"/>
      <c r="M519" s="312"/>
      <c r="N519" s="347"/>
      <c r="O519" s="312"/>
      <c r="P519" s="347"/>
      <c r="Q519" s="312"/>
      <c r="R519" s="347"/>
      <c r="S519" s="312"/>
      <c r="T519" s="347"/>
    </row>
    <row r="520" spans="1:20" ht="12" customHeight="1" x14ac:dyDescent="0.3">
      <c r="A520" s="340" t="s">
        <v>289</v>
      </c>
      <c r="B520" s="341">
        <v>6</v>
      </c>
      <c r="C520" s="309">
        <v>46072</v>
      </c>
      <c r="D520" s="310" t="s">
        <v>300</v>
      </c>
      <c r="E520" s="342">
        <v>15.96</v>
      </c>
      <c r="F520" s="342"/>
      <c r="G520" s="344">
        <f t="shared" si="4"/>
        <v>6784.5299999999925</v>
      </c>
      <c r="H520" s="345"/>
      <c r="I520" s="346"/>
      <c r="J520" s="347"/>
      <c r="K520" s="312"/>
      <c r="L520" s="347"/>
      <c r="M520" s="312"/>
      <c r="N520" s="347"/>
      <c r="O520" s="312"/>
      <c r="P520" s="347"/>
      <c r="Q520" s="312"/>
      <c r="R520" s="347"/>
      <c r="S520" s="312"/>
      <c r="T520" s="347"/>
    </row>
    <row r="521" spans="1:20" ht="12" customHeight="1" x14ac:dyDescent="0.3">
      <c r="A521" s="340" t="s">
        <v>289</v>
      </c>
      <c r="B521" s="341">
        <v>2</v>
      </c>
      <c r="C521" s="309">
        <v>46072</v>
      </c>
      <c r="D521" s="310" t="s">
        <v>296</v>
      </c>
      <c r="E521" s="342">
        <v>17.36</v>
      </c>
      <c r="F521" s="342"/>
      <c r="G521" s="344">
        <f t="shared" si="4"/>
        <v>6800.4899999999925</v>
      </c>
      <c r="H521" s="345"/>
      <c r="I521" s="346"/>
      <c r="J521" s="347"/>
      <c r="K521" s="312"/>
      <c r="L521" s="347"/>
      <c r="M521" s="312"/>
      <c r="N521" s="347"/>
      <c r="O521" s="312"/>
      <c r="P521" s="347"/>
      <c r="Q521" s="312"/>
      <c r="R521" s="347"/>
      <c r="S521" s="312"/>
      <c r="T521" s="347"/>
    </row>
    <row r="522" spans="1:20" ht="12" customHeight="1" x14ac:dyDescent="0.3">
      <c r="A522" s="340" t="s">
        <v>294</v>
      </c>
      <c r="B522" s="341">
        <v>22</v>
      </c>
      <c r="C522" s="309">
        <v>46072</v>
      </c>
      <c r="D522" s="310" t="s">
        <v>406</v>
      </c>
      <c r="E522" s="342">
        <v>7.46</v>
      </c>
      <c r="F522" s="342"/>
      <c r="G522" s="344">
        <f t="shared" si="4"/>
        <v>6817.8499999999922</v>
      </c>
      <c r="H522" s="345"/>
      <c r="I522" s="346"/>
      <c r="J522" s="347"/>
      <c r="K522" s="312"/>
      <c r="L522" s="347"/>
      <c r="M522" s="312"/>
      <c r="N522" s="347"/>
      <c r="O522" s="312"/>
      <c r="P522" s="347"/>
      <c r="Q522" s="312"/>
      <c r="R522" s="347"/>
      <c r="S522" s="312"/>
      <c r="T522" s="347"/>
    </row>
    <row r="523" spans="1:20" ht="12" customHeight="1" x14ac:dyDescent="0.3">
      <c r="A523" s="340" t="s">
        <v>291</v>
      </c>
      <c r="B523" s="341">
        <v>39</v>
      </c>
      <c r="C523" s="309">
        <v>46072</v>
      </c>
      <c r="D523" s="310" t="s">
        <v>292</v>
      </c>
      <c r="E523" s="342"/>
      <c r="F523" s="342">
        <v>2763.77</v>
      </c>
      <c r="G523" s="344">
        <f t="shared" si="4"/>
        <v>6825.3099999999922</v>
      </c>
      <c r="H523" s="345"/>
      <c r="I523" s="346"/>
      <c r="J523" s="347"/>
      <c r="K523" s="312"/>
      <c r="L523" s="347"/>
      <c r="M523" s="312"/>
      <c r="N523" s="347"/>
      <c r="O523" s="312"/>
      <c r="P523" s="347"/>
      <c r="Q523" s="312"/>
      <c r="R523" s="347"/>
      <c r="S523" s="312"/>
      <c r="T523" s="347"/>
    </row>
    <row r="524" spans="1:20" ht="12" customHeight="1" x14ac:dyDescent="0.3">
      <c r="A524" s="340" t="s">
        <v>339</v>
      </c>
      <c r="B524" s="341" t="s">
        <v>339</v>
      </c>
      <c r="C524" s="309">
        <v>46071</v>
      </c>
      <c r="D524" s="310" t="s">
        <v>340</v>
      </c>
      <c r="E524" s="342">
        <v>182.55</v>
      </c>
      <c r="F524" s="342"/>
      <c r="G524" s="344">
        <f t="shared" si="4"/>
        <v>4061.5399999999927</v>
      </c>
      <c r="H524" s="345"/>
      <c r="I524" s="346"/>
      <c r="J524" s="347"/>
      <c r="K524" s="312"/>
      <c r="L524" s="347"/>
      <c r="M524" s="312"/>
      <c r="N524" s="347"/>
      <c r="O524" s="312"/>
      <c r="P524" s="347"/>
      <c r="Q524" s="312"/>
      <c r="R524" s="347"/>
      <c r="S524" s="312"/>
      <c r="T524" s="347"/>
    </row>
    <row r="525" spans="1:20" ht="12" customHeight="1" x14ac:dyDescent="0.3">
      <c r="A525" s="340" t="s">
        <v>294</v>
      </c>
      <c r="B525" s="341">
        <v>15</v>
      </c>
      <c r="C525" s="309">
        <v>46071</v>
      </c>
      <c r="D525" s="310" t="s">
        <v>185</v>
      </c>
      <c r="E525" s="342">
        <v>188.16</v>
      </c>
      <c r="F525" s="342"/>
      <c r="G525" s="344">
        <f t="shared" si="4"/>
        <v>4244.0899999999929</v>
      </c>
      <c r="H525" s="345"/>
      <c r="I525" s="346"/>
      <c r="J525" s="347"/>
      <c r="K525" s="312"/>
      <c r="L525" s="347"/>
      <c r="M525" s="312"/>
      <c r="N525" s="347"/>
      <c r="O525" s="312"/>
      <c r="P525" s="347"/>
      <c r="Q525" s="312"/>
      <c r="R525" s="347"/>
      <c r="S525" s="312"/>
      <c r="T525" s="347"/>
    </row>
    <row r="526" spans="1:20" ht="12" customHeight="1" x14ac:dyDescent="0.3">
      <c r="A526" s="340" t="s">
        <v>291</v>
      </c>
      <c r="B526" s="341">
        <v>40</v>
      </c>
      <c r="C526" s="309">
        <v>46071</v>
      </c>
      <c r="D526" s="310" t="s">
        <v>318</v>
      </c>
      <c r="E526" s="342"/>
      <c r="F526" s="342">
        <v>1281.58</v>
      </c>
      <c r="G526" s="344">
        <f t="shared" si="4"/>
        <v>4432.2499999999927</v>
      </c>
      <c r="H526" s="345"/>
      <c r="I526" s="346"/>
      <c r="J526" s="347"/>
      <c r="K526" s="312"/>
      <c r="L526" s="347"/>
      <c r="M526" s="312"/>
      <c r="N526" s="347"/>
      <c r="O526" s="312"/>
      <c r="P526" s="347"/>
      <c r="Q526" s="312"/>
      <c r="R526" s="347"/>
      <c r="S526" s="312"/>
      <c r="T526" s="347"/>
    </row>
    <row r="527" spans="1:20" ht="12" customHeight="1" x14ac:dyDescent="0.3">
      <c r="A527" s="340" t="s">
        <v>289</v>
      </c>
      <c r="B527" s="341">
        <v>6</v>
      </c>
      <c r="C527" s="309">
        <v>46071</v>
      </c>
      <c r="D527" s="310" t="s">
        <v>441</v>
      </c>
      <c r="E527" s="342">
        <v>-146</v>
      </c>
      <c r="F527" s="342"/>
      <c r="G527" s="344">
        <f t="shared" si="4"/>
        <v>3150.6699999999933</v>
      </c>
      <c r="H527" s="345"/>
      <c r="I527" s="346"/>
      <c r="J527" s="347"/>
      <c r="K527" s="312"/>
      <c r="L527" s="347"/>
      <c r="M527" s="312"/>
      <c r="N527" s="347"/>
      <c r="O527" s="312"/>
      <c r="P527" s="347"/>
      <c r="Q527" s="312"/>
      <c r="R527" s="347"/>
      <c r="S527" s="312"/>
      <c r="T527" s="347"/>
    </row>
    <row r="528" spans="1:20" ht="12" customHeight="1" x14ac:dyDescent="0.3">
      <c r="A528" s="340" t="s">
        <v>289</v>
      </c>
      <c r="B528" s="341">
        <v>2</v>
      </c>
      <c r="C528" s="309">
        <v>46071</v>
      </c>
      <c r="D528" s="310" t="s">
        <v>442</v>
      </c>
      <c r="E528" s="342">
        <v>-13</v>
      </c>
      <c r="F528" s="342"/>
      <c r="G528" s="344">
        <f t="shared" si="4"/>
        <v>3004.6699999999933</v>
      </c>
      <c r="H528" s="345"/>
      <c r="I528" s="346"/>
      <c r="J528" s="347"/>
      <c r="K528" s="312"/>
      <c r="L528" s="347"/>
      <c r="M528" s="312"/>
      <c r="N528" s="347"/>
      <c r="O528" s="312"/>
      <c r="P528" s="347"/>
      <c r="Q528" s="312"/>
      <c r="R528" s="347"/>
      <c r="S528" s="312"/>
      <c r="T528" s="347"/>
    </row>
    <row r="529" spans="1:20" ht="12" customHeight="1" x14ac:dyDescent="0.3">
      <c r="A529" s="340" t="s">
        <v>339</v>
      </c>
      <c r="B529" s="341" t="s">
        <v>339</v>
      </c>
      <c r="C529" s="309">
        <v>46071</v>
      </c>
      <c r="D529" s="310" t="s">
        <v>469</v>
      </c>
      <c r="E529" s="342"/>
      <c r="F529" s="342">
        <v>191</v>
      </c>
      <c r="G529" s="344">
        <f t="shared" si="4"/>
        <v>2991.6699999999933</v>
      </c>
      <c r="H529" s="345"/>
      <c r="I529" s="346"/>
      <c r="J529" s="347"/>
      <c r="K529" s="312"/>
      <c r="L529" s="347"/>
      <c r="M529" s="312"/>
      <c r="N529" s="347"/>
      <c r="O529" s="312"/>
      <c r="P529" s="347"/>
      <c r="Q529" s="312"/>
      <c r="R529" s="347"/>
      <c r="S529" s="312"/>
      <c r="T529" s="347"/>
    </row>
    <row r="530" spans="1:20" ht="12" customHeight="1" x14ac:dyDescent="0.3">
      <c r="A530" s="340" t="s">
        <v>289</v>
      </c>
      <c r="B530" s="341">
        <v>6</v>
      </c>
      <c r="C530" s="309">
        <v>46071</v>
      </c>
      <c r="D530" s="310" t="s">
        <v>300</v>
      </c>
      <c r="E530" s="342">
        <v>43.63</v>
      </c>
      <c r="F530" s="342"/>
      <c r="G530" s="344">
        <f t="shared" si="4"/>
        <v>2800.6699999999933</v>
      </c>
      <c r="H530" s="345"/>
      <c r="I530" s="346"/>
      <c r="J530" s="347"/>
      <c r="K530" s="312"/>
      <c r="L530" s="347"/>
      <c r="M530" s="312"/>
      <c r="N530" s="347"/>
      <c r="O530" s="312"/>
      <c r="P530" s="347"/>
      <c r="Q530" s="312"/>
      <c r="R530" s="347"/>
      <c r="S530" s="312"/>
      <c r="T530" s="347"/>
    </row>
    <row r="531" spans="1:20" ht="12" customHeight="1" x14ac:dyDescent="0.3">
      <c r="A531" s="340" t="s">
        <v>289</v>
      </c>
      <c r="B531" s="341">
        <v>6</v>
      </c>
      <c r="C531" s="309">
        <v>46071</v>
      </c>
      <c r="D531" s="310" t="s">
        <v>300</v>
      </c>
      <c r="E531" s="342">
        <v>10.64</v>
      </c>
      <c r="F531" s="342"/>
      <c r="G531" s="344">
        <f t="shared" si="4"/>
        <v>2844.2999999999934</v>
      </c>
      <c r="H531" s="345"/>
      <c r="I531" s="346"/>
      <c r="J531" s="347"/>
      <c r="K531" s="312"/>
      <c r="L531" s="347"/>
      <c r="M531" s="312"/>
      <c r="N531" s="347"/>
      <c r="O531" s="312"/>
      <c r="P531" s="347"/>
      <c r="Q531" s="312"/>
      <c r="R531" s="347"/>
      <c r="S531" s="312"/>
      <c r="T531" s="347"/>
    </row>
    <row r="532" spans="1:20" ht="12" customHeight="1" x14ac:dyDescent="0.3">
      <c r="A532" s="340" t="s">
        <v>289</v>
      </c>
      <c r="B532" s="341">
        <v>8</v>
      </c>
      <c r="C532" s="309">
        <v>46071</v>
      </c>
      <c r="D532" s="310" t="s">
        <v>296</v>
      </c>
      <c r="E532" s="342">
        <v>14.87</v>
      </c>
      <c r="F532" s="342"/>
      <c r="G532" s="344">
        <f t="shared" si="4"/>
        <v>2854.9399999999932</v>
      </c>
      <c r="H532" s="345"/>
      <c r="I532" s="346"/>
      <c r="J532" s="347"/>
      <c r="K532" s="312"/>
      <c r="L532" s="347"/>
      <c r="M532" s="312"/>
      <c r="N532" s="347"/>
      <c r="O532" s="312"/>
      <c r="P532" s="347"/>
      <c r="Q532" s="312"/>
      <c r="R532" s="347"/>
      <c r="S532" s="312"/>
      <c r="T532" s="347"/>
    </row>
    <row r="533" spans="1:20" ht="12" customHeight="1" x14ac:dyDescent="0.3">
      <c r="A533" s="340" t="s">
        <v>289</v>
      </c>
      <c r="B533" s="341">
        <v>2</v>
      </c>
      <c r="C533" s="309">
        <v>46071</v>
      </c>
      <c r="D533" s="310" t="s">
        <v>295</v>
      </c>
      <c r="E533" s="342">
        <v>12.99</v>
      </c>
      <c r="F533" s="342"/>
      <c r="G533" s="344">
        <f t="shared" si="4"/>
        <v>2869.8099999999931</v>
      </c>
      <c r="H533" s="345"/>
      <c r="I533" s="346"/>
      <c r="J533" s="347"/>
      <c r="K533" s="312"/>
      <c r="L533" s="347"/>
      <c r="M533" s="312"/>
      <c r="N533" s="347"/>
      <c r="O533" s="312"/>
      <c r="P533" s="347"/>
      <c r="Q533" s="312"/>
      <c r="R533" s="347"/>
      <c r="S533" s="312"/>
      <c r="T533" s="347"/>
    </row>
    <row r="534" spans="1:20" ht="12" customHeight="1" x14ac:dyDescent="0.3">
      <c r="A534" s="340" t="s">
        <v>289</v>
      </c>
      <c r="B534" s="341">
        <v>4</v>
      </c>
      <c r="C534" s="309">
        <v>46071</v>
      </c>
      <c r="D534" s="310" t="s">
        <v>295</v>
      </c>
      <c r="E534" s="342">
        <v>29.47</v>
      </c>
      <c r="F534" s="342"/>
      <c r="G534" s="344">
        <f t="shared" si="4"/>
        <v>2882.7999999999929</v>
      </c>
      <c r="H534" s="345"/>
      <c r="I534" s="346"/>
      <c r="J534" s="347"/>
      <c r="K534" s="312"/>
      <c r="L534" s="347"/>
      <c r="M534" s="312"/>
      <c r="N534" s="347"/>
      <c r="O534" s="312"/>
      <c r="P534" s="347"/>
      <c r="Q534" s="312"/>
      <c r="R534" s="347"/>
      <c r="S534" s="312"/>
      <c r="T534" s="347"/>
    </row>
    <row r="535" spans="1:20" ht="12" customHeight="1" x14ac:dyDescent="0.3">
      <c r="A535" s="340" t="s">
        <v>294</v>
      </c>
      <c r="B535" s="341">
        <v>22</v>
      </c>
      <c r="C535" s="309">
        <v>46071</v>
      </c>
      <c r="D535" s="310" t="s">
        <v>408</v>
      </c>
      <c r="E535" s="342">
        <v>13.84</v>
      </c>
      <c r="F535" s="342"/>
      <c r="G535" s="344">
        <f t="shared" si="4"/>
        <v>2912.2699999999927</v>
      </c>
      <c r="H535" s="345"/>
      <c r="I535" s="346"/>
      <c r="J535" s="347"/>
      <c r="K535" s="312"/>
      <c r="L535" s="347"/>
      <c r="M535" s="312"/>
      <c r="N535" s="347"/>
      <c r="O535" s="312"/>
      <c r="P535" s="347"/>
      <c r="Q535" s="312"/>
      <c r="R535" s="347"/>
      <c r="S535" s="312"/>
      <c r="T535" s="347"/>
    </row>
    <row r="536" spans="1:20" ht="12" customHeight="1" x14ac:dyDescent="0.3">
      <c r="A536" s="340" t="s">
        <v>289</v>
      </c>
      <c r="B536" s="341">
        <v>2</v>
      </c>
      <c r="C536" s="309">
        <v>46071</v>
      </c>
      <c r="D536" s="310" t="s">
        <v>443</v>
      </c>
      <c r="E536" s="342">
        <v>64.569999999999993</v>
      </c>
      <c r="F536" s="342"/>
      <c r="G536" s="344">
        <f t="shared" si="4"/>
        <v>2926.1099999999929</v>
      </c>
      <c r="H536" s="345"/>
      <c r="I536" s="346"/>
      <c r="J536" s="347"/>
      <c r="K536" s="312"/>
      <c r="L536" s="347"/>
      <c r="M536" s="312"/>
      <c r="N536" s="347"/>
      <c r="O536" s="312"/>
      <c r="P536" s="347"/>
      <c r="Q536" s="312"/>
      <c r="R536" s="347"/>
      <c r="S536" s="312"/>
      <c r="T536" s="347"/>
    </row>
    <row r="537" spans="1:20" ht="12" customHeight="1" x14ac:dyDescent="0.3">
      <c r="A537" s="340" t="s">
        <v>294</v>
      </c>
      <c r="B537" s="341">
        <v>21</v>
      </c>
      <c r="C537" s="309">
        <v>46070</v>
      </c>
      <c r="D537" s="310" t="s">
        <v>194</v>
      </c>
      <c r="E537" s="342">
        <v>81</v>
      </c>
      <c r="F537" s="342"/>
      <c r="G537" s="344">
        <f t="shared" si="4"/>
        <v>2990.679999999993</v>
      </c>
      <c r="H537" s="345"/>
      <c r="I537" s="346"/>
      <c r="J537" s="347"/>
      <c r="K537" s="312"/>
      <c r="L537" s="347"/>
      <c r="M537" s="312"/>
      <c r="N537" s="347"/>
      <c r="O537" s="312"/>
      <c r="P537" s="347"/>
      <c r="Q537" s="312"/>
      <c r="R537" s="347"/>
      <c r="S537" s="312"/>
      <c r="T537" s="347"/>
    </row>
    <row r="538" spans="1:20" ht="12" customHeight="1" x14ac:dyDescent="0.3">
      <c r="A538" s="340" t="s">
        <v>289</v>
      </c>
      <c r="B538" s="341">
        <v>2</v>
      </c>
      <c r="C538" s="309">
        <v>46070</v>
      </c>
      <c r="D538" s="310" t="s">
        <v>388</v>
      </c>
      <c r="E538" s="342">
        <v>81.41</v>
      </c>
      <c r="F538" s="342"/>
      <c r="G538" s="344">
        <f t="shared" si="4"/>
        <v>3071.679999999993</v>
      </c>
      <c r="H538" s="345"/>
      <c r="I538" s="346"/>
      <c r="J538" s="347"/>
      <c r="K538" s="312"/>
      <c r="L538" s="347"/>
      <c r="M538" s="312"/>
      <c r="N538" s="347"/>
      <c r="O538" s="312"/>
      <c r="P538" s="347"/>
      <c r="Q538" s="312"/>
      <c r="R538" s="347"/>
      <c r="S538" s="312"/>
      <c r="T538" s="347"/>
    </row>
    <row r="539" spans="1:20" ht="12" customHeight="1" x14ac:dyDescent="0.3">
      <c r="A539" s="340" t="s">
        <v>289</v>
      </c>
      <c r="B539" s="341">
        <v>6</v>
      </c>
      <c r="C539" s="309">
        <v>46070</v>
      </c>
      <c r="D539" s="310" t="s">
        <v>300</v>
      </c>
      <c r="E539" s="342">
        <v>113.74</v>
      </c>
      <c r="F539" s="342"/>
      <c r="G539" s="344">
        <f t="shared" si="4"/>
        <v>3153.0899999999929</v>
      </c>
      <c r="H539" s="345"/>
      <c r="I539" s="346"/>
      <c r="J539" s="347"/>
      <c r="K539" s="312"/>
      <c r="L539" s="347"/>
      <c r="M539" s="312"/>
      <c r="N539" s="347"/>
      <c r="O539" s="312"/>
      <c r="P539" s="347"/>
      <c r="Q539" s="312"/>
      <c r="R539" s="347"/>
      <c r="S539" s="312"/>
      <c r="T539" s="347"/>
    </row>
    <row r="540" spans="1:20" ht="12" customHeight="1" x14ac:dyDescent="0.3">
      <c r="A540" s="340" t="s">
        <v>294</v>
      </c>
      <c r="B540" s="341">
        <v>43</v>
      </c>
      <c r="C540" s="309">
        <v>46070</v>
      </c>
      <c r="D540" s="310" t="s">
        <v>337</v>
      </c>
      <c r="E540" s="342">
        <v>29.8</v>
      </c>
      <c r="F540" s="342"/>
      <c r="G540" s="344">
        <f t="shared" si="4"/>
        <v>3266.8299999999927</v>
      </c>
      <c r="H540" s="345"/>
      <c r="I540" s="346"/>
      <c r="J540" s="347"/>
      <c r="K540" s="312"/>
      <c r="L540" s="347"/>
      <c r="M540" s="312"/>
      <c r="N540" s="347"/>
      <c r="O540" s="312"/>
      <c r="P540" s="347"/>
      <c r="Q540" s="312"/>
      <c r="R540" s="347"/>
      <c r="S540" s="312"/>
      <c r="T540" s="347"/>
    </row>
    <row r="541" spans="1:20" ht="12" customHeight="1" x14ac:dyDescent="0.3">
      <c r="A541" s="340" t="s">
        <v>294</v>
      </c>
      <c r="B541" s="341">
        <v>42</v>
      </c>
      <c r="C541" s="309">
        <v>46070</v>
      </c>
      <c r="D541" s="310" t="s">
        <v>337</v>
      </c>
      <c r="E541" s="342">
        <v>37.25</v>
      </c>
      <c r="F541" s="342"/>
      <c r="G541" s="344">
        <f t="shared" si="4"/>
        <v>3296.6299999999928</v>
      </c>
      <c r="H541" s="345"/>
      <c r="I541" s="346"/>
      <c r="J541" s="347"/>
      <c r="K541" s="312"/>
      <c r="L541" s="347"/>
      <c r="M541" s="312"/>
      <c r="N541" s="347"/>
      <c r="O541" s="312"/>
      <c r="P541" s="347"/>
      <c r="Q541" s="312"/>
      <c r="R541" s="347"/>
      <c r="S541" s="312"/>
      <c r="T541" s="347"/>
    </row>
    <row r="542" spans="1:20" ht="12" customHeight="1" x14ac:dyDescent="0.3">
      <c r="A542" s="340" t="s">
        <v>289</v>
      </c>
      <c r="B542" s="341">
        <v>2</v>
      </c>
      <c r="C542" s="309">
        <v>46070</v>
      </c>
      <c r="D542" s="310" t="s">
        <v>431</v>
      </c>
      <c r="E542" s="342">
        <v>7.97</v>
      </c>
      <c r="F542" s="342"/>
      <c r="G542" s="344">
        <f t="shared" si="4"/>
        <v>3333.8799999999928</v>
      </c>
      <c r="H542" s="345"/>
      <c r="I542" s="346"/>
      <c r="J542" s="347"/>
      <c r="K542" s="312"/>
      <c r="L542" s="347"/>
      <c r="M542" s="312"/>
      <c r="N542" s="347"/>
      <c r="O542" s="312"/>
      <c r="P542" s="347"/>
      <c r="Q542" s="312"/>
      <c r="R542" s="347"/>
      <c r="S542" s="312"/>
      <c r="T542" s="347"/>
    </row>
    <row r="543" spans="1:20" ht="12" customHeight="1" x14ac:dyDescent="0.3">
      <c r="A543" s="340" t="s">
        <v>294</v>
      </c>
      <c r="B543" s="341">
        <v>17</v>
      </c>
      <c r="C543" s="309">
        <v>46070</v>
      </c>
      <c r="D543" s="310" t="s">
        <v>188</v>
      </c>
      <c r="E543" s="342">
        <v>42.65</v>
      </c>
      <c r="F543" s="342"/>
      <c r="G543" s="344">
        <f t="shared" si="4"/>
        <v>3341.8499999999926</v>
      </c>
      <c r="H543" s="345"/>
      <c r="I543" s="346"/>
      <c r="J543" s="347"/>
      <c r="K543" s="312"/>
      <c r="L543" s="347"/>
      <c r="M543" s="312"/>
      <c r="N543" s="347"/>
      <c r="O543" s="312"/>
      <c r="P543" s="347"/>
      <c r="Q543" s="312"/>
      <c r="R543" s="347"/>
      <c r="S543" s="312"/>
      <c r="T543" s="347"/>
    </row>
    <row r="544" spans="1:20" ht="12" customHeight="1" x14ac:dyDescent="0.3">
      <c r="A544" s="340" t="s">
        <v>289</v>
      </c>
      <c r="B544" s="341">
        <v>6</v>
      </c>
      <c r="C544" s="309">
        <v>46070</v>
      </c>
      <c r="D544" s="310" t="s">
        <v>444</v>
      </c>
      <c r="E544" s="342">
        <v>40</v>
      </c>
      <c r="F544" s="342"/>
      <c r="G544" s="344">
        <f t="shared" si="4"/>
        <v>3384.4999999999927</v>
      </c>
      <c r="H544" s="345"/>
      <c r="I544" s="346"/>
      <c r="J544" s="347"/>
      <c r="K544" s="312"/>
      <c r="L544" s="347"/>
      <c r="M544" s="312"/>
      <c r="N544" s="347"/>
      <c r="O544" s="312"/>
      <c r="P544" s="347"/>
      <c r="Q544" s="312"/>
      <c r="R544" s="347"/>
      <c r="S544" s="312"/>
      <c r="T544" s="347"/>
    </row>
    <row r="545" spans="1:20" ht="12" customHeight="1" x14ac:dyDescent="0.3">
      <c r="A545" s="340" t="s">
        <v>294</v>
      </c>
      <c r="B545" s="341">
        <v>11</v>
      </c>
      <c r="C545" s="309">
        <v>46070</v>
      </c>
      <c r="D545" s="310" t="s">
        <v>178</v>
      </c>
      <c r="E545" s="342">
        <v>480.91</v>
      </c>
      <c r="F545" s="342"/>
      <c r="G545" s="344">
        <f t="shared" si="4"/>
        <v>3424.4999999999927</v>
      </c>
      <c r="H545" s="345"/>
      <c r="I545" s="346"/>
      <c r="J545" s="347"/>
      <c r="K545" s="312"/>
      <c r="L545" s="347"/>
      <c r="M545" s="312"/>
      <c r="N545" s="347"/>
      <c r="O545" s="312"/>
      <c r="P545" s="347"/>
      <c r="Q545" s="312"/>
      <c r="R545" s="347"/>
      <c r="S545" s="312"/>
      <c r="T545" s="347"/>
    </row>
    <row r="546" spans="1:20" ht="12" customHeight="1" x14ac:dyDescent="0.3">
      <c r="A546" s="340" t="s">
        <v>294</v>
      </c>
      <c r="B546" s="341">
        <v>23</v>
      </c>
      <c r="C546" s="309">
        <v>46070</v>
      </c>
      <c r="D546" s="310" t="s">
        <v>63</v>
      </c>
      <c r="E546" s="342">
        <v>529.46</v>
      </c>
      <c r="F546" s="342"/>
      <c r="G546" s="344">
        <f t="shared" si="4"/>
        <v>3905.4099999999926</v>
      </c>
      <c r="H546" s="345"/>
      <c r="I546" s="346"/>
      <c r="J546" s="347"/>
      <c r="K546" s="312"/>
      <c r="L546" s="347"/>
      <c r="M546" s="312"/>
      <c r="N546" s="347"/>
      <c r="O546" s="312"/>
      <c r="P546" s="347"/>
      <c r="Q546" s="312"/>
      <c r="R546" s="347"/>
      <c r="S546" s="312"/>
      <c r="T546" s="347"/>
    </row>
    <row r="547" spans="1:20" ht="12" customHeight="1" x14ac:dyDescent="0.3">
      <c r="A547" s="340" t="s">
        <v>289</v>
      </c>
      <c r="B547" s="341">
        <v>2</v>
      </c>
      <c r="C547" s="309">
        <v>46069</v>
      </c>
      <c r="D547" s="310" t="s">
        <v>327</v>
      </c>
      <c r="E547" s="342">
        <v>16.079999999999998</v>
      </c>
      <c r="F547" s="342"/>
      <c r="G547" s="344">
        <f t="shared" si="4"/>
        <v>4434.8699999999926</v>
      </c>
      <c r="H547" s="345"/>
      <c r="I547" s="346"/>
      <c r="J547" s="347"/>
      <c r="K547" s="312"/>
      <c r="L547" s="347"/>
      <c r="M547" s="312"/>
      <c r="N547" s="347"/>
      <c r="O547" s="312"/>
      <c r="P547" s="347"/>
      <c r="Q547" s="312"/>
      <c r="R547" s="347"/>
      <c r="S547" s="312"/>
      <c r="T547" s="347"/>
    </row>
    <row r="548" spans="1:20" ht="12" customHeight="1" x14ac:dyDescent="0.3">
      <c r="A548" s="340" t="s">
        <v>289</v>
      </c>
      <c r="B548" s="341">
        <v>6</v>
      </c>
      <c r="C548" s="309">
        <v>46069</v>
      </c>
      <c r="D548" s="310" t="s">
        <v>300</v>
      </c>
      <c r="E548" s="342">
        <v>21.17</v>
      </c>
      <c r="F548" s="342"/>
      <c r="G548" s="344">
        <f t="shared" si="4"/>
        <v>4450.9499999999925</v>
      </c>
      <c r="H548" s="345"/>
      <c r="I548" s="346"/>
      <c r="J548" s="347"/>
      <c r="K548" s="312"/>
      <c r="L548" s="347"/>
      <c r="M548" s="312"/>
      <c r="N548" s="347"/>
      <c r="O548" s="312"/>
      <c r="P548" s="347"/>
      <c r="Q548" s="312"/>
      <c r="R548" s="347"/>
      <c r="S548" s="312"/>
      <c r="T548" s="347"/>
    </row>
    <row r="549" spans="1:20" ht="12" customHeight="1" x14ac:dyDescent="0.3">
      <c r="A549" s="340" t="s">
        <v>289</v>
      </c>
      <c r="B549" s="341">
        <v>6</v>
      </c>
      <c r="C549" s="309">
        <v>46069</v>
      </c>
      <c r="D549" s="310" t="s">
        <v>300</v>
      </c>
      <c r="E549" s="342">
        <v>17.03</v>
      </c>
      <c r="F549" s="342"/>
      <c r="G549" s="344">
        <f t="shared" si="4"/>
        <v>4472.1199999999926</v>
      </c>
      <c r="H549" s="345"/>
      <c r="I549" s="346"/>
      <c r="J549" s="347"/>
      <c r="K549" s="312"/>
      <c r="L549" s="347"/>
      <c r="M549" s="312"/>
      <c r="N549" s="347"/>
      <c r="O549" s="312"/>
      <c r="P549" s="347"/>
      <c r="Q549" s="312"/>
      <c r="R549" s="347"/>
      <c r="S549" s="312"/>
      <c r="T549" s="347"/>
    </row>
    <row r="550" spans="1:20" ht="12" customHeight="1" x14ac:dyDescent="0.3">
      <c r="A550" s="340" t="s">
        <v>289</v>
      </c>
      <c r="B550" s="341">
        <v>2</v>
      </c>
      <c r="C550" s="309">
        <v>46069</v>
      </c>
      <c r="D550" s="310" t="s">
        <v>296</v>
      </c>
      <c r="E550" s="342">
        <v>18.309999999999999</v>
      </c>
      <c r="F550" s="342"/>
      <c r="G550" s="344">
        <f t="shared" si="4"/>
        <v>4489.1499999999924</v>
      </c>
      <c r="H550" s="345"/>
      <c r="I550" s="346"/>
      <c r="J550" s="347"/>
      <c r="K550" s="312"/>
      <c r="L550" s="347"/>
      <c r="M550" s="312"/>
      <c r="N550" s="347"/>
      <c r="O550" s="312"/>
      <c r="P550" s="347"/>
      <c r="Q550" s="312"/>
      <c r="R550" s="347"/>
      <c r="S550" s="312"/>
      <c r="T550" s="347"/>
    </row>
    <row r="551" spans="1:20" ht="12" customHeight="1" x14ac:dyDescent="0.3">
      <c r="A551" s="340" t="s">
        <v>289</v>
      </c>
      <c r="B551" s="341">
        <v>2</v>
      </c>
      <c r="C551" s="309">
        <v>46069</v>
      </c>
      <c r="D551" s="310" t="s">
        <v>301</v>
      </c>
      <c r="E551" s="342">
        <v>19.3</v>
      </c>
      <c r="F551" s="342"/>
      <c r="G551" s="344">
        <f t="shared" si="4"/>
        <v>4507.4599999999928</v>
      </c>
      <c r="H551" s="345"/>
      <c r="I551" s="346"/>
      <c r="J551" s="347"/>
      <c r="K551" s="312"/>
      <c r="L551" s="347"/>
      <c r="M551" s="312"/>
      <c r="N551" s="347"/>
      <c r="O551" s="312"/>
      <c r="P551" s="347"/>
      <c r="Q551" s="312"/>
      <c r="R551" s="347"/>
      <c r="S551" s="312"/>
      <c r="T551" s="347"/>
    </row>
    <row r="552" spans="1:20" ht="12" customHeight="1" x14ac:dyDescent="0.3">
      <c r="A552" s="340" t="s">
        <v>289</v>
      </c>
      <c r="B552" s="341">
        <v>6</v>
      </c>
      <c r="C552" s="309">
        <v>46069</v>
      </c>
      <c r="D552" s="310" t="s">
        <v>402</v>
      </c>
      <c r="E552" s="342">
        <v>24.67</v>
      </c>
      <c r="F552" s="342"/>
      <c r="G552" s="344">
        <f t="shared" si="4"/>
        <v>4526.7599999999929</v>
      </c>
      <c r="H552" s="345"/>
      <c r="I552" s="346"/>
      <c r="J552" s="347"/>
      <c r="K552" s="312"/>
      <c r="L552" s="347"/>
      <c r="M552" s="312"/>
      <c r="N552" s="347"/>
      <c r="O552" s="312"/>
      <c r="P552" s="347"/>
      <c r="Q552" s="312"/>
      <c r="R552" s="347"/>
      <c r="S552" s="312"/>
      <c r="T552" s="347"/>
    </row>
    <row r="553" spans="1:20" ht="12" customHeight="1" x14ac:dyDescent="0.3">
      <c r="A553" s="340" t="s">
        <v>287</v>
      </c>
      <c r="B553" s="341" t="s">
        <v>287</v>
      </c>
      <c r="C553" s="309">
        <v>46069</v>
      </c>
      <c r="D553" s="310" t="s">
        <v>402</v>
      </c>
      <c r="E553" s="342">
        <v>152.41999999999999</v>
      </c>
      <c r="F553" s="342">
        <v>152.41999999999999</v>
      </c>
      <c r="G553" s="344">
        <f t="shared" si="4"/>
        <v>4551.429999999993</v>
      </c>
      <c r="H553" s="345"/>
      <c r="I553" s="346"/>
      <c r="J553" s="347"/>
      <c r="K553" s="312"/>
      <c r="L553" s="347"/>
      <c r="M553" s="312"/>
      <c r="N553" s="347"/>
      <c r="O553" s="312"/>
      <c r="P553" s="347"/>
      <c r="Q553" s="312"/>
      <c r="R553" s="347"/>
      <c r="S553" s="312"/>
      <c r="T553" s="347"/>
    </row>
    <row r="554" spans="1:20" ht="12" customHeight="1" x14ac:dyDescent="0.3">
      <c r="A554" s="340" t="s">
        <v>289</v>
      </c>
      <c r="B554" s="341">
        <v>6</v>
      </c>
      <c r="C554" s="309">
        <v>46068</v>
      </c>
      <c r="D554" s="310" t="s">
        <v>445</v>
      </c>
      <c r="E554" s="342">
        <v>233.83</v>
      </c>
      <c r="F554" s="342"/>
      <c r="G554" s="344">
        <f t="shared" si="4"/>
        <v>4551.429999999993</v>
      </c>
      <c r="H554" s="345"/>
      <c r="I554" s="346"/>
      <c r="J554" s="347"/>
      <c r="K554" s="312"/>
      <c r="L554" s="347"/>
      <c r="M554" s="312"/>
      <c r="N554" s="347"/>
      <c r="O554" s="312"/>
      <c r="P554" s="347"/>
      <c r="Q554" s="312"/>
      <c r="R554" s="347"/>
      <c r="S554" s="312"/>
      <c r="T554" s="347"/>
    </row>
    <row r="555" spans="1:20" ht="12" customHeight="1" x14ac:dyDescent="0.3">
      <c r="A555" s="340" t="s">
        <v>289</v>
      </c>
      <c r="B555" s="341">
        <v>2</v>
      </c>
      <c r="C555" s="309">
        <v>46068</v>
      </c>
      <c r="D555" s="310" t="s">
        <v>329</v>
      </c>
      <c r="E555" s="342">
        <v>50.87</v>
      </c>
      <c r="F555" s="342"/>
      <c r="G555" s="344">
        <f t="shared" si="4"/>
        <v>4785.2599999999929</v>
      </c>
      <c r="H555" s="345"/>
      <c r="I555" s="346"/>
      <c r="J555" s="347"/>
      <c r="K555" s="312"/>
      <c r="L555" s="347"/>
      <c r="M555" s="312"/>
      <c r="N555" s="347"/>
      <c r="O555" s="312"/>
      <c r="P555" s="347"/>
      <c r="Q555" s="312"/>
      <c r="R555" s="347"/>
      <c r="S555" s="312"/>
      <c r="T555" s="347"/>
    </row>
    <row r="556" spans="1:20" ht="12" customHeight="1" x14ac:dyDescent="0.3">
      <c r="A556" s="340" t="s">
        <v>289</v>
      </c>
      <c r="B556" s="341">
        <v>2</v>
      </c>
      <c r="C556" s="309">
        <v>46068</v>
      </c>
      <c r="D556" s="310" t="s">
        <v>446</v>
      </c>
      <c r="E556" s="342">
        <v>16</v>
      </c>
      <c r="F556" s="342"/>
      <c r="G556" s="344">
        <f t="shared" si="4"/>
        <v>4836.1299999999928</v>
      </c>
      <c r="H556" s="345"/>
      <c r="I556" s="346"/>
      <c r="J556" s="347"/>
      <c r="K556" s="312"/>
      <c r="L556" s="347"/>
      <c r="M556" s="312"/>
      <c r="N556" s="347"/>
      <c r="O556" s="312"/>
      <c r="P556" s="347"/>
      <c r="Q556" s="312"/>
      <c r="R556" s="347"/>
      <c r="S556" s="312"/>
      <c r="T556" s="347"/>
    </row>
    <row r="557" spans="1:20" ht="12" customHeight="1" x14ac:dyDescent="0.3">
      <c r="A557" s="340" t="s">
        <v>289</v>
      </c>
      <c r="B557" s="341">
        <v>2</v>
      </c>
      <c r="C557" s="309">
        <v>46068</v>
      </c>
      <c r="D557" s="310" t="s">
        <v>357</v>
      </c>
      <c r="E557" s="342">
        <v>30</v>
      </c>
      <c r="F557" s="342"/>
      <c r="G557" s="344">
        <f t="shared" si="4"/>
        <v>4852.1299999999928</v>
      </c>
      <c r="H557" s="345"/>
      <c r="I557" s="346"/>
      <c r="J557" s="347"/>
      <c r="K557" s="312"/>
      <c r="L557" s="347"/>
      <c r="M557" s="312"/>
      <c r="N557" s="347"/>
      <c r="O557" s="312"/>
      <c r="P557" s="347"/>
      <c r="Q557" s="312"/>
      <c r="R557" s="347"/>
      <c r="S557" s="312"/>
      <c r="T557" s="347"/>
    </row>
    <row r="558" spans="1:20" ht="12" customHeight="1" x14ac:dyDescent="0.3">
      <c r="A558" s="340" t="s">
        <v>289</v>
      </c>
      <c r="B558" s="341">
        <v>6</v>
      </c>
      <c r="C558" s="309">
        <v>46068</v>
      </c>
      <c r="D558" s="310" t="s">
        <v>307</v>
      </c>
      <c r="E558" s="342">
        <v>76</v>
      </c>
      <c r="F558" s="342"/>
      <c r="G558" s="344">
        <f t="shared" si="4"/>
        <v>4882.1299999999928</v>
      </c>
      <c r="H558" s="345"/>
      <c r="I558" s="346"/>
      <c r="J558" s="347"/>
      <c r="K558" s="312"/>
      <c r="L558" s="347"/>
      <c r="M558" s="312"/>
      <c r="N558" s="347"/>
      <c r="O558" s="312"/>
      <c r="P558" s="347"/>
      <c r="Q558" s="312"/>
      <c r="R558" s="347"/>
      <c r="S558" s="312"/>
      <c r="T558" s="347"/>
    </row>
    <row r="559" spans="1:20" ht="12" customHeight="1" x14ac:dyDescent="0.3">
      <c r="A559" s="340" t="s">
        <v>289</v>
      </c>
      <c r="B559" s="341">
        <v>3</v>
      </c>
      <c r="C559" s="309">
        <v>46068</v>
      </c>
      <c r="D559" s="310" t="s">
        <v>352</v>
      </c>
      <c r="E559" s="342">
        <v>3.59</v>
      </c>
      <c r="F559" s="342"/>
      <c r="G559" s="344">
        <f t="shared" si="4"/>
        <v>4958.1299999999928</v>
      </c>
      <c r="H559" s="345"/>
      <c r="I559" s="346"/>
      <c r="J559" s="347"/>
      <c r="K559" s="312"/>
      <c r="L559" s="347"/>
      <c r="M559" s="312"/>
      <c r="N559" s="347"/>
      <c r="O559" s="312"/>
      <c r="P559" s="347"/>
      <c r="Q559" s="312"/>
      <c r="R559" s="347"/>
      <c r="S559" s="312"/>
      <c r="T559" s="347"/>
    </row>
    <row r="560" spans="1:20" ht="12" customHeight="1" x14ac:dyDescent="0.3">
      <c r="A560" s="340" t="s">
        <v>289</v>
      </c>
      <c r="B560" s="341">
        <v>6</v>
      </c>
      <c r="C560" s="309">
        <v>46068</v>
      </c>
      <c r="D560" s="310" t="s">
        <v>447</v>
      </c>
      <c r="E560" s="342">
        <v>70</v>
      </c>
      <c r="F560" s="342"/>
      <c r="G560" s="344">
        <f t="shared" si="4"/>
        <v>4961.719999999993</v>
      </c>
      <c r="H560" s="345"/>
      <c r="I560" s="346"/>
      <c r="J560" s="347"/>
      <c r="K560" s="312"/>
      <c r="L560" s="347"/>
      <c r="M560" s="312"/>
      <c r="N560" s="347"/>
      <c r="O560" s="312"/>
      <c r="P560" s="347"/>
      <c r="Q560" s="312"/>
      <c r="R560" s="347"/>
      <c r="S560" s="312"/>
      <c r="T560" s="347"/>
    </row>
    <row r="561" spans="1:20" ht="12" customHeight="1" x14ac:dyDescent="0.3">
      <c r="A561" s="340" t="s">
        <v>289</v>
      </c>
      <c r="B561" s="341">
        <v>8</v>
      </c>
      <c r="C561" s="309">
        <v>46068</v>
      </c>
      <c r="D561" s="310" t="s">
        <v>448</v>
      </c>
      <c r="E561" s="342">
        <v>175</v>
      </c>
      <c r="F561" s="342"/>
      <c r="G561" s="344">
        <f t="shared" si="4"/>
        <v>5031.719999999993</v>
      </c>
      <c r="H561" s="345" t="s">
        <v>298</v>
      </c>
      <c r="I561" s="346"/>
      <c r="J561" s="347"/>
      <c r="K561" s="312"/>
      <c r="L561" s="347"/>
      <c r="M561" s="312"/>
      <c r="N561" s="347"/>
      <c r="O561" s="312"/>
      <c r="P561" s="347"/>
      <c r="Q561" s="312"/>
      <c r="R561" s="347"/>
      <c r="S561" s="312"/>
      <c r="T561" s="347"/>
    </row>
    <row r="562" spans="1:20" ht="12" customHeight="1" x14ac:dyDescent="0.3">
      <c r="A562" s="340" t="s">
        <v>289</v>
      </c>
      <c r="B562" s="341">
        <v>8</v>
      </c>
      <c r="C562" s="309">
        <v>46067</v>
      </c>
      <c r="D562" s="310" t="s">
        <v>321</v>
      </c>
      <c r="E562" s="342">
        <v>13.09</v>
      </c>
      <c r="F562" s="342"/>
      <c r="G562" s="344">
        <f t="shared" si="4"/>
        <v>5206.719999999993</v>
      </c>
      <c r="H562" s="345"/>
      <c r="I562" s="346"/>
      <c r="J562" s="347"/>
      <c r="K562" s="312"/>
      <c r="L562" s="347"/>
      <c r="M562" s="312"/>
      <c r="N562" s="347"/>
      <c r="O562" s="312"/>
      <c r="P562" s="347"/>
      <c r="Q562" s="312"/>
      <c r="R562" s="347"/>
      <c r="S562" s="312"/>
      <c r="T562" s="347"/>
    </row>
    <row r="563" spans="1:20" ht="12" customHeight="1" x14ac:dyDescent="0.3">
      <c r="A563" s="340" t="s">
        <v>289</v>
      </c>
      <c r="B563" s="341">
        <v>3</v>
      </c>
      <c r="C563" s="309">
        <v>46067</v>
      </c>
      <c r="D563" s="310" t="s">
        <v>296</v>
      </c>
      <c r="E563" s="342">
        <v>7.56</v>
      </c>
      <c r="F563" s="342"/>
      <c r="G563" s="344">
        <f t="shared" si="4"/>
        <v>5219.8099999999931</v>
      </c>
      <c r="H563" s="345"/>
      <c r="I563" s="346"/>
      <c r="J563" s="347"/>
      <c r="K563" s="312"/>
      <c r="L563" s="347"/>
      <c r="M563" s="312"/>
      <c r="N563" s="347"/>
      <c r="O563" s="312"/>
      <c r="P563" s="347"/>
      <c r="Q563" s="312"/>
      <c r="R563" s="347"/>
      <c r="S563" s="312"/>
      <c r="T563" s="347"/>
    </row>
    <row r="564" spans="1:20" ht="12" customHeight="1" x14ac:dyDescent="0.3">
      <c r="A564" s="340" t="s">
        <v>289</v>
      </c>
      <c r="B564" s="341">
        <v>4</v>
      </c>
      <c r="C564" s="309">
        <v>46067</v>
      </c>
      <c r="D564" s="310" t="s">
        <v>296</v>
      </c>
      <c r="E564" s="342">
        <v>32.409999999999997</v>
      </c>
      <c r="F564" s="342"/>
      <c r="G564" s="344">
        <f t="shared" si="4"/>
        <v>5227.3699999999935</v>
      </c>
      <c r="H564" s="345"/>
      <c r="I564" s="346"/>
      <c r="J564" s="347"/>
      <c r="K564" s="312"/>
      <c r="L564" s="347"/>
      <c r="M564" s="312"/>
      <c r="N564" s="347"/>
      <c r="O564" s="312"/>
      <c r="P564" s="347"/>
      <c r="Q564" s="312"/>
      <c r="R564" s="347"/>
      <c r="S564" s="312"/>
      <c r="T564" s="347"/>
    </row>
    <row r="565" spans="1:20" ht="12" customHeight="1" x14ac:dyDescent="0.3">
      <c r="A565" s="340" t="s">
        <v>289</v>
      </c>
      <c r="B565" s="341">
        <v>5</v>
      </c>
      <c r="C565" s="309">
        <v>46067</v>
      </c>
      <c r="D565" s="310" t="s">
        <v>449</v>
      </c>
      <c r="E565" s="342">
        <v>400</v>
      </c>
      <c r="F565" s="342"/>
      <c r="G565" s="344">
        <f t="shared" si="4"/>
        <v>5259.7799999999934</v>
      </c>
      <c r="H565" s="345"/>
      <c r="I565" s="346"/>
      <c r="J565" s="347"/>
      <c r="K565" s="312"/>
      <c r="L565" s="347"/>
      <c r="M565" s="312"/>
      <c r="N565" s="347"/>
      <c r="O565" s="312"/>
      <c r="P565" s="347"/>
      <c r="Q565" s="312"/>
      <c r="R565" s="347"/>
      <c r="S565" s="312"/>
      <c r="T565" s="347"/>
    </row>
    <row r="566" spans="1:20" ht="12" customHeight="1" x14ac:dyDescent="0.3">
      <c r="A566" s="340" t="s">
        <v>289</v>
      </c>
      <c r="B566" s="341">
        <v>8</v>
      </c>
      <c r="C566" s="309">
        <v>46066</v>
      </c>
      <c r="D566" s="310" t="s">
        <v>321</v>
      </c>
      <c r="E566" s="342">
        <v>41.51</v>
      </c>
      <c r="F566" s="342"/>
      <c r="G566" s="344">
        <f t="shared" si="4"/>
        <v>5659.7799999999934</v>
      </c>
      <c r="H566" s="345"/>
      <c r="I566" s="346"/>
      <c r="J566" s="347"/>
      <c r="K566" s="312"/>
      <c r="L566" s="347"/>
      <c r="M566" s="312"/>
      <c r="N566" s="347"/>
      <c r="O566" s="312"/>
      <c r="P566" s="347"/>
      <c r="Q566" s="312"/>
      <c r="R566" s="347"/>
      <c r="S566" s="312"/>
      <c r="T566" s="347"/>
    </row>
    <row r="567" spans="1:20" ht="12" customHeight="1" x14ac:dyDescent="0.3">
      <c r="A567" s="340" t="s">
        <v>289</v>
      </c>
      <c r="B567" s="341">
        <v>4</v>
      </c>
      <c r="C567" s="309">
        <v>46066</v>
      </c>
      <c r="D567" s="310" t="s">
        <v>296</v>
      </c>
      <c r="E567" s="342">
        <v>21.55</v>
      </c>
      <c r="F567" s="342"/>
      <c r="G567" s="344">
        <f t="shared" si="4"/>
        <v>5701.2899999999936</v>
      </c>
      <c r="H567" s="345"/>
      <c r="I567" s="346"/>
      <c r="J567" s="347"/>
      <c r="K567" s="312"/>
      <c r="L567" s="347"/>
      <c r="M567" s="312"/>
      <c r="N567" s="347"/>
      <c r="O567" s="312"/>
      <c r="P567" s="347"/>
      <c r="Q567" s="312"/>
      <c r="R567" s="347"/>
      <c r="S567" s="312"/>
      <c r="T567" s="347"/>
    </row>
    <row r="568" spans="1:20" ht="12" customHeight="1" x14ac:dyDescent="0.3">
      <c r="A568" s="340" t="s">
        <v>289</v>
      </c>
      <c r="B568" s="341">
        <v>2</v>
      </c>
      <c r="C568" s="309">
        <v>46066</v>
      </c>
      <c r="D568" s="310" t="s">
        <v>362</v>
      </c>
      <c r="E568" s="342">
        <v>12.45</v>
      </c>
      <c r="F568" s="342"/>
      <c r="G568" s="344">
        <f t="shared" si="4"/>
        <v>5722.8399999999938</v>
      </c>
      <c r="H568" s="345"/>
      <c r="I568" s="346"/>
      <c r="J568" s="347"/>
      <c r="K568" s="312"/>
      <c r="L568" s="347"/>
      <c r="M568" s="312"/>
      <c r="N568" s="347"/>
      <c r="O568" s="312"/>
      <c r="P568" s="347"/>
      <c r="Q568" s="312"/>
      <c r="R568" s="347"/>
      <c r="S568" s="312"/>
      <c r="T568" s="347"/>
    </row>
    <row r="569" spans="1:20" ht="12" customHeight="1" x14ac:dyDescent="0.3">
      <c r="A569" s="340" t="s">
        <v>287</v>
      </c>
      <c r="B569" s="341" t="s">
        <v>287</v>
      </c>
      <c r="C569" s="309">
        <v>46066</v>
      </c>
      <c r="D569" s="310" t="s">
        <v>402</v>
      </c>
      <c r="E569" s="342">
        <v>91.38</v>
      </c>
      <c r="F569" s="342">
        <v>91.38</v>
      </c>
      <c r="G569" s="344">
        <f t="shared" si="4"/>
        <v>5735.2899999999936</v>
      </c>
      <c r="H569" s="345"/>
      <c r="I569" s="346"/>
      <c r="J569" s="347"/>
      <c r="K569" s="312"/>
      <c r="L569" s="347"/>
      <c r="M569" s="312"/>
      <c r="N569" s="347"/>
      <c r="O569" s="312"/>
      <c r="P569" s="347"/>
      <c r="Q569" s="312"/>
      <c r="R569" s="347"/>
      <c r="S569" s="312"/>
      <c r="T569" s="347"/>
    </row>
    <row r="570" spans="1:20" ht="12" customHeight="1" x14ac:dyDescent="0.3">
      <c r="A570" s="340" t="s">
        <v>289</v>
      </c>
      <c r="B570" s="341">
        <v>1</v>
      </c>
      <c r="C570" s="309">
        <v>46066</v>
      </c>
      <c r="D570" s="310" t="s">
        <v>312</v>
      </c>
      <c r="E570" s="342">
        <v>16.48</v>
      </c>
      <c r="F570" s="342"/>
      <c r="G570" s="344">
        <f t="shared" si="4"/>
        <v>5735.2899999999936</v>
      </c>
      <c r="H570" s="345"/>
      <c r="I570" s="346"/>
      <c r="J570" s="347"/>
      <c r="K570" s="312"/>
      <c r="L570" s="347"/>
      <c r="M570" s="312"/>
      <c r="N570" s="347"/>
      <c r="O570" s="312"/>
      <c r="P570" s="347"/>
      <c r="Q570" s="312"/>
      <c r="R570" s="347"/>
      <c r="S570" s="312"/>
      <c r="T570" s="347"/>
    </row>
    <row r="571" spans="1:20" ht="12" customHeight="1" x14ac:dyDescent="0.3">
      <c r="A571" s="340" t="s">
        <v>289</v>
      </c>
      <c r="B571" s="341">
        <v>1</v>
      </c>
      <c r="C571" s="309">
        <v>46066</v>
      </c>
      <c r="D571" s="310" t="s">
        <v>435</v>
      </c>
      <c r="E571" s="342">
        <v>12.76</v>
      </c>
      <c r="F571" s="342"/>
      <c r="G571" s="344">
        <f t="shared" si="4"/>
        <v>5751.7699999999932</v>
      </c>
      <c r="H571" s="345"/>
      <c r="I571" s="346"/>
      <c r="J571" s="347"/>
      <c r="K571" s="312"/>
      <c r="L571" s="347"/>
      <c r="M571" s="312"/>
      <c r="N571" s="347"/>
      <c r="O571" s="312"/>
      <c r="P571" s="347"/>
      <c r="Q571" s="312"/>
      <c r="R571" s="347"/>
      <c r="S571" s="312"/>
      <c r="T571" s="347"/>
    </row>
    <row r="572" spans="1:20" ht="12" customHeight="1" x14ac:dyDescent="0.3">
      <c r="A572" s="340" t="s">
        <v>289</v>
      </c>
      <c r="B572" s="341">
        <v>4</v>
      </c>
      <c r="C572" s="309">
        <v>46066</v>
      </c>
      <c r="D572" s="310" t="s">
        <v>332</v>
      </c>
      <c r="E572" s="342">
        <v>37.9</v>
      </c>
      <c r="F572" s="342"/>
      <c r="G572" s="344">
        <f t="shared" si="4"/>
        <v>5764.5299999999934</v>
      </c>
      <c r="H572" s="345"/>
      <c r="I572" s="346"/>
      <c r="J572" s="347"/>
      <c r="K572" s="312"/>
      <c r="L572" s="347"/>
      <c r="M572" s="312"/>
      <c r="N572" s="347"/>
      <c r="O572" s="312"/>
      <c r="P572" s="347"/>
      <c r="Q572" s="312"/>
      <c r="R572" s="347"/>
      <c r="S572" s="312"/>
      <c r="T572" s="347"/>
    </row>
    <row r="573" spans="1:20" ht="12" customHeight="1" x14ac:dyDescent="0.3">
      <c r="A573" s="340" t="s">
        <v>291</v>
      </c>
      <c r="B573" s="341">
        <v>40</v>
      </c>
      <c r="C573" s="309">
        <v>46066</v>
      </c>
      <c r="D573" s="310" t="s">
        <v>318</v>
      </c>
      <c r="E573" s="342"/>
      <c r="F573" s="342">
        <v>427.18</v>
      </c>
      <c r="G573" s="344">
        <f t="shared" si="4"/>
        <v>5802.429999999993</v>
      </c>
      <c r="H573" s="345"/>
      <c r="I573" s="346"/>
      <c r="J573" s="347"/>
      <c r="K573" s="312"/>
      <c r="L573" s="347"/>
      <c r="M573" s="312"/>
      <c r="N573" s="347"/>
      <c r="O573" s="312"/>
      <c r="P573" s="347"/>
      <c r="Q573" s="312"/>
      <c r="R573" s="347"/>
      <c r="S573" s="312"/>
      <c r="T573" s="347"/>
    </row>
    <row r="574" spans="1:20" ht="12" customHeight="1" x14ac:dyDescent="0.3">
      <c r="A574" s="340" t="s">
        <v>291</v>
      </c>
      <c r="B574" s="341">
        <v>38</v>
      </c>
      <c r="C574" s="309">
        <v>46066</v>
      </c>
      <c r="D574" s="310" t="s">
        <v>293</v>
      </c>
      <c r="E574" s="342"/>
      <c r="F574" s="342">
        <v>4278.16</v>
      </c>
      <c r="G574" s="344">
        <f t="shared" si="4"/>
        <v>5375.2499999999927</v>
      </c>
      <c r="H574" s="345"/>
      <c r="I574" s="346"/>
      <c r="J574" s="347"/>
      <c r="K574" s="312"/>
      <c r="L574" s="347"/>
      <c r="M574" s="312"/>
      <c r="N574" s="347"/>
      <c r="O574" s="312"/>
      <c r="P574" s="347"/>
      <c r="Q574" s="312"/>
      <c r="R574" s="347"/>
      <c r="S574" s="312"/>
      <c r="T574" s="347"/>
    </row>
    <row r="575" spans="1:20" ht="12" customHeight="1" x14ac:dyDescent="0.3">
      <c r="A575" s="340" t="s">
        <v>289</v>
      </c>
      <c r="B575" s="341">
        <v>8</v>
      </c>
      <c r="C575" s="309">
        <v>46065</v>
      </c>
      <c r="D575" s="310" t="s">
        <v>361</v>
      </c>
      <c r="E575" s="342">
        <v>111.36</v>
      </c>
      <c r="F575" s="342"/>
      <c r="G575" s="344">
        <f t="shared" si="4"/>
        <v>1097.0899999999931</v>
      </c>
      <c r="H575" s="345"/>
      <c r="I575" s="346"/>
      <c r="J575" s="347"/>
      <c r="K575" s="312"/>
      <c r="L575" s="347"/>
      <c r="M575" s="312"/>
      <c r="N575" s="347"/>
      <c r="O575" s="312"/>
      <c r="P575" s="347"/>
      <c r="Q575" s="312"/>
      <c r="R575" s="347"/>
      <c r="S575" s="312"/>
      <c r="T575" s="347"/>
    </row>
    <row r="576" spans="1:20" ht="12" customHeight="1" x14ac:dyDescent="0.3">
      <c r="A576" s="340" t="s">
        <v>289</v>
      </c>
      <c r="B576" s="341">
        <v>6</v>
      </c>
      <c r="C576" s="309">
        <v>46065</v>
      </c>
      <c r="D576" s="310" t="s">
        <v>450</v>
      </c>
      <c r="E576" s="342">
        <v>16</v>
      </c>
      <c r="F576" s="342"/>
      <c r="G576" s="344">
        <f t="shared" si="4"/>
        <v>1208.449999999993</v>
      </c>
      <c r="H576" s="345"/>
      <c r="I576" s="346"/>
      <c r="J576" s="347"/>
      <c r="K576" s="312"/>
      <c r="L576" s="347"/>
      <c r="M576" s="312"/>
      <c r="N576" s="347"/>
      <c r="O576" s="312"/>
      <c r="P576" s="347"/>
      <c r="Q576" s="312"/>
      <c r="R576" s="347"/>
      <c r="S576" s="312"/>
      <c r="T576" s="347"/>
    </row>
    <row r="577" spans="1:20" ht="12" customHeight="1" x14ac:dyDescent="0.3">
      <c r="A577" s="340" t="s">
        <v>289</v>
      </c>
      <c r="B577" s="341">
        <v>6</v>
      </c>
      <c r="C577" s="309">
        <v>46065</v>
      </c>
      <c r="D577" s="310" t="s">
        <v>300</v>
      </c>
      <c r="E577" s="342">
        <v>29.81</v>
      </c>
      <c r="F577" s="342"/>
      <c r="G577" s="344">
        <f t="shared" si="4"/>
        <v>1224.449999999993</v>
      </c>
      <c r="H577" s="345"/>
      <c r="I577" s="346"/>
      <c r="J577" s="347"/>
      <c r="K577" s="312"/>
      <c r="L577" s="347"/>
      <c r="M577" s="312"/>
      <c r="N577" s="347"/>
      <c r="O577" s="312"/>
      <c r="P577" s="347"/>
      <c r="Q577" s="312"/>
      <c r="R577" s="347"/>
      <c r="S577" s="312"/>
      <c r="T577" s="347"/>
    </row>
    <row r="578" spans="1:20" ht="12" customHeight="1" x14ac:dyDescent="0.3">
      <c r="A578" s="340" t="s">
        <v>294</v>
      </c>
      <c r="B578" s="341">
        <v>19</v>
      </c>
      <c r="C578" s="309">
        <v>46065</v>
      </c>
      <c r="D578" s="310" t="s">
        <v>191</v>
      </c>
      <c r="E578" s="342">
        <v>200</v>
      </c>
      <c r="F578" s="342"/>
      <c r="G578" s="344">
        <f t="shared" si="4"/>
        <v>1254.2599999999929</v>
      </c>
      <c r="H578" s="345"/>
      <c r="I578" s="346"/>
      <c r="J578" s="347"/>
      <c r="K578" s="312"/>
      <c r="L578" s="347"/>
      <c r="M578" s="312"/>
      <c r="N578" s="347"/>
      <c r="O578" s="312"/>
      <c r="P578" s="347"/>
      <c r="Q578" s="312"/>
      <c r="R578" s="347"/>
      <c r="S578" s="312"/>
      <c r="T578" s="347"/>
    </row>
    <row r="579" spans="1:20" ht="12" customHeight="1" x14ac:dyDescent="0.3">
      <c r="A579" s="340" t="s">
        <v>289</v>
      </c>
      <c r="B579" s="341">
        <v>2</v>
      </c>
      <c r="C579" s="309">
        <v>46065</v>
      </c>
      <c r="D579" s="310" t="s">
        <v>296</v>
      </c>
      <c r="E579" s="342">
        <v>7.56</v>
      </c>
      <c r="F579" s="342"/>
      <c r="G579" s="344">
        <f t="shared" si="4"/>
        <v>1454.2599999999929</v>
      </c>
      <c r="H579" s="345"/>
      <c r="I579" s="346"/>
      <c r="J579" s="347"/>
      <c r="K579" s="312"/>
      <c r="L579" s="347"/>
      <c r="M579" s="312"/>
      <c r="N579" s="347"/>
      <c r="O579" s="312"/>
      <c r="P579" s="347"/>
      <c r="Q579" s="312"/>
      <c r="R579" s="347"/>
      <c r="S579" s="312"/>
      <c r="T579" s="347"/>
    </row>
    <row r="580" spans="1:20" ht="12" customHeight="1" x14ac:dyDescent="0.3">
      <c r="A580" s="340" t="s">
        <v>289</v>
      </c>
      <c r="B580" s="341">
        <v>4</v>
      </c>
      <c r="C580" s="309">
        <v>46065</v>
      </c>
      <c r="D580" s="310" t="s">
        <v>296</v>
      </c>
      <c r="E580" s="342">
        <v>65.78</v>
      </c>
      <c r="F580" s="342"/>
      <c r="G580" s="344">
        <f t="shared" si="4"/>
        <v>1461.8199999999929</v>
      </c>
      <c r="H580" s="345"/>
      <c r="I580" s="346"/>
      <c r="J580" s="347"/>
      <c r="K580" s="312"/>
      <c r="L580" s="347"/>
      <c r="M580" s="312"/>
      <c r="N580" s="347"/>
      <c r="O580" s="312"/>
      <c r="P580" s="347"/>
      <c r="Q580" s="312"/>
      <c r="R580" s="347"/>
      <c r="S580" s="312"/>
      <c r="T580" s="347"/>
    </row>
    <row r="581" spans="1:20" ht="12" customHeight="1" x14ac:dyDescent="0.3">
      <c r="A581" s="340" t="s">
        <v>289</v>
      </c>
      <c r="B581" s="341">
        <v>3</v>
      </c>
      <c r="C581" s="309">
        <v>46065</v>
      </c>
      <c r="D581" s="310" t="s">
        <v>296</v>
      </c>
      <c r="E581" s="342">
        <v>3.93</v>
      </c>
      <c r="F581" s="342"/>
      <c r="G581" s="344">
        <f t="shared" si="4"/>
        <v>1527.5999999999929</v>
      </c>
      <c r="H581" s="345"/>
      <c r="I581" s="346"/>
      <c r="J581" s="347"/>
      <c r="K581" s="312"/>
      <c r="L581" s="347"/>
      <c r="M581" s="312"/>
      <c r="N581" s="347"/>
      <c r="O581" s="312"/>
      <c r="P581" s="347"/>
      <c r="Q581" s="312"/>
      <c r="R581" s="347"/>
      <c r="S581" s="312"/>
      <c r="T581" s="347"/>
    </row>
    <row r="582" spans="1:20" ht="12" customHeight="1" x14ac:dyDescent="0.3">
      <c r="A582" s="340" t="s">
        <v>289</v>
      </c>
      <c r="B582" s="341">
        <v>7</v>
      </c>
      <c r="C582" s="309">
        <v>46065</v>
      </c>
      <c r="D582" s="310" t="s">
        <v>451</v>
      </c>
      <c r="E582" s="342">
        <v>564.83000000000004</v>
      </c>
      <c r="F582" s="342"/>
      <c r="G582" s="344">
        <f t="shared" si="4"/>
        <v>1531.5299999999929</v>
      </c>
      <c r="H582" s="345"/>
      <c r="I582" s="346"/>
      <c r="J582" s="347"/>
      <c r="K582" s="312"/>
      <c r="L582" s="347"/>
      <c r="M582" s="312"/>
      <c r="N582" s="347"/>
      <c r="O582" s="312"/>
      <c r="P582" s="347"/>
      <c r="Q582" s="312"/>
      <c r="R582" s="347"/>
      <c r="S582" s="312"/>
      <c r="T582" s="347"/>
    </row>
    <row r="583" spans="1:20" ht="12" customHeight="1" x14ac:dyDescent="0.3">
      <c r="A583" s="340" t="s">
        <v>289</v>
      </c>
      <c r="B583" s="341">
        <v>7</v>
      </c>
      <c r="C583" s="309">
        <v>46065</v>
      </c>
      <c r="D583" s="310" t="s">
        <v>452</v>
      </c>
      <c r="E583" s="342">
        <v>70.180000000000007</v>
      </c>
      <c r="F583" s="342"/>
      <c r="G583" s="344">
        <f t="shared" si="4"/>
        <v>2096.3599999999929</v>
      </c>
      <c r="H583" s="345"/>
      <c r="I583" s="346"/>
      <c r="J583" s="347"/>
      <c r="K583" s="312"/>
      <c r="L583" s="347"/>
      <c r="M583" s="312"/>
      <c r="N583" s="347"/>
      <c r="O583" s="312"/>
      <c r="P583" s="347"/>
      <c r="Q583" s="312"/>
      <c r="R583" s="347"/>
      <c r="S583" s="312"/>
      <c r="T583" s="347"/>
    </row>
    <row r="584" spans="1:20" ht="12" customHeight="1" x14ac:dyDescent="0.3">
      <c r="A584" s="340" t="s">
        <v>289</v>
      </c>
      <c r="B584" s="341">
        <v>6</v>
      </c>
      <c r="C584" s="309">
        <v>46065</v>
      </c>
      <c r="D584" s="310" t="s">
        <v>453</v>
      </c>
      <c r="E584" s="342">
        <v>2.66</v>
      </c>
      <c r="F584" s="342"/>
      <c r="G584" s="344">
        <f t="shared" si="4"/>
        <v>2166.5399999999927</v>
      </c>
      <c r="H584" s="345"/>
      <c r="I584" s="346"/>
      <c r="J584" s="347"/>
      <c r="K584" s="312"/>
      <c r="L584" s="347"/>
      <c r="M584" s="312"/>
      <c r="N584" s="347"/>
      <c r="O584" s="312"/>
      <c r="P584" s="347"/>
      <c r="Q584" s="312"/>
      <c r="R584" s="347"/>
      <c r="S584" s="312"/>
      <c r="T584" s="347"/>
    </row>
    <row r="585" spans="1:20" ht="12" customHeight="1" x14ac:dyDescent="0.3">
      <c r="A585" s="340" t="s">
        <v>289</v>
      </c>
      <c r="B585" s="341">
        <v>5</v>
      </c>
      <c r="C585" s="309">
        <v>46064</v>
      </c>
      <c r="D585" s="310" t="s">
        <v>436</v>
      </c>
      <c r="E585" s="342">
        <v>103.25</v>
      </c>
      <c r="F585" s="342"/>
      <c r="G585" s="344">
        <f t="shared" si="4"/>
        <v>2169.1999999999925</v>
      </c>
      <c r="H585" s="345"/>
      <c r="I585" s="346"/>
      <c r="J585" s="347"/>
      <c r="K585" s="312"/>
      <c r="L585" s="347"/>
      <c r="M585" s="312"/>
      <c r="N585" s="347"/>
      <c r="O585" s="312"/>
      <c r="P585" s="347"/>
      <c r="Q585" s="312"/>
      <c r="R585" s="347"/>
      <c r="S585" s="312"/>
      <c r="T585" s="347"/>
    </row>
    <row r="586" spans="1:20" ht="12" customHeight="1" x14ac:dyDescent="0.3">
      <c r="A586" s="340" t="s">
        <v>289</v>
      </c>
      <c r="B586" s="341">
        <v>4</v>
      </c>
      <c r="C586" s="309">
        <v>46064</v>
      </c>
      <c r="D586" s="310" t="s">
        <v>367</v>
      </c>
      <c r="E586" s="342">
        <v>30.39</v>
      </c>
      <c r="F586" s="342"/>
      <c r="G586" s="344">
        <f t="shared" si="4"/>
        <v>2272.4499999999925</v>
      </c>
      <c r="H586" s="345"/>
      <c r="I586" s="346"/>
      <c r="J586" s="347"/>
      <c r="K586" s="312"/>
      <c r="L586" s="347"/>
      <c r="M586" s="312"/>
      <c r="N586" s="347"/>
      <c r="O586" s="312"/>
      <c r="P586" s="347"/>
      <c r="Q586" s="312"/>
      <c r="R586" s="347"/>
      <c r="S586" s="312"/>
      <c r="T586" s="347"/>
    </row>
    <row r="587" spans="1:20" ht="12" customHeight="1" x14ac:dyDescent="0.3">
      <c r="A587" s="340" t="s">
        <v>289</v>
      </c>
      <c r="B587" s="341">
        <v>2</v>
      </c>
      <c r="C587" s="309">
        <v>46064</v>
      </c>
      <c r="D587" s="310" t="s">
        <v>296</v>
      </c>
      <c r="E587" s="342">
        <v>9.92</v>
      </c>
      <c r="F587" s="342"/>
      <c r="G587" s="344">
        <f t="shared" si="4"/>
        <v>2302.8399999999924</v>
      </c>
      <c r="H587" s="345"/>
      <c r="I587" s="346"/>
      <c r="J587" s="347"/>
      <c r="K587" s="312"/>
      <c r="L587" s="347"/>
      <c r="M587" s="312"/>
      <c r="N587" s="347"/>
      <c r="O587" s="312"/>
      <c r="P587" s="347"/>
      <c r="Q587" s="312"/>
      <c r="R587" s="347"/>
      <c r="S587" s="312"/>
      <c r="T587" s="347"/>
    </row>
    <row r="588" spans="1:20" ht="12" customHeight="1" x14ac:dyDescent="0.3">
      <c r="A588" s="340" t="s">
        <v>289</v>
      </c>
      <c r="B588" s="341">
        <v>3</v>
      </c>
      <c r="C588" s="309">
        <v>46064</v>
      </c>
      <c r="D588" s="310" t="s">
        <v>295</v>
      </c>
      <c r="E588" s="342">
        <v>3.49</v>
      </c>
      <c r="F588" s="342"/>
      <c r="G588" s="344">
        <f t="shared" si="4"/>
        <v>2312.7599999999925</v>
      </c>
      <c r="H588" s="345"/>
      <c r="I588" s="346"/>
      <c r="J588" s="347"/>
      <c r="K588" s="312"/>
      <c r="L588" s="347"/>
      <c r="M588" s="312"/>
      <c r="N588" s="347"/>
      <c r="O588" s="312"/>
      <c r="P588" s="347"/>
      <c r="Q588" s="312"/>
      <c r="R588" s="347"/>
      <c r="S588" s="312"/>
      <c r="T588" s="347"/>
    </row>
    <row r="589" spans="1:20" ht="12" customHeight="1" x14ac:dyDescent="0.3">
      <c r="A589" s="340" t="s">
        <v>294</v>
      </c>
      <c r="B589" s="341">
        <v>22</v>
      </c>
      <c r="C589" s="309">
        <v>46064</v>
      </c>
      <c r="D589" s="310" t="s">
        <v>356</v>
      </c>
      <c r="E589" s="342">
        <v>19.16</v>
      </c>
      <c r="F589" s="342"/>
      <c r="G589" s="344">
        <f t="shared" si="4"/>
        <v>2316.2499999999923</v>
      </c>
      <c r="H589" s="345"/>
      <c r="I589" s="346"/>
      <c r="J589" s="347"/>
      <c r="K589" s="312"/>
      <c r="L589" s="347"/>
      <c r="M589" s="312"/>
      <c r="N589" s="347"/>
      <c r="O589" s="312"/>
      <c r="P589" s="347"/>
      <c r="Q589" s="312"/>
      <c r="R589" s="347"/>
      <c r="S589" s="312"/>
      <c r="T589" s="347"/>
    </row>
    <row r="590" spans="1:20" ht="12" customHeight="1" x14ac:dyDescent="0.3">
      <c r="A590" s="340" t="s">
        <v>289</v>
      </c>
      <c r="B590" s="341">
        <v>6</v>
      </c>
      <c r="C590" s="309">
        <v>46063</v>
      </c>
      <c r="D590" s="310" t="s">
        <v>419</v>
      </c>
      <c r="E590" s="342">
        <v>-8</v>
      </c>
      <c r="F590" s="342"/>
      <c r="G590" s="344">
        <f t="shared" si="4"/>
        <v>2335.4099999999921</v>
      </c>
      <c r="H590" s="345"/>
      <c r="I590" s="346"/>
      <c r="J590" s="347"/>
      <c r="K590" s="312"/>
      <c r="L590" s="347"/>
      <c r="M590" s="312"/>
      <c r="N590" s="347"/>
      <c r="O590" s="312"/>
      <c r="P590" s="347"/>
      <c r="Q590" s="312"/>
      <c r="R590" s="347"/>
      <c r="S590" s="312"/>
      <c r="T590" s="347"/>
    </row>
    <row r="591" spans="1:20" ht="12" customHeight="1" x14ac:dyDescent="0.3">
      <c r="A591" s="340" t="s">
        <v>289</v>
      </c>
      <c r="B591" s="341">
        <v>6</v>
      </c>
      <c r="C591" s="309">
        <v>46063</v>
      </c>
      <c r="D591" s="310" t="s">
        <v>454</v>
      </c>
      <c r="E591" s="342">
        <v>-0.04</v>
      </c>
      <c r="F591" s="342"/>
      <c r="G591" s="344">
        <f t="shared" si="4"/>
        <v>2327.4099999999921</v>
      </c>
      <c r="H591" s="345"/>
      <c r="I591" s="346"/>
      <c r="J591" s="347"/>
      <c r="K591" s="312"/>
      <c r="L591" s="347"/>
      <c r="M591" s="312"/>
      <c r="N591" s="347"/>
      <c r="O591" s="312"/>
      <c r="P591" s="347"/>
      <c r="Q591" s="312"/>
      <c r="R591" s="347"/>
      <c r="S591" s="312"/>
      <c r="T591" s="347"/>
    </row>
    <row r="592" spans="1:20" ht="12" customHeight="1" x14ac:dyDescent="0.3">
      <c r="A592" s="340" t="s">
        <v>339</v>
      </c>
      <c r="B592" s="341" t="s">
        <v>339</v>
      </c>
      <c r="C592" s="309">
        <v>46063</v>
      </c>
      <c r="D592" s="310" t="s">
        <v>455</v>
      </c>
      <c r="E592" s="342">
        <v>65.78</v>
      </c>
      <c r="F592" s="342"/>
      <c r="G592" s="344">
        <f t="shared" si="4"/>
        <v>2327.3699999999922</v>
      </c>
      <c r="H592" s="345"/>
      <c r="I592" s="346"/>
      <c r="J592" s="347"/>
      <c r="K592" s="312"/>
      <c r="L592" s="347"/>
      <c r="M592" s="312"/>
      <c r="N592" s="347"/>
      <c r="O592" s="312"/>
      <c r="P592" s="347"/>
      <c r="Q592" s="312"/>
      <c r="R592" s="347"/>
      <c r="S592" s="312"/>
      <c r="T592" s="347"/>
    </row>
    <row r="593" spans="1:20" ht="12" customHeight="1" x14ac:dyDescent="0.3">
      <c r="A593" s="340" t="s">
        <v>294</v>
      </c>
      <c r="B593" s="341">
        <v>13</v>
      </c>
      <c r="C593" s="309">
        <v>46063</v>
      </c>
      <c r="D593" s="310" t="s">
        <v>456</v>
      </c>
      <c r="E593" s="342">
        <v>159.35</v>
      </c>
      <c r="F593" s="342"/>
      <c r="G593" s="344">
        <f t="shared" si="4"/>
        <v>2393.1499999999924</v>
      </c>
      <c r="H593" s="345"/>
      <c r="I593" s="346"/>
      <c r="J593" s="347"/>
      <c r="K593" s="312"/>
      <c r="L593" s="347"/>
      <c r="M593" s="312"/>
      <c r="N593" s="347"/>
      <c r="O593" s="312"/>
      <c r="P593" s="347"/>
      <c r="Q593" s="312"/>
      <c r="R593" s="347"/>
      <c r="S593" s="312"/>
      <c r="T593" s="347"/>
    </row>
    <row r="594" spans="1:20" ht="12" customHeight="1" x14ac:dyDescent="0.3">
      <c r="A594" s="340" t="s">
        <v>289</v>
      </c>
      <c r="B594" s="341">
        <v>2</v>
      </c>
      <c r="C594" s="309">
        <v>46063</v>
      </c>
      <c r="D594" s="310" t="s">
        <v>296</v>
      </c>
      <c r="E594" s="342">
        <v>16.29</v>
      </c>
      <c r="F594" s="342"/>
      <c r="G594" s="344">
        <f t="shared" si="4"/>
        <v>2552.4999999999923</v>
      </c>
      <c r="H594" s="345"/>
      <c r="I594" s="346"/>
      <c r="J594" s="347"/>
      <c r="K594" s="312"/>
      <c r="L594" s="347"/>
      <c r="M594" s="312"/>
      <c r="N594" s="347"/>
      <c r="O594" s="312"/>
      <c r="P594" s="347"/>
      <c r="Q594" s="312"/>
      <c r="R594" s="347"/>
      <c r="S594" s="312"/>
      <c r="T594" s="347"/>
    </row>
    <row r="595" spans="1:20" ht="12" customHeight="1" x14ac:dyDescent="0.3">
      <c r="A595" s="340" t="s">
        <v>289</v>
      </c>
      <c r="B595" s="341">
        <v>1</v>
      </c>
      <c r="C595" s="309">
        <v>46063</v>
      </c>
      <c r="D595" s="310" t="s">
        <v>312</v>
      </c>
      <c r="E595" s="342">
        <v>19.329999999999998</v>
      </c>
      <c r="F595" s="342"/>
      <c r="G595" s="344">
        <f t="shared" si="4"/>
        <v>2568.7899999999922</v>
      </c>
      <c r="H595" s="345"/>
      <c r="I595" s="346"/>
      <c r="J595" s="347"/>
      <c r="K595" s="312"/>
      <c r="L595" s="347"/>
      <c r="M595" s="312"/>
      <c r="N595" s="347"/>
      <c r="O595" s="312"/>
      <c r="P595" s="347"/>
      <c r="Q595" s="312"/>
      <c r="R595" s="347"/>
      <c r="S595" s="312"/>
      <c r="T595" s="347"/>
    </row>
    <row r="596" spans="1:20" ht="12" customHeight="1" x14ac:dyDescent="0.3">
      <c r="A596" s="340" t="s">
        <v>289</v>
      </c>
      <c r="B596" s="341">
        <v>3</v>
      </c>
      <c r="C596" s="309">
        <v>46062</v>
      </c>
      <c r="D596" s="310" t="s">
        <v>457</v>
      </c>
      <c r="E596" s="342">
        <v>8.61</v>
      </c>
      <c r="F596" s="342"/>
      <c r="G596" s="344">
        <f t="shared" ref="G596:G841" si="5">G597-E596+F596</f>
        <v>2588.1199999999922</v>
      </c>
      <c r="H596" s="345"/>
      <c r="I596" s="346"/>
      <c r="J596" s="347"/>
      <c r="K596" s="312"/>
      <c r="L596" s="347"/>
      <c r="M596" s="312"/>
      <c r="N596" s="347"/>
      <c r="O596" s="312"/>
      <c r="P596" s="347"/>
      <c r="Q596" s="312"/>
      <c r="R596" s="347"/>
      <c r="S596" s="312"/>
      <c r="T596" s="347"/>
    </row>
    <row r="597" spans="1:20" ht="12" customHeight="1" x14ac:dyDescent="0.3">
      <c r="A597" s="340" t="s">
        <v>289</v>
      </c>
      <c r="B597" s="341">
        <v>2</v>
      </c>
      <c r="C597" s="309">
        <v>46062</v>
      </c>
      <c r="D597" s="310" t="s">
        <v>296</v>
      </c>
      <c r="E597" s="342">
        <v>13.41</v>
      </c>
      <c r="F597" s="342"/>
      <c r="G597" s="344">
        <f t="shared" si="5"/>
        <v>2596.7299999999923</v>
      </c>
      <c r="H597" s="345"/>
      <c r="I597" s="346"/>
      <c r="J597" s="347"/>
      <c r="K597" s="312"/>
      <c r="L597" s="347"/>
      <c r="M597" s="312"/>
      <c r="N597" s="347"/>
      <c r="O597" s="312"/>
      <c r="P597" s="347"/>
      <c r="Q597" s="312"/>
      <c r="R597" s="347"/>
      <c r="S597" s="312"/>
      <c r="T597" s="347"/>
    </row>
    <row r="598" spans="1:20" ht="12" customHeight="1" x14ac:dyDescent="0.3">
      <c r="A598" s="340" t="s">
        <v>294</v>
      </c>
      <c r="B598" s="341">
        <v>18</v>
      </c>
      <c r="C598" s="309">
        <v>46062</v>
      </c>
      <c r="D598" s="310" t="s">
        <v>365</v>
      </c>
      <c r="E598" s="342">
        <v>400</v>
      </c>
      <c r="F598" s="342"/>
      <c r="G598" s="344">
        <f t="shared" si="5"/>
        <v>2610.1399999999921</v>
      </c>
      <c r="H598" s="345"/>
      <c r="I598" s="346"/>
      <c r="J598" s="347"/>
      <c r="K598" s="312"/>
      <c r="L598" s="347"/>
      <c r="M598" s="312"/>
      <c r="N598" s="347"/>
      <c r="O598" s="312"/>
      <c r="P598" s="347"/>
      <c r="Q598" s="312"/>
      <c r="R598" s="347"/>
      <c r="S598" s="312"/>
      <c r="T598" s="347"/>
    </row>
    <row r="599" spans="1:20" ht="12" customHeight="1" x14ac:dyDescent="0.3">
      <c r="A599" s="340" t="s">
        <v>294</v>
      </c>
      <c r="B599" s="341">
        <v>9</v>
      </c>
      <c r="C599" s="309">
        <v>46062</v>
      </c>
      <c r="D599" s="310" t="s">
        <v>58</v>
      </c>
      <c r="E599" s="342">
        <v>1281.53</v>
      </c>
      <c r="F599" s="342"/>
      <c r="G599" s="344">
        <f t="shared" si="5"/>
        <v>3010.1399999999921</v>
      </c>
      <c r="H599" s="345"/>
      <c r="I599" s="346"/>
      <c r="J599" s="347"/>
      <c r="K599" s="312"/>
      <c r="L599" s="347"/>
      <c r="M599" s="312"/>
      <c r="N599" s="347"/>
      <c r="O599" s="312"/>
      <c r="P599" s="347"/>
      <c r="Q599" s="312"/>
      <c r="R599" s="347"/>
      <c r="S599" s="312"/>
      <c r="T599" s="347"/>
    </row>
    <row r="600" spans="1:20" ht="12" customHeight="1" x14ac:dyDescent="0.3">
      <c r="A600" s="340" t="s">
        <v>289</v>
      </c>
      <c r="B600" s="341">
        <v>5</v>
      </c>
      <c r="C600" s="309">
        <v>46062</v>
      </c>
      <c r="D600" s="310" t="s">
        <v>458</v>
      </c>
      <c r="E600" s="342">
        <v>50</v>
      </c>
      <c r="F600" s="342"/>
      <c r="G600" s="344">
        <f t="shared" si="5"/>
        <v>4291.6699999999919</v>
      </c>
      <c r="H600" s="345"/>
      <c r="I600" s="346"/>
      <c r="J600" s="347"/>
      <c r="K600" s="312"/>
      <c r="L600" s="347"/>
      <c r="M600" s="312"/>
      <c r="N600" s="347"/>
      <c r="O600" s="312"/>
      <c r="P600" s="347"/>
      <c r="Q600" s="312"/>
      <c r="R600" s="347"/>
      <c r="S600" s="312"/>
      <c r="T600" s="347"/>
    </row>
    <row r="601" spans="1:20" ht="12" customHeight="1" x14ac:dyDescent="0.3">
      <c r="A601" s="340" t="s">
        <v>289</v>
      </c>
      <c r="B601" s="341">
        <v>2</v>
      </c>
      <c r="C601" s="309">
        <v>46062</v>
      </c>
      <c r="D601" s="310" t="s">
        <v>459</v>
      </c>
      <c r="E601" s="342">
        <v>12.1</v>
      </c>
      <c r="F601" s="342"/>
      <c r="G601" s="344">
        <f t="shared" si="5"/>
        <v>4341.6699999999919</v>
      </c>
      <c r="H601" s="345"/>
      <c r="I601" s="346"/>
      <c r="J601" s="347"/>
      <c r="K601" s="312"/>
      <c r="L601" s="347"/>
      <c r="M601" s="312"/>
      <c r="N601" s="347"/>
      <c r="O601" s="312"/>
      <c r="P601" s="347"/>
      <c r="Q601" s="312"/>
      <c r="R601" s="347"/>
      <c r="S601" s="312"/>
      <c r="T601" s="347"/>
    </row>
    <row r="602" spans="1:20" ht="12" customHeight="1" x14ac:dyDescent="0.3">
      <c r="A602" s="340" t="s">
        <v>289</v>
      </c>
      <c r="B602" s="341">
        <v>1</v>
      </c>
      <c r="C602" s="309">
        <v>46061</v>
      </c>
      <c r="D602" s="310" t="s">
        <v>307</v>
      </c>
      <c r="E602" s="342">
        <v>72.099999999999994</v>
      </c>
      <c r="F602" s="342"/>
      <c r="G602" s="344">
        <f t="shared" si="5"/>
        <v>4353.7699999999923</v>
      </c>
      <c r="H602" s="345"/>
      <c r="I602" s="346"/>
      <c r="J602" s="347"/>
      <c r="K602" s="312"/>
      <c r="L602" s="347"/>
      <c r="M602" s="312"/>
      <c r="N602" s="347"/>
      <c r="O602" s="312"/>
      <c r="P602" s="347"/>
      <c r="Q602" s="312"/>
      <c r="R602" s="347"/>
      <c r="S602" s="312"/>
      <c r="T602" s="347"/>
    </row>
    <row r="603" spans="1:20" ht="12" customHeight="1" x14ac:dyDescent="0.3">
      <c r="A603" s="340" t="s">
        <v>289</v>
      </c>
      <c r="B603" s="341">
        <v>8</v>
      </c>
      <c r="C603" s="309">
        <v>46061</v>
      </c>
      <c r="D603" s="310" t="s">
        <v>321</v>
      </c>
      <c r="E603" s="342">
        <v>30.25</v>
      </c>
      <c r="F603" s="342"/>
      <c r="G603" s="344">
        <f t="shared" si="5"/>
        <v>4425.8699999999926</v>
      </c>
      <c r="H603" s="345"/>
      <c r="I603" s="346"/>
      <c r="J603" s="347"/>
      <c r="K603" s="312"/>
      <c r="L603" s="347"/>
      <c r="M603" s="312"/>
      <c r="N603" s="347"/>
      <c r="O603" s="312"/>
      <c r="P603" s="347"/>
      <c r="Q603" s="312"/>
      <c r="R603" s="347"/>
      <c r="S603" s="312"/>
      <c r="T603" s="347"/>
    </row>
    <row r="604" spans="1:20" ht="12" customHeight="1" x14ac:dyDescent="0.3">
      <c r="A604" s="340" t="s">
        <v>289</v>
      </c>
      <c r="B604" s="341">
        <v>3</v>
      </c>
      <c r="C604" s="309">
        <v>46061</v>
      </c>
      <c r="D604" s="310" t="s">
        <v>296</v>
      </c>
      <c r="E604" s="342">
        <v>3.72</v>
      </c>
      <c r="F604" s="342"/>
      <c r="G604" s="344">
        <f t="shared" si="5"/>
        <v>4456.1199999999926</v>
      </c>
      <c r="H604" s="345"/>
      <c r="I604" s="346"/>
      <c r="J604" s="347"/>
      <c r="K604" s="312"/>
      <c r="L604" s="347"/>
      <c r="M604" s="312"/>
      <c r="N604" s="347"/>
      <c r="O604" s="312"/>
      <c r="P604" s="347"/>
      <c r="Q604" s="312"/>
      <c r="R604" s="347"/>
      <c r="S604" s="312"/>
      <c r="T604" s="347"/>
    </row>
    <row r="605" spans="1:20" ht="12" customHeight="1" x14ac:dyDescent="0.3">
      <c r="A605" s="340" t="s">
        <v>289</v>
      </c>
      <c r="B605" s="341">
        <v>4</v>
      </c>
      <c r="C605" s="309">
        <v>46061</v>
      </c>
      <c r="D605" s="310" t="s">
        <v>296</v>
      </c>
      <c r="E605" s="342">
        <v>41.6</v>
      </c>
      <c r="F605" s="342"/>
      <c r="G605" s="344">
        <f t="shared" si="5"/>
        <v>4459.8399999999929</v>
      </c>
      <c r="H605" s="345"/>
      <c r="I605" s="346"/>
      <c r="J605" s="347"/>
      <c r="K605" s="312"/>
      <c r="L605" s="347"/>
      <c r="M605" s="312"/>
      <c r="N605" s="347"/>
      <c r="O605" s="312"/>
      <c r="P605" s="347"/>
      <c r="Q605" s="312"/>
      <c r="R605" s="347"/>
      <c r="S605" s="312"/>
      <c r="T605" s="347"/>
    </row>
    <row r="606" spans="1:20" ht="12" customHeight="1" x14ac:dyDescent="0.3">
      <c r="A606" s="340" t="s">
        <v>289</v>
      </c>
      <c r="B606" s="341">
        <v>3</v>
      </c>
      <c r="C606" s="309">
        <v>46061</v>
      </c>
      <c r="D606" s="310" t="s">
        <v>460</v>
      </c>
      <c r="E606" s="342">
        <v>1</v>
      </c>
      <c r="F606" s="342"/>
      <c r="G606" s="344">
        <f t="shared" si="5"/>
        <v>4501.4399999999932</v>
      </c>
      <c r="H606" s="345"/>
      <c r="I606" s="346"/>
      <c r="J606" s="347"/>
      <c r="K606" s="312"/>
      <c r="L606" s="347"/>
      <c r="M606" s="312"/>
      <c r="N606" s="347"/>
      <c r="O606" s="312"/>
      <c r="P606" s="347"/>
      <c r="Q606" s="312"/>
      <c r="R606" s="347"/>
      <c r="S606" s="312"/>
      <c r="T606" s="347"/>
    </row>
    <row r="607" spans="1:20" ht="12" customHeight="1" x14ac:dyDescent="0.3">
      <c r="A607" s="340" t="s">
        <v>289</v>
      </c>
      <c r="B607" s="341">
        <v>2</v>
      </c>
      <c r="C607" s="309">
        <v>46061</v>
      </c>
      <c r="D607" s="310" t="s">
        <v>362</v>
      </c>
      <c r="E607" s="342">
        <v>10.17</v>
      </c>
      <c r="F607" s="342"/>
      <c r="G607" s="344">
        <f t="shared" si="5"/>
        <v>4502.4399999999932</v>
      </c>
      <c r="H607" s="345"/>
      <c r="I607" s="346"/>
      <c r="J607" s="347"/>
      <c r="K607" s="312"/>
      <c r="L607" s="347"/>
      <c r="M607" s="312"/>
      <c r="N607" s="347"/>
      <c r="O607" s="312"/>
      <c r="P607" s="347"/>
      <c r="Q607" s="312"/>
      <c r="R607" s="347"/>
      <c r="S607" s="312"/>
      <c r="T607" s="347"/>
    </row>
    <row r="608" spans="1:20" ht="12" customHeight="1" x14ac:dyDescent="0.3">
      <c r="A608" s="340" t="s">
        <v>287</v>
      </c>
      <c r="B608" s="341" t="s">
        <v>287</v>
      </c>
      <c r="C608" s="309">
        <v>46060</v>
      </c>
      <c r="D608" s="310" t="s">
        <v>461</v>
      </c>
      <c r="E608" s="342">
        <v>367.77</v>
      </c>
      <c r="F608" s="342">
        <v>367.77</v>
      </c>
      <c r="G608" s="344">
        <f t="shared" si="5"/>
        <v>4512.6099999999933</v>
      </c>
      <c r="H608" s="345"/>
      <c r="I608" s="346"/>
      <c r="J608" s="347"/>
      <c r="K608" s="312"/>
      <c r="L608" s="347"/>
      <c r="M608" s="312"/>
      <c r="N608" s="347"/>
      <c r="O608" s="312"/>
      <c r="P608" s="347"/>
      <c r="Q608" s="312"/>
      <c r="R608" s="347"/>
      <c r="S608" s="312"/>
      <c r="T608" s="347"/>
    </row>
    <row r="609" spans="1:20" ht="12" customHeight="1" x14ac:dyDescent="0.3">
      <c r="A609" s="340" t="s">
        <v>289</v>
      </c>
      <c r="B609" s="341">
        <v>4</v>
      </c>
      <c r="C609" s="309">
        <v>46060</v>
      </c>
      <c r="D609" s="310" t="s">
        <v>311</v>
      </c>
      <c r="E609" s="342">
        <v>32.36</v>
      </c>
      <c r="F609" s="342"/>
      <c r="G609" s="344">
        <f t="shared" si="5"/>
        <v>4512.6099999999933</v>
      </c>
      <c r="H609" s="345"/>
      <c r="I609" s="346"/>
      <c r="J609" s="347"/>
      <c r="K609" s="312"/>
      <c r="L609" s="347"/>
      <c r="M609" s="312"/>
      <c r="N609" s="347"/>
      <c r="O609" s="312"/>
      <c r="P609" s="347"/>
      <c r="Q609" s="312"/>
      <c r="R609" s="347"/>
      <c r="S609" s="312"/>
      <c r="T609" s="347"/>
    </row>
    <row r="610" spans="1:20" ht="12" customHeight="1" x14ac:dyDescent="0.3">
      <c r="A610" s="340" t="s">
        <v>289</v>
      </c>
      <c r="B610" s="341">
        <v>6</v>
      </c>
      <c r="C610" s="309">
        <v>46060</v>
      </c>
      <c r="D610" s="310" t="s">
        <v>462</v>
      </c>
      <c r="E610" s="342">
        <v>41.39</v>
      </c>
      <c r="F610" s="342"/>
      <c r="G610" s="344">
        <f t="shared" si="5"/>
        <v>4544.969999999993</v>
      </c>
      <c r="H610" s="345"/>
      <c r="I610" s="346"/>
      <c r="J610" s="347"/>
      <c r="K610" s="312"/>
      <c r="L610" s="347"/>
      <c r="M610" s="312"/>
      <c r="N610" s="347"/>
      <c r="O610" s="312"/>
      <c r="P610" s="347"/>
      <c r="Q610" s="312"/>
      <c r="R610" s="347"/>
      <c r="S610" s="312"/>
      <c r="T610" s="347"/>
    </row>
    <row r="611" spans="1:20" ht="12" customHeight="1" x14ac:dyDescent="0.3">
      <c r="A611" s="340" t="s">
        <v>289</v>
      </c>
      <c r="B611" s="341">
        <v>1</v>
      </c>
      <c r="C611" s="309">
        <v>46060</v>
      </c>
      <c r="D611" s="310" t="s">
        <v>453</v>
      </c>
      <c r="E611" s="342">
        <v>35.770000000000003</v>
      </c>
      <c r="F611" s="342"/>
      <c r="G611" s="344">
        <f t="shared" si="5"/>
        <v>4586.3599999999933</v>
      </c>
      <c r="H611" s="345"/>
      <c r="I611" s="346"/>
      <c r="J611" s="347"/>
      <c r="K611" s="312"/>
      <c r="L611" s="347"/>
      <c r="M611" s="312"/>
      <c r="N611" s="347"/>
      <c r="O611" s="312"/>
      <c r="P611" s="347"/>
      <c r="Q611" s="312"/>
      <c r="R611" s="347"/>
      <c r="S611" s="312"/>
      <c r="T611" s="347"/>
    </row>
    <row r="612" spans="1:20" ht="12" customHeight="1" x14ac:dyDescent="0.3">
      <c r="A612" s="340" t="s">
        <v>289</v>
      </c>
      <c r="B612" s="341">
        <v>3</v>
      </c>
      <c r="C612" s="309">
        <v>46060</v>
      </c>
      <c r="D612" s="310" t="s">
        <v>352</v>
      </c>
      <c r="E612" s="342">
        <v>25</v>
      </c>
      <c r="F612" s="342"/>
      <c r="G612" s="344">
        <f t="shared" si="5"/>
        <v>4622.1299999999937</v>
      </c>
      <c r="H612" s="345"/>
      <c r="I612" s="346"/>
      <c r="J612" s="347"/>
      <c r="K612" s="312"/>
      <c r="L612" s="347"/>
      <c r="M612" s="312"/>
      <c r="N612" s="347"/>
      <c r="O612" s="312"/>
      <c r="P612" s="347"/>
      <c r="Q612" s="312"/>
      <c r="R612" s="347"/>
      <c r="S612" s="312"/>
      <c r="T612" s="347"/>
    </row>
    <row r="613" spans="1:20" ht="12" customHeight="1" x14ac:dyDescent="0.3">
      <c r="A613" s="340" t="s">
        <v>289</v>
      </c>
      <c r="B613" s="341">
        <v>8</v>
      </c>
      <c r="C613" s="309">
        <v>46060</v>
      </c>
      <c r="D613" s="310" t="s">
        <v>296</v>
      </c>
      <c r="E613" s="342">
        <v>6.69</v>
      </c>
      <c r="F613" s="342"/>
      <c r="G613" s="344">
        <f t="shared" si="5"/>
        <v>4647.1299999999937</v>
      </c>
      <c r="H613" s="345"/>
      <c r="I613" s="346"/>
      <c r="J613" s="347"/>
      <c r="K613" s="312"/>
      <c r="L613" s="347"/>
      <c r="M613" s="312"/>
      <c r="N613" s="347"/>
      <c r="O613" s="312"/>
      <c r="P613" s="347"/>
      <c r="Q613" s="312"/>
      <c r="R613" s="347"/>
      <c r="S613" s="312"/>
      <c r="T613" s="347"/>
    </row>
    <row r="614" spans="1:20" ht="12" customHeight="1" x14ac:dyDescent="0.3">
      <c r="A614" s="340" t="s">
        <v>289</v>
      </c>
      <c r="B614" s="341">
        <v>4</v>
      </c>
      <c r="C614" s="309">
        <v>46060</v>
      </c>
      <c r="D614" s="310" t="s">
        <v>296</v>
      </c>
      <c r="E614" s="342">
        <v>47.85</v>
      </c>
      <c r="F614" s="342"/>
      <c r="G614" s="344">
        <f t="shared" si="5"/>
        <v>4653.8199999999933</v>
      </c>
      <c r="H614" s="345"/>
      <c r="I614" s="346"/>
      <c r="J614" s="347"/>
      <c r="K614" s="312"/>
      <c r="L614" s="347"/>
      <c r="M614" s="312"/>
      <c r="N614" s="347"/>
      <c r="O614" s="312"/>
      <c r="P614" s="347"/>
      <c r="Q614" s="312"/>
      <c r="R614" s="347"/>
      <c r="S614" s="312"/>
      <c r="T614" s="347"/>
    </row>
    <row r="615" spans="1:20" ht="12" customHeight="1" x14ac:dyDescent="0.3">
      <c r="A615" s="340" t="s">
        <v>289</v>
      </c>
      <c r="B615" s="341">
        <v>2</v>
      </c>
      <c r="C615" s="309">
        <v>46059</v>
      </c>
      <c r="D615" s="310" t="s">
        <v>301</v>
      </c>
      <c r="E615" s="342">
        <v>20</v>
      </c>
      <c r="F615" s="342"/>
      <c r="G615" s="344">
        <f t="shared" si="5"/>
        <v>4701.6699999999937</v>
      </c>
      <c r="H615" s="345"/>
      <c r="I615" s="346"/>
      <c r="J615" s="347"/>
      <c r="K615" s="312"/>
      <c r="L615" s="347"/>
      <c r="M615" s="312"/>
      <c r="N615" s="347"/>
      <c r="O615" s="312"/>
      <c r="P615" s="347"/>
      <c r="Q615" s="312"/>
      <c r="R615" s="347"/>
      <c r="S615" s="312"/>
      <c r="T615" s="347"/>
    </row>
    <row r="616" spans="1:20" ht="12" customHeight="1" x14ac:dyDescent="0.3">
      <c r="A616" s="340" t="s">
        <v>291</v>
      </c>
      <c r="B616" s="341">
        <v>40</v>
      </c>
      <c r="C616" s="309">
        <v>46059</v>
      </c>
      <c r="D616" s="310" t="s">
        <v>318</v>
      </c>
      <c r="E616" s="342"/>
      <c r="F616" s="342">
        <v>822.99</v>
      </c>
      <c r="G616" s="344">
        <f t="shared" si="5"/>
        <v>4721.6699999999937</v>
      </c>
      <c r="H616" s="345"/>
      <c r="I616" s="346"/>
      <c r="J616" s="347"/>
      <c r="K616" s="312"/>
      <c r="L616" s="347"/>
      <c r="M616" s="312"/>
      <c r="N616" s="347"/>
      <c r="O616" s="312"/>
      <c r="P616" s="347"/>
      <c r="Q616" s="312"/>
      <c r="R616" s="347"/>
      <c r="S616" s="312"/>
      <c r="T616" s="347"/>
    </row>
    <row r="617" spans="1:20" ht="12" customHeight="1" x14ac:dyDescent="0.3">
      <c r="A617" s="340" t="s">
        <v>294</v>
      </c>
      <c r="B617" s="341">
        <v>14</v>
      </c>
      <c r="C617" s="309">
        <v>46059</v>
      </c>
      <c r="D617" s="310" t="s">
        <v>370</v>
      </c>
      <c r="E617" s="342">
        <v>66.67</v>
      </c>
      <c r="F617" s="342"/>
      <c r="G617" s="344">
        <f t="shared" si="5"/>
        <v>3898.6799999999935</v>
      </c>
      <c r="H617" s="345"/>
      <c r="I617" s="346"/>
      <c r="J617" s="347"/>
      <c r="K617" s="312"/>
      <c r="L617" s="347"/>
      <c r="M617" s="312"/>
      <c r="N617" s="347"/>
      <c r="O617" s="312"/>
      <c r="P617" s="347"/>
      <c r="Q617" s="312"/>
      <c r="R617" s="347"/>
      <c r="S617" s="312"/>
      <c r="T617" s="347"/>
    </row>
    <row r="618" spans="1:20" ht="12" customHeight="1" x14ac:dyDescent="0.3">
      <c r="A618" s="340" t="s">
        <v>289</v>
      </c>
      <c r="B618" s="341">
        <v>2</v>
      </c>
      <c r="C618" s="309">
        <v>46059</v>
      </c>
      <c r="D618" s="310" t="s">
        <v>296</v>
      </c>
      <c r="E618" s="342">
        <v>9.35</v>
      </c>
      <c r="F618" s="342"/>
      <c r="G618" s="344">
        <f t="shared" si="5"/>
        <v>3965.3499999999935</v>
      </c>
      <c r="H618" s="345"/>
      <c r="I618" s="346"/>
      <c r="J618" s="347"/>
      <c r="K618" s="312"/>
      <c r="L618" s="347"/>
      <c r="M618" s="312"/>
      <c r="N618" s="347"/>
      <c r="O618" s="312"/>
      <c r="P618" s="347"/>
      <c r="Q618" s="312"/>
      <c r="R618" s="347"/>
      <c r="S618" s="312"/>
      <c r="T618" s="347"/>
    </row>
    <row r="619" spans="1:20" ht="12" customHeight="1" x14ac:dyDescent="0.3">
      <c r="A619" s="340" t="s">
        <v>289</v>
      </c>
      <c r="B619" s="341">
        <v>4</v>
      </c>
      <c r="C619" s="309">
        <v>46059</v>
      </c>
      <c r="D619" s="310" t="s">
        <v>296</v>
      </c>
      <c r="E619" s="342">
        <v>45.81</v>
      </c>
      <c r="F619" s="342"/>
      <c r="G619" s="344">
        <f t="shared" si="5"/>
        <v>3974.6999999999935</v>
      </c>
      <c r="H619" s="345"/>
      <c r="I619" s="346"/>
      <c r="J619" s="347"/>
      <c r="K619" s="312"/>
      <c r="L619" s="347"/>
      <c r="M619" s="312"/>
      <c r="N619" s="347"/>
      <c r="O619" s="312"/>
      <c r="P619" s="347"/>
      <c r="Q619" s="312"/>
      <c r="R619" s="347"/>
      <c r="S619" s="312"/>
      <c r="T619" s="347"/>
    </row>
    <row r="620" spans="1:20" ht="12" customHeight="1" x14ac:dyDescent="0.3">
      <c r="A620" s="340" t="s">
        <v>289</v>
      </c>
      <c r="B620" s="341">
        <v>2</v>
      </c>
      <c r="C620" s="309">
        <v>46059</v>
      </c>
      <c r="D620" s="310" t="s">
        <v>357</v>
      </c>
      <c r="E620" s="342">
        <v>22.98</v>
      </c>
      <c r="F620" s="342"/>
      <c r="G620" s="344">
        <f t="shared" si="5"/>
        <v>4020.5099999999934</v>
      </c>
      <c r="H620" s="345"/>
      <c r="I620" s="346"/>
      <c r="J620" s="347"/>
      <c r="K620" s="312"/>
      <c r="L620" s="347"/>
      <c r="M620" s="312"/>
      <c r="N620" s="347"/>
      <c r="O620" s="312"/>
      <c r="P620" s="347"/>
      <c r="Q620" s="312"/>
      <c r="R620" s="347"/>
      <c r="S620" s="312"/>
      <c r="T620" s="347"/>
    </row>
    <row r="621" spans="1:20" ht="12" customHeight="1" x14ac:dyDescent="0.3">
      <c r="A621" s="340" t="s">
        <v>289</v>
      </c>
      <c r="B621" s="341">
        <v>2</v>
      </c>
      <c r="C621" s="309">
        <v>46059</v>
      </c>
      <c r="D621" s="310" t="s">
        <v>301</v>
      </c>
      <c r="E621" s="342">
        <v>46.5</v>
      </c>
      <c r="F621" s="342"/>
      <c r="G621" s="344">
        <f t="shared" si="5"/>
        <v>4043.4899999999934</v>
      </c>
      <c r="H621" s="345"/>
      <c r="I621" s="346"/>
      <c r="J621" s="347"/>
      <c r="K621" s="312"/>
      <c r="L621" s="347"/>
      <c r="M621" s="312"/>
      <c r="N621" s="347"/>
      <c r="O621" s="312"/>
      <c r="P621" s="347"/>
      <c r="Q621" s="312"/>
      <c r="R621" s="347"/>
      <c r="S621" s="312"/>
      <c r="T621" s="347"/>
    </row>
    <row r="622" spans="1:20" ht="12" customHeight="1" x14ac:dyDescent="0.3">
      <c r="A622" s="340" t="s">
        <v>289</v>
      </c>
      <c r="B622" s="341">
        <v>2</v>
      </c>
      <c r="C622" s="309">
        <v>46059</v>
      </c>
      <c r="D622" s="310" t="s">
        <v>362</v>
      </c>
      <c r="E622" s="342">
        <v>10.17</v>
      </c>
      <c r="F622" s="342"/>
      <c r="G622" s="344">
        <f t="shared" si="5"/>
        <v>4089.9899999999934</v>
      </c>
      <c r="H622" s="345"/>
      <c r="I622" s="346"/>
      <c r="J622" s="347"/>
      <c r="K622" s="312"/>
      <c r="L622" s="347"/>
      <c r="M622" s="312"/>
      <c r="N622" s="347"/>
      <c r="O622" s="312"/>
      <c r="P622" s="347"/>
      <c r="Q622" s="312"/>
      <c r="R622" s="347"/>
      <c r="S622" s="312"/>
      <c r="T622" s="347"/>
    </row>
    <row r="623" spans="1:20" ht="12" customHeight="1" x14ac:dyDescent="0.3">
      <c r="A623" s="340" t="s">
        <v>289</v>
      </c>
      <c r="B623" s="341">
        <v>8</v>
      </c>
      <c r="C623" s="309">
        <v>46059</v>
      </c>
      <c r="D623" s="310" t="s">
        <v>443</v>
      </c>
      <c r="E623" s="342">
        <v>81.2</v>
      </c>
      <c r="F623" s="342"/>
      <c r="G623" s="344">
        <f t="shared" si="5"/>
        <v>4100.1599999999935</v>
      </c>
      <c r="H623" s="345"/>
      <c r="I623" s="346"/>
      <c r="J623" s="347"/>
      <c r="K623" s="312"/>
      <c r="L623" s="347"/>
      <c r="M623" s="312"/>
      <c r="N623" s="347"/>
      <c r="O623" s="312"/>
      <c r="P623" s="347"/>
      <c r="Q623" s="312"/>
      <c r="R623" s="347"/>
      <c r="S623" s="312"/>
      <c r="T623" s="347"/>
    </row>
    <row r="624" spans="1:20" ht="12" customHeight="1" x14ac:dyDescent="0.3">
      <c r="A624" s="340" t="s">
        <v>289</v>
      </c>
      <c r="B624" s="341">
        <v>2</v>
      </c>
      <c r="C624" s="309">
        <v>46058</v>
      </c>
      <c r="D624" s="310" t="s">
        <v>301</v>
      </c>
      <c r="E624" s="342">
        <v>21</v>
      </c>
      <c r="F624" s="342"/>
      <c r="G624" s="344">
        <f t="shared" si="5"/>
        <v>4181.3599999999933</v>
      </c>
      <c r="H624" s="345"/>
      <c r="I624" s="346"/>
      <c r="J624" s="347"/>
      <c r="K624" s="312"/>
      <c r="L624" s="347"/>
      <c r="M624" s="312"/>
      <c r="N624" s="347"/>
      <c r="O624" s="312"/>
      <c r="P624" s="347"/>
      <c r="Q624" s="312"/>
      <c r="R624" s="347"/>
      <c r="S624" s="312"/>
      <c r="T624" s="347"/>
    </row>
    <row r="625" spans="1:20" ht="12" customHeight="1" x14ac:dyDescent="0.3">
      <c r="A625" s="340" t="s">
        <v>291</v>
      </c>
      <c r="B625" s="341">
        <v>39</v>
      </c>
      <c r="C625" s="309">
        <v>46058</v>
      </c>
      <c r="D625" s="310" t="s">
        <v>292</v>
      </c>
      <c r="E625" s="342"/>
      <c r="F625" s="342">
        <v>2763.79</v>
      </c>
      <c r="G625" s="344">
        <f t="shared" si="5"/>
        <v>4202.3599999999933</v>
      </c>
      <c r="H625" s="345"/>
      <c r="I625" s="346"/>
      <c r="J625" s="347"/>
      <c r="K625" s="312"/>
      <c r="L625" s="347"/>
      <c r="M625" s="312"/>
      <c r="N625" s="347"/>
      <c r="O625" s="312"/>
      <c r="P625" s="347"/>
      <c r="Q625" s="312"/>
      <c r="R625" s="347"/>
      <c r="S625" s="312"/>
      <c r="T625" s="347"/>
    </row>
    <row r="626" spans="1:20" ht="12" customHeight="1" x14ac:dyDescent="0.3">
      <c r="A626" s="340" t="s">
        <v>289</v>
      </c>
      <c r="B626" s="341">
        <v>8</v>
      </c>
      <c r="C626" s="309">
        <v>46058</v>
      </c>
      <c r="D626" s="310" t="s">
        <v>361</v>
      </c>
      <c r="E626" s="342">
        <v>95.35</v>
      </c>
      <c r="F626" s="342"/>
      <c r="G626" s="344">
        <f t="shared" si="5"/>
        <v>1438.5699999999933</v>
      </c>
      <c r="H626" s="345"/>
      <c r="I626" s="346"/>
      <c r="J626" s="347"/>
      <c r="K626" s="312"/>
      <c r="L626" s="347"/>
      <c r="M626" s="312"/>
      <c r="N626" s="347"/>
      <c r="O626" s="312"/>
      <c r="P626" s="347"/>
      <c r="Q626" s="312"/>
      <c r="R626" s="347"/>
      <c r="S626" s="312"/>
      <c r="T626" s="347"/>
    </row>
    <row r="627" spans="1:20" ht="12" customHeight="1" x14ac:dyDescent="0.3">
      <c r="A627" s="340" t="s">
        <v>289</v>
      </c>
      <c r="B627" s="341">
        <v>2</v>
      </c>
      <c r="C627" s="309">
        <v>46058</v>
      </c>
      <c r="D627" s="310" t="s">
        <v>357</v>
      </c>
      <c r="E627" s="342">
        <v>14.99</v>
      </c>
      <c r="F627" s="342"/>
      <c r="G627" s="344">
        <f t="shared" si="5"/>
        <v>1533.9199999999933</v>
      </c>
      <c r="H627" s="345"/>
      <c r="I627" s="346"/>
      <c r="J627" s="347"/>
      <c r="K627" s="312"/>
      <c r="L627" s="347"/>
      <c r="M627" s="312"/>
      <c r="N627" s="347"/>
      <c r="O627" s="312"/>
      <c r="P627" s="347"/>
      <c r="Q627" s="312"/>
      <c r="R627" s="347"/>
      <c r="S627" s="312"/>
      <c r="T627" s="347"/>
    </row>
    <row r="628" spans="1:20" ht="12" customHeight="1" x14ac:dyDescent="0.3">
      <c r="A628" s="340" t="s">
        <v>287</v>
      </c>
      <c r="B628" s="341" t="s">
        <v>287</v>
      </c>
      <c r="C628" s="309">
        <v>46058</v>
      </c>
      <c r="D628" s="310" t="s">
        <v>461</v>
      </c>
      <c r="E628" s="342">
        <v>77.569999999999993</v>
      </c>
      <c r="F628" s="342">
        <v>77.569999999999993</v>
      </c>
      <c r="G628" s="344">
        <f t="shared" si="5"/>
        <v>1548.9099999999933</v>
      </c>
      <c r="H628" s="345"/>
      <c r="I628" s="346"/>
      <c r="J628" s="347"/>
      <c r="K628" s="312"/>
      <c r="L628" s="347"/>
      <c r="M628" s="312"/>
      <c r="N628" s="347"/>
      <c r="O628" s="312"/>
      <c r="P628" s="347"/>
      <c r="Q628" s="312"/>
      <c r="R628" s="347"/>
      <c r="S628" s="312"/>
      <c r="T628" s="347"/>
    </row>
    <row r="629" spans="1:20" ht="12" customHeight="1" x14ac:dyDescent="0.3">
      <c r="A629" s="340" t="s">
        <v>289</v>
      </c>
      <c r="B629" s="341">
        <v>6</v>
      </c>
      <c r="C629" s="309">
        <v>46057</v>
      </c>
      <c r="D629" s="310" t="s">
        <v>348</v>
      </c>
      <c r="E629" s="342">
        <v>50</v>
      </c>
      <c r="F629" s="342"/>
      <c r="G629" s="344">
        <f t="shared" si="5"/>
        <v>1548.9099999999933</v>
      </c>
      <c r="H629" s="345"/>
      <c r="I629" s="346"/>
      <c r="J629" s="347"/>
      <c r="K629" s="312"/>
      <c r="L629" s="347"/>
      <c r="M629" s="312"/>
      <c r="N629" s="347"/>
      <c r="O629" s="312"/>
      <c r="P629" s="347"/>
      <c r="Q629" s="312"/>
      <c r="R629" s="347"/>
      <c r="S629" s="312"/>
      <c r="T629" s="347"/>
    </row>
    <row r="630" spans="1:20" ht="12" customHeight="1" x14ac:dyDescent="0.3">
      <c r="A630" s="340" t="s">
        <v>289</v>
      </c>
      <c r="B630" s="341">
        <v>1</v>
      </c>
      <c r="C630" s="309">
        <v>46057</v>
      </c>
      <c r="D630" s="310" t="s">
        <v>307</v>
      </c>
      <c r="E630" s="342">
        <v>62.03</v>
      </c>
      <c r="F630" s="342"/>
      <c r="G630" s="344">
        <f t="shared" si="5"/>
        <v>1598.9099999999933</v>
      </c>
      <c r="H630" s="345"/>
      <c r="I630" s="346"/>
      <c r="J630" s="347"/>
      <c r="K630" s="312"/>
      <c r="L630" s="347"/>
      <c r="M630" s="312"/>
      <c r="N630" s="347"/>
      <c r="O630" s="312"/>
      <c r="P630" s="347"/>
      <c r="Q630" s="312"/>
      <c r="R630" s="347"/>
      <c r="S630" s="312"/>
      <c r="T630" s="347"/>
    </row>
    <row r="631" spans="1:20" ht="12" customHeight="1" x14ac:dyDescent="0.3">
      <c r="A631" s="340" t="s">
        <v>289</v>
      </c>
      <c r="B631" s="341">
        <v>2</v>
      </c>
      <c r="C631" s="309">
        <v>46057</v>
      </c>
      <c r="D631" s="310" t="s">
        <v>296</v>
      </c>
      <c r="E631" s="342">
        <v>14.91</v>
      </c>
      <c r="F631" s="342"/>
      <c r="G631" s="344">
        <f t="shared" si="5"/>
        <v>1660.9399999999932</v>
      </c>
      <c r="H631" s="345"/>
      <c r="I631" s="346"/>
      <c r="J631" s="347"/>
      <c r="K631" s="312"/>
      <c r="L631" s="347"/>
      <c r="M631" s="312"/>
      <c r="N631" s="347"/>
      <c r="O631" s="312"/>
      <c r="P631" s="347"/>
      <c r="Q631" s="312"/>
      <c r="R631" s="347"/>
      <c r="S631" s="312"/>
      <c r="T631" s="347"/>
    </row>
    <row r="632" spans="1:20" ht="12" customHeight="1" x14ac:dyDescent="0.3">
      <c r="A632" s="340" t="s">
        <v>289</v>
      </c>
      <c r="B632" s="341">
        <v>4</v>
      </c>
      <c r="C632" s="309">
        <v>46057</v>
      </c>
      <c r="D632" s="310" t="s">
        <v>311</v>
      </c>
      <c r="E632" s="342">
        <v>63.38</v>
      </c>
      <c r="F632" s="342"/>
      <c r="G632" s="344">
        <f t="shared" si="5"/>
        <v>1675.8499999999933</v>
      </c>
      <c r="H632" s="345"/>
      <c r="I632" s="346"/>
      <c r="J632" s="347"/>
      <c r="K632" s="312"/>
      <c r="L632" s="347"/>
      <c r="M632" s="312"/>
      <c r="N632" s="347"/>
      <c r="O632" s="312"/>
      <c r="P632" s="347"/>
      <c r="Q632" s="312"/>
      <c r="R632" s="347"/>
      <c r="S632" s="312"/>
      <c r="T632" s="347"/>
    </row>
    <row r="633" spans="1:20" ht="12" customHeight="1" x14ac:dyDescent="0.3">
      <c r="A633" s="340" t="s">
        <v>287</v>
      </c>
      <c r="B633" s="341" t="s">
        <v>287</v>
      </c>
      <c r="C633" s="309">
        <v>46057</v>
      </c>
      <c r="D633" s="310" t="s">
        <v>463</v>
      </c>
      <c r="E633" s="342">
        <v>192.78</v>
      </c>
      <c r="F633" s="342">
        <v>192.78</v>
      </c>
      <c r="G633" s="344">
        <f t="shared" si="5"/>
        <v>1739.2299999999934</v>
      </c>
      <c r="H633" s="345"/>
      <c r="I633" s="346"/>
      <c r="J633" s="347"/>
      <c r="K633" s="312"/>
      <c r="L633" s="347"/>
      <c r="M633" s="312"/>
      <c r="N633" s="347"/>
      <c r="O633" s="312"/>
      <c r="P633" s="347"/>
      <c r="Q633" s="312"/>
      <c r="R633" s="347"/>
      <c r="S633" s="312"/>
      <c r="T633" s="347"/>
    </row>
    <row r="634" spans="1:20" ht="12" customHeight="1" x14ac:dyDescent="0.3">
      <c r="A634" s="340" t="s">
        <v>294</v>
      </c>
      <c r="B634" s="341">
        <v>14</v>
      </c>
      <c r="C634" s="309">
        <v>46057</v>
      </c>
      <c r="D634" s="310" t="s">
        <v>371</v>
      </c>
      <c r="E634" s="342">
        <v>68.739999999999995</v>
      </c>
      <c r="F634" s="342"/>
      <c r="G634" s="344">
        <f t="shared" si="5"/>
        <v>1739.2299999999934</v>
      </c>
      <c r="H634" s="345"/>
      <c r="I634" s="346"/>
      <c r="J634" s="347"/>
      <c r="K634" s="312"/>
      <c r="L634" s="347"/>
      <c r="M634" s="312"/>
      <c r="N634" s="347"/>
      <c r="O634" s="312"/>
      <c r="P634" s="347"/>
      <c r="Q634" s="312"/>
      <c r="R634" s="347"/>
      <c r="S634" s="312"/>
      <c r="T634" s="347"/>
    </row>
    <row r="635" spans="1:20" ht="12" customHeight="1" x14ac:dyDescent="0.3">
      <c r="A635" s="340" t="s">
        <v>289</v>
      </c>
      <c r="B635" s="341">
        <v>6</v>
      </c>
      <c r="C635" s="309">
        <v>46057</v>
      </c>
      <c r="D635" s="310" t="s">
        <v>300</v>
      </c>
      <c r="E635" s="342">
        <v>-42.58</v>
      </c>
      <c r="F635" s="342"/>
      <c r="G635" s="344">
        <f t="shared" si="5"/>
        <v>1807.9699999999934</v>
      </c>
      <c r="H635" s="345"/>
      <c r="I635" s="346"/>
      <c r="J635" s="347"/>
      <c r="K635" s="312"/>
      <c r="L635" s="347"/>
      <c r="M635" s="312"/>
      <c r="N635" s="347"/>
      <c r="O635" s="312"/>
      <c r="P635" s="347"/>
      <c r="Q635" s="312"/>
      <c r="R635" s="347"/>
      <c r="S635" s="312"/>
      <c r="T635" s="347"/>
    </row>
    <row r="636" spans="1:20" ht="12" customHeight="1" x14ac:dyDescent="0.3">
      <c r="A636" s="340" t="s">
        <v>289</v>
      </c>
      <c r="B636" s="341">
        <v>1</v>
      </c>
      <c r="C636" s="309">
        <v>46057</v>
      </c>
      <c r="D636" s="310" t="s">
        <v>375</v>
      </c>
      <c r="E636" s="342">
        <v>31.36</v>
      </c>
      <c r="F636" s="342"/>
      <c r="G636" s="344">
        <f t="shared" si="5"/>
        <v>1765.3899999999935</v>
      </c>
      <c r="H636" s="345"/>
      <c r="I636" s="346"/>
      <c r="J636" s="347"/>
      <c r="K636" s="312"/>
      <c r="L636" s="347"/>
      <c r="M636" s="312"/>
      <c r="N636" s="347"/>
      <c r="O636" s="312"/>
      <c r="P636" s="347"/>
      <c r="Q636" s="312"/>
      <c r="R636" s="347"/>
      <c r="S636" s="312"/>
      <c r="T636" s="347"/>
    </row>
    <row r="637" spans="1:20" ht="12" customHeight="1" x14ac:dyDescent="0.3">
      <c r="A637" s="340" t="s">
        <v>294</v>
      </c>
      <c r="B637" s="341">
        <v>17</v>
      </c>
      <c r="C637" s="309">
        <v>46057</v>
      </c>
      <c r="D637" s="310" t="s">
        <v>374</v>
      </c>
      <c r="E637" s="342">
        <v>99</v>
      </c>
      <c r="F637" s="342"/>
      <c r="G637" s="344">
        <f t="shared" si="5"/>
        <v>1796.7499999999934</v>
      </c>
      <c r="H637" s="345"/>
      <c r="I637" s="346"/>
      <c r="J637" s="347"/>
      <c r="K637" s="312"/>
      <c r="L637" s="347"/>
      <c r="M637" s="312"/>
      <c r="N637" s="347"/>
      <c r="O637" s="312"/>
      <c r="P637" s="347"/>
      <c r="Q637" s="312"/>
      <c r="R637" s="347"/>
      <c r="S637" s="312"/>
      <c r="T637" s="347"/>
    </row>
    <row r="638" spans="1:20" ht="12" customHeight="1" x14ac:dyDescent="0.3">
      <c r="A638" s="340" t="s">
        <v>284</v>
      </c>
      <c r="B638" s="341">
        <v>36</v>
      </c>
      <c r="C638" s="309">
        <v>46056</v>
      </c>
      <c r="D638" s="310" t="s">
        <v>378</v>
      </c>
      <c r="E638" s="342">
        <v>50</v>
      </c>
      <c r="F638" s="342"/>
      <c r="G638" s="344">
        <f t="shared" si="5"/>
        <v>1895.7499999999934</v>
      </c>
      <c r="H638" s="345"/>
      <c r="I638" s="346"/>
      <c r="J638" s="347"/>
      <c r="K638" s="312"/>
      <c r="L638" s="347"/>
      <c r="M638" s="312"/>
      <c r="N638" s="347"/>
      <c r="O638" s="312"/>
      <c r="P638" s="347"/>
      <c r="Q638" s="312"/>
      <c r="R638" s="347"/>
      <c r="S638" s="312"/>
      <c r="T638" s="347"/>
    </row>
    <row r="639" spans="1:20" ht="12" customHeight="1" x14ac:dyDescent="0.3">
      <c r="A639" s="340" t="s">
        <v>289</v>
      </c>
      <c r="B639" s="341">
        <v>8</v>
      </c>
      <c r="C639" s="309">
        <v>46056</v>
      </c>
      <c r="D639" s="310" t="s">
        <v>321</v>
      </c>
      <c r="E639" s="342">
        <v>7.92</v>
      </c>
      <c r="F639" s="342"/>
      <c r="G639" s="344">
        <f t="shared" si="5"/>
        <v>1945.7499999999934</v>
      </c>
      <c r="H639" s="345"/>
      <c r="I639" s="346"/>
      <c r="J639" s="347"/>
      <c r="K639" s="312"/>
      <c r="L639" s="347"/>
      <c r="M639" s="312"/>
      <c r="N639" s="347"/>
      <c r="O639" s="312"/>
      <c r="P639" s="347"/>
      <c r="Q639" s="312"/>
      <c r="R639" s="347"/>
      <c r="S639" s="312"/>
      <c r="T639" s="347"/>
    </row>
    <row r="640" spans="1:20" ht="12" customHeight="1" x14ac:dyDescent="0.3">
      <c r="A640" s="340" t="s">
        <v>294</v>
      </c>
      <c r="B640" s="341">
        <v>24</v>
      </c>
      <c r="C640" s="309">
        <v>46056</v>
      </c>
      <c r="D640" s="310" t="s">
        <v>437</v>
      </c>
      <c r="E640" s="342">
        <v>83.58</v>
      </c>
      <c r="F640" s="342"/>
      <c r="G640" s="344">
        <f t="shared" si="5"/>
        <v>1953.6699999999935</v>
      </c>
      <c r="H640" s="345"/>
      <c r="I640" s="346"/>
      <c r="J640" s="347"/>
      <c r="K640" s="312"/>
      <c r="L640" s="347"/>
      <c r="M640" s="312"/>
      <c r="N640" s="347"/>
      <c r="O640" s="312"/>
      <c r="P640" s="347"/>
      <c r="Q640" s="312"/>
      <c r="R640" s="347"/>
      <c r="S640" s="312"/>
      <c r="T640" s="347"/>
    </row>
    <row r="641" spans="1:20" ht="12" customHeight="1" x14ac:dyDescent="0.3">
      <c r="A641" s="340" t="s">
        <v>289</v>
      </c>
      <c r="B641" s="341">
        <v>4</v>
      </c>
      <c r="C641" s="309">
        <v>46056</v>
      </c>
      <c r="D641" s="310" t="s">
        <v>464</v>
      </c>
      <c r="E641" s="342">
        <v>28.64</v>
      </c>
      <c r="F641" s="342"/>
      <c r="G641" s="344">
        <f t="shared" si="5"/>
        <v>2037.2499999999934</v>
      </c>
      <c r="H641" s="345"/>
      <c r="I641" s="346"/>
      <c r="J641" s="347"/>
      <c r="K641" s="312"/>
      <c r="L641" s="347"/>
      <c r="M641" s="312"/>
      <c r="N641" s="347"/>
      <c r="O641" s="312"/>
      <c r="P641" s="347"/>
      <c r="Q641" s="312"/>
      <c r="R641" s="347"/>
      <c r="S641" s="312"/>
      <c r="T641" s="347"/>
    </row>
    <row r="642" spans="1:20" ht="12" customHeight="1" x14ac:dyDescent="0.3">
      <c r="A642" s="340" t="s">
        <v>289</v>
      </c>
      <c r="B642" s="341">
        <v>2</v>
      </c>
      <c r="C642" s="309">
        <v>46056</v>
      </c>
      <c r="D642" s="310" t="s">
        <v>362</v>
      </c>
      <c r="E642" s="342">
        <v>9.4700000000000006</v>
      </c>
      <c r="F642" s="342"/>
      <c r="G642" s="344">
        <f t="shared" si="5"/>
        <v>2065.8899999999935</v>
      </c>
      <c r="H642" s="345"/>
      <c r="I642" s="346"/>
      <c r="J642" s="347"/>
      <c r="K642" s="312"/>
      <c r="L642" s="347"/>
      <c r="M642" s="312"/>
      <c r="N642" s="347"/>
      <c r="O642" s="312"/>
      <c r="P642" s="347"/>
      <c r="Q642" s="312"/>
      <c r="R642" s="347"/>
      <c r="S642" s="312"/>
      <c r="T642" s="347"/>
    </row>
    <row r="643" spans="1:20" ht="12" customHeight="1" x14ac:dyDescent="0.3">
      <c r="A643" s="340" t="s">
        <v>289</v>
      </c>
      <c r="B643" s="341">
        <v>6</v>
      </c>
      <c r="C643" s="309">
        <v>46055</v>
      </c>
      <c r="D643" s="310" t="s">
        <v>465</v>
      </c>
      <c r="E643" s="342">
        <v>20</v>
      </c>
      <c r="F643" s="342"/>
      <c r="G643" s="344">
        <f t="shared" si="5"/>
        <v>2075.3599999999933</v>
      </c>
      <c r="H643" s="345"/>
      <c r="I643" s="346"/>
      <c r="J643" s="347"/>
      <c r="K643" s="312"/>
      <c r="L643" s="347"/>
      <c r="M643" s="312"/>
      <c r="N643" s="347"/>
      <c r="O643" s="312"/>
      <c r="P643" s="347"/>
      <c r="Q643" s="312"/>
      <c r="R643" s="347"/>
      <c r="S643" s="312"/>
      <c r="T643" s="347"/>
    </row>
    <row r="644" spans="1:20" ht="12" customHeight="1" x14ac:dyDescent="0.3">
      <c r="A644" s="340" t="s">
        <v>294</v>
      </c>
      <c r="B644" s="341">
        <v>17</v>
      </c>
      <c r="C644" s="309">
        <v>46055</v>
      </c>
      <c r="D644" s="310" t="s">
        <v>188</v>
      </c>
      <c r="E644" s="342">
        <v>41.54</v>
      </c>
      <c r="F644" s="342"/>
      <c r="G644" s="344">
        <f t="shared" si="5"/>
        <v>2095.3599999999933</v>
      </c>
      <c r="H644" s="345"/>
      <c r="I644" s="346"/>
      <c r="J644" s="347"/>
      <c r="K644" s="312"/>
      <c r="L644" s="347"/>
      <c r="M644" s="312"/>
      <c r="N644" s="347"/>
      <c r="O644" s="312"/>
      <c r="P644" s="347"/>
      <c r="Q644" s="312"/>
      <c r="R644" s="347"/>
      <c r="S644" s="312"/>
      <c r="T644" s="347"/>
    </row>
    <row r="645" spans="1:20" ht="12" customHeight="1" x14ac:dyDescent="0.3">
      <c r="A645" s="340" t="s">
        <v>289</v>
      </c>
      <c r="B645" s="341">
        <v>2</v>
      </c>
      <c r="C645" s="309">
        <v>46055</v>
      </c>
      <c r="D645" s="310" t="s">
        <v>296</v>
      </c>
      <c r="E645" s="342">
        <v>9.92</v>
      </c>
      <c r="F645" s="342"/>
      <c r="G645" s="344">
        <f t="shared" si="5"/>
        <v>2136.8999999999933</v>
      </c>
      <c r="H645" s="345"/>
      <c r="I645" s="346"/>
      <c r="J645" s="347"/>
      <c r="K645" s="312"/>
      <c r="L645" s="347"/>
      <c r="M645" s="312"/>
      <c r="N645" s="347"/>
      <c r="O645" s="312"/>
      <c r="P645" s="347"/>
      <c r="Q645" s="312"/>
      <c r="R645" s="347"/>
      <c r="S645" s="312"/>
      <c r="T645" s="347"/>
    </row>
    <row r="646" spans="1:20" ht="12" customHeight="1" x14ac:dyDescent="0.3">
      <c r="A646" s="340" t="s">
        <v>289</v>
      </c>
      <c r="B646" s="341">
        <v>8</v>
      </c>
      <c r="C646" s="309">
        <v>46055</v>
      </c>
      <c r="D646" s="310" t="s">
        <v>466</v>
      </c>
      <c r="E646" s="342">
        <v>155.38</v>
      </c>
      <c r="F646" s="342"/>
      <c r="G646" s="344">
        <f t="shared" si="5"/>
        <v>2146.8199999999933</v>
      </c>
      <c r="H646" s="345"/>
      <c r="I646" s="346"/>
      <c r="J646" s="347"/>
      <c r="K646" s="312"/>
      <c r="L646" s="347"/>
      <c r="M646" s="312"/>
      <c r="N646" s="347"/>
      <c r="O646" s="312"/>
      <c r="P646" s="347"/>
      <c r="Q646" s="312"/>
      <c r="R646" s="347"/>
      <c r="S646" s="312"/>
      <c r="T646" s="347"/>
    </row>
    <row r="647" spans="1:20" ht="12" customHeight="1" x14ac:dyDescent="0.3">
      <c r="A647" s="340" t="s">
        <v>294</v>
      </c>
      <c r="B647" s="341">
        <v>21</v>
      </c>
      <c r="C647" s="309">
        <v>46055</v>
      </c>
      <c r="D647" s="310" t="s">
        <v>194</v>
      </c>
      <c r="E647" s="342">
        <v>27.35</v>
      </c>
      <c r="F647" s="342"/>
      <c r="G647" s="344">
        <f t="shared" si="5"/>
        <v>2302.1999999999935</v>
      </c>
      <c r="H647" s="345"/>
      <c r="I647" s="346"/>
      <c r="J647" s="347"/>
      <c r="K647" s="312"/>
      <c r="L647" s="347"/>
      <c r="M647" s="312"/>
      <c r="N647" s="347"/>
      <c r="O647" s="312"/>
      <c r="P647" s="347"/>
      <c r="Q647" s="312"/>
      <c r="R647" s="347"/>
      <c r="S647" s="312"/>
      <c r="T647" s="347"/>
    </row>
    <row r="648" spans="1:20" ht="12" customHeight="1" x14ac:dyDescent="0.3">
      <c r="A648" s="340" t="s">
        <v>289</v>
      </c>
      <c r="B648" s="341">
        <v>6</v>
      </c>
      <c r="C648" s="309">
        <v>46054</v>
      </c>
      <c r="D648" s="310" t="s">
        <v>300</v>
      </c>
      <c r="E648" s="342">
        <v>59.37</v>
      </c>
      <c r="F648" s="342"/>
      <c r="G648" s="344">
        <f t="shared" si="5"/>
        <v>2329.5499999999934</v>
      </c>
      <c r="H648" s="345"/>
      <c r="I648" s="346"/>
      <c r="J648" s="347"/>
      <c r="K648" s="312"/>
      <c r="L648" s="347"/>
      <c r="M648" s="312"/>
      <c r="N648" s="347"/>
      <c r="O648" s="312"/>
      <c r="P648" s="347"/>
      <c r="Q648" s="312"/>
      <c r="R648" s="347"/>
      <c r="S648" s="312"/>
      <c r="T648" s="347"/>
    </row>
    <row r="649" spans="1:20" ht="12" customHeight="1" x14ac:dyDescent="0.3">
      <c r="A649" s="340" t="s">
        <v>294</v>
      </c>
      <c r="B649" s="341">
        <v>22</v>
      </c>
      <c r="C649" s="309">
        <v>46054</v>
      </c>
      <c r="D649" s="310" t="s">
        <v>379</v>
      </c>
      <c r="E649" s="342">
        <v>6.37</v>
      </c>
      <c r="F649" s="342"/>
      <c r="G649" s="344">
        <f t="shared" si="5"/>
        <v>2388.9199999999933</v>
      </c>
      <c r="H649" s="345"/>
      <c r="I649" s="346"/>
      <c r="J649" s="347"/>
      <c r="K649" s="312"/>
      <c r="L649" s="347"/>
      <c r="M649" s="312"/>
      <c r="N649" s="347"/>
      <c r="O649" s="312"/>
      <c r="P649" s="347"/>
      <c r="Q649" s="312"/>
      <c r="R649" s="347"/>
      <c r="S649" s="312"/>
      <c r="T649" s="347"/>
    </row>
    <row r="650" spans="1:20" ht="12" customHeight="1" x14ac:dyDescent="0.3">
      <c r="A650" s="340" t="s">
        <v>289</v>
      </c>
      <c r="B650" s="341">
        <v>8</v>
      </c>
      <c r="C650" s="309">
        <v>46054</v>
      </c>
      <c r="D650" s="310" t="s">
        <v>467</v>
      </c>
      <c r="E650" s="342">
        <v>44.65</v>
      </c>
      <c r="F650" s="342"/>
      <c r="G650" s="344">
        <f t="shared" si="5"/>
        <v>2395.2899999999931</v>
      </c>
      <c r="H650" s="345"/>
      <c r="I650" s="346"/>
      <c r="J650" s="347"/>
      <c r="K650" s="312"/>
      <c r="L650" s="347"/>
      <c r="M650" s="312"/>
      <c r="N650" s="347"/>
      <c r="O650" s="312"/>
      <c r="P650" s="347"/>
      <c r="Q650" s="312"/>
      <c r="R650" s="347"/>
      <c r="S650" s="312"/>
      <c r="T650" s="347"/>
    </row>
    <row r="651" spans="1:20" ht="12" customHeight="1" x14ac:dyDescent="0.3">
      <c r="A651" s="340" t="s">
        <v>289</v>
      </c>
      <c r="B651" s="341">
        <v>7</v>
      </c>
      <c r="C651" s="309">
        <v>46054</v>
      </c>
      <c r="D651" s="310" t="s">
        <v>342</v>
      </c>
      <c r="E651" s="342">
        <v>35.17</v>
      </c>
      <c r="F651" s="342"/>
      <c r="G651" s="344">
        <f t="shared" si="5"/>
        <v>2439.9399999999932</v>
      </c>
      <c r="H651" s="345"/>
      <c r="I651" s="346"/>
      <c r="J651" s="347"/>
      <c r="K651" s="312"/>
      <c r="L651" s="347"/>
      <c r="M651" s="312"/>
      <c r="N651" s="347"/>
      <c r="O651" s="312"/>
      <c r="P651" s="347"/>
      <c r="Q651" s="312"/>
      <c r="R651" s="347"/>
      <c r="S651" s="312"/>
      <c r="T651" s="347"/>
    </row>
    <row r="652" spans="1:20" ht="12" customHeight="1" x14ac:dyDescent="0.3">
      <c r="A652" s="340" t="s">
        <v>289</v>
      </c>
      <c r="B652" s="341">
        <v>4</v>
      </c>
      <c r="C652" s="309">
        <v>46054</v>
      </c>
      <c r="D652" s="310" t="s">
        <v>311</v>
      </c>
      <c r="E652" s="342">
        <v>28.48</v>
      </c>
      <c r="F652" s="342"/>
      <c r="G652" s="344">
        <f t="shared" si="5"/>
        <v>2475.1099999999933</v>
      </c>
      <c r="H652" s="345"/>
      <c r="I652" s="346"/>
      <c r="J652" s="347"/>
      <c r="K652" s="312"/>
      <c r="L652" s="347"/>
      <c r="M652" s="312"/>
      <c r="N652" s="347"/>
      <c r="O652" s="312"/>
      <c r="P652" s="347"/>
      <c r="Q652" s="312"/>
      <c r="R652" s="347"/>
      <c r="S652" s="312"/>
      <c r="T652" s="347"/>
    </row>
    <row r="653" spans="1:20" ht="12" customHeight="1" x14ac:dyDescent="0.3">
      <c r="A653" s="340" t="s">
        <v>289</v>
      </c>
      <c r="B653" s="341">
        <v>1</v>
      </c>
      <c r="C653" s="309">
        <v>46054</v>
      </c>
      <c r="D653" s="310" t="s">
        <v>312</v>
      </c>
      <c r="E653" s="342">
        <v>125.07</v>
      </c>
      <c r="F653" s="342"/>
      <c r="G653" s="344">
        <f t="shared" si="5"/>
        <v>2503.5899999999933</v>
      </c>
      <c r="H653" s="345"/>
      <c r="I653" s="346"/>
      <c r="J653" s="347"/>
      <c r="K653" s="312"/>
      <c r="L653" s="347"/>
      <c r="M653" s="312"/>
      <c r="N653" s="347"/>
      <c r="O653" s="312"/>
      <c r="P653" s="347"/>
      <c r="Q653" s="312"/>
      <c r="R653" s="347"/>
      <c r="S653" s="312"/>
      <c r="T653" s="347"/>
    </row>
    <row r="654" spans="1:20" ht="12" customHeight="1" x14ac:dyDescent="0.3">
      <c r="A654" s="340" t="s">
        <v>289</v>
      </c>
      <c r="B654" s="341">
        <v>2</v>
      </c>
      <c r="C654" s="309">
        <v>46054</v>
      </c>
      <c r="D654" s="310" t="s">
        <v>467</v>
      </c>
      <c r="E654" s="342">
        <v>100</v>
      </c>
      <c r="F654" s="342"/>
      <c r="G654" s="344">
        <f t="shared" si="5"/>
        <v>2628.6599999999935</v>
      </c>
      <c r="H654" s="345"/>
      <c r="I654" s="346"/>
      <c r="J654" s="347"/>
      <c r="K654" s="312"/>
      <c r="L654" s="347"/>
      <c r="M654" s="312"/>
      <c r="N654" s="347"/>
      <c r="O654" s="312"/>
      <c r="P654" s="347"/>
      <c r="Q654" s="312"/>
      <c r="R654" s="347"/>
      <c r="S654" s="312"/>
      <c r="T654" s="347"/>
    </row>
    <row r="655" spans="1:20" ht="12" customHeight="1" x14ac:dyDescent="0.3">
      <c r="A655" s="340" t="s">
        <v>289</v>
      </c>
      <c r="B655" s="341">
        <v>1</v>
      </c>
      <c r="C655" s="309">
        <v>46054</v>
      </c>
      <c r="D655" s="310" t="s">
        <v>332</v>
      </c>
      <c r="E655" s="342">
        <v>194.96</v>
      </c>
      <c r="F655" s="342"/>
      <c r="G655" s="344">
        <f t="shared" si="5"/>
        <v>2728.6599999999935</v>
      </c>
      <c r="H655" s="345"/>
      <c r="I655" s="346"/>
      <c r="J655" s="347"/>
      <c r="K655" s="312"/>
      <c r="L655" s="347"/>
      <c r="M655" s="312"/>
      <c r="N655" s="347"/>
      <c r="O655" s="312"/>
      <c r="P655" s="347"/>
      <c r="Q655" s="312"/>
      <c r="R655" s="347"/>
      <c r="S655" s="312"/>
      <c r="T655" s="347"/>
    </row>
    <row r="656" spans="1:20" ht="12" customHeight="1" x14ac:dyDescent="0.3">
      <c r="A656" s="340" t="s">
        <v>289</v>
      </c>
      <c r="B656" s="341">
        <v>2</v>
      </c>
      <c r="C656" s="309">
        <v>46054</v>
      </c>
      <c r="D656" s="310" t="s">
        <v>417</v>
      </c>
      <c r="E656" s="342">
        <v>75.53</v>
      </c>
      <c r="F656" s="342"/>
      <c r="G656" s="344">
        <f t="shared" si="5"/>
        <v>2923.6199999999935</v>
      </c>
      <c r="H656" s="345"/>
      <c r="I656" s="346"/>
      <c r="J656" s="347"/>
      <c r="K656" s="312"/>
      <c r="L656" s="347"/>
      <c r="M656" s="312"/>
      <c r="N656" s="347"/>
      <c r="O656" s="312"/>
      <c r="P656" s="347"/>
      <c r="Q656" s="312"/>
      <c r="R656" s="347"/>
      <c r="S656" s="312"/>
      <c r="T656" s="347"/>
    </row>
    <row r="657" spans="1:20" ht="12" customHeight="1" x14ac:dyDescent="0.3">
      <c r="A657" s="340" t="s">
        <v>284</v>
      </c>
      <c r="B657" s="341">
        <v>37</v>
      </c>
      <c r="C657" s="309">
        <v>46053</v>
      </c>
      <c r="D657" s="310" t="s">
        <v>468</v>
      </c>
      <c r="E657" s="342">
        <v>3194.64</v>
      </c>
      <c r="F657" s="342"/>
      <c r="G657" s="344">
        <f t="shared" si="5"/>
        <v>2999.1499999999937</v>
      </c>
      <c r="H657" s="345"/>
      <c r="I657" s="346"/>
      <c r="J657" s="347"/>
      <c r="K657" s="312"/>
      <c r="L657" s="347"/>
      <c r="M657" s="312"/>
      <c r="N657" s="347"/>
      <c r="O657" s="312"/>
      <c r="P657" s="347"/>
      <c r="Q657" s="312"/>
      <c r="R657" s="347"/>
      <c r="S657" s="312"/>
      <c r="T657" s="347"/>
    </row>
    <row r="658" spans="1:20" ht="12" customHeight="1" x14ac:dyDescent="0.3">
      <c r="A658" s="340" t="s">
        <v>286</v>
      </c>
      <c r="B658" s="341">
        <v>25</v>
      </c>
      <c r="C658" s="309">
        <v>46053</v>
      </c>
      <c r="D658" s="309" t="s">
        <v>204</v>
      </c>
      <c r="E658" s="342">
        <v>350</v>
      </c>
      <c r="F658" s="342"/>
      <c r="G658" s="344">
        <f t="shared" si="5"/>
        <v>6193.7899999999936</v>
      </c>
      <c r="H658" s="345"/>
      <c r="I658" s="346"/>
      <c r="J658" s="347"/>
      <c r="K658" s="312"/>
      <c r="L658" s="347"/>
      <c r="M658" s="312"/>
      <c r="N658" s="347"/>
      <c r="O658" s="312"/>
      <c r="P658" s="347"/>
      <c r="Q658" s="312"/>
      <c r="R658" s="347"/>
      <c r="S658" s="312"/>
      <c r="T658" s="347"/>
    </row>
    <row r="659" spans="1:20" ht="12" customHeight="1" x14ac:dyDescent="0.3">
      <c r="A659" s="340" t="s">
        <v>286</v>
      </c>
      <c r="B659" s="341">
        <v>26</v>
      </c>
      <c r="C659" s="309">
        <v>46053</v>
      </c>
      <c r="D659" s="309" t="s">
        <v>205</v>
      </c>
      <c r="E659" s="342">
        <v>320</v>
      </c>
      <c r="F659" s="342"/>
      <c r="G659" s="344">
        <f t="shared" si="5"/>
        <v>6543.7899999999936</v>
      </c>
      <c r="H659" s="345"/>
      <c r="I659" s="346"/>
      <c r="J659" s="347"/>
      <c r="K659" s="312"/>
      <c r="L659" s="347"/>
      <c r="M659" s="312"/>
      <c r="N659" s="347"/>
      <c r="O659" s="312"/>
      <c r="P659" s="347"/>
      <c r="Q659" s="312"/>
      <c r="R659" s="347"/>
      <c r="S659" s="312"/>
      <c r="T659" s="347"/>
    </row>
    <row r="660" spans="1:20" ht="12" customHeight="1" x14ac:dyDescent="0.3">
      <c r="A660" s="340" t="s">
        <v>286</v>
      </c>
      <c r="B660" s="341">
        <v>27</v>
      </c>
      <c r="C660" s="309">
        <v>46053</v>
      </c>
      <c r="D660" s="309" t="s">
        <v>206</v>
      </c>
      <c r="E660" s="342">
        <v>25</v>
      </c>
      <c r="F660" s="342"/>
      <c r="G660" s="344">
        <f t="shared" si="5"/>
        <v>6863.7899999999936</v>
      </c>
      <c r="H660" s="345"/>
      <c r="I660" s="346"/>
      <c r="J660" s="347"/>
      <c r="K660" s="312"/>
      <c r="L660" s="347"/>
      <c r="M660" s="312"/>
      <c r="N660" s="347"/>
      <c r="O660" s="312"/>
      <c r="P660" s="347"/>
      <c r="Q660" s="312"/>
      <c r="R660" s="347"/>
      <c r="S660" s="312"/>
      <c r="T660" s="347"/>
    </row>
    <row r="661" spans="1:20" ht="12" customHeight="1" x14ac:dyDescent="0.3">
      <c r="A661" s="340" t="s">
        <v>286</v>
      </c>
      <c r="B661" s="341">
        <v>28</v>
      </c>
      <c r="C661" s="309">
        <v>46053</v>
      </c>
      <c r="D661" s="309" t="s">
        <v>207</v>
      </c>
      <c r="E661" s="342">
        <v>25</v>
      </c>
      <c r="F661" s="342"/>
      <c r="G661" s="344">
        <f t="shared" si="5"/>
        <v>6888.7899999999936</v>
      </c>
      <c r="H661" s="345"/>
      <c r="I661" s="346"/>
      <c r="J661" s="347"/>
      <c r="K661" s="312"/>
      <c r="L661" s="347"/>
      <c r="M661" s="312"/>
      <c r="N661" s="347"/>
      <c r="O661" s="312"/>
      <c r="P661" s="347"/>
      <c r="Q661" s="312"/>
      <c r="R661" s="347"/>
      <c r="S661" s="312"/>
      <c r="T661" s="347"/>
    </row>
    <row r="662" spans="1:20" ht="12" customHeight="1" x14ac:dyDescent="0.3">
      <c r="A662" s="340" t="s">
        <v>286</v>
      </c>
      <c r="B662" s="341">
        <v>29</v>
      </c>
      <c r="C662" s="309">
        <v>46053</v>
      </c>
      <c r="D662" s="309" t="s">
        <v>208</v>
      </c>
      <c r="E662" s="342">
        <v>45</v>
      </c>
      <c r="F662" s="342"/>
      <c r="G662" s="344">
        <f t="shared" si="5"/>
        <v>6913.7899999999936</v>
      </c>
      <c r="H662" s="345"/>
      <c r="I662" s="346"/>
      <c r="J662" s="347"/>
      <c r="K662" s="312"/>
      <c r="L662" s="347"/>
      <c r="M662" s="312"/>
      <c r="N662" s="347"/>
      <c r="O662" s="312"/>
      <c r="P662" s="347"/>
      <c r="Q662" s="312"/>
      <c r="R662" s="347"/>
      <c r="S662" s="312"/>
      <c r="T662" s="347"/>
    </row>
    <row r="663" spans="1:20" ht="12" customHeight="1" x14ac:dyDescent="0.3">
      <c r="A663" s="340" t="s">
        <v>286</v>
      </c>
      <c r="B663" s="341">
        <v>30</v>
      </c>
      <c r="C663" s="309">
        <v>46053</v>
      </c>
      <c r="D663" s="309" t="s">
        <v>209</v>
      </c>
      <c r="E663" s="342">
        <v>400</v>
      </c>
      <c r="F663" s="342"/>
      <c r="G663" s="344">
        <f t="shared" si="5"/>
        <v>6958.7899999999936</v>
      </c>
      <c r="H663" s="345"/>
      <c r="I663" s="346"/>
      <c r="J663" s="347"/>
      <c r="K663" s="312"/>
      <c r="L663" s="347"/>
      <c r="M663" s="312"/>
      <c r="N663" s="347"/>
      <c r="O663" s="312"/>
      <c r="P663" s="347"/>
      <c r="Q663" s="312"/>
      <c r="R663" s="347"/>
      <c r="S663" s="312"/>
      <c r="T663" s="347"/>
    </row>
    <row r="664" spans="1:20" ht="12" customHeight="1" x14ac:dyDescent="0.3">
      <c r="A664" s="340" t="s">
        <v>286</v>
      </c>
      <c r="B664" s="341">
        <v>31</v>
      </c>
      <c r="C664" s="309">
        <v>46053</v>
      </c>
      <c r="D664" s="309" t="s">
        <v>210</v>
      </c>
      <c r="E664" s="342">
        <v>375</v>
      </c>
      <c r="F664" s="342"/>
      <c r="G664" s="344">
        <f t="shared" si="5"/>
        <v>7358.7899999999936</v>
      </c>
      <c r="H664" s="345"/>
      <c r="I664" s="346"/>
      <c r="J664" s="347"/>
      <c r="K664" s="312"/>
      <c r="L664" s="347"/>
      <c r="M664" s="312"/>
      <c r="N664" s="347"/>
      <c r="O664" s="312"/>
      <c r="P664" s="347"/>
      <c r="Q664" s="312"/>
      <c r="R664" s="347"/>
      <c r="S664" s="312"/>
      <c r="T664" s="347"/>
    </row>
    <row r="665" spans="1:20" ht="12" customHeight="1" x14ac:dyDescent="0.3">
      <c r="A665" s="340" t="s">
        <v>286</v>
      </c>
      <c r="B665" s="341">
        <v>32</v>
      </c>
      <c r="C665" s="309">
        <v>46053</v>
      </c>
      <c r="D665" s="309" t="s">
        <v>211</v>
      </c>
      <c r="E665" s="342">
        <v>100</v>
      </c>
      <c r="F665" s="342"/>
      <c r="G665" s="344">
        <f t="shared" si="5"/>
        <v>7733.7899999999936</v>
      </c>
      <c r="H665" s="345"/>
      <c r="I665" s="346"/>
      <c r="J665" s="347"/>
      <c r="K665" s="312"/>
      <c r="L665" s="347"/>
      <c r="M665" s="312"/>
      <c r="N665" s="347"/>
      <c r="O665" s="312"/>
      <c r="P665" s="347"/>
      <c r="Q665" s="312"/>
      <c r="R665" s="347"/>
      <c r="S665" s="312"/>
      <c r="T665" s="347"/>
    </row>
    <row r="666" spans="1:20" ht="12" customHeight="1" x14ac:dyDescent="0.3">
      <c r="A666" s="340" t="s">
        <v>286</v>
      </c>
      <c r="B666" s="341">
        <v>33</v>
      </c>
      <c r="C666" s="309">
        <v>46053</v>
      </c>
      <c r="D666" s="309" t="s">
        <v>212</v>
      </c>
      <c r="E666" s="342">
        <v>85</v>
      </c>
      <c r="F666" s="342"/>
      <c r="G666" s="344">
        <f t="shared" si="5"/>
        <v>7833.7899999999936</v>
      </c>
      <c r="H666" s="345"/>
      <c r="I666" s="346"/>
      <c r="J666" s="347"/>
      <c r="K666" s="312"/>
      <c r="L666" s="347"/>
      <c r="M666" s="312"/>
      <c r="N666" s="347"/>
      <c r="O666" s="312"/>
      <c r="P666" s="347"/>
      <c r="Q666" s="312"/>
      <c r="R666" s="347"/>
      <c r="S666" s="312"/>
      <c r="T666" s="347"/>
    </row>
    <row r="667" spans="1:20" ht="12" customHeight="1" x14ac:dyDescent="0.3">
      <c r="A667" s="340" t="s">
        <v>286</v>
      </c>
      <c r="B667" s="341">
        <v>34</v>
      </c>
      <c r="C667" s="309">
        <v>46053</v>
      </c>
      <c r="D667" s="309" t="s">
        <v>213</v>
      </c>
      <c r="E667" s="342">
        <v>230</v>
      </c>
      <c r="F667" s="342"/>
      <c r="G667" s="344">
        <f t="shared" si="5"/>
        <v>7918.7899999999936</v>
      </c>
      <c r="H667" s="345"/>
      <c r="I667" s="346"/>
      <c r="J667" s="347"/>
      <c r="K667" s="312"/>
      <c r="L667" s="347"/>
      <c r="M667" s="312"/>
      <c r="N667" s="347"/>
      <c r="O667" s="312"/>
      <c r="P667" s="347"/>
      <c r="Q667" s="312"/>
      <c r="R667" s="347"/>
      <c r="S667" s="312"/>
      <c r="T667" s="347"/>
    </row>
    <row r="668" spans="1:20" ht="12" customHeight="1" x14ac:dyDescent="0.3">
      <c r="A668" s="340" t="s">
        <v>286</v>
      </c>
      <c r="B668" s="341">
        <v>35</v>
      </c>
      <c r="C668" s="309">
        <v>46053</v>
      </c>
      <c r="D668" s="309" t="s">
        <v>214</v>
      </c>
      <c r="E668" s="342">
        <v>45</v>
      </c>
      <c r="F668" s="342"/>
      <c r="G668" s="344">
        <f t="shared" si="5"/>
        <v>8148.7899999999936</v>
      </c>
      <c r="H668" s="345"/>
      <c r="I668" s="346"/>
      <c r="J668" s="347"/>
      <c r="K668" s="312"/>
      <c r="L668" s="347"/>
      <c r="M668" s="312"/>
      <c r="N668" s="347"/>
      <c r="O668" s="312"/>
      <c r="P668" s="347"/>
      <c r="Q668" s="312"/>
      <c r="R668" s="347"/>
      <c r="S668" s="312"/>
      <c r="T668" s="347"/>
    </row>
    <row r="669" spans="1:20" ht="12" customHeight="1" x14ac:dyDescent="0.3">
      <c r="A669" s="340" t="s">
        <v>289</v>
      </c>
      <c r="B669" s="341">
        <v>8</v>
      </c>
      <c r="C669" s="309">
        <v>46053</v>
      </c>
      <c r="D669" s="309" t="s">
        <v>321</v>
      </c>
      <c r="E669" s="342">
        <v>31.03</v>
      </c>
      <c r="F669" s="342"/>
      <c r="G669" s="344">
        <f t="shared" si="5"/>
        <v>8193.7899999999936</v>
      </c>
      <c r="H669" s="345"/>
      <c r="I669" s="346"/>
      <c r="J669" s="347"/>
      <c r="K669" s="312"/>
      <c r="L669" s="347"/>
      <c r="M669" s="312"/>
      <c r="N669" s="347"/>
      <c r="O669" s="312"/>
      <c r="P669" s="347"/>
      <c r="Q669" s="312"/>
      <c r="R669" s="347"/>
      <c r="S669" s="312"/>
      <c r="T669" s="347"/>
    </row>
    <row r="670" spans="1:20" ht="12" customHeight="1" x14ac:dyDescent="0.3">
      <c r="A670" s="340" t="s">
        <v>294</v>
      </c>
      <c r="B670" s="341">
        <v>10</v>
      </c>
      <c r="C670" s="309">
        <v>46053</v>
      </c>
      <c r="D670" s="309" t="s">
        <v>176</v>
      </c>
      <c r="E670" s="342">
        <v>17.899999999999999</v>
      </c>
      <c r="F670" s="342"/>
      <c r="G670" s="344">
        <f t="shared" si="5"/>
        <v>8224.8199999999943</v>
      </c>
      <c r="H670" s="345"/>
      <c r="I670" s="346"/>
      <c r="J670" s="347"/>
      <c r="K670" s="312"/>
      <c r="L670" s="347"/>
      <c r="M670" s="312"/>
      <c r="N670" s="347"/>
      <c r="O670" s="312"/>
      <c r="P670" s="347"/>
      <c r="Q670" s="312"/>
      <c r="R670" s="347"/>
      <c r="S670" s="312"/>
      <c r="T670" s="347"/>
    </row>
    <row r="671" spans="1:20" ht="12" customHeight="1" x14ac:dyDescent="0.3">
      <c r="A671" s="340" t="s">
        <v>289</v>
      </c>
      <c r="B671" s="341">
        <v>3</v>
      </c>
      <c r="C671" s="309">
        <v>46053</v>
      </c>
      <c r="D671" s="309" t="s">
        <v>352</v>
      </c>
      <c r="E671" s="342">
        <v>18.84</v>
      </c>
      <c r="F671" s="342"/>
      <c r="G671" s="344">
        <f t="shared" si="5"/>
        <v>8242.7199999999939</v>
      </c>
      <c r="H671" s="345"/>
      <c r="I671" s="346"/>
      <c r="J671" s="347"/>
      <c r="K671" s="312"/>
      <c r="L671" s="347"/>
      <c r="M671" s="312"/>
      <c r="N671" s="347"/>
      <c r="O671" s="312"/>
      <c r="P671" s="347"/>
      <c r="Q671" s="312"/>
      <c r="R671" s="347"/>
      <c r="S671" s="312"/>
      <c r="T671" s="347"/>
    </row>
    <row r="672" spans="1:20" ht="12" customHeight="1" x14ac:dyDescent="0.3">
      <c r="A672" s="340" t="s">
        <v>289</v>
      </c>
      <c r="B672" s="341">
        <v>8</v>
      </c>
      <c r="C672" s="309">
        <v>46053</v>
      </c>
      <c r="D672" s="309" t="s">
        <v>321</v>
      </c>
      <c r="E672" s="342">
        <v>25.54</v>
      </c>
      <c r="F672" s="342"/>
      <c r="G672" s="344">
        <f t="shared" si="5"/>
        <v>8261.559999999994</v>
      </c>
      <c r="H672" s="345"/>
      <c r="I672" s="346"/>
      <c r="J672" s="347"/>
      <c r="K672" s="312"/>
      <c r="L672" s="347"/>
      <c r="M672" s="312"/>
      <c r="N672" s="347"/>
      <c r="O672" s="312"/>
      <c r="P672" s="347"/>
      <c r="Q672" s="312"/>
      <c r="R672" s="347"/>
      <c r="S672" s="312"/>
      <c r="T672" s="347"/>
    </row>
    <row r="673" spans="1:20" ht="12" customHeight="1" x14ac:dyDescent="0.3">
      <c r="A673" s="340" t="s">
        <v>289</v>
      </c>
      <c r="B673" s="341">
        <v>8</v>
      </c>
      <c r="C673" s="309">
        <v>46053</v>
      </c>
      <c r="D673" s="309" t="s">
        <v>309</v>
      </c>
      <c r="E673" s="342">
        <v>52.59</v>
      </c>
      <c r="F673" s="342"/>
      <c r="G673" s="344">
        <f t="shared" si="5"/>
        <v>8287.0999999999949</v>
      </c>
      <c r="H673" s="345"/>
      <c r="I673" s="346"/>
      <c r="J673" s="347"/>
      <c r="K673" s="312"/>
      <c r="L673" s="347"/>
      <c r="M673" s="312"/>
      <c r="N673" s="347"/>
      <c r="O673" s="312"/>
      <c r="P673" s="347"/>
      <c r="Q673" s="312"/>
      <c r="R673" s="347"/>
      <c r="S673" s="312"/>
      <c r="T673" s="347"/>
    </row>
    <row r="674" spans="1:20" ht="12" customHeight="1" x14ac:dyDescent="0.3">
      <c r="A674" s="340" t="s">
        <v>339</v>
      </c>
      <c r="B674" s="341" t="s">
        <v>339</v>
      </c>
      <c r="C674" s="309">
        <v>46052</v>
      </c>
      <c r="D674" s="310" t="s">
        <v>469</v>
      </c>
      <c r="E674" s="342"/>
      <c r="F674" s="342">
        <v>422</v>
      </c>
      <c r="G674" s="344">
        <f t="shared" si="5"/>
        <v>8339.6899999999951</v>
      </c>
      <c r="H674" s="345"/>
      <c r="I674" s="346"/>
      <c r="J674" s="347"/>
      <c r="K674" s="312"/>
      <c r="L674" s="347"/>
      <c r="M674" s="312"/>
      <c r="N674" s="347"/>
      <c r="O674" s="312"/>
      <c r="P674" s="347"/>
      <c r="Q674" s="312"/>
      <c r="R674" s="347"/>
      <c r="S674" s="312"/>
      <c r="T674" s="347"/>
    </row>
    <row r="675" spans="1:20" ht="12" customHeight="1" x14ac:dyDescent="0.3">
      <c r="A675" s="340" t="s">
        <v>289</v>
      </c>
      <c r="B675" s="341">
        <v>5</v>
      </c>
      <c r="C675" s="309">
        <v>46052</v>
      </c>
      <c r="D675" s="310" t="s">
        <v>470</v>
      </c>
      <c r="E675" s="342">
        <v>200</v>
      </c>
      <c r="F675" s="342"/>
      <c r="G675" s="344">
        <f t="shared" si="5"/>
        <v>7917.6899999999951</v>
      </c>
      <c r="H675" s="345"/>
      <c r="I675" s="346"/>
      <c r="J675" s="347"/>
      <c r="K675" s="312"/>
      <c r="L675" s="347"/>
      <c r="M675" s="312"/>
      <c r="N675" s="347"/>
      <c r="O675" s="312"/>
      <c r="P675" s="347"/>
      <c r="Q675" s="312"/>
      <c r="R675" s="347"/>
      <c r="S675" s="312"/>
      <c r="T675" s="347"/>
    </row>
    <row r="676" spans="1:20" ht="12" customHeight="1" x14ac:dyDescent="0.3">
      <c r="A676" s="340" t="s">
        <v>289</v>
      </c>
      <c r="B676" s="341">
        <v>2</v>
      </c>
      <c r="C676" s="309">
        <v>46052</v>
      </c>
      <c r="D676" s="310" t="s">
        <v>296</v>
      </c>
      <c r="E676" s="342">
        <v>8.52</v>
      </c>
      <c r="F676" s="342"/>
      <c r="G676" s="344">
        <f t="shared" si="5"/>
        <v>8117.6899999999951</v>
      </c>
      <c r="H676" s="345"/>
      <c r="I676" s="346"/>
      <c r="J676" s="347"/>
      <c r="K676" s="312"/>
      <c r="L676" s="347"/>
      <c r="M676" s="312"/>
      <c r="N676" s="347"/>
      <c r="O676" s="312"/>
      <c r="P676" s="347"/>
      <c r="Q676" s="312"/>
      <c r="R676" s="347"/>
      <c r="S676" s="312"/>
      <c r="T676" s="347"/>
    </row>
    <row r="677" spans="1:20" ht="12" customHeight="1" x14ac:dyDescent="0.3">
      <c r="A677" s="340" t="s">
        <v>287</v>
      </c>
      <c r="B677" s="341" t="s">
        <v>287</v>
      </c>
      <c r="C677" s="309">
        <v>46052</v>
      </c>
      <c r="D677" s="310" t="s">
        <v>471</v>
      </c>
      <c r="E677" s="342">
        <v>831.92</v>
      </c>
      <c r="F677" s="342">
        <v>831.92</v>
      </c>
      <c r="G677" s="344">
        <f t="shared" si="5"/>
        <v>8126.2099999999955</v>
      </c>
      <c r="H677" s="345"/>
      <c r="I677" s="346"/>
      <c r="J677" s="347"/>
      <c r="K677" s="312"/>
      <c r="L677" s="347"/>
      <c r="M677" s="312"/>
      <c r="N677" s="347"/>
      <c r="O677" s="312"/>
      <c r="P677" s="347"/>
      <c r="Q677" s="312"/>
      <c r="R677" s="347"/>
      <c r="S677" s="312"/>
      <c r="T677" s="347"/>
    </row>
    <row r="678" spans="1:20" ht="12" customHeight="1" x14ac:dyDescent="0.3">
      <c r="A678" s="340" t="s">
        <v>289</v>
      </c>
      <c r="B678" s="341">
        <v>5</v>
      </c>
      <c r="C678" s="309">
        <v>46052</v>
      </c>
      <c r="D678" s="310" t="s">
        <v>449</v>
      </c>
      <c r="E678" s="342">
        <v>200</v>
      </c>
      <c r="F678" s="342"/>
      <c r="G678" s="344">
        <f t="shared" si="5"/>
        <v>8126.2099999999955</v>
      </c>
      <c r="H678" s="345"/>
      <c r="I678" s="346"/>
      <c r="J678" s="347"/>
      <c r="K678" s="312"/>
      <c r="L678" s="347"/>
      <c r="M678" s="312"/>
      <c r="N678" s="347"/>
      <c r="O678" s="312"/>
      <c r="P678" s="347"/>
      <c r="Q678" s="312"/>
      <c r="R678" s="347"/>
      <c r="S678" s="312"/>
      <c r="T678" s="347"/>
    </row>
    <row r="679" spans="1:20" ht="12" customHeight="1" x14ac:dyDescent="0.3">
      <c r="A679" s="340" t="s">
        <v>289</v>
      </c>
      <c r="B679" s="341">
        <v>2</v>
      </c>
      <c r="C679" s="309">
        <v>46052</v>
      </c>
      <c r="D679" s="310" t="s">
        <v>327</v>
      </c>
      <c r="E679" s="342">
        <v>11.04</v>
      </c>
      <c r="F679" s="342"/>
      <c r="G679" s="344">
        <f t="shared" si="5"/>
        <v>8326.2099999999955</v>
      </c>
      <c r="H679" s="345"/>
      <c r="I679" s="346"/>
      <c r="J679" s="347"/>
      <c r="K679" s="312"/>
      <c r="L679" s="347"/>
      <c r="M679" s="312"/>
      <c r="N679" s="347"/>
      <c r="O679" s="312"/>
      <c r="P679" s="347"/>
      <c r="Q679" s="312"/>
      <c r="R679" s="347"/>
      <c r="S679" s="312"/>
      <c r="T679" s="347"/>
    </row>
    <row r="680" spans="1:20" ht="12" customHeight="1" x14ac:dyDescent="0.3">
      <c r="A680" s="340" t="s">
        <v>291</v>
      </c>
      <c r="B680" s="341">
        <v>38</v>
      </c>
      <c r="C680" s="309">
        <v>46051</v>
      </c>
      <c r="D680" s="310" t="s">
        <v>293</v>
      </c>
      <c r="E680" s="342"/>
      <c r="F680" s="342">
        <v>4365.6499999999996</v>
      </c>
      <c r="G680" s="344">
        <f t="shared" si="5"/>
        <v>8337.2499999999964</v>
      </c>
      <c r="H680" s="345"/>
      <c r="I680" s="346"/>
      <c r="J680" s="347"/>
      <c r="K680" s="312"/>
      <c r="L680" s="347"/>
      <c r="M680" s="312"/>
      <c r="N680" s="347"/>
      <c r="O680" s="312"/>
      <c r="P680" s="347"/>
      <c r="Q680" s="312"/>
      <c r="R680" s="347"/>
      <c r="S680" s="312"/>
      <c r="T680" s="347"/>
    </row>
    <row r="681" spans="1:20" ht="12" customHeight="1" x14ac:dyDescent="0.3">
      <c r="A681" s="340" t="s">
        <v>289</v>
      </c>
      <c r="B681" s="341">
        <v>2</v>
      </c>
      <c r="C681" s="309">
        <v>46051</v>
      </c>
      <c r="D681" s="310" t="s">
        <v>296</v>
      </c>
      <c r="E681" s="342">
        <v>18.28</v>
      </c>
      <c r="F681" s="342"/>
      <c r="G681" s="344">
        <f t="shared" si="5"/>
        <v>3971.5999999999976</v>
      </c>
      <c r="H681" s="345"/>
      <c r="I681" s="346"/>
      <c r="J681" s="347"/>
      <c r="K681" s="312"/>
      <c r="L681" s="347"/>
      <c r="M681" s="312"/>
      <c r="N681" s="347"/>
      <c r="O681" s="312"/>
      <c r="P681" s="347"/>
      <c r="Q681" s="312"/>
      <c r="R681" s="347"/>
      <c r="S681" s="312"/>
      <c r="T681" s="347"/>
    </row>
    <row r="682" spans="1:20" ht="12" customHeight="1" x14ac:dyDescent="0.3">
      <c r="A682" s="340" t="s">
        <v>289</v>
      </c>
      <c r="B682" s="341">
        <v>4</v>
      </c>
      <c r="C682" s="309">
        <v>46051</v>
      </c>
      <c r="D682" s="310" t="s">
        <v>295</v>
      </c>
      <c r="E682" s="342">
        <v>57.06</v>
      </c>
      <c r="F682" s="342"/>
      <c r="G682" s="344">
        <f t="shared" si="5"/>
        <v>3989.8799999999978</v>
      </c>
      <c r="H682" s="345"/>
      <c r="I682" s="346"/>
      <c r="J682" s="347"/>
      <c r="K682" s="312"/>
      <c r="L682" s="347"/>
      <c r="M682" s="312"/>
      <c r="N682" s="347"/>
      <c r="O682" s="312"/>
      <c r="P682" s="347"/>
      <c r="Q682" s="312"/>
      <c r="R682" s="347"/>
      <c r="S682" s="312"/>
      <c r="T682" s="347"/>
    </row>
    <row r="683" spans="1:20" ht="12" customHeight="1" x14ac:dyDescent="0.3">
      <c r="A683" s="340" t="s">
        <v>287</v>
      </c>
      <c r="B683" s="341" t="s">
        <v>287</v>
      </c>
      <c r="C683" s="309">
        <v>46051</v>
      </c>
      <c r="D683" s="310" t="s">
        <v>472</v>
      </c>
      <c r="E683" s="342">
        <v>89.42</v>
      </c>
      <c r="F683" s="342">
        <v>89.42</v>
      </c>
      <c r="G683" s="344">
        <f t="shared" si="5"/>
        <v>4046.9399999999978</v>
      </c>
      <c r="H683" s="345"/>
      <c r="I683" s="346"/>
      <c r="J683" s="347"/>
      <c r="K683" s="312"/>
      <c r="L683" s="347"/>
      <c r="M683" s="312"/>
      <c r="N683" s="347"/>
      <c r="O683" s="312"/>
      <c r="P683" s="347"/>
      <c r="Q683" s="312"/>
      <c r="R683" s="347"/>
      <c r="S683" s="312"/>
      <c r="T683" s="347"/>
    </row>
    <row r="684" spans="1:20" ht="12" customHeight="1" x14ac:dyDescent="0.3">
      <c r="A684" s="340" t="s">
        <v>289</v>
      </c>
      <c r="B684" s="341">
        <v>8</v>
      </c>
      <c r="C684" s="309">
        <v>46051</v>
      </c>
      <c r="D684" s="310" t="s">
        <v>473</v>
      </c>
      <c r="E684" s="342">
        <v>59</v>
      </c>
      <c r="F684" s="342"/>
      <c r="G684" s="344">
        <f t="shared" si="5"/>
        <v>4046.9399999999978</v>
      </c>
      <c r="H684" s="345"/>
      <c r="I684" s="346"/>
      <c r="J684" s="347"/>
      <c r="K684" s="312"/>
      <c r="L684" s="347"/>
      <c r="M684" s="312"/>
      <c r="N684" s="347"/>
      <c r="O684" s="312"/>
      <c r="P684" s="347"/>
      <c r="Q684" s="312"/>
      <c r="R684" s="347"/>
      <c r="S684" s="312"/>
      <c r="T684" s="347"/>
    </row>
    <row r="685" spans="1:20" ht="12" customHeight="1" x14ac:dyDescent="0.3">
      <c r="A685" s="340" t="s">
        <v>289</v>
      </c>
      <c r="B685" s="341">
        <v>2</v>
      </c>
      <c r="C685" s="309">
        <v>46051</v>
      </c>
      <c r="D685" s="310" t="s">
        <v>375</v>
      </c>
      <c r="E685" s="342">
        <v>19.899999999999999</v>
      </c>
      <c r="F685" s="342"/>
      <c r="G685" s="344">
        <f t="shared" si="5"/>
        <v>4105.9399999999978</v>
      </c>
      <c r="H685" s="345"/>
      <c r="I685" s="346"/>
      <c r="J685" s="347"/>
      <c r="K685" s="312"/>
      <c r="L685" s="347"/>
      <c r="M685" s="312"/>
      <c r="N685" s="347"/>
      <c r="O685" s="312"/>
      <c r="P685" s="347"/>
      <c r="Q685" s="312"/>
      <c r="R685" s="347"/>
      <c r="S685" s="312"/>
      <c r="T685" s="347"/>
    </row>
    <row r="686" spans="1:20" ht="12" customHeight="1" x14ac:dyDescent="0.3">
      <c r="A686" s="340" t="s">
        <v>289</v>
      </c>
      <c r="B686" s="341">
        <v>2</v>
      </c>
      <c r="C686" s="309">
        <v>46050</v>
      </c>
      <c r="D686" s="310" t="s">
        <v>357</v>
      </c>
      <c r="E686" s="342">
        <v>14.99</v>
      </c>
      <c r="F686" s="342"/>
      <c r="G686" s="344">
        <f t="shared" si="5"/>
        <v>4125.8399999999974</v>
      </c>
      <c r="H686" s="345"/>
      <c r="I686" s="346"/>
      <c r="J686" s="347"/>
      <c r="K686" s="312"/>
      <c r="L686" s="347"/>
      <c r="M686" s="312"/>
      <c r="N686" s="347"/>
      <c r="O686" s="312"/>
      <c r="P686" s="347"/>
      <c r="Q686" s="312"/>
      <c r="R686" s="347"/>
      <c r="S686" s="312"/>
      <c r="T686" s="347"/>
    </row>
    <row r="687" spans="1:20" ht="12" customHeight="1" x14ac:dyDescent="0.3">
      <c r="A687" s="340" t="s">
        <v>289</v>
      </c>
      <c r="B687" s="341">
        <v>6</v>
      </c>
      <c r="C687" s="309">
        <v>46050</v>
      </c>
      <c r="D687" s="310" t="s">
        <v>474</v>
      </c>
      <c r="E687" s="342">
        <v>25</v>
      </c>
      <c r="F687" s="342"/>
      <c r="G687" s="344">
        <f t="shared" si="5"/>
        <v>4140.8299999999972</v>
      </c>
      <c r="H687" s="345"/>
      <c r="I687" s="346"/>
      <c r="J687" s="347"/>
      <c r="K687" s="312"/>
      <c r="L687" s="347"/>
      <c r="M687" s="312"/>
      <c r="N687" s="347"/>
      <c r="O687" s="312"/>
      <c r="P687" s="347"/>
      <c r="Q687" s="312"/>
      <c r="R687" s="347"/>
      <c r="S687" s="312"/>
      <c r="T687" s="347"/>
    </row>
    <row r="688" spans="1:20" ht="12" customHeight="1" x14ac:dyDescent="0.3">
      <c r="A688" s="340" t="s">
        <v>289</v>
      </c>
      <c r="B688" s="341">
        <v>3</v>
      </c>
      <c r="C688" s="309">
        <v>46050</v>
      </c>
      <c r="D688" s="310" t="s">
        <v>475</v>
      </c>
      <c r="E688" s="342">
        <v>6</v>
      </c>
      <c r="F688" s="342"/>
      <c r="G688" s="344">
        <f t="shared" si="5"/>
        <v>4165.8299999999972</v>
      </c>
      <c r="H688" s="345"/>
      <c r="I688" s="346"/>
      <c r="J688" s="347"/>
      <c r="K688" s="312"/>
      <c r="L688" s="347"/>
      <c r="M688" s="312"/>
      <c r="N688" s="347"/>
      <c r="O688" s="312"/>
      <c r="P688" s="347"/>
      <c r="Q688" s="312"/>
      <c r="R688" s="347"/>
      <c r="S688" s="312"/>
      <c r="T688" s="347"/>
    </row>
    <row r="689" spans="1:20" ht="12" customHeight="1" x14ac:dyDescent="0.3">
      <c r="A689" s="340" t="s">
        <v>289</v>
      </c>
      <c r="B689" s="341">
        <v>2</v>
      </c>
      <c r="C689" s="309">
        <v>46050</v>
      </c>
      <c r="D689" s="310" t="s">
        <v>476</v>
      </c>
      <c r="E689" s="342">
        <v>15</v>
      </c>
      <c r="F689" s="342"/>
      <c r="G689" s="344">
        <f t="shared" si="5"/>
        <v>4171.8299999999972</v>
      </c>
      <c r="H689" s="345"/>
      <c r="I689" s="346"/>
      <c r="J689" s="347"/>
      <c r="K689" s="312"/>
      <c r="L689" s="347"/>
      <c r="M689" s="312"/>
      <c r="N689" s="347"/>
      <c r="O689" s="312"/>
      <c r="P689" s="347"/>
      <c r="Q689" s="312"/>
      <c r="R689" s="347"/>
      <c r="S689" s="312"/>
      <c r="T689" s="347"/>
    </row>
    <row r="690" spans="1:20" ht="12" customHeight="1" x14ac:dyDescent="0.3">
      <c r="A690" s="340" t="s">
        <v>289</v>
      </c>
      <c r="B690" s="341">
        <v>2</v>
      </c>
      <c r="C690" s="309">
        <v>46050</v>
      </c>
      <c r="D690" s="310" t="s">
        <v>296</v>
      </c>
      <c r="E690" s="342">
        <v>12.71</v>
      </c>
      <c r="F690" s="342"/>
      <c r="G690" s="344">
        <f t="shared" si="5"/>
        <v>4186.8299999999972</v>
      </c>
      <c r="H690" s="345"/>
      <c r="I690" s="346"/>
      <c r="J690" s="347"/>
      <c r="K690" s="312"/>
      <c r="L690" s="347"/>
      <c r="M690" s="312"/>
      <c r="N690" s="347"/>
      <c r="O690" s="312"/>
      <c r="P690" s="347"/>
      <c r="Q690" s="312"/>
      <c r="R690" s="347"/>
      <c r="S690" s="312"/>
      <c r="T690" s="347"/>
    </row>
    <row r="691" spans="1:20" ht="12" customHeight="1" x14ac:dyDescent="0.3">
      <c r="A691" s="340" t="s">
        <v>287</v>
      </c>
      <c r="B691" s="341" t="s">
        <v>287</v>
      </c>
      <c r="C691" s="309">
        <v>46050</v>
      </c>
      <c r="D691" s="310" t="s">
        <v>461</v>
      </c>
      <c r="E691" s="342">
        <v>1475.9</v>
      </c>
      <c r="F691" s="342">
        <v>1475.9</v>
      </c>
      <c r="G691" s="344">
        <f t="shared" si="5"/>
        <v>4199.5399999999972</v>
      </c>
      <c r="H691" s="345"/>
      <c r="I691" s="346"/>
      <c r="J691" s="347"/>
      <c r="K691" s="312"/>
      <c r="L691" s="347"/>
      <c r="M691" s="312"/>
      <c r="N691" s="347"/>
      <c r="O691" s="312"/>
      <c r="P691" s="347"/>
      <c r="Q691" s="312"/>
      <c r="R691" s="347"/>
      <c r="S691" s="312"/>
      <c r="T691" s="347"/>
    </row>
    <row r="692" spans="1:20" ht="12" customHeight="1" x14ac:dyDescent="0.3">
      <c r="A692" s="340" t="s">
        <v>289</v>
      </c>
      <c r="B692" s="341">
        <v>8</v>
      </c>
      <c r="C692" s="309">
        <v>46050</v>
      </c>
      <c r="D692" s="310" t="s">
        <v>321</v>
      </c>
      <c r="E692" s="342">
        <v>28.52</v>
      </c>
      <c r="F692" s="342"/>
      <c r="G692" s="344">
        <f t="shared" si="5"/>
        <v>4199.5399999999972</v>
      </c>
      <c r="H692" s="345"/>
      <c r="I692" s="346"/>
      <c r="J692" s="347"/>
      <c r="K692" s="312"/>
      <c r="L692" s="347"/>
      <c r="M692" s="312"/>
      <c r="N692" s="347"/>
      <c r="O692" s="312"/>
      <c r="P692" s="347"/>
      <c r="Q692" s="312"/>
      <c r="R692" s="347"/>
      <c r="S692" s="312"/>
      <c r="T692" s="347"/>
    </row>
    <row r="693" spans="1:20" ht="12" customHeight="1" x14ac:dyDescent="0.3">
      <c r="A693" s="340" t="s">
        <v>289</v>
      </c>
      <c r="B693" s="341">
        <v>2</v>
      </c>
      <c r="C693" s="309">
        <v>46050</v>
      </c>
      <c r="D693" s="310" t="s">
        <v>477</v>
      </c>
      <c r="E693" s="342">
        <v>66.94</v>
      </c>
      <c r="F693" s="342"/>
      <c r="G693" s="344">
        <f t="shared" si="5"/>
        <v>4228.0599999999977</v>
      </c>
      <c r="H693" s="345"/>
      <c r="I693" s="346"/>
      <c r="J693" s="347"/>
      <c r="K693" s="312"/>
      <c r="L693" s="347"/>
      <c r="M693" s="312"/>
      <c r="N693" s="347"/>
      <c r="O693" s="312"/>
      <c r="P693" s="347"/>
      <c r="Q693" s="312"/>
      <c r="R693" s="347"/>
      <c r="S693" s="312"/>
      <c r="T693" s="347"/>
    </row>
    <row r="694" spans="1:20" ht="12" customHeight="1" x14ac:dyDescent="0.3">
      <c r="A694" s="340" t="s">
        <v>289</v>
      </c>
      <c r="B694" s="341">
        <v>8</v>
      </c>
      <c r="C694" s="309">
        <v>46049</v>
      </c>
      <c r="D694" s="310" t="s">
        <v>309</v>
      </c>
      <c r="E694" s="342">
        <v>47.99</v>
      </c>
      <c r="F694" s="342"/>
      <c r="G694" s="344">
        <f t="shared" si="5"/>
        <v>4294.9999999999973</v>
      </c>
      <c r="H694" s="345"/>
      <c r="I694" s="346"/>
      <c r="J694" s="347"/>
      <c r="K694" s="312"/>
      <c r="L694" s="347"/>
      <c r="M694" s="312"/>
      <c r="N694" s="347"/>
      <c r="O694" s="312"/>
      <c r="P694" s="347"/>
      <c r="Q694" s="312"/>
      <c r="R694" s="347"/>
      <c r="S694" s="312"/>
      <c r="T694" s="347"/>
    </row>
    <row r="695" spans="1:20" ht="12" customHeight="1" x14ac:dyDescent="0.3">
      <c r="A695" s="340" t="s">
        <v>287</v>
      </c>
      <c r="B695" s="341" t="s">
        <v>287</v>
      </c>
      <c r="C695" s="309">
        <v>46048</v>
      </c>
      <c r="D695" s="310" t="s">
        <v>478</v>
      </c>
      <c r="E695" s="342"/>
      <c r="F695" s="342">
        <v>425</v>
      </c>
      <c r="G695" s="344">
        <f t="shared" si="5"/>
        <v>4342.9899999999971</v>
      </c>
      <c r="H695" s="345" t="s">
        <v>298</v>
      </c>
      <c r="I695" s="346"/>
      <c r="J695" s="347"/>
      <c r="K695" s="312"/>
      <c r="L695" s="347"/>
      <c r="M695" s="312"/>
      <c r="N695" s="347"/>
      <c r="O695" s="312"/>
      <c r="P695" s="347"/>
      <c r="Q695" s="312"/>
      <c r="R695" s="347"/>
      <c r="S695" s="312"/>
      <c r="T695" s="347"/>
    </row>
    <row r="696" spans="1:20" ht="12" customHeight="1" x14ac:dyDescent="0.3">
      <c r="A696" s="340" t="s">
        <v>287</v>
      </c>
      <c r="B696" s="341" t="s">
        <v>287</v>
      </c>
      <c r="C696" s="309">
        <v>46048</v>
      </c>
      <c r="D696" s="310" t="s">
        <v>478</v>
      </c>
      <c r="E696" s="342">
        <v>425</v>
      </c>
      <c r="F696" s="342"/>
      <c r="G696" s="344">
        <f t="shared" si="5"/>
        <v>3917.9899999999971</v>
      </c>
      <c r="H696" s="345"/>
      <c r="I696" s="346"/>
      <c r="J696" s="347"/>
      <c r="K696" s="312"/>
      <c r="L696" s="347"/>
      <c r="M696" s="312"/>
      <c r="N696" s="347"/>
      <c r="O696" s="312"/>
      <c r="P696" s="347"/>
      <c r="Q696" s="312"/>
      <c r="R696" s="347"/>
      <c r="S696" s="312"/>
      <c r="T696" s="347"/>
    </row>
    <row r="697" spans="1:20" ht="12" customHeight="1" x14ac:dyDescent="0.3">
      <c r="A697" s="340" t="s">
        <v>289</v>
      </c>
      <c r="B697" s="341">
        <v>2</v>
      </c>
      <c r="C697" s="309">
        <v>46048</v>
      </c>
      <c r="D697" s="310" t="s">
        <v>479</v>
      </c>
      <c r="E697" s="342">
        <v>20.12</v>
      </c>
      <c r="F697" s="342"/>
      <c r="G697" s="344">
        <f t="shared" si="5"/>
        <v>4342.9899999999971</v>
      </c>
      <c r="H697" s="345"/>
      <c r="I697" s="346"/>
      <c r="J697" s="347"/>
      <c r="K697" s="312"/>
      <c r="L697" s="347"/>
      <c r="M697" s="312"/>
      <c r="N697" s="347"/>
      <c r="O697" s="312"/>
      <c r="P697" s="347"/>
      <c r="Q697" s="312"/>
      <c r="R697" s="347"/>
      <c r="S697" s="312"/>
      <c r="T697" s="347"/>
    </row>
    <row r="698" spans="1:20" ht="12" customHeight="1" x14ac:dyDescent="0.3">
      <c r="A698" s="340" t="s">
        <v>294</v>
      </c>
      <c r="B698" s="341">
        <v>17</v>
      </c>
      <c r="C698" s="309">
        <v>46048</v>
      </c>
      <c r="D698" s="310" t="s">
        <v>480</v>
      </c>
      <c r="E698" s="342">
        <v>42.68</v>
      </c>
      <c r="F698" s="342"/>
      <c r="G698" s="344">
        <f t="shared" si="5"/>
        <v>4363.1099999999969</v>
      </c>
      <c r="H698" s="345"/>
      <c r="I698" s="346"/>
      <c r="J698" s="347"/>
      <c r="K698" s="312"/>
      <c r="L698" s="347"/>
      <c r="M698" s="312"/>
      <c r="N698" s="347"/>
      <c r="O698" s="312"/>
      <c r="P698" s="347"/>
      <c r="Q698" s="312"/>
      <c r="R698" s="347"/>
      <c r="S698" s="312"/>
      <c r="T698" s="347"/>
    </row>
    <row r="699" spans="1:20" ht="12" customHeight="1" x14ac:dyDescent="0.3">
      <c r="A699" s="340" t="s">
        <v>289</v>
      </c>
      <c r="B699" s="341">
        <v>6</v>
      </c>
      <c r="C699" s="309">
        <v>46048</v>
      </c>
      <c r="D699" s="310" t="s">
        <v>402</v>
      </c>
      <c r="E699" s="342">
        <v>47.9</v>
      </c>
      <c r="F699" s="342"/>
      <c r="G699" s="344">
        <f t="shared" si="5"/>
        <v>4405.7899999999972</v>
      </c>
      <c r="H699" s="345"/>
      <c r="I699" s="346"/>
      <c r="J699" s="347"/>
      <c r="K699" s="312"/>
      <c r="L699" s="347"/>
      <c r="M699" s="312"/>
      <c r="N699" s="347"/>
      <c r="O699" s="312"/>
      <c r="P699" s="347"/>
      <c r="Q699" s="312"/>
      <c r="R699" s="347"/>
      <c r="S699" s="312"/>
      <c r="T699" s="347"/>
    </row>
    <row r="700" spans="1:20" ht="12" customHeight="1" x14ac:dyDescent="0.3">
      <c r="A700" s="340" t="s">
        <v>289</v>
      </c>
      <c r="B700" s="341">
        <v>1</v>
      </c>
      <c r="C700" s="309">
        <v>46047</v>
      </c>
      <c r="D700" s="310" t="s">
        <v>466</v>
      </c>
      <c r="E700" s="342">
        <v>105.79</v>
      </c>
      <c r="F700" s="342"/>
      <c r="G700" s="344">
        <f t="shared" si="5"/>
        <v>4453.6899999999969</v>
      </c>
      <c r="H700" s="345"/>
      <c r="I700" s="346"/>
      <c r="J700" s="347"/>
      <c r="K700" s="312"/>
      <c r="L700" s="347"/>
      <c r="M700" s="312"/>
      <c r="N700" s="347"/>
      <c r="O700" s="312"/>
      <c r="P700" s="347"/>
      <c r="Q700" s="312"/>
      <c r="R700" s="347"/>
      <c r="S700" s="312"/>
      <c r="T700" s="347"/>
    </row>
    <row r="701" spans="1:20" ht="12" customHeight="1" x14ac:dyDescent="0.3">
      <c r="A701" s="340" t="s">
        <v>294</v>
      </c>
      <c r="B701" s="341">
        <v>12</v>
      </c>
      <c r="C701" s="309">
        <v>46047</v>
      </c>
      <c r="D701" s="310" t="s">
        <v>315</v>
      </c>
      <c r="E701" s="342">
        <v>204.83</v>
      </c>
      <c r="F701" s="342"/>
      <c r="G701" s="344">
        <f t="shared" si="5"/>
        <v>4559.4799999999968</v>
      </c>
      <c r="H701" s="345"/>
      <c r="I701" s="346"/>
      <c r="J701" s="347"/>
      <c r="K701" s="312"/>
      <c r="L701" s="347"/>
      <c r="M701" s="312"/>
      <c r="N701" s="347"/>
      <c r="O701" s="312"/>
      <c r="P701" s="347"/>
      <c r="Q701" s="312"/>
      <c r="R701" s="347"/>
      <c r="S701" s="312"/>
      <c r="T701" s="347"/>
    </row>
    <row r="702" spans="1:20" ht="12" customHeight="1" x14ac:dyDescent="0.3">
      <c r="A702" s="340" t="s">
        <v>289</v>
      </c>
      <c r="B702" s="341">
        <v>3</v>
      </c>
      <c r="C702" s="309">
        <v>46047</v>
      </c>
      <c r="D702" s="310" t="s">
        <v>352</v>
      </c>
      <c r="E702" s="342">
        <v>8.51</v>
      </c>
      <c r="F702" s="342"/>
      <c r="G702" s="344">
        <f t="shared" si="5"/>
        <v>4764.3099999999968</v>
      </c>
      <c r="H702" s="345"/>
      <c r="I702" s="346"/>
      <c r="J702" s="347"/>
      <c r="K702" s="312"/>
      <c r="L702" s="347"/>
      <c r="M702" s="312"/>
      <c r="N702" s="347"/>
      <c r="O702" s="312"/>
      <c r="P702" s="347"/>
      <c r="Q702" s="312"/>
      <c r="R702" s="347"/>
      <c r="S702" s="312"/>
      <c r="T702" s="347"/>
    </row>
    <row r="703" spans="1:20" ht="12" customHeight="1" x14ac:dyDescent="0.3">
      <c r="A703" s="340" t="s">
        <v>289</v>
      </c>
      <c r="B703" s="341">
        <v>4</v>
      </c>
      <c r="C703" s="309">
        <v>46046</v>
      </c>
      <c r="D703" s="310" t="s">
        <v>296</v>
      </c>
      <c r="E703" s="342">
        <v>92.96</v>
      </c>
      <c r="F703" s="342"/>
      <c r="G703" s="344">
        <f t="shared" si="5"/>
        <v>4772.819999999997</v>
      </c>
      <c r="H703" s="345"/>
      <c r="I703" s="346"/>
      <c r="J703" s="347"/>
      <c r="K703" s="312"/>
      <c r="L703" s="347"/>
      <c r="M703" s="312"/>
      <c r="N703" s="347"/>
      <c r="O703" s="312"/>
      <c r="P703" s="347"/>
      <c r="Q703" s="312"/>
      <c r="R703" s="347"/>
      <c r="S703" s="312"/>
      <c r="T703" s="347"/>
    </row>
    <row r="704" spans="1:20" ht="12" customHeight="1" x14ac:dyDescent="0.3">
      <c r="A704" s="340" t="s">
        <v>289</v>
      </c>
      <c r="B704" s="341">
        <v>4</v>
      </c>
      <c r="C704" s="309">
        <v>46046</v>
      </c>
      <c r="D704" s="310" t="s">
        <v>338</v>
      </c>
      <c r="E704" s="342">
        <v>30.77</v>
      </c>
      <c r="F704" s="342"/>
      <c r="G704" s="344">
        <f t="shared" si="5"/>
        <v>4865.779999999997</v>
      </c>
      <c r="H704" s="345"/>
      <c r="I704" s="346"/>
      <c r="J704" s="347"/>
      <c r="K704" s="312"/>
      <c r="L704" s="347"/>
      <c r="M704" s="312"/>
      <c r="N704" s="347"/>
      <c r="O704" s="312"/>
      <c r="P704" s="347"/>
      <c r="Q704" s="312"/>
      <c r="R704" s="347"/>
      <c r="S704" s="312"/>
      <c r="T704" s="347"/>
    </row>
    <row r="705" spans="1:20" ht="12" customHeight="1" x14ac:dyDescent="0.3">
      <c r="A705" s="340" t="s">
        <v>289</v>
      </c>
      <c r="B705" s="341">
        <v>2</v>
      </c>
      <c r="C705" s="309">
        <v>46046</v>
      </c>
      <c r="D705" s="310" t="s">
        <v>362</v>
      </c>
      <c r="E705" s="342">
        <v>9.4700000000000006</v>
      </c>
      <c r="F705" s="342"/>
      <c r="G705" s="344">
        <f t="shared" si="5"/>
        <v>4896.5499999999975</v>
      </c>
      <c r="H705" s="345"/>
      <c r="I705" s="346"/>
      <c r="J705" s="347"/>
      <c r="K705" s="312"/>
      <c r="L705" s="347"/>
      <c r="M705" s="312"/>
      <c r="N705" s="347"/>
      <c r="O705" s="312"/>
      <c r="P705" s="347"/>
      <c r="Q705" s="312"/>
      <c r="R705" s="347"/>
      <c r="S705" s="312"/>
      <c r="T705" s="347"/>
    </row>
    <row r="706" spans="1:20" ht="12" customHeight="1" x14ac:dyDescent="0.3">
      <c r="A706" s="340" t="s">
        <v>289</v>
      </c>
      <c r="B706" s="341">
        <v>6</v>
      </c>
      <c r="C706" s="309">
        <v>46046</v>
      </c>
      <c r="D706" s="310" t="s">
        <v>402</v>
      </c>
      <c r="E706" s="342">
        <v>53.59</v>
      </c>
      <c r="F706" s="342"/>
      <c r="G706" s="344">
        <f t="shared" si="5"/>
        <v>4906.0199999999977</v>
      </c>
      <c r="H706" s="345"/>
      <c r="I706" s="346"/>
      <c r="J706" s="347"/>
      <c r="K706" s="312"/>
      <c r="L706" s="347"/>
      <c r="M706" s="312"/>
      <c r="N706" s="347"/>
      <c r="O706" s="312"/>
      <c r="P706" s="347"/>
      <c r="Q706" s="312"/>
      <c r="R706" s="347"/>
      <c r="S706" s="312"/>
      <c r="T706" s="347"/>
    </row>
    <row r="707" spans="1:20" ht="12" customHeight="1" x14ac:dyDescent="0.3">
      <c r="A707" s="340" t="s">
        <v>289</v>
      </c>
      <c r="B707" s="341">
        <v>1</v>
      </c>
      <c r="C707" s="309">
        <v>46046</v>
      </c>
      <c r="D707" s="310" t="s">
        <v>312</v>
      </c>
      <c r="E707" s="342">
        <v>61.64</v>
      </c>
      <c r="F707" s="342"/>
      <c r="G707" s="344">
        <f t="shared" si="5"/>
        <v>4959.6099999999979</v>
      </c>
      <c r="H707" s="345"/>
      <c r="I707" s="346"/>
      <c r="J707" s="347"/>
      <c r="K707" s="312"/>
      <c r="L707" s="347"/>
      <c r="M707" s="312"/>
      <c r="N707" s="347"/>
      <c r="O707" s="312"/>
      <c r="P707" s="347"/>
      <c r="Q707" s="312"/>
      <c r="R707" s="347"/>
      <c r="S707" s="312"/>
      <c r="T707" s="347"/>
    </row>
    <row r="708" spans="1:20" ht="12" customHeight="1" x14ac:dyDescent="0.3">
      <c r="A708" s="340" t="s">
        <v>289</v>
      </c>
      <c r="B708" s="341">
        <v>1</v>
      </c>
      <c r="C708" s="309">
        <v>46045</v>
      </c>
      <c r="D708" s="310" t="s">
        <v>304</v>
      </c>
      <c r="E708" s="342">
        <v>23.17</v>
      </c>
      <c r="F708" s="342"/>
      <c r="G708" s="344">
        <f t="shared" si="5"/>
        <v>5021.2499999999982</v>
      </c>
      <c r="H708" s="345"/>
      <c r="I708" s="346"/>
      <c r="J708" s="347"/>
      <c r="K708" s="312"/>
      <c r="L708" s="347"/>
      <c r="M708" s="312"/>
      <c r="N708" s="347"/>
      <c r="O708" s="312"/>
      <c r="P708" s="347"/>
      <c r="Q708" s="312"/>
      <c r="R708" s="347"/>
      <c r="S708" s="312"/>
      <c r="T708" s="347"/>
    </row>
    <row r="709" spans="1:20" ht="12" customHeight="1" x14ac:dyDescent="0.3">
      <c r="A709" s="340" t="s">
        <v>289</v>
      </c>
      <c r="B709" s="341">
        <v>4</v>
      </c>
      <c r="C709" s="309">
        <v>46045</v>
      </c>
      <c r="D709" s="310" t="s">
        <v>296</v>
      </c>
      <c r="E709" s="342">
        <v>62.77</v>
      </c>
      <c r="F709" s="342"/>
      <c r="G709" s="344">
        <f t="shared" si="5"/>
        <v>5044.4199999999983</v>
      </c>
      <c r="H709" s="345"/>
      <c r="I709" s="346"/>
      <c r="J709" s="347"/>
      <c r="K709" s="312"/>
      <c r="L709" s="347"/>
      <c r="M709" s="312"/>
      <c r="N709" s="347"/>
      <c r="O709" s="312"/>
      <c r="P709" s="347"/>
      <c r="Q709" s="312"/>
      <c r="R709" s="347"/>
      <c r="S709" s="312"/>
      <c r="T709" s="347"/>
    </row>
    <row r="710" spans="1:20" ht="12" customHeight="1" x14ac:dyDescent="0.3">
      <c r="A710" s="340" t="s">
        <v>289</v>
      </c>
      <c r="B710" s="341">
        <v>6</v>
      </c>
      <c r="C710" s="309">
        <v>46045</v>
      </c>
      <c r="D710" s="310" t="s">
        <v>481</v>
      </c>
      <c r="E710" s="342">
        <v>105.51</v>
      </c>
      <c r="F710" s="342"/>
      <c r="G710" s="344">
        <f t="shared" si="5"/>
        <v>5107.1899999999987</v>
      </c>
      <c r="H710" s="345"/>
      <c r="I710" s="346"/>
      <c r="J710" s="347"/>
      <c r="K710" s="312"/>
      <c r="L710" s="347"/>
      <c r="M710" s="312"/>
      <c r="N710" s="347"/>
      <c r="O710" s="312"/>
      <c r="P710" s="347"/>
      <c r="Q710" s="312"/>
      <c r="R710" s="347"/>
      <c r="S710" s="312"/>
      <c r="T710" s="347"/>
    </row>
    <row r="711" spans="1:20" ht="12" customHeight="1" x14ac:dyDescent="0.3">
      <c r="A711" s="340" t="s">
        <v>289</v>
      </c>
      <c r="B711" s="341">
        <v>3</v>
      </c>
      <c r="C711" s="309">
        <v>46045</v>
      </c>
      <c r="D711" s="310" t="s">
        <v>338</v>
      </c>
      <c r="E711" s="342">
        <v>9.9499999999999993</v>
      </c>
      <c r="F711" s="342"/>
      <c r="G711" s="344">
        <f t="shared" si="5"/>
        <v>5212.6999999999989</v>
      </c>
      <c r="H711" s="345"/>
      <c r="I711" s="346"/>
      <c r="J711" s="347"/>
      <c r="K711" s="312"/>
      <c r="L711" s="347"/>
      <c r="M711" s="312"/>
      <c r="N711" s="347"/>
      <c r="O711" s="312"/>
      <c r="P711" s="347"/>
      <c r="Q711" s="312"/>
      <c r="R711" s="347"/>
      <c r="S711" s="312"/>
      <c r="T711" s="347"/>
    </row>
    <row r="712" spans="1:20" ht="12" customHeight="1" x14ac:dyDescent="0.3">
      <c r="A712" s="340" t="s">
        <v>289</v>
      </c>
      <c r="B712" s="341">
        <v>2</v>
      </c>
      <c r="C712" s="309">
        <v>46045</v>
      </c>
      <c r="D712" s="310" t="s">
        <v>362</v>
      </c>
      <c r="E712" s="342">
        <v>10.17</v>
      </c>
      <c r="F712" s="342"/>
      <c r="G712" s="344">
        <f t="shared" si="5"/>
        <v>5222.6499999999987</v>
      </c>
      <c r="H712" s="345"/>
      <c r="I712" s="346"/>
      <c r="J712" s="347"/>
      <c r="K712" s="312"/>
      <c r="L712" s="347"/>
      <c r="M712" s="312"/>
      <c r="N712" s="347"/>
      <c r="O712" s="312"/>
      <c r="P712" s="347"/>
      <c r="Q712" s="312"/>
      <c r="R712" s="347"/>
      <c r="S712" s="312"/>
      <c r="T712" s="347"/>
    </row>
    <row r="713" spans="1:20" ht="12" customHeight="1" x14ac:dyDescent="0.3">
      <c r="A713" s="340" t="s">
        <v>289</v>
      </c>
      <c r="B713" s="341">
        <v>2</v>
      </c>
      <c r="C713" s="309">
        <v>46045</v>
      </c>
      <c r="D713" s="310" t="s">
        <v>301</v>
      </c>
      <c r="E713" s="342">
        <v>32.200000000000003</v>
      </c>
      <c r="F713" s="342"/>
      <c r="G713" s="344">
        <f t="shared" si="5"/>
        <v>5232.8199999999988</v>
      </c>
      <c r="H713" s="345"/>
      <c r="I713" s="346"/>
      <c r="J713" s="347"/>
      <c r="K713" s="312"/>
      <c r="L713" s="347"/>
      <c r="M713" s="312"/>
      <c r="N713" s="347"/>
      <c r="O713" s="312"/>
      <c r="P713" s="347"/>
      <c r="Q713" s="312"/>
      <c r="R713" s="347"/>
      <c r="S713" s="312"/>
      <c r="T713" s="347"/>
    </row>
    <row r="714" spans="1:20" ht="12" customHeight="1" x14ac:dyDescent="0.3">
      <c r="A714" s="340" t="s">
        <v>294</v>
      </c>
      <c r="B714" s="341">
        <v>22</v>
      </c>
      <c r="C714" s="309">
        <v>46045</v>
      </c>
      <c r="D714" s="310" t="s">
        <v>482</v>
      </c>
      <c r="E714" s="342">
        <v>5.31</v>
      </c>
      <c r="F714" s="342"/>
      <c r="G714" s="344">
        <f t="shared" si="5"/>
        <v>5265.0199999999986</v>
      </c>
      <c r="H714" s="345"/>
      <c r="I714" s="346"/>
      <c r="J714" s="347"/>
      <c r="K714" s="312"/>
      <c r="L714" s="347"/>
      <c r="M714" s="312"/>
      <c r="N714" s="347"/>
      <c r="O714" s="312"/>
      <c r="P714" s="347"/>
      <c r="Q714" s="312"/>
      <c r="R714" s="347"/>
      <c r="S714" s="312"/>
      <c r="T714" s="347"/>
    </row>
    <row r="715" spans="1:20" ht="12" customHeight="1" x14ac:dyDescent="0.3">
      <c r="A715" s="340" t="s">
        <v>289</v>
      </c>
      <c r="B715" s="341">
        <v>8</v>
      </c>
      <c r="C715" s="309">
        <v>46044</v>
      </c>
      <c r="D715" s="310" t="s">
        <v>443</v>
      </c>
      <c r="E715" s="342">
        <v>73.95</v>
      </c>
      <c r="F715" s="342"/>
      <c r="G715" s="344">
        <f t="shared" si="5"/>
        <v>5270.329999999999</v>
      </c>
      <c r="H715" s="345"/>
      <c r="I715" s="346"/>
      <c r="J715" s="347"/>
      <c r="K715" s="312"/>
      <c r="L715" s="347"/>
      <c r="M715" s="312"/>
      <c r="N715" s="347"/>
      <c r="O715" s="312"/>
      <c r="P715" s="347"/>
      <c r="Q715" s="312"/>
      <c r="R715" s="347"/>
      <c r="S715" s="312"/>
      <c r="T715" s="347"/>
    </row>
    <row r="716" spans="1:20" ht="12" customHeight="1" x14ac:dyDescent="0.3">
      <c r="A716" s="340" t="s">
        <v>289</v>
      </c>
      <c r="B716" s="341">
        <v>2</v>
      </c>
      <c r="C716" s="309">
        <v>46044</v>
      </c>
      <c r="D716" s="310" t="s">
        <v>483</v>
      </c>
      <c r="E716" s="342">
        <v>28.68</v>
      </c>
      <c r="F716" s="342"/>
      <c r="G716" s="344">
        <f t="shared" si="5"/>
        <v>5344.2799999999988</v>
      </c>
      <c r="H716" s="345"/>
      <c r="I716" s="346"/>
      <c r="J716" s="347"/>
      <c r="K716" s="312"/>
      <c r="L716" s="347"/>
      <c r="M716" s="312"/>
      <c r="N716" s="347"/>
      <c r="O716" s="312"/>
      <c r="P716" s="347"/>
      <c r="Q716" s="312"/>
      <c r="R716" s="347"/>
      <c r="S716" s="312"/>
      <c r="T716" s="347"/>
    </row>
    <row r="717" spans="1:20" ht="12" customHeight="1" x14ac:dyDescent="0.3">
      <c r="A717" s="340" t="s">
        <v>289</v>
      </c>
      <c r="B717" s="341">
        <v>8</v>
      </c>
      <c r="C717" s="309">
        <v>46044</v>
      </c>
      <c r="D717" s="310" t="s">
        <v>361</v>
      </c>
      <c r="E717" s="342">
        <v>57.38</v>
      </c>
      <c r="F717" s="342"/>
      <c r="G717" s="344">
        <f t="shared" si="5"/>
        <v>5372.9599999999991</v>
      </c>
      <c r="H717" s="345"/>
      <c r="I717" s="346"/>
      <c r="J717" s="347"/>
      <c r="K717" s="312"/>
      <c r="L717" s="347"/>
      <c r="M717" s="312"/>
      <c r="N717" s="347"/>
      <c r="O717" s="312"/>
      <c r="P717" s="347"/>
      <c r="Q717" s="312"/>
      <c r="R717" s="347"/>
      <c r="S717" s="312"/>
      <c r="T717" s="347"/>
    </row>
    <row r="718" spans="1:20" ht="12" customHeight="1" x14ac:dyDescent="0.3">
      <c r="A718" s="340" t="s">
        <v>289</v>
      </c>
      <c r="B718" s="341">
        <v>2</v>
      </c>
      <c r="C718" s="309">
        <v>46044</v>
      </c>
      <c r="D718" s="310" t="s">
        <v>362</v>
      </c>
      <c r="E718" s="342">
        <v>9.4700000000000006</v>
      </c>
      <c r="F718" s="342"/>
      <c r="G718" s="344">
        <f t="shared" si="5"/>
        <v>5430.3399999999992</v>
      </c>
      <c r="H718" s="345"/>
      <c r="I718" s="346"/>
      <c r="J718" s="347"/>
      <c r="K718" s="312"/>
      <c r="L718" s="347"/>
      <c r="M718" s="312"/>
      <c r="N718" s="347"/>
      <c r="O718" s="312"/>
      <c r="P718" s="347"/>
      <c r="Q718" s="312"/>
      <c r="R718" s="347"/>
      <c r="S718" s="312"/>
      <c r="T718" s="347"/>
    </row>
    <row r="719" spans="1:20" ht="12" customHeight="1" x14ac:dyDescent="0.3">
      <c r="A719" s="340" t="s">
        <v>289</v>
      </c>
      <c r="B719" s="341">
        <v>2</v>
      </c>
      <c r="C719" s="309">
        <v>46044</v>
      </c>
      <c r="D719" s="310" t="s">
        <v>362</v>
      </c>
      <c r="E719" s="342">
        <v>7.18</v>
      </c>
      <c r="F719" s="342"/>
      <c r="G719" s="344">
        <f t="shared" si="5"/>
        <v>5439.8099999999995</v>
      </c>
      <c r="H719" s="345"/>
      <c r="I719" s="346"/>
      <c r="J719" s="347"/>
      <c r="K719" s="312"/>
      <c r="L719" s="347"/>
      <c r="M719" s="312"/>
      <c r="N719" s="347"/>
      <c r="O719" s="312"/>
      <c r="P719" s="347"/>
      <c r="Q719" s="312"/>
      <c r="R719" s="347"/>
      <c r="S719" s="312"/>
      <c r="T719" s="347"/>
    </row>
    <row r="720" spans="1:20" ht="12" customHeight="1" x14ac:dyDescent="0.3">
      <c r="A720" s="340" t="s">
        <v>287</v>
      </c>
      <c r="B720" s="341" t="s">
        <v>287</v>
      </c>
      <c r="C720" s="309">
        <v>46044</v>
      </c>
      <c r="D720" s="310" t="s">
        <v>316</v>
      </c>
      <c r="E720" s="342">
        <v>126.24</v>
      </c>
      <c r="F720" s="342">
        <v>126.24</v>
      </c>
      <c r="G720" s="344">
        <f t="shared" si="5"/>
        <v>5446.99</v>
      </c>
      <c r="H720" s="345"/>
      <c r="I720" s="346"/>
      <c r="J720" s="347"/>
      <c r="K720" s="312"/>
      <c r="L720" s="347"/>
      <c r="M720" s="312"/>
      <c r="N720" s="347"/>
      <c r="O720" s="312"/>
      <c r="P720" s="347"/>
      <c r="Q720" s="312"/>
      <c r="R720" s="347"/>
      <c r="S720" s="312"/>
      <c r="T720" s="347"/>
    </row>
    <row r="721" spans="1:20" ht="12" customHeight="1" x14ac:dyDescent="0.3">
      <c r="A721" s="340" t="s">
        <v>289</v>
      </c>
      <c r="B721" s="341">
        <v>8</v>
      </c>
      <c r="C721" s="309">
        <v>46043</v>
      </c>
      <c r="D721" s="310" t="s">
        <v>484</v>
      </c>
      <c r="E721" s="342">
        <v>17</v>
      </c>
      <c r="F721" s="342"/>
      <c r="G721" s="344">
        <f t="shared" si="5"/>
        <v>5446.99</v>
      </c>
      <c r="H721" s="345"/>
      <c r="I721" s="346"/>
      <c r="J721" s="347"/>
      <c r="K721" s="312"/>
      <c r="L721" s="347"/>
      <c r="M721" s="312"/>
      <c r="N721" s="347"/>
      <c r="O721" s="312"/>
      <c r="P721" s="347"/>
      <c r="Q721" s="312"/>
      <c r="R721" s="347"/>
      <c r="S721" s="312"/>
      <c r="T721" s="347"/>
    </row>
    <row r="722" spans="1:20" ht="12" customHeight="1" x14ac:dyDescent="0.3">
      <c r="A722" s="340" t="s">
        <v>289</v>
      </c>
      <c r="B722" s="341">
        <v>1</v>
      </c>
      <c r="C722" s="309">
        <v>46043</v>
      </c>
      <c r="D722" s="310" t="s">
        <v>332</v>
      </c>
      <c r="E722" s="342">
        <v>24.75</v>
      </c>
      <c r="F722" s="342"/>
      <c r="G722" s="344">
        <f t="shared" si="5"/>
        <v>5463.99</v>
      </c>
      <c r="H722" s="345"/>
      <c r="I722" s="346"/>
      <c r="J722" s="347"/>
      <c r="K722" s="312"/>
      <c r="L722" s="347"/>
      <c r="M722" s="312"/>
      <c r="N722" s="347"/>
      <c r="O722" s="312"/>
      <c r="P722" s="347"/>
      <c r="Q722" s="312"/>
      <c r="R722" s="347"/>
      <c r="S722" s="312"/>
      <c r="T722" s="347"/>
    </row>
    <row r="723" spans="1:20" ht="12" customHeight="1" x14ac:dyDescent="0.3">
      <c r="A723" s="340" t="s">
        <v>291</v>
      </c>
      <c r="B723" s="341">
        <v>39</v>
      </c>
      <c r="C723" s="309">
        <v>46043</v>
      </c>
      <c r="D723" s="310" t="s">
        <v>292</v>
      </c>
      <c r="E723" s="342"/>
      <c r="F723" s="342">
        <v>3378.82</v>
      </c>
      <c r="G723" s="344">
        <f t="shared" si="5"/>
        <v>5488.74</v>
      </c>
      <c r="H723" s="345"/>
      <c r="I723" s="346"/>
      <c r="J723" s="347"/>
      <c r="K723" s="312"/>
      <c r="L723" s="347"/>
      <c r="M723" s="312"/>
      <c r="N723" s="347"/>
      <c r="O723" s="312"/>
      <c r="P723" s="347"/>
      <c r="Q723" s="312"/>
      <c r="R723" s="347"/>
      <c r="S723" s="312"/>
      <c r="T723" s="347"/>
    </row>
    <row r="724" spans="1:20" ht="12" customHeight="1" x14ac:dyDescent="0.3">
      <c r="A724" s="340" t="s">
        <v>294</v>
      </c>
      <c r="B724" s="341">
        <v>23</v>
      </c>
      <c r="C724" s="309">
        <v>46043</v>
      </c>
      <c r="D724" s="310" t="s">
        <v>67</v>
      </c>
      <c r="E724" s="342">
        <v>650.88</v>
      </c>
      <c r="F724" s="342"/>
      <c r="G724" s="344">
        <f t="shared" si="5"/>
        <v>2109.9199999999992</v>
      </c>
      <c r="H724" s="345"/>
      <c r="I724" s="346"/>
      <c r="J724" s="347"/>
      <c r="K724" s="312"/>
      <c r="L724" s="347"/>
      <c r="M724" s="312"/>
      <c r="N724" s="347"/>
      <c r="O724" s="312"/>
      <c r="P724" s="347"/>
      <c r="Q724" s="312"/>
      <c r="R724" s="347"/>
      <c r="S724" s="312"/>
      <c r="T724" s="347"/>
    </row>
    <row r="725" spans="1:20" ht="12" customHeight="1" x14ac:dyDescent="0.3">
      <c r="A725" s="340" t="s">
        <v>287</v>
      </c>
      <c r="B725" s="341" t="s">
        <v>287</v>
      </c>
      <c r="C725" s="309">
        <v>46043</v>
      </c>
      <c r="D725" s="310" t="s">
        <v>485</v>
      </c>
      <c r="E725" s="342">
        <v>100</v>
      </c>
      <c r="F725" s="342">
        <v>100</v>
      </c>
      <c r="G725" s="344">
        <f t="shared" si="5"/>
        <v>2760.7999999999993</v>
      </c>
      <c r="H725" s="345"/>
      <c r="I725" s="346"/>
      <c r="J725" s="347"/>
      <c r="K725" s="312"/>
      <c r="L725" s="347"/>
      <c r="M725" s="312"/>
      <c r="N725" s="347"/>
      <c r="O725" s="312"/>
      <c r="P725" s="347"/>
      <c r="Q725" s="312"/>
      <c r="R725" s="347"/>
      <c r="S725" s="312"/>
      <c r="T725" s="347"/>
    </row>
    <row r="726" spans="1:20" ht="12" customHeight="1" x14ac:dyDescent="0.3">
      <c r="A726" s="340" t="s">
        <v>289</v>
      </c>
      <c r="B726" s="341">
        <v>2</v>
      </c>
      <c r="C726" s="309">
        <v>46043</v>
      </c>
      <c r="D726" s="310" t="s">
        <v>301</v>
      </c>
      <c r="E726" s="342">
        <v>20</v>
      </c>
      <c r="F726" s="342"/>
      <c r="G726" s="344">
        <f t="shared" si="5"/>
        <v>2760.7999999999993</v>
      </c>
      <c r="H726" s="345"/>
      <c r="I726" s="346"/>
      <c r="J726" s="347"/>
      <c r="K726" s="312"/>
      <c r="L726" s="347"/>
      <c r="M726" s="312"/>
      <c r="N726" s="347"/>
      <c r="O726" s="312"/>
      <c r="P726" s="347"/>
      <c r="Q726" s="312"/>
      <c r="R726" s="347"/>
      <c r="S726" s="312"/>
      <c r="T726" s="347"/>
    </row>
    <row r="727" spans="1:20" ht="12" customHeight="1" x14ac:dyDescent="0.3">
      <c r="A727" s="340" t="s">
        <v>289</v>
      </c>
      <c r="B727" s="341">
        <v>8</v>
      </c>
      <c r="C727" s="309">
        <v>46043</v>
      </c>
      <c r="D727" s="310" t="s">
        <v>295</v>
      </c>
      <c r="E727" s="342">
        <v>6.38</v>
      </c>
      <c r="F727" s="342"/>
      <c r="G727" s="344">
        <f t="shared" si="5"/>
        <v>2780.7999999999993</v>
      </c>
      <c r="H727" s="345"/>
      <c r="I727" s="346"/>
      <c r="J727" s="347"/>
      <c r="K727" s="312"/>
      <c r="L727" s="347"/>
      <c r="M727" s="312"/>
      <c r="N727" s="347"/>
      <c r="O727" s="312"/>
      <c r="P727" s="347"/>
      <c r="Q727" s="312"/>
      <c r="R727" s="347"/>
      <c r="S727" s="312"/>
      <c r="T727" s="347"/>
    </row>
    <row r="728" spans="1:20" ht="12" customHeight="1" x14ac:dyDescent="0.3">
      <c r="A728" s="340" t="s">
        <v>289</v>
      </c>
      <c r="B728" s="341">
        <v>2</v>
      </c>
      <c r="C728" s="309">
        <v>46043</v>
      </c>
      <c r="D728" s="310" t="s">
        <v>295</v>
      </c>
      <c r="E728" s="342">
        <v>17.29</v>
      </c>
      <c r="F728" s="342"/>
      <c r="G728" s="344">
        <f t="shared" si="5"/>
        <v>2787.1799999999994</v>
      </c>
      <c r="H728" s="345"/>
      <c r="I728" s="346"/>
      <c r="J728" s="347"/>
      <c r="K728" s="312"/>
      <c r="L728" s="347"/>
      <c r="M728" s="312"/>
      <c r="N728" s="347"/>
      <c r="O728" s="312"/>
      <c r="P728" s="347"/>
      <c r="Q728" s="312"/>
      <c r="R728" s="347"/>
      <c r="S728" s="312"/>
      <c r="T728" s="347"/>
    </row>
    <row r="729" spans="1:20" ht="12" customHeight="1" x14ac:dyDescent="0.3">
      <c r="A729" s="340" t="s">
        <v>289</v>
      </c>
      <c r="B729" s="341">
        <v>2</v>
      </c>
      <c r="C729" s="309">
        <v>46043</v>
      </c>
      <c r="D729" s="310" t="s">
        <v>362</v>
      </c>
      <c r="E729" s="342">
        <v>14.86</v>
      </c>
      <c r="F729" s="342"/>
      <c r="G729" s="344">
        <f t="shared" si="5"/>
        <v>2804.4699999999993</v>
      </c>
      <c r="H729" s="345"/>
      <c r="I729" s="346"/>
      <c r="J729" s="347"/>
      <c r="K729" s="312"/>
      <c r="L729" s="347"/>
      <c r="M729" s="312"/>
      <c r="N729" s="347"/>
      <c r="O729" s="312"/>
      <c r="P729" s="347"/>
      <c r="Q729" s="312"/>
      <c r="R729" s="347"/>
      <c r="S729" s="312"/>
      <c r="T729" s="347"/>
    </row>
    <row r="730" spans="1:20" ht="12" customHeight="1" x14ac:dyDescent="0.3">
      <c r="A730" s="340" t="s">
        <v>289</v>
      </c>
      <c r="B730" s="341">
        <v>2</v>
      </c>
      <c r="C730" s="309">
        <v>46042</v>
      </c>
      <c r="D730" s="310" t="s">
        <v>375</v>
      </c>
      <c r="E730" s="342">
        <v>13.4</v>
      </c>
      <c r="F730" s="342"/>
      <c r="G730" s="344">
        <f t="shared" si="5"/>
        <v>2819.3299999999995</v>
      </c>
      <c r="H730" s="345"/>
      <c r="I730" s="346"/>
      <c r="J730" s="347"/>
      <c r="K730" s="312"/>
      <c r="L730" s="347"/>
      <c r="M730" s="312"/>
      <c r="N730" s="347"/>
      <c r="O730" s="312"/>
      <c r="P730" s="347"/>
      <c r="Q730" s="312"/>
      <c r="R730" s="347"/>
      <c r="S730" s="312"/>
      <c r="T730" s="347"/>
    </row>
    <row r="731" spans="1:20" ht="12" customHeight="1" x14ac:dyDescent="0.3">
      <c r="A731" s="340" t="s">
        <v>289</v>
      </c>
      <c r="B731" s="341">
        <v>2</v>
      </c>
      <c r="C731" s="309">
        <v>46042</v>
      </c>
      <c r="D731" s="310" t="s">
        <v>375</v>
      </c>
      <c r="E731" s="342">
        <v>5.97</v>
      </c>
      <c r="F731" s="342"/>
      <c r="G731" s="344">
        <f t="shared" si="5"/>
        <v>2832.7299999999996</v>
      </c>
      <c r="H731" s="345"/>
      <c r="I731" s="346"/>
      <c r="J731" s="347"/>
      <c r="K731" s="312"/>
      <c r="L731" s="347"/>
      <c r="M731" s="312"/>
      <c r="N731" s="347"/>
      <c r="O731" s="312"/>
      <c r="P731" s="347"/>
      <c r="Q731" s="312"/>
      <c r="R731" s="347"/>
      <c r="S731" s="312"/>
      <c r="T731" s="347"/>
    </row>
    <row r="732" spans="1:20" ht="12" customHeight="1" x14ac:dyDescent="0.3">
      <c r="A732" s="340" t="s">
        <v>294</v>
      </c>
      <c r="B732" s="341">
        <v>22</v>
      </c>
      <c r="C732" s="309">
        <v>46042</v>
      </c>
      <c r="D732" s="310" t="s">
        <v>325</v>
      </c>
      <c r="E732" s="342">
        <v>18.09</v>
      </c>
      <c r="F732" s="342"/>
      <c r="G732" s="344">
        <f t="shared" si="5"/>
        <v>2838.6999999999994</v>
      </c>
      <c r="H732" s="345"/>
      <c r="I732" s="346"/>
      <c r="J732" s="347"/>
      <c r="K732" s="312"/>
      <c r="L732" s="347"/>
      <c r="M732" s="312"/>
      <c r="N732" s="347"/>
      <c r="O732" s="312"/>
      <c r="P732" s="347"/>
      <c r="Q732" s="312"/>
      <c r="R732" s="347"/>
      <c r="S732" s="312"/>
      <c r="T732" s="347"/>
    </row>
    <row r="733" spans="1:20" ht="12" customHeight="1" x14ac:dyDescent="0.3">
      <c r="A733" s="340" t="s">
        <v>294</v>
      </c>
      <c r="B733" s="341">
        <v>17</v>
      </c>
      <c r="C733" s="309">
        <v>46042</v>
      </c>
      <c r="D733" s="310" t="s">
        <v>188</v>
      </c>
      <c r="E733" s="342">
        <v>42.65</v>
      </c>
      <c r="F733" s="342"/>
      <c r="G733" s="344">
        <f t="shared" si="5"/>
        <v>2856.7899999999995</v>
      </c>
      <c r="H733" s="345"/>
      <c r="I733" s="346"/>
      <c r="J733" s="347"/>
      <c r="K733" s="312"/>
      <c r="L733" s="347"/>
      <c r="M733" s="312"/>
      <c r="N733" s="347"/>
      <c r="O733" s="312"/>
      <c r="P733" s="347"/>
      <c r="Q733" s="312"/>
      <c r="R733" s="347"/>
      <c r="S733" s="312"/>
      <c r="T733" s="347"/>
    </row>
    <row r="734" spans="1:20" ht="12" customHeight="1" x14ac:dyDescent="0.3">
      <c r="A734" s="340" t="s">
        <v>339</v>
      </c>
      <c r="B734" s="341" t="s">
        <v>339</v>
      </c>
      <c r="C734" s="309">
        <v>46042</v>
      </c>
      <c r="D734" s="310" t="s">
        <v>340</v>
      </c>
      <c r="E734" s="342">
        <v>130.51</v>
      </c>
      <c r="F734" s="342"/>
      <c r="G734" s="344">
        <f t="shared" si="5"/>
        <v>2899.4399999999996</v>
      </c>
      <c r="H734" s="345"/>
      <c r="I734" s="346"/>
      <c r="J734" s="347"/>
      <c r="K734" s="312"/>
      <c r="L734" s="347"/>
      <c r="M734" s="312"/>
      <c r="N734" s="347"/>
      <c r="O734" s="312"/>
      <c r="P734" s="347"/>
      <c r="Q734" s="312"/>
      <c r="R734" s="347"/>
      <c r="S734" s="312"/>
      <c r="T734" s="347"/>
    </row>
    <row r="735" spans="1:20" ht="12" customHeight="1" x14ac:dyDescent="0.3">
      <c r="A735" s="340" t="s">
        <v>294</v>
      </c>
      <c r="B735" s="341">
        <v>15</v>
      </c>
      <c r="C735" s="309">
        <v>46042</v>
      </c>
      <c r="D735" s="310" t="s">
        <v>185</v>
      </c>
      <c r="E735" s="342">
        <v>132.4</v>
      </c>
      <c r="F735" s="342"/>
      <c r="G735" s="344">
        <f t="shared" si="5"/>
        <v>3029.9499999999994</v>
      </c>
      <c r="H735" s="345"/>
      <c r="I735" s="346"/>
      <c r="J735" s="347"/>
      <c r="K735" s="312"/>
      <c r="L735" s="347"/>
      <c r="M735" s="312"/>
      <c r="N735" s="347"/>
      <c r="O735" s="312"/>
      <c r="P735" s="347"/>
      <c r="Q735" s="312"/>
      <c r="R735" s="347"/>
      <c r="S735" s="312"/>
      <c r="T735" s="347"/>
    </row>
    <row r="736" spans="1:20" ht="12" customHeight="1" x14ac:dyDescent="0.3">
      <c r="A736" s="340" t="s">
        <v>294</v>
      </c>
      <c r="B736" s="341">
        <v>23</v>
      </c>
      <c r="C736" s="309">
        <v>46042</v>
      </c>
      <c r="D736" s="310" t="s">
        <v>63</v>
      </c>
      <c r="E736" s="342">
        <v>529.46</v>
      </c>
      <c r="F736" s="342"/>
      <c r="G736" s="344">
        <f t="shared" si="5"/>
        <v>3162.3499999999995</v>
      </c>
      <c r="H736" s="345"/>
      <c r="I736" s="346"/>
      <c r="J736" s="347"/>
      <c r="K736" s="312"/>
      <c r="L736" s="347"/>
      <c r="M736" s="312"/>
      <c r="N736" s="347"/>
      <c r="O736" s="312"/>
      <c r="P736" s="347"/>
      <c r="Q736" s="312"/>
      <c r="R736" s="347"/>
      <c r="S736" s="312"/>
      <c r="T736" s="347"/>
    </row>
    <row r="737" spans="1:20" ht="12" customHeight="1" x14ac:dyDescent="0.3">
      <c r="A737" s="340" t="s">
        <v>289</v>
      </c>
      <c r="B737" s="341">
        <v>6</v>
      </c>
      <c r="C737" s="309">
        <v>46042</v>
      </c>
      <c r="D737" s="310" t="s">
        <v>300</v>
      </c>
      <c r="E737" s="342">
        <v>51.63</v>
      </c>
      <c r="F737" s="342"/>
      <c r="G737" s="344">
        <f t="shared" si="5"/>
        <v>3691.8099999999995</v>
      </c>
      <c r="H737" s="345"/>
      <c r="I737" s="346"/>
      <c r="J737" s="347"/>
      <c r="K737" s="312"/>
      <c r="L737" s="347"/>
      <c r="M737" s="312"/>
      <c r="N737" s="347"/>
      <c r="O737" s="312"/>
      <c r="P737" s="347"/>
      <c r="Q737" s="312"/>
      <c r="R737" s="347"/>
      <c r="S737" s="312"/>
      <c r="T737" s="347"/>
    </row>
    <row r="738" spans="1:20" ht="12" customHeight="1" x14ac:dyDescent="0.3">
      <c r="A738" s="340" t="s">
        <v>289</v>
      </c>
      <c r="B738" s="341">
        <v>2</v>
      </c>
      <c r="C738" s="309">
        <v>46042</v>
      </c>
      <c r="D738" s="310" t="s">
        <v>296</v>
      </c>
      <c r="E738" s="342">
        <v>11.17</v>
      </c>
      <c r="F738" s="342"/>
      <c r="G738" s="344">
        <f t="shared" si="5"/>
        <v>3743.4399999999996</v>
      </c>
      <c r="H738" s="345"/>
      <c r="I738" s="346"/>
      <c r="J738" s="347"/>
      <c r="K738" s="312"/>
      <c r="L738" s="347"/>
      <c r="M738" s="312"/>
      <c r="N738" s="347"/>
      <c r="O738" s="312"/>
      <c r="P738" s="347"/>
      <c r="Q738" s="312"/>
      <c r="R738" s="347"/>
      <c r="S738" s="312"/>
      <c r="T738" s="347"/>
    </row>
    <row r="739" spans="1:20" ht="12" customHeight="1" x14ac:dyDescent="0.3">
      <c r="A739" s="340" t="s">
        <v>289</v>
      </c>
      <c r="B739" s="341">
        <v>4</v>
      </c>
      <c r="C739" s="309">
        <v>46042</v>
      </c>
      <c r="D739" s="310" t="s">
        <v>296</v>
      </c>
      <c r="E739" s="342">
        <v>57.37</v>
      </c>
      <c r="F739" s="342"/>
      <c r="G739" s="344">
        <f t="shared" si="5"/>
        <v>3754.6099999999997</v>
      </c>
      <c r="H739" s="345"/>
      <c r="I739" s="346"/>
      <c r="J739" s="347"/>
      <c r="K739" s="312"/>
      <c r="L739" s="347"/>
      <c r="M739" s="312"/>
      <c r="N739" s="347"/>
      <c r="O739" s="312"/>
      <c r="P739" s="347"/>
      <c r="Q739" s="312"/>
      <c r="R739" s="347"/>
      <c r="S739" s="312"/>
      <c r="T739" s="347"/>
    </row>
    <row r="740" spans="1:20" ht="12" customHeight="1" x14ac:dyDescent="0.3">
      <c r="A740" s="340" t="s">
        <v>294</v>
      </c>
      <c r="B740" s="341">
        <v>22</v>
      </c>
      <c r="C740" s="309">
        <v>46042</v>
      </c>
      <c r="D740" s="310" t="s">
        <v>331</v>
      </c>
      <c r="E740" s="342">
        <v>7.46</v>
      </c>
      <c r="F740" s="342"/>
      <c r="G740" s="344">
        <f t="shared" si="5"/>
        <v>3811.9799999999996</v>
      </c>
      <c r="H740" s="345"/>
      <c r="I740" s="346"/>
      <c r="J740" s="347"/>
      <c r="K740" s="312"/>
      <c r="L740" s="347"/>
      <c r="M740" s="312"/>
      <c r="N740" s="347"/>
      <c r="O740" s="312"/>
      <c r="P740" s="347"/>
      <c r="Q740" s="312"/>
      <c r="R740" s="347"/>
      <c r="S740" s="312"/>
      <c r="T740" s="347"/>
    </row>
    <row r="741" spans="1:20" ht="12" customHeight="1" x14ac:dyDescent="0.3">
      <c r="A741" s="340" t="s">
        <v>289</v>
      </c>
      <c r="B741" s="341">
        <v>4</v>
      </c>
      <c r="C741" s="309">
        <v>46042</v>
      </c>
      <c r="D741" s="310" t="s">
        <v>311</v>
      </c>
      <c r="E741" s="342">
        <v>28.91</v>
      </c>
      <c r="F741" s="342"/>
      <c r="G741" s="344">
        <f t="shared" si="5"/>
        <v>3819.4399999999996</v>
      </c>
      <c r="H741" s="345"/>
      <c r="I741" s="346"/>
      <c r="J741" s="347"/>
      <c r="K741" s="312"/>
      <c r="L741" s="347"/>
      <c r="M741" s="312"/>
      <c r="N741" s="347"/>
      <c r="O741" s="312"/>
      <c r="P741" s="347"/>
      <c r="Q741" s="312"/>
      <c r="R741" s="347"/>
      <c r="S741" s="312"/>
      <c r="T741" s="347"/>
    </row>
    <row r="742" spans="1:20" ht="12" customHeight="1" x14ac:dyDescent="0.3">
      <c r="A742" s="340" t="s">
        <v>289</v>
      </c>
      <c r="B742" s="341">
        <v>6</v>
      </c>
      <c r="C742" s="309">
        <v>46040</v>
      </c>
      <c r="D742" s="310" t="s">
        <v>300</v>
      </c>
      <c r="E742" s="342">
        <v>31.35</v>
      </c>
      <c r="F742" s="342"/>
      <c r="G742" s="344">
        <f t="shared" si="5"/>
        <v>3848.3499999999995</v>
      </c>
      <c r="H742" s="345"/>
      <c r="I742" s="346"/>
      <c r="J742" s="347"/>
      <c r="K742" s="312"/>
      <c r="L742" s="347"/>
      <c r="M742" s="312"/>
      <c r="N742" s="347"/>
      <c r="O742" s="312"/>
      <c r="P742" s="347"/>
      <c r="Q742" s="312"/>
      <c r="R742" s="347"/>
      <c r="S742" s="312"/>
      <c r="T742" s="347"/>
    </row>
    <row r="743" spans="1:20" ht="12" customHeight="1" x14ac:dyDescent="0.3">
      <c r="A743" s="340" t="s">
        <v>289</v>
      </c>
      <c r="B743" s="341">
        <v>8</v>
      </c>
      <c r="C743" s="309">
        <v>46040</v>
      </c>
      <c r="D743" s="310" t="s">
        <v>486</v>
      </c>
      <c r="E743" s="342">
        <v>124.75</v>
      </c>
      <c r="F743" s="342"/>
      <c r="G743" s="344">
        <f t="shared" si="5"/>
        <v>3879.6999999999994</v>
      </c>
      <c r="H743" s="345"/>
      <c r="I743" s="346"/>
      <c r="J743" s="347"/>
      <c r="K743" s="312"/>
      <c r="L743" s="347"/>
      <c r="M743" s="312"/>
      <c r="N743" s="347"/>
      <c r="O743" s="312"/>
      <c r="P743" s="347"/>
      <c r="Q743" s="312"/>
      <c r="R743" s="347"/>
      <c r="S743" s="312"/>
      <c r="T743" s="347"/>
    </row>
    <row r="744" spans="1:20" ht="12" customHeight="1" x14ac:dyDescent="0.3">
      <c r="A744" s="340" t="s">
        <v>289</v>
      </c>
      <c r="B744" s="341">
        <v>3</v>
      </c>
      <c r="C744" s="309">
        <v>46040</v>
      </c>
      <c r="D744" s="310" t="s">
        <v>322</v>
      </c>
      <c r="E744" s="342">
        <v>11.3</v>
      </c>
      <c r="F744" s="342"/>
      <c r="G744" s="344">
        <f t="shared" si="5"/>
        <v>4004.4499999999994</v>
      </c>
      <c r="H744" s="345"/>
      <c r="I744" s="346"/>
      <c r="J744" s="347"/>
      <c r="K744" s="312"/>
      <c r="L744" s="347"/>
      <c r="M744" s="312"/>
      <c r="N744" s="347"/>
      <c r="O744" s="312"/>
      <c r="P744" s="347"/>
      <c r="Q744" s="312"/>
      <c r="R744" s="347"/>
      <c r="S744" s="312"/>
      <c r="T744" s="347"/>
    </row>
    <row r="745" spans="1:20" ht="12" customHeight="1" x14ac:dyDescent="0.3">
      <c r="A745" s="340" t="s">
        <v>294</v>
      </c>
      <c r="B745" s="341">
        <v>22</v>
      </c>
      <c r="C745" s="309">
        <v>46040</v>
      </c>
      <c r="D745" s="310" t="s">
        <v>408</v>
      </c>
      <c r="E745" s="342">
        <v>13.84</v>
      </c>
      <c r="F745" s="342"/>
      <c r="G745" s="344">
        <f t="shared" si="5"/>
        <v>4015.7499999999995</v>
      </c>
      <c r="H745" s="345"/>
      <c r="I745" s="346"/>
      <c r="J745" s="347"/>
      <c r="K745" s="312"/>
      <c r="L745" s="347"/>
      <c r="M745" s="312"/>
      <c r="N745" s="347"/>
      <c r="O745" s="312"/>
      <c r="P745" s="347"/>
      <c r="Q745" s="312"/>
      <c r="R745" s="347"/>
      <c r="S745" s="312"/>
      <c r="T745" s="347"/>
    </row>
    <row r="746" spans="1:20" ht="12" customHeight="1" x14ac:dyDescent="0.3">
      <c r="A746" s="340" t="s">
        <v>289</v>
      </c>
      <c r="B746" s="341">
        <v>1</v>
      </c>
      <c r="C746" s="309">
        <v>46040</v>
      </c>
      <c r="D746" s="310" t="s">
        <v>307</v>
      </c>
      <c r="E746" s="342">
        <v>92.06</v>
      </c>
      <c r="F746" s="342"/>
      <c r="G746" s="344">
        <f t="shared" si="5"/>
        <v>4029.5899999999997</v>
      </c>
      <c r="H746" s="345"/>
      <c r="I746" s="346"/>
      <c r="J746" s="347"/>
      <c r="K746" s="312"/>
      <c r="L746" s="347"/>
      <c r="M746" s="312"/>
      <c r="N746" s="347"/>
      <c r="O746" s="312"/>
      <c r="P746" s="347"/>
      <c r="Q746" s="312"/>
      <c r="R746" s="347"/>
      <c r="S746" s="312"/>
      <c r="T746" s="347"/>
    </row>
    <row r="747" spans="1:20" ht="12" customHeight="1" x14ac:dyDescent="0.3">
      <c r="A747" s="340" t="s">
        <v>289</v>
      </c>
      <c r="B747" s="341">
        <v>7</v>
      </c>
      <c r="C747" s="309">
        <v>46040</v>
      </c>
      <c r="D747" s="310" t="s">
        <v>342</v>
      </c>
      <c r="E747" s="342">
        <v>78.47</v>
      </c>
      <c r="F747" s="342"/>
      <c r="G747" s="344">
        <f t="shared" si="5"/>
        <v>4121.6499999999996</v>
      </c>
      <c r="H747" s="345"/>
      <c r="I747" s="346"/>
      <c r="J747" s="347"/>
      <c r="K747" s="312"/>
      <c r="L747" s="347"/>
      <c r="M747" s="312"/>
      <c r="N747" s="347"/>
      <c r="O747" s="312"/>
      <c r="P747" s="347"/>
      <c r="Q747" s="312"/>
      <c r="R747" s="347"/>
      <c r="S747" s="312"/>
      <c r="T747" s="347"/>
    </row>
    <row r="748" spans="1:20" ht="12" customHeight="1" x14ac:dyDescent="0.3">
      <c r="A748" s="340" t="s">
        <v>289</v>
      </c>
      <c r="B748" s="341">
        <v>1</v>
      </c>
      <c r="C748" s="309">
        <v>46040</v>
      </c>
      <c r="D748" s="310" t="s">
        <v>397</v>
      </c>
      <c r="E748" s="342">
        <v>28.22</v>
      </c>
      <c r="F748" s="342"/>
      <c r="G748" s="344">
        <f t="shared" si="5"/>
        <v>4200.12</v>
      </c>
      <c r="H748" s="345"/>
      <c r="I748" s="346"/>
      <c r="J748" s="347"/>
      <c r="K748" s="312"/>
      <c r="L748" s="347"/>
      <c r="M748" s="312"/>
      <c r="N748" s="347"/>
      <c r="O748" s="312"/>
      <c r="P748" s="347"/>
      <c r="Q748" s="312"/>
      <c r="R748" s="347"/>
      <c r="S748" s="312"/>
      <c r="T748" s="347"/>
    </row>
    <row r="749" spans="1:20" ht="12" customHeight="1" x14ac:dyDescent="0.3">
      <c r="A749" s="340" t="s">
        <v>289</v>
      </c>
      <c r="B749" s="341">
        <v>2</v>
      </c>
      <c r="C749" s="309">
        <v>46040</v>
      </c>
      <c r="D749" s="310" t="s">
        <v>396</v>
      </c>
      <c r="E749" s="342">
        <v>32.729999999999997</v>
      </c>
      <c r="F749" s="342"/>
      <c r="G749" s="344">
        <f t="shared" si="5"/>
        <v>4228.34</v>
      </c>
      <c r="H749" s="345"/>
      <c r="I749" s="346"/>
      <c r="J749" s="347"/>
      <c r="K749" s="312"/>
      <c r="L749" s="347"/>
      <c r="M749" s="312"/>
      <c r="N749" s="347"/>
      <c r="O749" s="312"/>
      <c r="P749" s="347"/>
      <c r="Q749" s="312"/>
      <c r="R749" s="347"/>
      <c r="S749" s="312"/>
      <c r="T749" s="347"/>
    </row>
    <row r="750" spans="1:20" ht="12" customHeight="1" x14ac:dyDescent="0.3">
      <c r="A750" s="340" t="s">
        <v>294</v>
      </c>
      <c r="B750" s="341">
        <v>42</v>
      </c>
      <c r="C750" s="309">
        <v>46039</v>
      </c>
      <c r="D750" s="310" t="s">
        <v>337</v>
      </c>
      <c r="E750" s="342">
        <v>29.8</v>
      </c>
      <c r="F750" s="342"/>
      <c r="G750" s="344">
        <f t="shared" si="5"/>
        <v>4261.07</v>
      </c>
      <c r="H750" s="345"/>
      <c r="I750" s="346"/>
      <c r="J750" s="347"/>
      <c r="K750" s="312"/>
      <c r="L750" s="347"/>
      <c r="M750" s="312"/>
      <c r="N750" s="347"/>
      <c r="O750" s="312"/>
      <c r="P750" s="347"/>
      <c r="Q750" s="312"/>
      <c r="R750" s="347"/>
      <c r="S750" s="312"/>
      <c r="T750" s="347"/>
    </row>
    <row r="751" spans="1:20" ht="12" customHeight="1" x14ac:dyDescent="0.3">
      <c r="A751" s="340" t="s">
        <v>294</v>
      </c>
      <c r="B751" s="341">
        <v>43</v>
      </c>
      <c r="C751" s="309">
        <v>46039</v>
      </c>
      <c r="D751" s="310" t="s">
        <v>337</v>
      </c>
      <c r="E751" s="342">
        <v>22.35</v>
      </c>
      <c r="F751" s="342"/>
      <c r="G751" s="344">
        <f t="shared" si="5"/>
        <v>4290.87</v>
      </c>
      <c r="H751" s="345"/>
      <c r="I751" s="346"/>
      <c r="J751" s="347"/>
      <c r="K751" s="312"/>
      <c r="L751" s="347"/>
      <c r="M751" s="312"/>
      <c r="N751" s="347"/>
      <c r="O751" s="312"/>
      <c r="P751" s="347"/>
      <c r="Q751" s="312"/>
      <c r="R751" s="347"/>
      <c r="S751" s="312"/>
      <c r="T751" s="347"/>
    </row>
    <row r="752" spans="1:20" ht="12" customHeight="1" x14ac:dyDescent="0.3">
      <c r="A752" s="340" t="s">
        <v>289</v>
      </c>
      <c r="B752" s="341">
        <v>8</v>
      </c>
      <c r="C752" s="309">
        <v>46039</v>
      </c>
      <c r="D752" s="310" t="s">
        <v>321</v>
      </c>
      <c r="E752" s="342">
        <v>36.92</v>
      </c>
      <c r="F752" s="342"/>
      <c r="G752" s="344">
        <f t="shared" si="5"/>
        <v>4313.22</v>
      </c>
      <c r="H752" s="345"/>
      <c r="I752" s="346"/>
      <c r="J752" s="347"/>
      <c r="K752" s="312"/>
      <c r="L752" s="347"/>
      <c r="M752" s="312"/>
      <c r="N752" s="347"/>
      <c r="O752" s="312"/>
      <c r="P752" s="347"/>
      <c r="Q752" s="312"/>
      <c r="R752" s="347"/>
      <c r="S752" s="312"/>
      <c r="T752" s="347"/>
    </row>
    <row r="753" spans="1:20" ht="12" customHeight="1" x14ac:dyDescent="0.3">
      <c r="A753" s="340" t="s">
        <v>289</v>
      </c>
      <c r="B753" s="341">
        <v>1</v>
      </c>
      <c r="C753" s="309">
        <v>46039</v>
      </c>
      <c r="D753" s="310" t="s">
        <v>312</v>
      </c>
      <c r="E753" s="342">
        <v>117.89</v>
      </c>
      <c r="F753" s="342"/>
      <c r="G753" s="344">
        <f t="shared" si="5"/>
        <v>4350.1400000000003</v>
      </c>
      <c r="H753" s="345"/>
      <c r="I753" s="346"/>
      <c r="J753" s="347"/>
      <c r="K753" s="312"/>
      <c r="L753" s="347"/>
      <c r="M753" s="312"/>
      <c r="N753" s="347"/>
      <c r="O753" s="312"/>
      <c r="P753" s="347"/>
      <c r="Q753" s="312"/>
      <c r="R753" s="347"/>
      <c r="S753" s="312"/>
      <c r="T753" s="347"/>
    </row>
    <row r="754" spans="1:20" ht="12" customHeight="1" x14ac:dyDescent="0.3">
      <c r="A754" s="340" t="s">
        <v>289</v>
      </c>
      <c r="B754" s="341">
        <v>1</v>
      </c>
      <c r="C754" s="309">
        <v>46039</v>
      </c>
      <c r="D754" s="310" t="s">
        <v>332</v>
      </c>
      <c r="E754" s="342">
        <v>196.36</v>
      </c>
      <c r="F754" s="342"/>
      <c r="G754" s="344">
        <f t="shared" si="5"/>
        <v>4468.0300000000007</v>
      </c>
      <c r="H754" s="345"/>
      <c r="I754" s="346"/>
      <c r="J754" s="347"/>
      <c r="K754" s="312"/>
      <c r="L754" s="347"/>
      <c r="M754" s="312"/>
      <c r="N754" s="347"/>
      <c r="O754" s="312"/>
      <c r="P754" s="347"/>
      <c r="Q754" s="312"/>
      <c r="R754" s="347"/>
      <c r="S754" s="312"/>
      <c r="T754" s="347"/>
    </row>
    <row r="755" spans="1:20" ht="12" customHeight="1" x14ac:dyDescent="0.3">
      <c r="A755" s="340" t="s">
        <v>294</v>
      </c>
      <c r="B755" s="341">
        <v>21</v>
      </c>
      <c r="C755" s="309">
        <v>46039</v>
      </c>
      <c r="D755" s="310" t="s">
        <v>194</v>
      </c>
      <c r="E755" s="342">
        <v>70.2</v>
      </c>
      <c r="F755" s="342"/>
      <c r="G755" s="344">
        <f t="shared" si="5"/>
        <v>4664.3900000000003</v>
      </c>
      <c r="H755" s="345"/>
      <c r="I755" s="346"/>
      <c r="J755" s="347"/>
      <c r="K755" s="312"/>
      <c r="L755" s="347"/>
      <c r="M755" s="312"/>
      <c r="N755" s="347"/>
      <c r="O755" s="312"/>
      <c r="P755" s="347"/>
      <c r="Q755" s="312"/>
      <c r="R755" s="347"/>
      <c r="S755" s="312"/>
      <c r="T755" s="347"/>
    </row>
    <row r="756" spans="1:20" ht="12" customHeight="1" x14ac:dyDescent="0.3">
      <c r="A756" s="340" t="s">
        <v>289</v>
      </c>
      <c r="B756" s="341">
        <v>2</v>
      </c>
      <c r="C756" s="309">
        <v>46038</v>
      </c>
      <c r="D756" s="310" t="s">
        <v>327</v>
      </c>
      <c r="E756" s="342">
        <v>13.14</v>
      </c>
      <c r="F756" s="342"/>
      <c r="G756" s="344">
        <f t="shared" si="5"/>
        <v>4734.59</v>
      </c>
      <c r="H756" s="345"/>
      <c r="I756" s="346"/>
      <c r="J756" s="347"/>
      <c r="K756" s="312"/>
      <c r="L756" s="347"/>
      <c r="M756" s="312"/>
      <c r="N756" s="347"/>
      <c r="O756" s="312"/>
      <c r="P756" s="347"/>
      <c r="Q756" s="312"/>
      <c r="R756" s="347"/>
      <c r="S756" s="312"/>
      <c r="T756" s="347"/>
    </row>
    <row r="757" spans="1:20" ht="12" customHeight="1" x14ac:dyDescent="0.3">
      <c r="A757" s="340" t="s">
        <v>289</v>
      </c>
      <c r="B757" s="341">
        <v>2</v>
      </c>
      <c r="C757" s="309">
        <v>46038</v>
      </c>
      <c r="D757" s="310" t="s">
        <v>296</v>
      </c>
      <c r="E757" s="342">
        <v>18.489999999999998</v>
      </c>
      <c r="F757" s="342"/>
      <c r="G757" s="344">
        <f t="shared" si="5"/>
        <v>4747.7300000000005</v>
      </c>
      <c r="H757" s="345"/>
      <c r="I757" s="346"/>
      <c r="J757" s="347"/>
      <c r="K757" s="312"/>
      <c r="L757" s="347"/>
      <c r="M757" s="312"/>
      <c r="N757" s="347"/>
      <c r="O757" s="312"/>
      <c r="P757" s="347"/>
      <c r="Q757" s="312"/>
      <c r="R757" s="347"/>
      <c r="S757" s="312"/>
      <c r="T757" s="347"/>
    </row>
    <row r="758" spans="1:20" ht="12" customHeight="1" x14ac:dyDescent="0.3">
      <c r="A758" s="340" t="s">
        <v>291</v>
      </c>
      <c r="B758" s="341">
        <v>41</v>
      </c>
      <c r="C758" s="309">
        <v>46038</v>
      </c>
      <c r="D758" s="310" t="s">
        <v>487</v>
      </c>
      <c r="E758" s="342"/>
      <c r="F758" s="342">
        <v>800</v>
      </c>
      <c r="G758" s="344">
        <f t="shared" si="5"/>
        <v>4766.22</v>
      </c>
      <c r="H758" s="345" t="s">
        <v>298</v>
      </c>
      <c r="I758" s="346"/>
      <c r="J758" s="347"/>
      <c r="K758" s="312"/>
      <c r="L758" s="347"/>
      <c r="M758" s="312"/>
      <c r="N758" s="347"/>
      <c r="O758" s="312"/>
      <c r="P758" s="347"/>
      <c r="Q758" s="312"/>
      <c r="R758" s="347"/>
      <c r="S758" s="312"/>
      <c r="T758" s="347"/>
    </row>
    <row r="759" spans="1:20" ht="12" customHeight="1" x14ac:dyDescent="0.3">
      <c r="A759" s="340" t="s">
        <v>294</v>
      </c>
      <c r="B759" s="341">
        <v>18</v>
      </c>
      <c r="C759" s="309">
        <v>46038</v>
      </c>
      <c r="D759" s="310" t="s">
        <v>365</v>
      </c>
      <c r="E759" s="342">
        <v>400</v>
      </c>
      <c r="F759" s="342"/>
      <c r="G759" s="344">
        <f t="shared" si="5"/>
        <v>3966.2200000000003</v>
      </c>
      <c r="H759" s="345"/>
      <c r="I759" s="346"/>
      <c r="J759" s="347"/>
      <c r="K759" s="312"/>
      <c r="L759" s="347"/>
      <c r="M759" s="312"/>
      <c r="N759" s="347"/>
      <c r="O759" s="312"/>
      <c r="P759" s="347"/>
      <c r="Q759" s="312"/>
      <c r="R759" s="347"/>
      <c r="S759" s="312"/>
      <c r="T759" s="347"/>
    </row>
    <row r="760" spans="1:20" ht="12" customHeight="1" x14ac:dyDescent="0.3">
      <c r="A760" s="340" t="s">
        <v>294</v>
      </c>
      <c r="B760" s="341">
        <v>19</v>
      </c>
      <c r="C760" s="309">
        <v>46038</v>
      </c>
      <c r="D760" s="310" t="s">
        <v>191</v>
      </c>
      <c r="E760" s="342">
        <v>200</v>
      </c>
      <c r="F760" s="342"/>
      <c r="G760" s="344">
        <f t="shared" si="5"/>
        <v>4366.22</v>
      </c>
      <c r="H760" s="345"/>
      <c r="I760" s="346"/>
      <c r="J760" s="347"/>
      <c r="K760" s="312"/>
      <c r="L760" s="347"/>
      <c r="M760" s="312"/>
      <c r="N760" s="347"/>
      <c r="O760" s="312"/>
      <c r="P760" s="347"/>
      <c r="Q760" s="312"/>
      <c r="R760" s="347"/>
      <c r="S760" s="312"/>
      <c r="T760" s="347"/>
    </row>
    <row r="761" spans="1:20" ht="12" customHeight="1" x14ac:dyDescent="0.3">
      <c r="A761" s="340" t="s">
        <v>294</v>
      </c>
      <c r="B761" s="341">
        <v>11</v>
      </c>
      <c r="C761" s="309">
        <v>46038</v>
      </c>
      <c r="D761" s="310" t="s">
        <v>178</v>
      </c>
      <c r="E761" s="342">
        <v>267.95999999999998</v>
      </c>
      <c r="F761" s="342"/>
      <c r="G761" s="344">
        <f t="shared" si="5"/>
        <v>4566.22</v>
      </c>
      <c r="H761" s="345"/>
      <c r="I761" s="346"/>
      <c r="J761" s="347"/>
      <c r="K761" s="312"/>
      <c r="L761" s="347"/>
      <c r="M761" s="312"/>
      <c r="N761" s="347"/>
      <c r="O761" s="312"/>
      <c r="P761" s="347"/>
      <c r="Q761" s="312"/>
      <c r="R761" s="347"/>
      <c r="S761" s="312"/>
      <c r="T761" s="347"/>
    </row>
    <row r="762" spans="1:20" ht="12" customHeight="1" x14ac:dyDescent="0.3">
      <c r="A762" s="340" t="s">
        <v>289</v>
      </c>
      <c r="B762" s="341">
        <v>8</v>
      </c>
      <c r="C762" s="309">
        <v>46037</v>
      </c>
      <c r="D762" s="310" t="s">
        <v>361</v>
      </c>
      <c r="E762" s="342">
        <v>59.95</v>
      </c>
      <c r="F762" s="342"/>
      <c r="G762" s="344">
        <f t="shared" si="5"/>
        <v>4834.18</v>
      </c>
      <c r="H762" s="345"/>
      <c r="I762" s="346"/>
      <c r="J762" s="347"/>
      <c r="K762" s="312"/>
      <c r="L762" s="347"/>
      <c r="M762" s="312"/>
      <c r="N762" s="347"/>
      <c r="O762" s="312"/>
      <c r="P762" s="347"/>
      <c r="Q762" s="312"/>
      <c r="R762" s="347"/>
      <c r="S762" s="312"/>
      <c r="T762" s="347"/>
    </row>
    <row r="763" spans="1:20" ht="12" customHeight="1" x14ac:dyDescent="0.3">
      <c r="A763" s="340" t="s">
        <v>289</v>
      </c>
      <c r="B763" s="341">
        <v>2</v>
      </c>
      <c r="C763" s="309">
        <v>46037</v>
      </c>
      <c r="D763" s="310" t="s">
        <v>361</v>
      </c>
      <c r="E763" s="342">
        <v>59.96</v>
      </c>
      <c r="F763" s="342"/>
      <c r="G763" s="344">
        <f t="shared" si="5"/>
        <v>4894.13</v>
      </c>
      <c r="H763" s="345"/>
      <c r="I763" s="346"/>
      <c r="J763" s="347"/>
      <c r="K763" s="312"/>
      <c r="L763" s="347"/>
      <c r="M763" s="312"/>
      <c r="N763" s="347"/>
      <c r="O763" s="312"/>
      <c r="P763" s="347"/>
      <c r="Q763" s="312"/>
      <c r="R763" s="347"/>
      <c r="S763" s="312"/>
      <c r="T763" s="347"/>
    </row>
    <row r="764" spans="1:20" ht="12" customHeight="1" x14ac:dyDescent="0.3">
      <c r="A764" s="340" t="s">
        <v>289</v>
      </c>
      <c r="B764" s="341">
        <v>8</v>
      </c>
      <c r="C764" s="309">
        <v>46037</v>
      </c>
      <c r="D764" s="310" t="s">
        <v>321</v>
      </c>
      <c r="E764" s="342">
        <v>12.43</v>
      </c>
      <c r="F764" s="342"/>
      <c r="G764" s="344">
        <f t="shared" si="5"/>
        <v>4954.09</v>
      </c>
      <c r="H764" s="345"/>
      <c r="I764" s="346"/>
      <c r="J764" s="347"/>
      <c r="K764" s="312"/>
      <c r="L764" s="347"/>
      <c r="M764" s="312"/>
      <c r="N764" s="347"/>
      <c r="O764" s="312"/>
      <c r="P764" s="347"/>
      <c r="Q764" s="312"/>
      <c r="R764" s="347"/>
      <c r="S764" s="312"/>
      <c r="T764" s="347"/>
    </row>
    <row r="765" spans="1:20" ht="12" customHeight="1" x14ac:dyDescent="0.3">
      <c r="A765" s="340" t="s">
        <v>289</v>
      </c>
      <c r="B765" s="341">
        <v>2</v>
      </c>
      <c r="C765" s="309">
        <v>46037</v>
      </c>
      <c r="D765" s="310" t="s">
        <v>296</v>
      </c>
      <c r="E765" s="342">
        <v>11.07</v>
      </c>
      <c r="F765" s="342"/>
      <c r="G765" s="344">
        <f t="shared" si="5"/>
        <v>4966.5200000000004</v>
      </c>
      <c r="H765" s="345"/>
      <c r="I765" s="346"/>
      <c r="J765" s="347"/>
      <c r="K765" s="312"/>
      <c r="L765" s="347"/>
      <c r="M765" s="312"/>
      <c r="N765" s="347"/>
      <c r="O765" s="312"/>
      <c r="P765" s="347"/>
      <c r="Q765" s="312"/>
      <c r="R765" s="347"/>
      <c r="S765" s="312"/>
      <c r="T765" s="347"/>
    </row>
    <row r="766" spans="1:20" ht="12" customHeight="1" x14ac:dyDescent="0.3">
      <c r="A766" s="340" t="s">
        <v>289</v>
      </c>
      <c r="B766" s="341">
        <v>4</v>
      </c>
      <c r="C766" s="309">
        <v>46037</v>
      </c>
      <c r="D766" s="310" t="s">
        <v>296</v>
      </c>
      <c r="E766" s="342">
        <v>52.3</v>
      </c>
      <c r="F766" s="342"/>
      <c r="G766" s="344">
        <f t="shared" si="5"/>
        <v>4977.59</v>
      </c>
      <c r="H766" s="345"/>
      <c r="I766" s="346"/>
      <c r="J766" s="347"/>
      <c r="K766" s="312"/>
      <c r="L766" s="347"/>
      <c r="M766" s="312"/>
      <c r="N766" s="347"/>
      <c r="O766" s="312"/>
      <c r="P766" s="347"/>
      <c r="Q766" s="312"/>
      <c r="R766" s="347"/>
      <c r="S766" s="312"/>
      <c r="T766" s="347"/>
    </row>
    <row r="767" spans="1:20" ht="12" customHeight="1" x14ac:dyDescent="0.3">
      <c r="A767" s="340" t="s">
        <v>289</v>
      </c>
      <c r="B767" s="341">
        <v>6</v>
      </c>
      <c r="C767" s="309">
        <v>46037</v>
      </c>
      <c r="D767" s="310" t="s">
        <v>444</v>
      </c>
      <c r="E767" s="342">
        <v>50</v>
      </c>
      <c r="F767" s="342"/>
      <c r="G767" s="344">
        <f t="shared" si="5"/>
        <v>5029.8900000000003</v>
      </c>
      <c r="H767" s="345"/>
      <c r="I767" s="346"/>
      <c r="J767" s="347"/>
      <c r="K767" s="312"/>
      <c r="L767" s="347"/>
      <c r="M767" s="312"/>
      <c r="N767" s="347"/>
      <c r="O767" s="312"/>
      <c r="P767" s="347"/>
      <c r="Q767" s="312"/>
      <c r="R767" s="347"/>
      <c r="S767" s="312"/>
      <c r="T767" s="347"/>
    </row>
    <row r="768" spans="1:20" ht="12" customHeight="1" x14ac:dyDescent="0.3">
      <c r="A768" s="340" t="s">
        <v>291</v>
      </c>
      <c r="B768" s="341">
        <v>38</v>
      </c>
      <c r="C768" s="309">
        <v>46037</v>
      </c>
      <c r="D768" s="310" t="s">
        <v>293</v>
      </c>
      <c r="E768" s="342"/>
      <c r="F768" s="342">
        <v>4365.67</v>
      </c>
      <c r="G768" s="344">
        <f t="shared" si="5"/>
        <v>5079.8900000000003</v>
      </c>
      <c r="H768" s="345"/>
      <c r="I768" s="346"/>
      <c r="J768" s="347"/>
      <c r="K768" s="312"/>
      <c r="L768" s="347"/>
      <c r="M768" s="312"/>
      <c r="N768" s="347"/>
      <c r="O768" s="312"/>
      <c r="P768" s="347"/>
      <c r="Q768" s="312"/>
      <c r="R768" s="347"/>
      <c r="S768" s="312"/>
      <c r="T768" s="347"/>
    </row>
    <row r="769" spans="1:20" ht="12" customHeight="1" x14ac:dyDescent="0.3">
      <c r="A769" s="340" t="s">
        <v>289</v>
      </c>
      <c r="B769" s="341">
        <v>4</v>
      </c>
      <c r="C769" s="309">
        <v>46036</v>
      </c>
      <c r="D769" s="310" t="s">
        <v>295</v>
      </c>
      <c r="E769" s="342">
        <v>30.91</v>
      </c>
      <c r="F769" s="342"/>
      <c r="G769" s="344">
        <f t="shared" si="5"/>
        <v>714.22</v>
      </c>
      <c r="H769" s="345"/>
      <c r="I769" s="346"/>
      <c r="J769" s="347"/>
      <c r="K769" s="312"/>
      <c r="L769" s="347"/>
      <c r="M769" s="312"/>
      <c r="N769" s="347"/>
      <c r="O769" s="312"/>
      <c r="P769" s="347"/>
      <c r="Q769" s="312"/>
      <c r="R769" s="347"/>
      <c r="S769" s="312"/>
      <c r="T769" s="347"/>
    </row>
    <row r="770" spans="1:20" ht="12" customHeight="1" x14ac:dyDescent="0.3">
      <c r="A770" s="340" t="s">
        <v>289</v>
      </c>
      <c r="B770" s="341">
        <v>3</v>
      </c>
      <c r="C770" s="309">
        <v>46036</v>
      </c>
      <c r="D770" s="310" t="s">
        <v>352</v>
      </c>
      <c r="E770" s="342">
        <v>8.67</v>
      </c>
      <c r="F770" s="342"/>
      <c r="G770" s="344">
        <f t="shared" si="5"/>
        <v>745.13</v>
      </c>
      <c r="H770" s="345"/>
      <c r="I770" s="346"/>
      <c r="J770" s="347"/>
      <c r="K770" s="312"/>
      <c r="L770" s="347"/>
      <c r="M770" s="312"/>
      <c r="N770" s="347"/>
      <c r="O770" s="312"/>
      <c r="P770" s="347"/>
      <c r="Q770" s="312"/>
      <c r="R770" s="347"/>
      <c r="S770" s="312"/>
      <c r="T770" s="347"/>
    </row>
    <row r="771" spans="1:20" ht="12" customHeight="1" x14ac:dyDescent="0.3">
      <c r="A771" s="340" t="s">
        <v>289</v>
      </c>
      <c r="B771" s="341">
        <v>3</v>
      </c>
      <c r="C771" s="309">
        <v>46035</v>
      </c>
      <c r="D771" s="310" t="s">
        <v>355</v>
      </c>
      <c r="E771" s="342">
        <v>25.01</v>
      </c>
      <c r="F771" s="342"/>
      <c r="G771" s="344">
        <f t="shared" si="5"/>
        <v>753.8</v>
      </c>
      <c r="H771" s="345"/>
      <c r="I771" s="346"/>
      <c r="J771" s="347"/>
      <c r="K771" s="312"/>
      <c r="L771" s="347"/>
      <c r="M771" s="312"/>
      <c r="N771" s="347"/>
      <c r="O771" s="312"/>
      <c r="P771" s="347"/>
      <c r="Q771" s="312"/>
      <c r="R771" s="347"/>
      <c r="S771" s="312"/>
      <c r="T771" s="347"/>
    </row>
    <row r="772" spans="1:20" ht="12" customHeight="1" x14ac:dyDescent="0.3">
      <c r="A772" s="340" t="s">
        <v>289</v>
      </c>
      <c r="B772" s="341">
        <v>6</v>
      </c>
      <c r="C772" s="309">
        <v>46035</v>
      </c>
      <c r="D772" s="310" t="s">
        <v>419</v>
      </c>
      <c r="E772" s="342">
        <v>-5.9</v>
      </c>
      <c r="F772" s="342"/>
      <c r="G772" s="344">
        <f t="shared" si="5"/>
        <v>778.81</v>
      </c>
      <c r="H772" s="345"/>
      <c r="I772" s="346"/>
      <c r="J772" s="347"/>
      <c r="K772" s="312"/>
      <c r="L772" s="347"/>
      <c r="M772" s="312"/>
      <c r="N772" s="347"/>
      <c r="O772" s="312"/>
      <c r="P772" s="347"/>
      <c r="Q772" s="312"/>
      <c r="R772" s="347"/>
      <c r="S772" s="312"/>
      <c r="T772" s="347"/>
    </row>
    <row r="773" spans="1:20" ht="12" customHeight="1" x14ac:dyDescent="0.3">
      <c r="A773" s="340" t="s">
        <v>289</v>
      </c>
      <c r="B773" s="341">
        <v>6</v>
      </c>
      <c r="C773" s="309">
        <v>46035</v>
      </c>
      <c r="D773" s="310" t="s">
        <v>454</v>
      </c>
      <c r="E773" s="342">
        <v>-0.03</v>
      </c>
      <c r="F773" s="342"/>
      <c r="G773" s="344">
        <f t="shared" si="5"/>
        <v>772.91</v>
      </c>
      <c r="H773" s="345"/>
      <c r="I773" s="346"/>
      <c r="J773" s="347"/>
      <c r="K773" s="312"/>
      <c r="L773" s="347"/>
      <c r="M773" s="312"/>
      <c r="N773" s="347"/>
      <c r="O773" s="312"/>
      <c r="P773" s="347"/>
      <c r="Q773" s="312"/>
      <c r="R773" s="347"/>
      <c r="S773" s="312"/>
      <c r="T773" s="347"/>
    </row>
    <row r="774" spans="1:20" ht="12" customHeight="1" x14ac:dyDescent="0.3">
      <c r="A774" s="340" t="s">
        <v>294</v>
      </c>
      <c r="B774" s="341">
        <v>43</v>
      </c>
      <c r="C774" s="309">
        <v>46035</v>
      </c>
      <c r="D774" s="310" t="s">
        <v>201</v>
      </c>
      <c r="E774" s="342">
        <v>44.18</v>
      </c>
      <c r="F774" s="342"/>
      <c r="G774" s="344">
        <f t="shared" si="5"/>
        <v>772.88</v>
      </c>
      <c r="H774" s="345"/>
      <c r="I774" s="346"/>
      <c r="J774" s="347"/>
      <c r="K774" s="312"/>
      <c r="L774" s="347"/>
      <c r="M774" s="312"/>
      <c r="N774" s="347"/>
      <c r="O774" s="312"/>
      <c r="P774" s="347"/>
      <c r="Q774" s="312"/>
      <c r="R774" s="347"/>
      <c r="S774" s="312"/>
      <c r="T774" s="347"/>
    </row>
    <row r="775" spans="1:20" ht="12" customHeight="1" x14ac:dyDescent="0.3">
      <c r="A775" s="340" t="s">
        <v>294</v>
      </c>
      <c r="B775" s="341">
        <v>42</v>
      </c>
      <c r="C775" s="309">
        <v>46035</v>
      </c>
      <c r="D775" s="310" t="s">
        <v>200</v>
      </c>
      <c r="E775" s="342">
        <v>51.19</v>
      </c>
      <c r="F775" s="342"/>
      <c r="G775" s="344">
        <f t="shared" si="5"/>
        <v>817.06</v>
      </c>
      <c r="H775" s="345"/>
      <c r="I775" s="346"/>
      <c r="J775" s="347"/>
      <c r="K775" s="312"/>
      <c r="L775" s="347"/>
      <c r="M775" s="312"/>
      <c r="N775" s="347"/>
      <c r="O775" s="312"/>
      <c r="P775" s="347"/>
      <c r="Q775" s="312"/>
      <c r="R775" s="347"/>
      <c r="S775" s="312"/>
      <c r="T775" s="347"/>
    </row>
    <row r="776" spans="1:20" ht="12" customHeight="1" x14ac:dyDescent="0.3">
      <c r="A776" s="340" t="s">
        <v>289</v>
      </c>
      <c r="B776" s="341">
        <v>4</v>
      </c>
      <c r="C776" s="309">
        <v>46035</v>
      </c>
      <c r="D776" s="310" t="s">
        <v>295</v>
      </c>
      <c r="E776" s="342">
        <v>28.15</v>
      </c>
      <c r="F776" s="342"/>
      <c r="G776" s="344">
        <f t="shared" si="5"/>
        <v>868.25</v>
      </c>
      <c r="H776" s="345"/>
      <c r="I776" s="346"/>
      <c r="J776" s="347"/>
      <c r="K776" s="312"/>
      <c r="L776" s="347"/>
      <c r="M776" s="312"/>
      <c r="N776" s="347"/>
      <c r="O776" s="312"/>
      <c r="P776" s="347"/>
      <c r="Q776" s="312"/>
      <c r="R776" s="347"/>
      <c r="S776" s="312"/>
      <c r="T776" s="347"/>
    </row>
    <row r="777" spans="1:20" ht="12" customHeight="1" x14ac:dyDescent="0.3">
      <c r="A777" s="340" t="s">
        <v>289</v>
      </c>
      <c r="B777" s="341">
        <v>3</v>
      </c>
      <c r="C777" s="309">
        <v>46035</v>
      </c>
      <c r="D777" s="310" t="s">
        <v>296</v>
      </c>
      <c r="E777" s="342">
        <v>20.85</v>
      </c>
      <c r="F777" s="342"/>
      <c r="G777" s="344">
        <f t="shared" si="5"/>
        <v>896.4</v>
      </c>
      <c r="H777" s="345"/>
      <c r="I777" s="346"/>
      <c r="J777" s="347"/>
      <c r="K777" s="312"/>
      <c r="L777" s="347"/>
      <c r="M777" s="312"/>
      <c r="N777" s="347"/>
      <c r="O777" s="312"/>
      <c r="P777" s="347"/>
      <c r="Q777" s="312"/>
      <c r="R777" s="347"/>
      <c r="S777" s="312"/>
      <c r="T777" s="347"/>
    </row>
    <row r="778" spans="1:20" ht="12" customHeight="1" x14ac:dyDescent="0.3">
      <c r="A778" s="340" t="s">
        <v>289</v>
      </c>
      <c r="B778" s="341">
        <v>1</v>
      </c>
      <c r="C778" s="309">
        <v>46034</v>
      </c>
      <c r="D778" s="310" t="s">
        <v>307</v>
      </c>
      <c r="E778" s="342">
        <v>145.81</v>
      </c>
      <c r="F778" s="342"/>
      <c r="G778" s="344">
        <f t="shared" si="5"/>
        <v>917.25</v>
      </c>
      <c r="H778" s="345"/>
      <c r="I778" s="346"/>
      <c r="J778" s="347"/>
      <c r="K778" s="312"/>
      <c r="L778" s="347"/>
      <c r="M778" s="312"/>
      <c r="N778" s="347"/>
      <c r="O778" s="312"/>
      <c r="P778" s="347"/>
      <c r="Q778" s="312"/>
      <c r="R778" s="347"/>
      <c r="S778" s="312"/>
      <c r="T778" s="347"/>
    </row>
    <row r="779" spans="1:20" ht="12" customHeight="1" x14ac:dyDescent="0.3">
      <c r="A779" s="340" t="s">
        <v>289</v>
      </c>
      <c r="B779" s="341">
        <v>2</v>
      </c>
      <c r="C779" s="309">
        <v>46034</v>
      </c>
      <c r="D779" s="310" t="s">
        <v>431</v>
      </c>
      <c r="E779" s="342">
        <v>25.22</v>
      </c>
      <c r="F779" s="342"/>
      <c r="G779" s="344">
        <f t="shared" si="5"/>
        <v>1063.06</v>
      </c>
      <c r="H779" s="345"/>
      <c r="I779" s="346"/>
      <c r="J779" s="347"/>
      <c r="K779" s="312"/>
      <c r="L779" s="347"/>
      <c r="M779" s="312"/>
      <c r="N779" s="347"/>
      <c r="O779" s="312"/>
      <c r="P779" s="347"/>
      <c r="Q779" s="312"/>
      <c r="R779" s="347"/>
      <c r="S779" s="312"/>
      <c r="T779" s="347"/>
    </row>
    <row r="780" spans="1:20" ht="12" customHeight="1" x14ac:dyDescent="0.3">
      <c r="A780" s="340" t="s">
        <v>289</v>
      </c>
      <c r="B780" s="341">
        <v>2</v>
      </c>
      <c r="C780" s="309">
        <v>46033</v>
      </c>
      <c r="D780" s="310" t="s">
        <v>329</v>
      </c>
      <c r="E780" s="342">
        <v>49.38</v>
      </c>
      <c r="F780" s="342"/>
      <c r="G780" s="344">
        <f t="shared" si="5"/>
        <v>1088.28</v>
      </c>
      <c r="H780" s="345"/>
      <c r="I780" s="346"/>
      <c r="J780" s="347"/>
      <c r="K780" s="312"/>
      <c r="L780" s="347"/>
      <c r="M780" s="312"/>
      <c r="N780" s="347"/>
      <c r="O780" s="312"/>
      <c r="P780" s="347"/>
      <c r="Q780" s="312"/>
      <c r="R780" s="347"/>
      <c r="S780" s="312"/>
      <c r="T780" s="347"/>
    </row>
    <row r="781" spans="1:20" ht="12" customHeight="1" x14ac:dyDescent="0.3">
      <c r="A781" s="340" t="s">
        <v>294</v>
      </c>
      <c r="B781" s="341">
        <v>22</v>
      </c>
      <c r="C781" s="309">
        <v>46033</v>
      </c>
      <c r="D781" s="310" t="s">
        <v>356</v>
      </c>
      <c r="E781" s="342">
        <v>19.16</v>
      </c>
      <c r="F781" s="342"/>
      <c r="G781" s="344">
        <f t="shared" si="5"/>
        <v>1137.6600000000001</v>
      </c>
      <c r="H781" s="345"/>
      <c r="I781" s="346"/>
      <c r="J781" s="347"/>
      <c r="K781" s="312"/>
      <c r="L781" s="347"/>
      <c r="M781" s="312"/>
      <c r="N781" s="347"/>
      <c r="O781" s="312"/>
      <c r="P781" s="347"/>
      <c r="Q781" s="312"/>
      <c r="R781" s="347"/>
      <c r="S781" s="312"/>
      <c r="T781" s="347"/>
    </row>
    <row r="782" spans="1:20" ht="12" customHeight="1" x14ac:dyDescent="0.3">
      <c r="A782" s="340" t="s">
        <v>289</v>
      </c>
      <c r="B782" s="341">
        <v>6</v>
      </c>
      <c r="C782" s="309">
        <v>46033</v>
      </c>
      <c r="D782" s="310" t="s">
        <v>313</v>
      </c>
      <c r="E782" s="342">
        <v>39.86</v>
      </c>
      <c r="F782" s="342"/>
      <c r="G782" s="344">
        <f t="shared" si="5"/>
        <v>1156.8200000000002</v>
      </c>
      <c r="H782" s="345"/>
      <c r="I782" s="346"/>
      <c r="J782" s="347"/>
      <c r="K782" s="312"/>
      <c r="L782" s="347"/>
      <c r="M782" s="312"/>
      <c r="N782" s="347"/>
      <c r="O782" s="312"/>
      <c r="P782" s="347"/>
      <c r="Q782" s="312"/>
      <c r="R782" s="347"/>
      <c r="S782" s="312"/>
      <c r="T782" s="347"/>
    </row>
    <row r="783" spans="1:20" ht="12" customHeight="1" x14ac:dyDescent="0.3">
      <c r="A783" s="340" t="s">
        <v>289</v>
      </c>
      <c r="B783" s="341">
        <v>7</v>
      </c>
      <c r="C783" s="309">
        <v>46033</v>
      </c>
      <c r="D783" s="310" t="s">
        <v>452</v>
      </c>
      <c r="E783" s="342">
        <v>165.05</v>
      </c>
      <c r="F783" s="342"/>
      <c r="G783" s="344">
        <f t="shared" si="5"/>
        <v>1196.68</v>
      </c>
      <c r="H783" s="345"/>
      <c r="I783" s="346"/>
      <c r="J783" s="347"/>
      <c r="K783" s="312"/>
      <c r="L783" s="347"/>
      <c r="M783" s="312"/>
      <c r="N783" s="347"/>
      <c r="O783" s="312"/>
      <c r="P783" s="347"/>
      <c r="Q783" s="312"/>
      <c r="R783" s="347"/>
      <c r="S783" s="312"/>
      <c r="T783" s="347"/>
    </row>
    <row r="784" spans="1:20" ht="12" customHeight="1" x14ac:dyDescent="0.3">
      <c r="A784" s="340" t="s">
        <v>294</v>
      </c>
      <c r="B784" s="341">
        <v>24</v>
      </c>
      <c r="C784" s="309">
        <v>46032</v>
      </c>
      <c r="D784" s="310" t="s">
        <v>437</v>
      </c>
      <c r="E784" s="342">
        <v>83.42</v>
      </c>
      <c r="F784" s="342"/>
      <c r="G784" s="344">
        <f t="shared" si="5"/>
        <v>1361.73</v>
      </c>
      <c r="H784" s="345"/>
      <c r="I784" s="346"/>
      <c r="J784" s="347"/>
      <c r="K784" s="312"/>
      <c r="L784" s="347"/>
      <c r="M784" s="312"/>
      <c r="N784" s="347"/>
      <c r="O784" s="312"/>
      <c r="P784" s="347"/>
      <c r="Q784" s="312"/>
      <c r="R784" s="347"/>
      <c r="S784" s="312"/>
      <c r="T784" s="347"/>
    </row>
    <row r="785" spans="1:20" ht="12" customHeight="1" x14ac:dyDescent="0.3">
      <c r="A785" s="340" t="s">
        <v>289</v>
      </c>
      <c r="B785" s="341">
        <v>4</v>
      </c>
      <c r="C785" s="309">
        <v>46032</v>
      </c>
      <c r="D785" s="310" t="s">
        <v>296</v>
      </c>
      <c r="E785" s="342">
        <v>30.4</v>
      </c>
      <c r="F785" s="342"/>
      <c r="G785" s="344">
        <f t="shared" si="5"/>
        <v>1445.15</v>
      </c>
      <c r="H785" s="345"/>
      <c r="I785" s="346"/>
      <c r="J785" s="347"/>
      <c r="K785" s="312"/>
      <c r="L785" s="347"/>
      <c r="M785" s="312"/>
      <c r="N785" s="347"/>
      <c r="O785" s="312"/>
      <c r="P785" s="347"/>
      <c r="Q785" s="312"/>
      <c r="R785" s="347"/>
      <c r="S785" s="312"/>
      <c r="T785" s="347"/>
    </row>
    <row r="786" spans="1:20" ht="12" customHeight="1" x14ac:dyDescent="0.3">
      <c r="A786" s="340" t="s">
        <v>289</v>
      </c>
      <c r="B786" s="341">
        <v>2</v>
      </c>
      <c r="C786" s="309">
        <v>46032</v>
      </c>
      <c r="D786" s="310" t="s">
        <v>296</v>
      </c>
      <c r="E786" s="342">
        <v>13.83</v>
      </c>
      <c r="F786" s="342"/>
      <c r="G786" s="344">
        <f t="shared" si="5"/>
        <v>1475.5500000000002</v>
      </c>
      <c r="H786" s="345"/>
      <c r="I786" s="346"/>
      <c r="J786" s="347"/>
      <c r="K786" s="312"/>
      <c r="L786" s="347"/>
      <c r="M786" s="312"/>
      <c r="N786" s="347"/>
      <c r="O786" s="312"/>
      <c r="P786" s="347"/>
      <c r="Q786" s="312"/>
      <c r="R786" s="347"/>
      <c r="S786" s="312"/>
      <c r="T786" s="347"/>
    </row>
    <row r="787" spans="1:20" ht="12" customHeight="1" x14ac:dyDescent="0.3">
      <c r="A787" s="340" t="s">
        <v>289</v>
      </c>
      <c r="B787" s="341">
        <v>2</v>
      </c>
      <c r="C787" s="309">
        <v>46032</v>
      </c>
      <c r="D787" s="310" t="s">
        <v>486</v>
      </c>
      <c r="E787" s="342">
        <v>100</v>
      </c>
      <c r="F787" s="342"/>
      <c r="G787" s="344">
        <f t="shared" si="5"/>
        <v>1489.38</v>
      </c>
      <c r="H787" s="345"/>
      <c r="I787" s="346"/>
      <c r="J787" s="347"/>
      <c r="K787" s="312"/>
      <c r="L787" s="347"/>
      <c r="M787" s="312"/>
      <c r="N787" s="347"/>
      <c r="O787" s="312"/>
      <c r="P787" s="347"/>
      <c r="Q787" s="312"/>
      <c r="R787" s="347"/>
      <c r="S787" s="312"/>
      <c r="T787" s="347"/>
    </row>
    <row r="788" spans="1:20" ht="12" customHeight="1" x14ac:dyDescent="0.3">
      <c r="A788" s="340" t="s">
        <v>289</v>
      </c>
      <c r="B788" s="341">
        <v>1</v>
      </c>
      <c r="C788" s="309">
        <v>46032</v>
      </c>
      <c r="D788" s="310" t="s">
        <v>488</v>
      </c>
      <c r="E788" s="342">
        <v>55.68</v>
      </c>
      <c r="F788" s="342"/>
      <c r="G788" s="344">
        <f t="shared" si="5"/>
        <v>1589.38</v>
      </c>
      <c r="H788" s="345"/>
      <c r="I788" s="346"/>
      <c r="J788" s="347"/>
      <c r="K788" s="312"/>
      <c r="L788" s="347"/>
      <c r="M788" s="312"/>
      <c r="N788" s="347"/>
      <c r="O788" s="312"/>
      <c r="P788" s="347"/>
      <c r="Q788" s="312"/>
      <c r="R788" s="347"/>
      <c r="S788" s="312"/>
      <c r="T788" s="347"/>
    </row>
    <row r="789" spans="1:20" ht="12" customHeight="1" x14ac:dyDescent="0.3">
      <c r="A789" s="340" t="s">
        <v>289</v>
      </c>
      <c r="B789" s="341">
        <v>2</v>
      </c>
      <c r="C789" s="309">
        <v>46031</v>
      </c>
      <c r="D789" s="310" t="s">
        <v>362</v>
      </c>
      <c r="E789" s="342">
        <v>9.4700000000000006</v>
      </c>
      <c r="F789" s="342"/>
      <c r="G789" s="344">
        <f t="shared" si="5"/>
        <v>1645.0600000000002</v>
      </c>
      <c r="H789" s="345"/>
      <c r="I789" s="346"/>
      <c r="J789" s="347"/>
      <c r="K789" s="312"/>
      <c r="L789" s="347"/>
      <c r="M789" s="312"/>
      <c r="N789" s="347"/>
      <c r="O789" s="312"/>
      <c r="P789" s="347"/>
      <c r="Q789" s="312"/>
      <c r="R789" s="347"/>
      <c r="S789" s="312"/>
      <c r="T789" s="347"/>
    </row>
    <row r="790" spans="1:20" ht="12" customHeight="1" x14ac:dyDescent="0.3">
      <c r="A790" s="340" t="s">
        <v>289</v>
      </c>
      <c r="B790" s="341">
        <v>5</v>
      </c>
      <c r="C790" s="309">
        <v>46031</v>
      </c>
      <c r="D790" s="310" t="s">
        <v>489</v>
      </c>
      <c r="E790" s="342">
        <v>50</v>
      </c>
      <c r="F790" s="342"/>
      <c r="G790" s="344">
        <f t="shared" si="5"/>
        <v>1654.5300000000002</v>
      </c>
      <c r="H790" s="345"/>
      <c r="I790" s="346"/>
      <c r="J790" s="347"/>
      <c r="K790" s="312"/>
      <c r="L790" s="347"/>
      <c r="M790" s="312"/>
      <c r="N790" s="347"/>
      <c r="O790" s="312"/>
      <c r="P790" s="347"/>
      <c r="Q790" s="312"/>
      <c r="R790" s="347"/>
      <c r="S790" s="312"/>
      <c r="T790" s="347"/>
    </row>
    <row r="791" spans="1:20" ht="12" customHeight="1" x14ac:dyDescent="0.3">
      <c r="A791" s="340" t="s">
        <v>289</v>
      </c>
      <c r="B791" s="341">
        <v>8</v>
      </c>
      <c r="C791" s="309">
        <v>46030</v>
      </c>
      <c r="D791" s="310" t="s">
        <v>490</v>
      </c>
      <c r="E791" s="342">
        <v>32.619999999999997</v>
      </c>
      <c r="F791" s="342"/>
      <c r="G791" s="344">
        <f t="shared" si="5"/>
        <v>1704.5300000000002</v>
      </c>
      <c r="H791" s="345"/>
      <c r="I791" s="346"/>
      <c r="J791" s="347"/>
      <c r="K791" s="312"/>
      <c r="L791" s="347"/>
      <c r="M791" s="312"/>
      <c r="N791" s="347"/>
      <c r="O791" s="312"/>
      <c r="P791" s="347"/>
      <c r="Q791" s="312"/>
      <c r="R791" s="347"/>
      <c r="S791" s="312"/>
      <c r="T791" s="347"/>
    </row>
    <row r="792" spans="1:20" ht="12" customHeight="1" x14ac:dyDescent="0.3">
      <c r="A792" s="340" t="s">
        <v>291</v>
      </c>
      <c r="B792" s="341">
        <v>39</v>
      </c>
      <c r="C792" s="309">
        <v>46030</v>
      </c>
      <c r="D792" s="310" t="s">
        <v>292</v>
      </c>
      <c r="E792" s="342"/>
      <c r="F792" s="342">
        <v>2729.22</v>
      </c>
      <c r="G792" s="344">
        <f t="shared" si="5"/>
        <v>1737.15</v>
      </c>
      <c r="H792" s="345"/>
      <c r="I792" s="346"/>
      <c r="J792" s="347"/>
      <c r="K792" s="312"/>
      <c r="L792" s="347"/>
      <c r="M792" s="312"/>
      <c r="N792" s="347"/>
      <c r="O792" s="312"/>
      <c r="P792" s="347"/>
      <c r="Q792" s="312"/>
      <c r="R792" s="347"/>
      <c r="S792" s="312"/>
      <c r="T792" s="347"/>
    </row>
    <row r="793" spans="1:20" ht="12" customHeight="1" x14ac:dyDescent="0.3">
      <c r="A793" s="340" t="s">
        <v>289</v>
      </c>
      <c r="B793" s="341">
        <v>2</v>
      </c>
      <c r="C793" s="309">
        <v>46030</v>
      </c>
      <c r="D793" s="310" t="s">
        <v>296</v>
      </c>
      <c r="E793" s="342">
        <v>6.37</v>
      </c>
      <c r="F793" s="342"/>
      <c r="G793" s="344">
        <f t="shared" si="5"/>
        <v>-992.06999999999971</v>
      </c>
      <c r="H793" s="345"/>
      <c r="I793" s="346"/>
      <c r="J793" s="347"/>
      <c r="K793" s="312"/>
      <c r="L793" s="347"/>
      <c r="M793" s="312"/>
      <c r="N793" s="347"/>
      <c r="O793" s="312"/>
      <c r="P793" s="347"/>
      <c r="Q793" s="312"/>
      <c r="R793" s="347"/>
      <c r="S793" s="312"/>
      <c r="T793" s="347"/>
    </row>
    <row r="794" spans="1:20" ht="12" customHeight="1" x14ac:dyDescent="0.3">
      <c r="A794" s="340" t="s">
        <v>289</v>
      </c>
      <c r="B794" s="341">
        <v>4</v>
      </c>
      <c r="C794" s="309">
        <v>46030</v>
      </c>
      <c r="D794" s="310" t="s">
        <v>296</v>
      </c>
      <c r="E794" s="342">
        <v>32.119999999999997</v>
      </c>
      <c r="F794" s="342"/>
      <c r="G794" s="344">
        <f t="shared" si="5"/>
        <v>-985.6999999999997</v>
      </c>
      <c r="H794" s="345"/>
      <c r="I794" s="346"/>
      <c r="J794" s="347"/>
      <c r="K794" s="312"/>
      <c r="L794" s="347"/>
      <c r="M794" s="312"/>
      <c r="N794" s="347"/>
      <c r="O794" s="312"/>
      <c r="P794" s="347"/>
      <c r="Q794" s="312"/>
      <c r="R794" s="347"/>
      <c r="S794" s="312"/>
      <c r="T794" s="347"/>
    </row>
    <row r="795" spans="1:20" ht="12" customHeight="1" x14ac:dyDescent="0.3">
      <c r="A795" s="340" t="s">
        <v>289</v>
      </c>
      <c r="B795" s="341">
        <v>2</v>
      </c>
      <c r="C795" s="309">
        <v>46030</v>
      </c>
      <c r="D795" s="310" t="s">
        <v>362</v>
      </c>
      <c r="E795" s="342">
        <v>9.4700000000000006</v>
      </c>
      <c r="F795" s="342"/>
      <c r="G795" s="344">
        <f t="shared" si="5"/>
        <v>-953.5799999999997</v>
      </c>
      <c r="H795" s="345"/>
      <c r="I795" s="346"/>
      <c r="J795" s="347"/>
      <c r="K795" s="312"/>
      <c r="L795" s="347"/>
      <c r="M795" s="312"/>
      <c r="N795" s="347"/>
      <c r="O795" s="312"/>
      <c r="P795" s="347"/>
      <c r="Q795" s="312"/>
      <c r="R795" s="347"/>
      <c r="S795" s="312"/>
      <c r="T795" s="347"/>
    </row>
    <row r="796" spans="1:20" ht="12" customHeight="1" x14ac:dyDescent="0.3">
      <c r="A796" s="340" t="s">
        <v>289</v>
      </c>
      <c r="B796" s="341">
        <v>2</v>
      </c>
      <c r="C796" s="309">
        <v>46030</v>
      </c>
      <c r="D796" s="310" t="s">
        <v>390</v>
      </c>
      <c r="E796" s="342">
        <v>21.18</v>
      </c>
      <c r="F796" s="342"/>
      <c r="G796" s="344">
        <f t="shared" si="5"/>
        <v>-944.10999999999967</v>
      </c>
      <c r="H796" s="345"/>
      <c r="I796" s="346"/>
      <c r="J796" s="347"/>
      <c r="K796" s="312"/>
      <c r="L796" s="347"/>
      <c r="M796" s="312"/>
      <c r="N796" s="347"/>
      <c r="O796" s="312"/>
      <c r="P796" s="347"/>
      <c r="Q796" s="312"/>
      <c r="R796" s="347"/>
      <c r="S796" s="312"/>
      <c r="T796" s="347"/>
    </row>
    <row r="797" spans="1:20" ht="12" customHeight="1" x14ac:dyDescent="0.3">
      <c r="A797" s="340" t="s">
        <v>339</v>
      </c>
      <c r="B797" s="341" t="s">
        <v>339</v>
      </c>
      <c r="C797" s="309">
        <v>46029</v>
      </c>
      <c r="D797" s="310" t="s">
        <v>455</v>
      </c>
      <c r="E797" s="342">
        <v>52.66</v>
      </c>
      <c r="F797" s="342"/>
      <c r="G797" s="344">
        <f t="shared" si="5"/>
        <v>-922.92999999999972</v>
      </c>
      <c r="H797" s="345"/>
      <c r="I797" s="346"/>
      <c r="J797" s="347"/>
      <c r="K797" s="312"/>
      <c r="L797" s="347"/>
      <c r="M797" s="312"/>
      <c r="N797" s="347"/>
      <c r="O797" s="312"/>
      <c r="P797" s="347"/>
      <c r="Q797" s="312"/>
      <c r="R797" s="347"/>
      <c r="S797" s="312"/>
      <c r="T797" s="347"/>
    </row>
    <row r="798" spans="1:20" ht="12" customHeight="1" x14ac:dyDescent="0.3">
      <c r="A798" s="340" t="s">
        <v>294</v>
      </c>
      <c r="B798" s="341">
        <v>13</v>
      </c>
      <c r="C798" s="309">
        <v>46029</v>
      </c>
      <c r="D798" s="310" t="s">
        <v>182</v>
      </c>
      <c r="E798" s="342">
        <v>167.42</v>
      </c>
      <c r="F798" s="342"/>
      <c r="G798" s="344">
        <f t="shared" si="5"/>
        <v>-870.26999999999975</v>
      </c>
      <c r="H798" s="345"/>
      <c r="I798" s="346"/>
      <c r="J798" s="347"/>
      <c r="K798" s="312"/>
      <c r="L798" s="347"/>
      <c r="M798" s="312"/>
      <c r="N798" s="347"/>
      <c r="O798" s="312"/>
      <c r="P798" s="347"/>
      <c r="Q798" s="312"/>
      <c r="R798" s="347"/>
      <c r="S798" s="312"/>
      <c r="T798" s="347"/>
    </row>
    <row r="799" spans="1:20" ht="12" customHeight="1" x14ac:dyDescent="0.3">
      <c r="A799" s="340" t="s">
        <v>289</v>
      </c>
      <c r="B799" s="341">
        <v>4</v>
      </c>
      <c r="C799" s="309">
        <v>46029</v>
      </c>
      <c r="D799" s="310" t="s">
        <v>296</v>
      </c>
      <c r="E799" s="342">
        <v>30.81</v>
      </c>
      <c r="F799" s="342"/>
      <c r="G799" s="344">
        <f t="shared" si="5"/>
        <v>-702.8499999999998</v>
      </c>
      <c r="H799" s="345"/>
      <c r="I799" s="346"/>
      <c r="J799" s="347"/>
      <c r="K799" s="312"/>
      <c r="L799" s="347"/>
      <c r="M799" s="312"/>
      <c r="N799" s="347"/>
      <c r="O799" s="312"/>
      <c r="P799" s="347"/>
      <c r="Q799" s="312"/>
      <c r="R799" s="347"/>
      <c r="S799" s="312"/>
      <c r="T799" s="347"/>
    </row>
    <row r="800" spans="1:20" ht="12" customHeight="1" x14ac:dyDescent="0.3">
      <c r="A800" s="340" t="s">
        <v>289</v>
      </c>
      <c r="B800" s="341">
        <v>2</v>
      </c>
      <c r="C800" s="309">
        <v>46029</v>
      </c>
      <c r="D800" s="310" t="s">
        <v>362</v>
      </c>
      <c r="E800" s="342">
        <v>9.4700000000000006</v>
      </c>
      <c r="F800" s="342"/>
      <c r="G800" s="344">
        <f t="shared" si="5"/>
        <v>-672.03999999999985</v>
      </c>
      <c r="H800" s="345"/>
      <c r="I800" s="346"/>
      <c r="J800" s="347"/>
      <c r="K800" s="312"/>
      <c r="L800" s="347"/>
      <c r="M800" s="312"/>
      <c r="N800" s="347"/>
      <c r="O800" s="312"/>
      <c r="P800" s="347"/>
      <c r="Q800" s="312"/>
      <c r="R800" s="347"/>
      <c r="S800" s="312"/>
      <c r="T800" s="347"/>
    </row>
    <row r="801" spans="1:20" ht="12" customHeight="1" x14ac:dyDescent="0.3">
      <c r="A801" s="340" t="s">
        <v>294</v>
      </c>
      <c r="B801" s="341">
        <v>22</v>
      </c>
      <c r="C801" s="309">
        <v>46029</v>
      </c>
      <c r="D801" s="310" t="s">
        <v>491</v>
      </c>
      <c r="E801" s="342">
        <v>148.04</v>
      </c>
      <c r="F801" s="342"/>
      <c r="G801" s="344">
        <f t="shared" si="5"/>
        <v>-662.56999999999982</v>
      </c>
      <c r="H801" s="345"/>
      <c r="I801" s="346"/>
      <c r="J801" s="347"/>
      <c r="K801" s="312"/>
      <c r="L801" s="347"/>
      <c r="M801" s="312"/>
      <c r="N801" s="347"/>
      <c r="O801" s="312"/>
      <c r="P801" s="347"/>
      <c r="Q801" s="312"/>
      <c r="R801" s="347"/>
      <c r="S801" s="312"/>
      <c r="T801" s="347"/>
    </row>
    <row r="802" spans="1:20" ht="12" customHeight="1" x14ac:dyDescent="0.3">
      <c r="A802" s="340" t="s">
        <v>294</v>
      </c>
      <c r="B802" s="341">
        <v>14</v>
      </c>
      <c r="C802" s="309">
        <v>46028</v>
      </c>
      <c r="D802" s="310" t="s">
        <v>370</v>
      </c>
      <c r="E802" s="342">
        <v>66.67</v>
      </c>
      <c r="F802" s="342"/>
      <c r="G802" s="344">
        <f t="shared" si="5"/>
        <v>-514.52999999999986</v>
      </c>
      <c r="H802" s="345"/>
      <c r="I802" s="346"/>
      <c r="J802" s="347"/>
      <c r="K802" s="312"/>
      <c r="L802" s="347"/>
      <c r="M802" s="312"/>
      <c r="N802" s="347"/>
      <c r="O802" s="312"/>
      <c r="P802" s="347"/>
      <c r="Q802" s="312"/>
      <c r="R802" s="347"/>
      <c r="S802" s="312"/>
      <c r="T802" s="347"/>
    </row>
    <row r="803" spans="1:20" ht="12" customHeight="1" x14ac:dyDescent="0.3">
      <c r="A803" s="340" t="s">
        <v>289</v>
      </c>
      <c r="B803" s="341">
        <v>3</v>
      </c>
      <c r="C803" s="309">
        <v>46028</v>
      </c>
      <c r="D803" s="310" t="s">
        <v>296</v>
      </c>
      <c r="E803" s="342">
        <v>5.7</v>
      </c>
      <c r="F803" s="342"/>
      <c r="G803" s="344">
        <f t="shared" si="5"/>
        <v>-447.8599999999999</v>
      </c>
      <c r="H803" s="345"/>
      <c r="I803" s="346"/>
      <c r="J803" s="347"/>
      <c r="K803" s="312"/>
      <c r="L803" s="347"/>
      <c r="M803" s="312"/>
      <c r="N803" s="347"/>
      <c r="O803" s="312"/>
      <c r="P803" s="347"/>
      <c r="Q803" s="312"/>
      <c r="R803" s="347"/>
      <c r="S803" s="312"/>
      <c r="T803" s="347"/>
    </row>
    <row r="804" spans="1:20" ht="12" customHeight="1" x14ac:dyDescent="0.3">
      <c r="A804" s="340" t="s">
        <v>294</v>
      </c>
      <c r="B804" s="341">
        <v>21</v>
      </c>
      <c r="C804" s="309">
        <v>46028</v>
      </c>
      <c r="D804" s="310" t="s">
        <v>194</v>
      </c>
      <c r="E804" s="342">
        <v>30.59</v>
      </c>
      <c r="F804" s="342"/>
      <c r="G804" s="344">
        <f t="shared" si="5"/>
        <v>-442.15999999999991</v>
      </c>
      <c r="H804" s="345"/>
      <c r="I804" s="346"/>
      <c r="J804" s="347"/>
      <c r="K804" s="312"/>
      <c r="L804" s="347"/>
      <c r="M804" s="312"/>
      <c r="N804" s="347"/>
      <c r="O804" s="312"/>
      <c r="P804" s="347"/>
      <c r="Q804" s="312"/>
      <c r="R804" s="347"/>
      <c r="S804" s="312"/>
      <c r="T804" s="347"/>
    </row>
    <row r="805" spans="1:20" ht="12" customHeight="1" x14ac:dyDescent="0.3">
      <c r="A805" s="340" t="s">
        <v>294</v>
      </c>
      <c r="B805" s="341">
        <v>17</v>
      </c>
      <c r="C805" s="309">
        <v>46027</v>
      </c>
      <c r="D805" s="310" t="s">
        <v>374</v>
      </c>
      <c r="E805" s="342">
        <v>133.91999999999999</v>
      </c>
      <c r="F805" s="342"/>
      <c r="G805" s="344">
        <f t="shared" si="5"/>
        <v>-411.56999999999994</v>
      </c>
      <c r="H805" s="345"/>
      <c r="I805" s="346"/>
      <c r="J805" s="347"/>
      <c r="K805" s="312"/>
      <c r="L805" s="347"/>
      <c r="M805" s="312"/>
      <c r="N805" s="347"/>
      <c r="O805" s="312"/>
      <c r="P805" s="347"/>
      <c r="Q805" s="312"/>
      <c r="R805" s="347"/>
      <c r="S805" s="312"/>
      <c r="T805" s="347"/>
    </row>
    <row r="806" spans="1:20" ht="12" customHeight="1" x14ac:dyDescent="0.3">
      <c r="A806" s="340" t="s">
        <v>294</v>
      </c>
      <c r="B806" s="341">
        <v>17</v>
      </c>
      <c r="C806" s="309">
        <v>46027</v>
      </c>
      <c r="D806" s="310" t="s">
        <v>374</v>
      </c>
      <c r="E806" s="342">
        <v>62</v>
      </c>
      <c r="F806" s="342"/>
      <c r="G806" s="344">
        <f t="shared" si="5"/>
        <v>-277.64999999999992</v>
      </c>
      <c r="H806" s="345"/>
      <c r="I806" s="346"/>
      <c r="J806" s="347"/>
      <c r="K806" s="312"/>
      <c r="L806" s="347"/>
      <c r="M806" s="312"/>
      <c r="N806" s="347"/>
      <c r="O806" s="312"/>
      <c r="P806" s="347"/>
      <c r="Q806" s="312"/>
      <c r="R806" s="347"/>
      <c r="S806" s="312"/>
      <c r="T806" s="347"/>
    </row>
    <row r="807" spans="1:20" ht="12" customHeight="1" x14ac:dyDescent="0.3">
      <c r="A807" s="340" t="s">
        <v>289</v>
      </c>
      <c r="B807" s="341">
        <v>6</v>
      </c>
      <c r="C807" s="309">
        <v>46027</v>
      </c>
      <c r="D807" s="310" t="s">
        <v>300</v>
      </c>
      <c r="E807" s="342">
        <v>10.64</v>
      </c>
      <c r="F807" s="342"/>
      <c r="G807" s="344">
        <f t="shared" si="5"/>
        <v>-215.64999999999992</v>
      </c>
      <c r="H807" s="345"/>
      <c r="I807" s="346"/>
      <c r="J807" s="347"/>
      <c r="K807" s="312"/>
      <c r="L807" s="347"/>
      <c r="M807" s="312"/>
      <c r="N807" s="347"/>
      <c r="O807" s="312"/>
      <c r="P807" s="347"/>
      <c r="Q807" s="312"/>
      <c r="R807" s="347"/>
      <c r="S807" s="312"/>
      <c r="T807" s="347"/>
    </row>
    <row r="808" spans="1:20" ht="12" customHeight="1" x14ac:dyDescent="0.3">
      <c r="A808" s="340" t="s">
        <v>289</v>
      </c>
      <c r="B808" s="341">
        <v>8</v>
      </c>
      <c r="C808" s="309">
        <v>46027</v>
      </c>
      <c r="D808" s="310" t="s">
        <v>321</v>
      </c>
      <c r="E808" s="342">
        <v>17.440000000000001</v>
      </c>
      <c r="F808" s="342"/>
      <c r="G808" s="344">
        <f t="shared" si="5"/>
        <v>-205.00999999999991</v>
      </c>
      <c r="H808" s="345"/>
      <c r="I808" s="346"/>
      <c r="J808" s="347"/>
      <c r="K808" s="312"/>
      <c r="L808" s="347"/>
      <c r="M808" s="312"/>
      <c r="N808" s="347"/>
      <c r="O808" s="312"/>
      <c r="P808" s="347"/>
      <c r="Q808" s="312"/>
      <c r="R808" s="347"/>
      <c r="S808" s="312"/>
      <c r="T808" s="347"/>
    </row>
    <row r="809" spans="1:20" ht="12" customHeight="1" x14ac:dyDescent="0.3">
      <c r="A809" s="340" t="s">
        <v>289</v>
      </c>
      <c r="B809" s="341">
        <v>1</v>
      </c>
      <c r="C809" s="309">
        <v>46027</v>
      </c>
      <c r="D809" s="310" t="s">
        <v>307</v>
      </c>
      <c r="E809" s="342">
        <v>216.19</v>
      </c>
      <c r="F809" s="342"/>
      <c r="G809" s="344">
        <f t="shared" si="5"/>
        <v>-187.56999999999991</v>
      </c>
      <c r="H809" s="345"/>
      <c r="I809" s="346"/>
      <c r="J809" s="347"/>
      <c r="K809" s="312"/>
      <c r="L809" s="347"/>
      <c r="M809" s="312"/>
      <c r="N809" s="347"/>
      <c r="O809" s="312"/>
      <c r="P809" s="347"/>
      <c r="Q809" s="312"/>
      <c r="R809" s="347"/>
      <c r="S809" s="312"/>
      <c r="T809" s="347"/>
    </row>
    <row r="810" spans="1:20" ht="12" customHeight="1" x14ac:dyDescent="0.3">
      <c r="A810" s="340" t="s">
        <v>289</v>
      </c>
      <c r="B810" s="341">
        <v>2</v>
      </c>
      <c r="C810" s="309">
        <v>46027</v>
      </c>
      <c r="D810" s="310" t="s">
        <v>492</v>
      </c>
      <c r="E810" s="342">
        <v>70</v>
      </c>
      <c r="F810" s="342"/>
      <c r="G810" s="344">
        <f t="shared" si="5"/>
        <v>28.62000000000009</v>
      </c>
      <c r="H810" s="345"/>
      <c r="I810" s="346"/>
      <c r="J810" s="347"/>
      <c r="K810" s="312"/>
      <c r="L810" s="347"/>
      <c r="M810" s="312"/>
      <c r="N810" s="347"/>
      <c r="O810" s="312"/>
      <c r="P810" s="347"/>
      <c r="Q810" s="312"/>
      <c r="R810" s="347"/>
      <c r="S810" s="312"/>
      <c r="T810" s="347"/>
    </row>
    <row r="811" spans="1:20" ht="12" customHeight="1" x14ac:dyDescent="0.3">
      <c r="A811" s="340" t="s">
        <v>289</v>
      </c>
      <c r="B811" s="341">
        <v>2</v>
      </c>
      <c r="C811" s="309">
        <v>46027</v>
      </c>
      <c r="D811" s="310" t="s">
        <v>362</v>
      </c>
      <c r="E811" s="342">
        <v>14.05</v>
      </c>
      <c r="F811" s="342"/>
      <c r="G811" s="344">
        <f t="shared" si="5"/>
        <v>98.62000000000009</v>
      </c>
      <c r="H811" s="345"/>
      <c r="I811" s="346"/>
      <c r="J811" s="347"/>
      <c r="K811" s="312"/>
      <c r="L811" s="347"/>
      <c r="M811" s="312"/>
      <c r="N811" s="347"/>
      <c r="O811" s="312"/>
      <c r="P811" s="347"/>
      <c r="Q811" s="312"/>
      <c r="R811" s="347"/>
      <c r="S811" s="312"/>
      <c r="T811" s="347"/>
    </row>
    <row r="812" spans="1:20" ht="12" customHeight="1" x14ac:dyDescent="0.3">
      <c r="A812" s="340" t="s">
        <v>294</v>
      </c>
      <c r="B812" s="341">
        <v>14</v>
      </c>
      <c r="C812" s="309">
        <v>46027</v>
      </c>
      <c r="D812" s="310" t="s">
        <v>371</v>
      </c>
      <c r="E812" s="342">
        <v>68.739999999999995</v>
      </c>
      <c r="F812" s="342"/>
      <c r="G812" s="344">
        <f t="shared" si="5"/>
        <v>112.67000000000009</v>
      </c>
      <c r="H812" s="345"/>
      <c r="I812" s="346"/>
      <c r="J812" s="347"/>
      <c r="K812" s="312"/>
      <c r="L812" s="347"/>
      <c r="M812" s="312"/>
      <c r="N812" s="347"/>
      <c r="O812" s="312"/>
      <c r="P812" s="347"/>
      <c r="Q812" s="312"/>
      <c r="R812" s="347"/>
      <c r="S812" s="312"/>
      <c r="T812" s="347"/>
    </row>
    <row r="813" spans="1:20" ht="12" customHeight="1" x14ac:dyDescent="0.3">
      <c r="A813" s="340" t="s">
        <v>289</v>
      </c>
      <c r="B813" s="341">
        <v>6</v>
      </c>
      <c r="C813" s="309">
        <v>46027</v>
      </c>
      <c r="D813" s="310" t="s">
        <v>493</v>
      </c>
      <c r="E813" s="342">
        <v>120</v>
      </c>
      <c r="F813" s="342"/>
      <c r="G813" s="344">
        <f t="shared" si="5"/>
        <v>181.41000000000008</v>
      </c>
      <c r="H813" s="345"/>
      <c r="I813" s="346"/>
      <c r="J813" s="347"/>
      <c r="K813" s="312"/>
      <c r="L813" s="347"/>
      <c r="M813" s="312"/>
      <c r="N813" s="347"/>
      <c r="O813" s="312"/>
      <c r="P813" s="347"/>
      <c r="Q813" s="312"/>
      <c r="R813" s="347"/>
      <c r="S813" s="312"/>
      <c r="T813" s="347"/>
    </row>
    <row r="814" spans="1:20" ht="12" customHeight="1" x14ac:dyDescent="0.3">
      <c r="A814" s="340" t="s">
        <v>294</v>
      </c>
      <c r="B814" s="341">
        <v>9</v>
      </c>
      <c r="C814" s="309">
        <v>46027</v>
      </c>
      <c r="D814" s="310" t="s">
        <v>58</v>
      </c>
      <c r="E814" s="342">
        <v>1281.53</v>
      </c>
      <c r="F814" s="342"/>
      <c r="G814" s="344">
        <f t="shared" si="5"/>
        <v>301.41000000000008</v>
      </c>
      <c r="H814" s="345"/>
      <c r="I814" s="346"/>
      <c r="J814" s="347"/>
      <c r="K814" s="312"/>
      <c r="L814" s="347"/>
      <c r="M814" s="312"/>
      <c r="N814" s="347"/>
      <c r="O814" s="312"/>
      <c r="P814" s="347"/>
      <c r="Q814" s="312"/>
      <c r="R814" s="347"/>
      <c r="S814" s="312"/>
      <c r="T814" s="347"/>
    </row>
    <row r="815" spans="1:20" ht="12" customHeight="1" x14ac:dyDescent="0.3">
      <c r="A815" s="340" t="s">
        <v>289</v>
      </c>
      <c r="B815" s="341">
        <v>7</v>
      </c>
      <c r="C815" s="309">
        <v>46026</v>
      </c>
      <c r="D815" s="310" t="s">
        <v>342</v>
      </c>
      <c r="E815" s="342">
        <v>18.260000000000002</v>
      </c>
      <c r="F815" s="342"/>
      <c r="G815" s="344">
        <f t="shared" si="5"/>
        <v>1582.94</v>
      </c>
      <c r="H815" s="345"/>
      <c r="I815" s="346"/>
      <c r="J815" s="347"/>
      <c r="K815" s="312"/>
      <c r="L815" s="347"/>
      <c r="M815" s="312"/>
      <c r="N815" s="347"/>
      <c r="O815" s="312"/>
      <c r="P815" s="347"/>
      <c r="Q815" s="312"/>
      <c r="R815" s="347"/>
      <c r="S815" s="312"/>
      <c r="T815" s="347"/>
    </row>
    <row r="816" spans="1:20" ht="12" customHeight="1" x14ac:dyDescent="0.3">
      <c r="A816" s="340" t="s">
        <v>287</v>
      </c>
      <c r="B816" s="341" t="s">
        <v>287</v>
      </c>
      <c r="C816" s="309">
        <v>46026</v>
      </c>
      <c r="D816" s="310" t="s">
        <v>300</v>
      </c>
      <c r="E816" s="342">
        <v>114.91</v>
      </c>
      <c r="F816" s="342">
        <v>114.91</v>
      </c>
      <c r="G816" s="344">
        <f t="shared" si="5"/>
        <v>1601.2</v>
      </c>
      <c r="H816" s="345"/>
      <c r="I816" s="346"/>
      <c r="J816" s="347"/>
      <c r="K816" s="312"/>
      <c r="L816" s="347"/>
      <c r="M816" s="312"/>
      <c r="N816" s="347"/>
      <c r="O816" s="312"/>
      <c r="P816" s="347"/>
      <c r="Q816" s="312"/>
      <c r="R816" s="347"/>
      <c r="S816" s="312"/>
      <c r="T816" s="347"/>
    </row>
    <row r="817" spans="1:20" ht="12" customHeight="1" x14ac:dyDescent="0.3">
      <c r="A817" s="340" t="s">
        <v>289</v>
      </c>
      <c r="B817" s="341">
        <v>5</v>
      </c>
      <c r="C817" s="309">
        <v>46026</v>
      </c>
      <c r="D817" s="310" t="s">
        <v>494</v>
      </c>
      <c r="E817" s="342">
        <v>42.43</v>
      </c>
      <c r="F817" s="342"/>
      <c r="G817" s="344">
        <f t="shared" si="5"/>
        <v>1601.2</v>
      </c>
      <c r="H817" s="345"/>
      <c r="I817" s="346"/>
      <c r="J817" s="347"/>
      <c r="K817" s="312"/>
      <c r="L817" s="347"/>
      <c r="M817" s="312"/>
      <c r="N817" s="347"/>
      <c r="O817" s="312"/>
      <c r="P817" s="347"/>
      <c r="Q817" s="312"/>
      <c r="R817" s="347"/>
      <c r="S817" s="312"/>
      <c r="T817" s="347"/>
    </row>
    <row r="818" spans="1:20" ht="12" customHeight="1" x14ac:dyDescent="0.3">
      <c r="A818" s="340" t="s">
        <v>289</v>
      </c>
      <c r="B818" s="341">
        <v>7</v>
      </c>
      <c r="C818" s="309">
        <v>46026</v>
      </c>
      <c r="D818" s="310" t="s">
        <v>300</v>
      </c>
      <c r="E818" s="342">
        <v>42.59</v>
      </c>
      <c r="F818" s="342"/>
      <c r="G818" s="344">
        <f t="shared" si="5"/>
        <v>1643.63</v>
      </c>
      <c r="H818" s="345"/>
      <c r="I818" s="346"/>
      <c r="J818" s="347"/>
      <c r="K818" s="312"/>
      <c r="L818" s="347"/>
      <c r="M818" s="312"/>
      <c r="N818" s="347"/>
      <c r="O818" s="312"/>
      <c r="P818" s="347"/>
      <c r="Q818" s="312"/>
      <c r="R818" s="347"/>
      <c r="S818" s="312"/>
      <c r="T818" s="347"/>
    </row>
    <row r="819" spans="1:20" ht="12" customHeight="1" x14ac:dyDescent="0.3">
      <c r="A819" s="340" t="s">
        <v>289</v>
      </c>
      <c r="B819" s="341">
        <v>3</v>
      </c>
      <c r="C819" s="309">
        <v>46025</v>
      </c>
      <c r="D819" s="310" t="s">
        <v>352</v>
      </c>
      <c r="E819" s="342">
        <v>14.57</v>
      </c>
      <c r="F819" s="342"/>
      <c r="G819" s="344">
        <f t="shared" si="5"/>
        <v>1686.22</v>
      </c>
      <c r="H819" s="345"/>
      <c r="I819" s="346"/>
      <c r="J819" s="347"/>
      <c r="K819" s="312"/>
      <c r="L819" s="347"/>
      <c r="M819" s="312"/>
      <c r="N819" s="347"/>
      <c r="O819" s="312"/>
      <c r="P819" s="347"/>
      <c r="Q819" s="312"/>
      <c r="R819" s="347"/>
      <c r="S819" s="312"/>
      <c r="T819" s="347"/>
    </row>
    <row r="820" spans="1:20" ht="12" customHeight="1" x14ac:dyDescent="0.3">
      <c r="A820" s="340" t="s">
        <v>289</v>
      </c>
      <c r="B820" s="341">
        <v>2</v>
      </c>
      <c r="C820" s="309">
        <v>46025</v>
      </c>
      <c r="D820" s="310" t="s">
        <v>495</v>
      </c>
      <c r="E820" s="342">
        <v>41.05</v>
      </c>
      <c r="F820" s="342"/>
      <c r="G820" s="344">
        <f t="shared" si="5"/>
        <v>1700.79</v>
      </c>
      <c r="H820" s="345"/>
      <c r="I820" s="346"/>
      <c r="J820" s="347"/>
      <c r="K820" s="312"/>
      <c r="L820" s="347"/>
      <c r="M820" s="312"/>
      <c r="N820" s="347"/>
      <c r="O820" s="312"/>
      <c r="P820" s="347"/>
      <c r="Q820" s="312"/>
      <c r="R820" s="347"/>
      <c r="S820" s="312"/>
      <c r="T820" s="347"/>
    </row>
    <row r="821" spans="1:20" ht="12" customHeight="1" x14ac:dyDescent="0.3">
      <c r="A821" s="340" t="s">
        <v>289</v>
      </c>
      <c r="B821" s="341">
        <v>4</v>
      </c>
      <c r="C821" s="309">
        <v>46025</v>
      </c>
      <c r="D821" s="310" t="s">
        <v>311</v>
      </c>
      <c r="E821" s="342">
        <v>26.88</v>
      </c>
      <c r="F821" s="342"/>
      <c r="G821" s="344">
        <f t="shared" si="5"/>
        <v>1741.84</v>
      </c>
      <c r="H821" s="345"/>
      <c r="I821" s="346"/>
      <c r="J821" s="347"/>
      <c r="K821" s="312"/>
      <c r="L821" s="347"/>
      <c r="M821" s="312"/>
      <c r="N821" s="347"/>
      <c r="O821" s="312"/>
      <c r="P821" s="347"/>
      <c r="Q821" s="312"/>
      <c r="R821" s="347"/>
      <c r="S821" s="312"/>
      <c r="T821" s="347"/>
    </row>
    <row r="822" spans="1:20" ht="12" customHeight="1" x14ac:dyDescent="0.3">
      <c r="A822" s="340" t="s">
        <v>289</v>
      </c>
      <c r="B822" s="341">
        <v>2</v>
      </c>
      <c r="C822" s="309">
        <v>46025</v>
      </c>
      <c r="D822" s="310" t="s">
        <v>309</v>
      </c>
      <c r="E822" s="342">
        <v>130.08000000000001</v>
      </c>
      <c r="F822" s="342"/>
      <c r="G822" s="344">
        <f t="shared" si="5"/>
        <v>1768.72</v>
      </c>
      <c r="H822" s="345"/>
      <c r="I822" s="346"/>
      <c r="J822" s="347"/>
      <c r="K822" s="312"/>
      <c r="L822" s="347"/>
      <c r="M822" s="312"/>
      <c r="N822" s="347"/>
      <c r="O822" s="312"/>
      <c r="P822" s="347"/>
      <c r="Q822" s="312"/>
      <c r="R822" s="347"/>
      <c r="S822" s="312"/>
      <c r="T822" s="347"/>
    </row>
    <row r="823" spans="1:20" ht="12" customHeight="1" x14ac:dyDescent="0.3">
      <c r="A823" s="340" t="s">
        <v>289</v>
      </c>
      <c r="B823" s="341">
        <v>7</v>
      </c>
      <c r="C823" s="309">
        <v>46025</v>
      </c>
      <c r="D823" s="310" t="s">
        <v>496</v>
      </c>
      <c r="E823" s="342">
        <v>222.49</v>
      </c>
      <c r="F823" s="342"/>
      <c r="G823" s="344">
        <f t="shared" si="5"/>
        <v>1898.8</v>
      </c>
      <c r="H823" s="345"/>
      <c r="I823" s="346"/>
      <c r="J823" s="347"/>
      <c r="K823" s="312"/>
      <c r="L823" s="347"/>
      <c r="M823" s="312"/>
      <c r="N823" s="347"/>
      <c r="O823" s="312"/>
      <c r="P823" s="347"/>
      <c r="Q823" s="312"/>
      <c r="R823" s="347"/>
      <c r="S823" s="312"/>
      <c r="T823" s="347"/>
    </row>
    <row r="824" spans="1:20" ht="12" customHeight="1" x14ac:dyDescent="0.3">
      <c r="A824" s="340" t="s">
        <v>289</v>
      </c>
      <c r="B824" s="341">
        <v>7</v>
      </c>
      <c r="C824" s="309">
        <v>46025</v>
      </c>
      <c r="D824" s="310" t="s">
        <v>496</v>
      </c>
      <c r="E824" s="342">
        <v>99.18</v>
      </c>
      <c r="F824" s="342"/>
      <c r="G824" s="344">
        <f t="shared" si="5"/>
        <v>2121.29</v>
      </c>
      <c r="H824" s="345"/>
      <c r="I824" s="346"/>
      <c r="J824" s="347"/>
      <c r="K824" s="312"/>
      <c r="L824" s="347"/>
      <c r="M824" s="312"/>
      <c r="N824" s="347"/>
      <c r="O824" s="312"/>
      <c r="P824" s="347"/>
      <c r="Q824" s="312"/>
      <c r="R824" s="347"/>
      <c r="S824" s="312"/>
      <c r="T824" s="347"/>
    </row>
    <row r="825" spans="1:20" ht="12" customHeight="1" x14ac:dyDescent="0.3">
      <c r="A825" s="340" t="s">
        <v>289</v>
      </c>
      <c r="B825" s="341">
        <v>5</v>
      </c>
      <c r="C825" s="309">
        <v>46024</v>
      </c>
      <c r="D825" s="310" t="s">
        <v>497</v>
      </c>
      <c r="E825" s="342">
        <v>35</v>
      </c>
      <c r="F825" s="342"/>
      <c r="G825" s="344">
        <f t="shared" si="5"/>
        <v>2220.4699999999998</v>
      </c>
      <c r="H825" s="345"/>
      <c r="I825" s="346"/>
      <c r="J825" s="347"/>
      <c r="K825" s="312"/>
      <c r="L825" s="347"/>
      <c r="M825" s="312"/>
      <c r="N825" s="347"/>
      <c r="O825" s="312"/>
      <c r="P825" s="347"/>
      <c r="Q825" s="312"/>
      <c r="R825" s="347"/>
      <c r="S825" s="312"/>
      <c r="T825" s="347"/>
    </row>
    <row r="826" spans="1:20" ht="12" customHeight="1" x14ac:dyDescent="0.3">
      <c r="A826" s="340" t="s">
        <v>289</v>
      </c>
      <c r="B826" s="341">
        <v>3</v>
      </c>
      <c r="C826" s="309">
        <v>46024</v>
      </c>
      <c r="D826" s="310" t="s">
        <v>296</v>
      </c>
      <c r="E826" s="342">
        <v>15.11</v>
      </c>
      <c r="F826" s="342"/>
      <c r="G826" s="344">
        <f t="shared" si="5"/>
        <v>2255.4699999999998</v>
      </c>
      <c r="H826" s="345"/>
      <c r="I826" s="346"/>
      <c r="J826" s="347"/>
      <c r="K826" s="312"/>
      <c r="L826" s="347"/>
      <c r="M826" s="312"/>
      <c r="N826" s="347"/>
      <c r="O826" s="312"/>
      <c r="P826" s="347"/>
      <c r="Q826" s="312"/>
      <c r="R826" s="347"/>
      <c r="S826" s="312"/>
      <c r="T826" s="347"/>
    </row>
    <row r="827" spans="1:20" ht="12" customHeight="1" x14ac:dyDescent="0.3">
      <c r="A827" s="340" t="s">
        <v>289</v>
      </c>
      <c r="B827" s="341">
        <v>5</v>
      </c>
      <c r="C827" s="309">
        <v>46024</v>
      </c>
      <c r="D827" s="310" t="s">
        <v>498</v>
      </c>
      <c r="E827" s="342">
        <v>29.67</v>
      </c>
      <c r="F827" s="342"/>
      <c r="G827" s="344">
        <f t="shared" si="5"/>
        <v>2270.58</v>
      </c>
      <c r="H827" s="345"/>
      <c r="I827" s="346"/>
      <c r="J827" s="347"/>
      <c r="K827" s="312"/>
      <c r="L827" s="347"/>
      <c r="M827" s="312"/>
      <c r="N827" s="347"/>
      <c r="O827" s="312"/>
      <c r="P827" s="347"/>
      <c r="Q827" s="312"/>
      <c r="R827" s="347"/>
      <c r="S827" s="312"/>
      <c r="T827" s="347"/>
    </row>
    <row r="828" spans="1:20" ht="12" customHeight="1" x14ac:dyDescent="0.3">
      <c r="A828" s="340" t="s">
        <v>287</v>
      </c>
      <c r="B828" s="341" t="s">
        <v>287</v>
      </c>
      <c r="C828" s="309">
        <v>46024</v>
      </c>
      <c r="D828" s="310" t="s">
        <v>402</v>
      </c>
      <c r="E828" s="342">
        <v>70.56</v>
      </c>
      <c r="F828" s="342">
        <v>70.56</v>
      </c>
      <c r="G828" s="344">
        <f t="shared" si="5"/>
        <v>2300.25</v>
      </c>
      <c r="H828" s="345"/>
      <c r="I828" s="346"/>
      <c r="J828" s="347"/>
      <c r="K828" s="312"/>
      <c r="L828" s="347"/>
      <c r="M828" s="312"/>
      <c r="N828" s="347"/>
      <c r="O828" s="312"/>
      <c r="P828" s="347"/>
      <c r="Q828" s="312"/>
      <c r="R828" s="347"/>
      <c r="S828" s="312"/>
      <c r="T828" s="347"/>
    </row>
    <row r="829" spans="1:20" ht="12" customHeight="1" x14ac:dyDescent="0.3">
      <c r="A829" s="340" t="s">
        <v>287</v>
      </c>
      <c r="B829" s="341" t="s">
        <v>287</v>
      </c>
      <c r="C829" s="309">
        <v>46024</v>
      </c>
      <c r="D829" s="310" t="s">
        <v>499</v>
      </c>
      <c r="E829" s="342">
        <v>113.94</v>
      </c>
      <c r="F829" s="342">
        <v>113.94</v>
      </c>
      <c r="G829" s="344">
        <f t="shared" si="5"/>
        <v>2300.25</v>
      </c>
      <c r="H829" s="345"/>
      <c r="I829" s="346"/>
      <c r="J829" s="347"/>
      <c r="K829" s="312"/>
      <c r="L829" s="347"/>
      <c r="M829" s="312"/>
      <c r="N829" s="347"/>
      <c r="O829" s="312"/>
      <c r="P829" s="347"/>
      <c r="Q829" s="312"/>
      <c r="R829" s="347"/>
      <c r="S829" s="312"/>
      <c r="T829" s="347"/>
    </row>
    <row r="830" spans="1:20" ht="12" customHeight="1" x14ac:dyDescent="0.3">
      <c r="A830" s="340" t="s">
        <v>289</v>
      </c>
      <c r="B830" s="341">
        <v>2</v>
      </c>
      <c r="C830" s="309">
        <v>46024</v>
      </c>
      <c r="D830" s="310" t="s">
        <v>375</v>
      </c>
      <c r="E830" s="342">
        <v>11.9</v>
      </c>
      <c r="F830" s="342"/>
      <c r="G830" s="344">
        <f t="shared" si="5"/>
        <v>2300.25</v>
      </c>
      <c r="H830" s="345"/>
      <c r="I830" s="346"/>
      <c r="J830" s="347"/>
      <c r="K830" s="312"/>
      <c r="L830" s="347"/>
      <c r="M830" s="312"/>
      <c r="N830" s="347"/>
      <c r="O830" s="312"/>
      <c r="P830" s="347"/>
      <c r="Q830" s="312"/>
      <c r="R830" s="347"/>
      <c r="S830" s="312"/>
      <c r="T830" s="347"/>
    </row>
    <row r="831" spans="1:20" ht="12" customHeight="1" x14ac:dyDescent="0.3">
      <c r="A831" s="340" t="s">
        <v>289</v>
      </c>
      <c r="B831" s="341">
        <v>2</v>
      </c>
      <c r="C831" s="309">
        <v>46024</v>
      </c>
      <c r="D831" s="310" t="s">
        <v>415</v>
      </c>
      <c r="E831" s="342">
        <v>23.9</v>
      </c>
      <c r="F831" s="342"/>
      <c r="G831" s="344">
        <f t="shared" si="5"/>
        <v>2312.15</v>
      </c>
      <c r="H831" s="345"/>
      <c r="I831" s="346"/>
      <c r="J831" s="347"/>
      <c r="K831" s="312"/>
      <c r="L831" s="347"/>
      <c r="M831" s="312"/>
      <c r="N831" s="347"/>
      <c r="O831" s="312"/>
      <c r="P831" s="347"/>
      <c r="Q831" s="312"/>
      <c r="R831" s="347"/>
      <c r="S831" s="312"/>
      <c r="T831" s="347"/>
    </row>
    <row r="832" spans="1:20" ht="12" customHeight="1" x14ac:dyDescent="0.3">
      <c r="A832" s="340" t="s">
        <v>289</v>
      </c>
      <c r="B832" s="341">
        <v>5</v>
      </c>
      <c r="C832" s="309">
        <v>46024</v>
      </c>
      <c r="D832" s="310" t="s">
        <v>500</v>
      </c>
      <c r="E832" s="342">
        <v>160</v>
      </c>
      <c r="F832" s="342"/>
      <c r="G832" s="344">
        <f t="shared" si="5"/>
        <v>2336.0500000000002</v>
      </c>
      <c r="H832" s="345"/>
      <c r="I832" s="346"/>
      <c r="J832" s="347"/>
      <c r="K832" s="312"/>
      <c r="L832" s="347"/>
      <c r="M832" s="312"/>
      <c r="N832" s="347"/>
      <c r="O832" s="312"/>
      <c r="P832" s="347"/>
      <c r="Q832" s="312"/>
      <c r="R832" s="347"/>
      <c r="S832" s="312"/>
      <c r="T832" s="347"/>
    </row>
    <row r="833" spans="1:20" ht="12" customHeight="1" x14ac:dyDescent="0.3">
      <c r="A833" s="340" t="s">
        <v>284</v>
      </c>
      <c r="B833" s="341">
        <v>36</v>
      </c>
      <c r="C833" s="309">
        <v>46024</v>
      </c>
      <c r="D833" s="310" t="s">
        <v>378</v>
      </c>
      <c r="E833" s="342">
        <v>50</v>
      </c>
      <c r="F833" s="342"/>
      <c r="G833" s="344">
        <f t="shared" si="5"/>
        <v>2496.0500000000002</v>
      </c>
      <c r="H833" s="345"/>
      <c r="I833" s="346"/>
      <c r="J833" s="347"/>
      <c r="K833" s="312"/>
      <c r="L833" s="347"/>
      <c r="M833" s="312"/>
      <c r="N833" s="347"/>
      <c r="O833" s="312"/>
      <c r="P833" s="347"/>
      <c r="Q833" s="312"/>
      <c r="R833" s="347"/>
      <c r="S833" s="312"/>
      <c r="T833" s="347"/>
    </row>
    <row r="834" spans="1:20" ht="12" customHeight="1" x14ac:dyDescent="0.3">
      <c r="A834" s="340" t="s">
        <v>289</v>
      </c>
      <c r="B834" s="341">
        <v>6</v>
      </c>
      <c r="C834" s="309">
        <v>46023</v>
      </c>
      <c r="D834" s="310" t="s">
        <v>313</v>
      </c>
      <c r="E834" s="342">
        <v>8</v>
      </c>
      <c r="F834" s="342"/>
      <c r="G834" s="344">
        <f t="shared" si="5"/>
        <v>2546.0500000000002</v>
      </c>
      <c r="H834" s="345"/>
      <c r="I834" s="346"/>
      <c r="J834" s="347"/>
      <c r="K834" s="312"/>
      <c r="L834" s="347"/>
      <c r="M834" s="312"/>
      <c r="N834" s="347"/>
      <c r="O834" s="312"/>
      <c r="P834" s="347"/>
      <c r="Q834" s="312"/>
      <c r="R834" s="347"/>
      <c r="S834" s="312"/>
      <c r="T834" s="347"/>
    </row>
    <row r="835" spans="1:20" ht="12" customHeight="1" x14ac:dyDescent="0.3">
      <c r="A835" s="340" t="s">
        <v>289</v>
      </c>
      <c r="B835" s="341">
        <v>2</v>
      </c>
      <c r="C835" s="309">
        <v>46023</v>
      </c>
      <c r="D835" s="310" t="s">
        <v>375</v>
      </c>
      <c r="E835" s="342">
        <v>13.06</v>
      </c>
      <c r="F835" s="342"/>
      <c r="G835" s="344">
        <f t="shared" si="5"/>
        <v>2554.0500000000002</v>
      </c>
      <c r="H835" s="345"/>
      <c r="I835" s="346"/>
      <c r="J835" s="347"/>
      <c r="K835" s="312"/>
      <c r="L835" s="347"/>
      <c r="M835" s="312"/>
      <c r="N835" s="347"/>
      <c r="O835" s="312"/>
      <c r="P835" s="347"/>
      <c r="Q835" s="312"/>
      <c r="R835" s="347"/>
      <c r="S835" s="312"/>
      <c r="T835" s="347"/>
    </row>
    <row r="836" spans="1:20" ht="12" customHeight="1" x14ac:dyDescent="0.3">
      <c r="A836" s="340" t="s">
        <v>294</v>
      </c>
      <c r="B836" s="341">
        <v>22</v>
      </c>
      <c r="C836" s="309">
        <v>46023</v>
      </c>
      <c r="D836" s="310" t="s">
        <v>379</v>
      </c>
      <c r="E836" s="342">
        <v>6.37</v>
      </c>
      <c r="F836" s="342"/>
      <c r="G836" s="344">
        <f t="shared" si="5"/>
        <v>2567.11</v>
      </c>
      <c r="H836" s="345"/>
      <c r="I836" s="346"/>
      <c r="J836" s="347"/>
      <c r="K836" s="312"/>
      <c r="L836" s="347"/>
      <c r="M836" s="312"/>
      <c r="N836" s="347"/>
      <c r="O836" s="312"/>
      <c r="P836" s="347"/>
      <c r="Q836" s="312"/>
      <c r="R836" s="347"/>
      <c r="S836" s="312"/>
      <c r="T836" s="347"/>
    </row>
    <row r="837" spans="1:20" ht="12" customHeight="1" x14ac:dyDescent="0.3">
      <c r="A837" s="340" t="s">
        <v>289</v>
      </c>
      <c r="B837" s="341">
        <v>2</v>
      </c>
      <c r="C837" s="309">
        <v>46023</v>
      </c>
      <c r="D837" s="310" t="s">
        <v>362</v>
      </c>
      <c r="E837" s="342">
        <v>10.27</v>
      </c>
      <c r="F837" s="342"/>
      <c r="G837" s="344">
        <f t="shared" si="5"/>
        <v>2573.48</v>
      </c>
      <c r="H837" s="345"/>
      <c r="I837" s="346"/>
      <c r="J837" s="347"/>
      <c r="K837" s="312"/>
      <c r="L837" s="347"/>
      <c r="M837" s="312"/>
      <c r="N837" s="347"/>
      <c r="O837" s="312"/>
      <c r="P837" s="347"/>
      <c r="Q837" s="312"/>
      <c r="R837" s="347"/>
      <c r="S837" s="312"/>
      <c r="T837" s="347"/>
    </row>
    <row r="838" spans="1:20" ht="12" customHeight="1" x14ac:dyDescent="0.3">
      <c r="A838" s="340" t="s">
        <v>289</v>
      </c>
      <c r="B838" s="341">
        <v>6</v>
      </c>
      <c r="C838" s="309">
        <v>46023</v>
      </c>
      <c r="D838" s="310" t="s">
        <v>501</v>
      </c>
      <c r="E838" s="342">
        <v>176.57</v>
      </c>
      <c r="F838" s="342"/>
      <c r="G838" s="344">
        <f t="shared" si="5"/>
        <v>2583.75</v>
      </c>
      <c r="H838" s="345"/>
      <c r="I838" s="346"/>
      <c r="J838" s="347"/>
      <c r="K838" s="312"/>
      <c r="L838" s="347"/>
      <c r="M838" s="312"/>
      <c r="N838" s="347"/>
      <c r="O838" s="312"/>
      <c r="P838" s="347"/>
      <c r="Q838" s="312"/>
      <c r="R838" s="347"/>
      <c r="S838" s="312"/>
      <c r="T838" s="347"/>
    </row>
    <row r="839" spans="1:20" ht="12" customHeight="1" x14ac:dyDescent="0.3">
      <c r="A839" s="340" t="s">
        <v>287</v>
      </c>
      <c r="B839" s="341" t="s">
        <v>287</v>
      </c>
      <c r="C839" s="309">
        <v>46023</v>
      </c>
      <c r="D839" s="310" t="s">
        <v>300</v>
      </c>
      <c r="E839" s="342">
        <v>383.39</v>
      </c>
      <c r="F839" s="342">
        <v>383.39</v>
      </c>
      <c r="G839" s="344">
        <f t="shared" si="5"/>
        <v>2760.32</v>
      </c>
      <c r="H839" s="345"/>
      <c r="I839" s="346"/>
      <c r="J839" s="347"/>
      <c r="K839" s="312"/>
      <c r="L839" s="347"/>
      <c r="M839" s="312"/>
      <c r="N839" s="347"/>
      <c r="O839" s="312"/>
      <c r="P839" s="347"/>
      <c r="Q839" s="312"/>
      <c r="R839" s="347"/>
      <c r="S839" s="312"/>
      <c r="T839" s="347"/>
    </row>
    <row r="840" spans="1:20" ht="12" customHeight="1" x14ac:dyDescent="0.3">
      <c r="A840" s="340" t="s">
        <v>287</v>
      </c>
      <c r="B840" s="341" t="s">
        <v>287</v>
      </c>
      <c r="C840" s="309">
        <v>46023</v>
      </c>
      <c r="D840" s="310" t="s">
        <v>300</v>
      </c>
      <c r="E840" s="342">
        <v>53.24</v>
      </c>
      <c r="F840" s="342">
        <v>53.24</v>
      </c>
      <c r="G840" s="344">
        <f t="shared" si="5"/>
        <v>2760.32</v>
      </c>
      <c r="H840" s="345"/>
      <c r="I840" s="346"/>
      <c r="J840" s="347"/>
      <c r="K840" s="312"/>
      <c r="L840" s="347"/>
      <c r="M840" s="312"/>
      <c r="N840" s="347"/>
      <c r="O840" s="312"/>
      <c r="P840" s="347"/>
      <c r="Q840" s="312"/>
      <c r="R840" s="347"/>
      <c r="S840" s="312"/>
      <c r="T840" s="347"/>
    </row>
    <row r="841" spans="1:20" ht="12" customHeight="1" x14ac:dyDescent="0.3">
      <c r="A841" s="340" t="s">
        <v>339</v>
      </c>
      <c r="B841" s="341" t="s">
        <v>339</v>
      </c>
      <c r="C841" s="309">
        <v>46023</v>
      </c>
      <c r="D841" s="348" t="s">
        <v>469</v>
      </c>
      <c r="E841" s="342">
        <v>239.68</v>
      </c>
      <c r="F841" s="342"/>
      <c r="G841" s="344">
        <f t="shared" si="5"/>
        <v>2760.32</v>
      </c>
      <c r="H841" s="345"/>
      <c r="I841" s="346"/>
      <c r="J841" s="347"/>
      <c r="K841" s="312"/>
      <c r="L841" s="347"/>
      <c r="M841" s="312"/>
      <c r="N841" s="347"/>
      <c r="O841" s="312"/>
      <c r="P841" s="347"/>
      <c r="Q841" s="312"/>
      <c r="R841" s="347"/>
      <c r="S841" s="312"/>
      <c r="T841" s="347"/>
    </row>
    <row r="842" spans="1:20" ht="12" customHeight="1" x14ac:dyDescent="0.3">
      <c r="A842" s="340" t="s">
        <v>502</v>
      </c>
      <c r="B842" s="341" t="s">
        <v>502</v>
      </c>
      <c r="C842" s="309">
        <v>45658</v>
      </c>
      <c r="D842" s="309" t="s">
        <v>503</v>
      </c>
      <c r="E842" s="343"/>
      <c r="F842" s="343"/>
      <c r="G842" s="344">
        <v>3000</v>
      </c>
      <c r="H842" s="345"/>
      <c r="I842" s="346"/>
      <c r="J842" s="347"/>
      <c r="K842" s="312"/>
      <c r="L842" s="347"/>
      <c r="M842" s="312"/>
      <c r="N842" s="347"/>
      <c r="O842" s="312"/>
      <c r="P842" s="347"/>
      <c r="Q842" s="312"/>
      <c r="R842" s="347"/>
      <c r="S842" s="312"/>
      <c r="T842" s="347"/>
    </row>
    <row r="843" spans="1:20" ht="15.75" customHeight="1" x14ac:dyDescent="0.3"/>
    <row r="844" spans="1:20" ht="15.75" customHeight="1" x14ac:dyDescent="0.3"/>
    <row r="845" spans="1:20" ht="15.75" customHeight="1" x14ac:dyDescent="0.3"/>
    <row r="846" spans="1:20" ht="15.75" customHeight="1" x14ac:dyDescent="0.3"/>
    <row r="847" spans="1:20" ht="15.75" customHeight="1" x14ac:dyDescent="0.3"/>
    <row r="848" spans="1:20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spans="9:9" ht="15.75" customHeight="1" x14ac:dyDescent="0.3"/>
    <row r="2562" spans="9:9" ht="15.75" customHeight="1" x14ac:dyDescent="0.3"/>
    <row r="2563" spans="9:9" ht="15.75" customHeight="1" x14ac:dyDescent="0.3"/>
    <row r="2564" spans="9:9" ht="15.75" customHeight="1" x14ac:dyDescent="0.3"/>
    <row r="2565" spans="9:9" ht="15.75" customHeight="1" x14ac:dyDescent="0.3"/>
    <row r="2566" spans="9:9" ht="15.75" customHeight="1" x14ac:dyDescent="0.3"/>
    <row r="2567" spans="9:9" ht="15.75" customHeight="1" x14ac:dyDescent="0.3"/>
    <row r="2568" spans="9:9" ht="15.75" customHeight="1" x14ac:dyDescent="0.3"/>
    <row r="2569" spans="9:9" ht="15.75" customHeight="1" x14ac:dyDescent="0.3"/>
    <row r="2570" spans="9:9" ht="15.75" customHeight="1" x14ac:dyDescent="0.3"/>
    <row r="2571" spans="9:9" ht="15.75" customHeight="1" x14ac:dyDescent="0.3"/>
    <row r="2572" spans="9:9" ht="12" customHeight="1" x14ac:dyDescent="0.3">
      <c r="I2572" s="346" t="s">
        <v>225</v>
      </c>
    </row>
    <row r="2573" spans="9:9" ht="12" customHeight="1" x14ac:dyDescent="0.3">
      <c r="I2573" s="346"/>
    </row>
    <row r="2574" spans="9:9" ht="12" customHeight="1" x14ac:dyDescent="0.3">
      <c r="I2574" s="346"/>
    </row>
    <row r="2575" spans="9:9" ht="12" customHeight="1" x14ac:dyDescent="0.3">
      <c r="I2575" s="346"/>
    </row>
    <row r="2576" spans="9:9" ht="12" customHeight="1" x14ac:dyDescent="0.3">
      <c r="I2576" s="346"/>
    </row>
    <row r="2577" spans="9:9" ht="12" customHeight="1" x14ac:dyDescent="0.3">
      <c r="I2577" s="346"/>
    </row>
    <row r="2578" spans="9:9" ht="12" customHeight="1" x14ac:dyDescent="0.3">
      <c r="I2578" s="346"/>
    </row>
    <row r="2579" spans="9:9" ht="12" customHeight="1" x14ac:dyDescent="0.3">
      <c r="I2579" s="346"/>
    </row>
    <row r="2580" spans="9:9" ht="12" customHeight="1" x14ac:dyDescent="0.3">
      <c r="I2580" s="346"/>
    </row>
    <row r="2581" spans="9:9" ht="12" customHeight="1" x14ac:dyDescent="0.3">
      <c r="I2581" s="346" t="s">
        <v>226</v>
      </c>
    </row>
    <row r="2582" spans="9:9" ht="15.75" customHeight="1" x14ac:dyDescent="0.3"/>
    <row r="2583" spans="9:9" ht="15.75" customHeight="1" x14ac:dyDescent="0.3"/>
    <row r="2584" spans="9:9" ht="12" customHeight="1" x14ac:dyDescent="0.3">
      <c r="I2584" s="346" t="s">
        <v>226</v>
      </c>
    </row>
    <row r="2585" spans="9:9" ht="12" customHeight="1" x14ac:dyDescent="0.3">
      <c r="I2585" s="346"/>
    </row>
    <row r="2586" spans="9:9" ht="12" customHeight="1" x14ac:dyDescent="0.3">
      <c r="I2586" s="346"/>
    </row>
    <row r="2587" spans="9:9" ht="12" customHeight="1" x14ac:dyDescent="0.3">
      <c r="I2587" s="346"/>
    </row>
    <row r="2588" spans="9:9" ht="12" customHeight="1" x14ac:dyDescent="0.3">
      <c r="I2588" s="346"/>
    </row>
    <row r="2589" spans="9:9" ht="12" customHeight="1" x14ac:dyDescent="0.3">
      <c r="I2589" s="346"/>
    </row>
    <row r="2590" spans="9:9" ht="12" customHeight="1" x14ac:dyDescent="0.3">
      <c r="I2590" s="346" t="s">
        <v>226</v>
      </c>
    </row>
    <row r="2591" spans="9:9" ht="12" customHeight="1" x14ac:dyDescent="0.3">
      <c r="I2591" s="346" t="s">
        <v>226</v>
      </c>
    </row>
    <row r="2592" spans="9:9" ht="12" customHeight="1" x14ac:dyDescent="0.3">
      <c r="I2592" s="346"/>
    </row>
    <row r="2593" spans="9:9" ht="12" customHeight="1" x14ac:dyDescent="0.3">
      <c r="I2593" s="346"/>
    </row>
    <row r="2594" spans="9:9" ht="12" customHeight="1" x14ac:dyDescent="0.3">
      <c r="I2594" s="346"/>
    </row>
    <row r="2595" spans="9:9" ht="12" customHeight="1" x14ac:dyDescent="0.3">
      <c r="I2595" s="346" t="s">
        <v>226</v>
      </c>
    </row>
    <row r="2596" spans="9:9" ht="12" customHeight="1" x14ac:dyDescent="0.3">
      <c r="I2596" s="346" t="s">
        <v>225</v>
      </c>
    </row>
    <row r="2597" spans="9:9" ht="12" customHeight="1" x14ac:dyDescent="0.3">
      <c r="I2597" s="346" t="s">
        <v>225</v>
      </c>
    </row>
    <row r="2598" spans="9:9" ht="15.75" customHeight="1" x14ac:dyDescent="0.3"/>
    <row r="2599" spans="9:9" ht="15.75" customHeight="1" x14ac:dyDescent="0.3"/>
    <row r="2600" spans="9:9" ht="12" customHeight="1" x14ac:dyDescent="0.3">
      <c r="I2600" s="346" t="s">
        <v>225</v>
      </c>
    </row>
    <row r="2601" spans="9:9" ht="12" customHeight="1" x14ac:dyDescent="0.3">
      <c r="I2601" s="346"/>
    </row>
    <row r="2602" spans="9:9" ht="12" customHeight="1" x14ac:dyDescent="0.3">
      <c r="I2602" s="346" t="s">
        <v>226</v>
      </c>
    </row>
    <row r="2603" spans="9:9" ht="12" customHeight="1" x14ac:dyDescent="0.3">
      <c r="I2603" s="346"/>
    </row>
    <row r="2604" spans="9:9" ht="12" customHeight="1" x14ac:dyDescent="0.3">
      <c r="I2604" s="346"/>
    </row>
    <row r="2605" spans="9:9" ht="12" customHeight="1" x14ac:dyDescent="0.3">
      <c r="I2605" s="346" t="s">
        <v>226</v>
      </c>
    </row>
    <row r="2606" spans="9:9" ht="12" customHeight="1" x14ac:dyDescent="0.3">
      <c r="I2606" s="346"/>
    </row>
    <row r="2607" spans="9:9" ht="12" customHeight="1" x14ac:dyDescent="0.3">
      <c r="I2607" s="346" t="s">
        <v>226</v>
      </c>
    </row>
    <row r="2608" spans="9:9" ht="15.75" customHeight="1" x14ac:dyDescent="0.3"/>
    <row r="2609" spans="9:9" ht="15.75" customHeight="1" x14ac:dyDescent="0.3"/>
    <row r="2610" spans="9:9" ht="15.75" customHeight="1" x14ac:dyDescent="0.3"/>
    <row r="2611" spans="9:9" ht="15.75" customHeight="1" x14ac:dyDescent="0.3"/>
    <row r="2612" spans="9:9" ht="15.75" customHeight="1" x14ac:dyDescent="0.3"/>
    <row r="2613" spans="9:9" ht="15.75" customHeight="1" x14ac:dyDescent="0.3"/>
    <row r="2614" spans="9:9" ht="15.75" customHeight="1" x14ac:dyDescent="0.3"/>
    <row r="2615" spans="9:9" ht="15.75" customHeight="1" x14ac:dyDescent="0.3"/>
    <row r="2616" spans="9:9" ht="12" customHeight="1" x14ac:dyDescent="0.3">
      <c r="I2616" s="346" t="s">
        <v>226</v>
      </c>
    </row>
    <row r="2617" spans="9:9" ht="12" customHeight="1" x14ac:dyDescent="0.3">
      <c r="I2617" s="346"/>
    </row>
    <row r="2618" spans="9:9" ht="12" customHeight="1" x14ac:dyDescent="0.3">
      <c r="I2618" s="346" t="s">
        <v>225</v>
      </c>
    </row>
    <row r="2619" spans="9:9" ht="12" customHeight="1" x14ac:dyDescent="0.3">
      <c r="I2619" s="346"/>
    </row>
    <row r="2620" spans="9:9" ht="12" customHeight="1" x14ac:dyDescent="0.3">
      <c r="I2620" s="346" t="s">
        <v>226</v>
      </c>
    </row>
    <row r="2621" spans="9:9" ht="12" customHeight="1" x14ac:dyDescent="0.3">
      <c r="I2621" s="346" t="s">
        <v>225</v>
      </c>
    </row>
    <row r="2622" spans="9:9" ht="15.75" customHeight="1" x14ac:dyDescent="0.3"/>
    <row r="2623" spans="9:9" ht="15.75" customHeight="1" x14ac:dyDescent="0.3"/>
    <row r="2624" spans="9:9" ht="15.75" customHeight="1" x14ac:dyDescent="0.3"/>
    <row r="2625" spans="9:9" ht="15.75" customHeight="1" x14ac:dyDescent="0.3"/>
    <row r="2626" spans="9:9" ht="15.75" customHeight="1" x14ac:dyDescent="0.3"/>
    <row r="2627" spans="9:9" ht="15.75" customHeight="1" x14ac:dyDescent="0.3"/>
    <row r="2628" spans="9:9" ht="15.75" customHeight="1" x14ac:dyDescent="0.3"/>
    <row r="2629" spans="9:9" ht="15.75" customHeight="1" x14ac:dyDescent="0.3"/>
    <row r="2630" spans="9:9" ht="15.75" customHeight="1" x14ac:dyDescent="0.3"/>
    <row r="2631" spans="9:9" ht="15.75" customHeight="1" x14ac:dyDescent="0.3"/>
    <row r="2632" spans="9:9" ht="15.75" customHeight="1" x14ac:dyDescent="0.3"/>
    <row r="2633" spans="9:9" ht="15.75" customHeight="1" x14ac:dyDescent="0.3"/>
    <row r="2634" spans="9:9" ht="15.75" customHeight="1" x14ac:dyDescent="0.3"/>
    <row r="2635" spans="9:9" ht="15.75" customHeight="1" x14ac:dyDescent="0.3"/>
    <row r="2636" spans="9:9" ht="15.75" customHeight="1" x14ac:dyDescent="0.3"/>
    <row r="2637" spans="9:9" ht="15.75" customHeight="1" x14ac:dyDescent="0.3"/>
    <row r="2638" spans="9:9" ht="15.75" customHeight="1" x14ac:dyDescent="0.3"/>
    <row r="2639" spans="9:9" ht="15.75" customHeight="1" x14ac:dyDescent="0.3"/>
    <row r="2640" spans="9:9" ht="12" customHeight="1" x14ac:dyDescent="0.3">
      <c r="I2640" s="346" t="s">
        <v>226</v>
      </c>
    </row>
  </sheetData>
  <autoFilter ref="A1:G842" xr:uid="{00000000-0009-0000-0000-000006000000}"/>
  <mergeCells count="5">
    <mergeCell ref="A1:B1"/>
    <mergeCell ref="E1:F1"/>
    <mergeCell ref="Q1:R1"/>
    <mergeCell ref="E2:F2"/>
    <mergeCell ref="E3:F3"/>
  </mergeCells>
  <conditionalFormatting sqref="I1 I4:I264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8"/>
  <sheetViews>
    <sheetView tabSelected="1" workbookViewId="0">
      <pane ySplit="1" topLeftCell="A2" activePane="bottomLeft" state="frozen"/>
      <selection pane="bottomLeft" activeCell="C12" sqref="C1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49" t="s">
        <v>504</v>
      </c>
      <c r="B1" s="350"/>
      <c r="C1" s="351"/>
      <c r="D1" s="569" t="s">
        <v>505</v>
      </c>
      <c r="E1" s="564"/>
      <c r="F1" s="570" t="s">
        <v>506</v>
      </c>
      <c r="G1" s="564"/>
      <c r="H1" s="569" t="str">
        <f>'Proposed Budget'!C33</f>
        <v>Vehicle Maintenance</v>
      </c>
      <c r="I1" s="564"/>
      <c r="J1" s="570" t="str">
        <f>'Proposed Budget'!C34</f>
        <v>Car Insurance</v>
      </c>
      <c r="K1" s="564"/>
      <c r="L1" s="569" t="str">
        <f>'Proposed Budget'!C35</f>
        <v>Rental Garbage</v>
      </c>
      <c r="M1" s="564"/>
      <c r="N1" s="570" t="str">
        <f>'Proposed Budget'!C36</f>
        <v>Garbage</v>
      </c>
      <c r="O1" s="564"/>
      <c r="P1" s="569" t="str">
        <f>'Monthly Breakdown'!C37</f>
        <v>Sanitation - Main</v>
      </c>
      <c r="Q1" s="564"/>
      <c r="R1" s="570" t="str">
        <f>'Proposed Budget'!C38</f>
        <v>Camping/Vacation</v>
      </c>
      <c r="S1" s="564"/>
      <c r="T1" s="569" t="str">
        <f>'Proposed Budget'!C39</f>
        <v>Home Maintenance</v>
      </c>
      <c r="U1" s="564"/>
      <c r="V1" s="570" t="str">
        <f>'Proposed Budget'!C40</f>
        <v>Rental Repairs</v>
      </c>
      <c r="W1" s="564"/>
      <c r="X1" s="569" t="str">
        <f>'Proposed Budget'!C41</f>
        <v>Rental Insurance</v>
      </c>
      <c r="Y1" s="564"/>
      <c r="Z1" s="570" t="str">
        <f>'Proposed Budget'!C42</f>
        <v>Rental Property Taxes</v>
      </c>
      <c r="AA1" s="564"/>
      <c r="AB1" s="569" t="str">
        <f>'Proposed Budget'!C43</f>
        <v>Rental Sanitation</v>
      </c>
      <c r="AC1" s="564"/>
    </row>
    <row r="2" spans="1:29" ht="14.25" customHeight="1" x14ac:dyDescent="0.3">
      <c r="A2" s="352">
        <f t="shared" ref="A2:A3" si="0">SUM(G2,E2,U2,I2,S2,O2,K2,M2,Q2,W2,Y2,AA2,AC2)</f>
        <v>8105.5200000000013</v>
      </c>
      <c r="B2" s="350"/>
      <c r="C2" s="351"/>
      <c r="D2" s="353" t="s">
        <v>507</v>
      </c>
      <c r="E2" s="354">
        <f>E3-E66</f>
        <v>15926.519999999999</v>
      </c>
      <c r="F2" s="355" t="s">
        <v>507</v>
      </c>
      <c r="G2" s="356">
        <f>G3-G66</f>
        <v>552.59000000000015</v>
      </c>
      <c r="H2" s="354" t="s">
        <v>507</v>
      </c>
      <c r="I2" s="354">
        <f>I3-I66</f>
        <v>870.94999999999982</v>
      </c>
      <c r="J2" s="355" t="s">
        <v>507</v>
      </c>
      <c r="K2" s="356">
        <f>K3-K66</f>
        <v>1280</v>
      </c>
      <c r="L2" s="354" t="s">
        <v>507</v>
      </c>
      <c r="M2" s="354">
        <f>M3-M66</f>
        <v>-26.960000000000008</v>
      </c>
      <c r="N2" s="356" t="s">
        <v>507</v>
      </c>
      <c r="O2" s="356">
        <f>O3-O66</f>
        <v>-26.960000000000008</v>
      </c>
      <c r="P2" s="354" t="s">
        <v>507</v>
      </c>
      <c r="Q2" s="354">
        <f>Q3-Q66</f>
        <v>-5.6399999999999864</v>
      </c>
      <c r="R2" s="356" t="s">
        <v>507</v>
      </c>
      <c r="S2" s="356">
        <f>S3-S66</f>
        <v>-2224.7800000000002</v>
      </c>
      <c r="T2" s="357" t="s">
        <v>507</v>
      </c>
      <c r="U2" s="354">
        <f>U3-U66</f>
        <v>-8117.66</v>
      </c>
      <c r="V2" s="356" t="s">
        <v>507</v>
      </c>
      <c r="W2" s="356">
        <f>W3-W66</f>
        <v>400</v>
      </c>
      <c r="X2" s="354" t="s">
        <v>507</v>
      </c>
      <c r="Y2" s="354">
        <f>Y3-Y66</f>
        <v>-160.5</v>
      </c>
      <c r="Z2" s="356" t="s">
        <v>507</v>
      </c>
      <c r="AA2" s="356">
        <f>AA3-AA66</f>
        <v>-356.40000000000009</v>
      </c>
      <c r="AB2" s="354" t="s">
        <v>507</v>
      </c>
      <c r="AC2" s="354">
        <f>AC3-AC66</f>
        <v>-5.6399999999999864</v>
      </c>
    </row>
    <row r="3" spans="1:29" ht="14.25" customHeight="1" x14ac:dyDescent="0.3">
      <c r="A3" s="352">
        <f t="shared" si="0"/>
        <v>20346.010000000002</v>
      </c>
      <c r="B3" s="358"/>
      <c r="C3" s="351"/>
      <c r="D3" s="353" t="s">
        <v>508</v>
      </c>
      <c r="E3" s="354">
        <f>SUM(E6:E66)-SUM(D6:D66)</f>
        <v>17637.009999999998</v>
      </c>
      <c r="F3" s="356" t="s">
        <v>508</v>
      </c>
      <c r="G3" s="356">
        <f>SUM(G6:G66)-SUM(F6:F66)</f>
        <v>1052.5900000000001</v>
      </c>
      <c r="H3" s="354" t="s">
        <v>508</v>
      </c>
      <c r="I3" s="354">
        <f>SUM(I6:I66)-SUM(H6:H66)</f>
        <v>2870.95</v>
      </c>
      <c r="J3" s="356" t="s">
        <v>508</v>
      </c>
      <c r="K3" s="356">
        <f>SUM(K6:K66)-SUM(J6:J66)</f>
        <v>2280</v>
      </c>
      <c r="L3" s="354" t="s">
        <v>508</v>
      </c>
      <c r="M3" s="354">
        <f>SUM(M6:M66)-SUM(L6:L66)</f>
        <v>38.039999999999992</v>
      </c>
      <c r="N3" s="356" t="s">
        <v>508</v>
      </c>
      <c r="O3" s="356">
        <f>SUM(O6:O66)-SUM(N6:N66)</f>
        <v>38.039999999999992</v>
      </c>
      <c r="P3" s="354" t="s">
        <v>508</v>
      </c>
      <c r="Q3" s="354">
        <f>SUM(Q6:Q66)-SUM(P6:P66)</f>
        <v>94.360000000000014</v>
      </c>
      <c r="R3" s="356" t="s">
        <v>508</v>
      </c>
      <c r="S3" s="356">
        <f>SUM(S6:S66)-SUM(R6:R66)</f>
        <v>-224.7800000000002</v>
      </c>
      <c r="T3" s="354" t="s">
        <v>508</v>
      </c>
      <c r="U3" s="354">
        <f>SUM(U6:U66)-SUM(T6:T66)</f>
        <v>-5617.66</v>
      </c>
      <c r="V3" s="356" t="s">
        <v>508</v>
      </c>
      <c r="W3" s="356">
        <f>SUM(W6:W66)-SUM(V6:V66)</f>
        <v>900</v>
      </c>
      <c r="X3" s="354" t="s">
        <v>508</v>
      </c>
      <c r="Y3" s="354">
        <f>SUM(Y6:Y66)-SUM(X6:X66)</f>
        <v>39.5</v>
      </c>
      <c r="Z3" s="356" t="s">
        <v>508</v>
      </c>
      <c r="AA3" s="356">
        <f>SUM(AA6:AA66)-SUM(Z6:Z66)</f>
        <v>1143.5999999999999</v>
      </c>
      <c r="AB3" s="354" t="s">
        <v>508</v>
      </c>
      <c r="AC3" s="354">
        <f>SUM(AC6:AC66)-SUM(AB6:AB66)</f>
        <v>94.360000000000014</v>
      </c>
    </row>
    <row r="4" spans="1:29" ht="14.25" customHeight="1" x14ac:dyDescent="0.3">
      <c r="A4" s="349" t="s">
        <v>509</v>
      </c>
      <c r="B4" s="358"/>
      <c r="C4" s="351"/>
      <c r="D4" s="569" t="s">
        <v>510</v>
      </c>
      <c r="E4" s="564"/>
      <c r="F4" s="570" t="s">
        <v>510</v>
      </c>
      <c r="G4" s="564"/>
      <c r="H4" s="569" t="s">
        <v>510</v>
      </c>
      <c r="I4" s="564"/>
      <c r="J4" s="570" t="s">
        <v>510</v>
      </c>
      <c r="K4" s="564"/>
      <c r="L4" s="569" t="s">
        <v>510</v>
      </c>
      <c r="M4" s="564"/>
      <c r="N4" s="570" t="s">
        <v>510</v>
      </c>
      <c r="O4" s="564"/>
      <c r="P4" s="569" t="s">
        <v>510</v>
      </c>
      <c r="Q4" s="564"/>
      <c r="R4" s="570" t="s">
        <v>511</v>
      </c>
      <c r="S4" s="564"/>
      <c r="T4" s="569" t="s">
        <v>512</v>
      </c>
      <c r="U4" s="564"/>
      <c r="V4" s="570" t="s">
        <v>510</v>
      </c>
      <c r="W4" s="564"/>
      <c r="X4" s="569" t="s">
        <v>510</v>
      </c>
      <c r="Y4" s="564"/>
      <c r="Z4" s="570" t="s">
        <v>510</v>
      </c>
      <c r="AA4" s="564"/>
      <c r="AB4" s="569" t="s">
        <v>510</v>
      </c>
      <c r="AC4" s="564"/>
    </row>
    <row r="5" spans="1:29" ht="14.25" customHeight="1" x14ac:dyDescent="0.3">
      <c r="A5" s="349" t="s">
        <v>513</v>
      </c>
      <c r="B5" s="358"/>
      <c r="C5" s="351"/>
      <c r="D5" s="353">
        <f t="shared" ref="D5:AC5" si="1">SUM(D6:D65)</f>
        <v>2804.9300000000003</v>
      </c>
      <c r="E5" s="354">
        <f t="shared" si="1"/>
        <v>18731.449999999997</v>
      </c>
      <c r="F5" s="356">
        <f t="shared" si="1"/>
        <v>0</v>
      </c>
      <c r="G5" s="356">
        <f t="shared" si="1"/>
        <v>552.59</v>
      </c>
      <c r="H5" s="354">
        <f t="shared" si="1"/>
        <v>529.04999999999995</v>
      </c>
      <c r="I5" s="354">
        <f t="shared" si="1"/>
        <v>1400</v>
      </c>
      <c r="J5" s="356">
        <f t="shared" si="1"/>
        <v>0</v>
      </c>
      <c r="K5" s="356">
        <f t="shared" si="1"/>
        <v>1280</v>
      </c>
      <c r="L5" s="354">
        <f t="shared" si="1"/>
        <v>126.96000000000001</v>
      </c>
      <c r="M5" s="354">
        <f t="shared" si="1"/>
        <v>100</v>
      </c>
      <c r="N5" s="356">
        <f t="shared" si="1"/>
        <v>126.96000000000001</v>
      </c>
      <c r="O5" s="356">
        <f t="shared" si="1"/>
        <v>100</v>
      </c>
      <c r="P5" s="354">
        <f t="shared" si="1"/>
        <v>185.64</v>
      </c>
      <c r="Q5" s="354">
        <f t="shared" si="1"/>
        <v>180</v>
      </c>
      <c r="R5" s="356">
        <f t="shared" si="1"/>
        <v>3824.78</v>
      </c>
      <c r="S5" s="356">
        <f t="shared" si="1"/>
        <v>1600</v>
      </c>
      <c r="T5" s="354">
        <f t="shared" si="1"/>
        <v>9617.66</v>
      </c>
      <c r="U5" s="354">
        <f t="shared" si="1"/>
        <v>1500</v>
      </c>
      <c r="V5" s="356">
        <f t="shared" si="1"/>
        <v>0</v>
      </c>
      <c r="W5" s="356">
        <f t="shared" si="1"/>
        <v>400</v>
      </c>
      <c r="X5" s="354">
        <f t="shared" si="1"/>
        <v>500.5</v>
      </c>
      <c r="Y5" s="354">
        <f t="shared" si="1"/>
        <v>340</v>
      </c>
      <c r="Z5" s="356">
        <f t="shared" si="1"/>
        <v>1276.4000000000001</v>
      </c>
      <c r="AA5" s="356">
        <f t="shared" si="1"/>
        <v>920</v>
      </c>
      <c r="AB5" s="354">
        <f t="shared" si="1"/>
        <v>185.64</v>
      </c>
      <c r="AC5" s="354">
        <f t="shared" si="1"/>
        <v>180</v>
      </c>
    </row>
    <row r="6" spans="1:29" ht="14.25" customHeight="1" x14ac:dyDescent="0.3">
      <c r="A6" s="349" t="s">
        <v>514</v>
      </c>
      <c r="B6" s="358" t="s">
        <v>515</v>
      </c>
      <c r="C6" s="295" t="s">
        <v>516</v>
      </c>
      <c r="D6" s="353" t="s">
        <v>281</v>
      </c>
      <c r="E6" s="354" t="s">
        <v>282</v>
      </c>
      <c r="F6" s="356" t="s">
        <v>281</v>
      </c>
      <c r="G6" s="356" t="s">
        <v>282</v>
      </c>
      <c r="H6" s="354" t="s">
        <v>281</v>
      </c>
      <c r="I6" s="354" t="s">
        <v>282</v>
      </c>
      <c r="J6" s="356" t="s">
        <v>281</v>
      </c>
      <c r="K6" s="356" t="s">
        <v>282</v>
      </c>
      <c r="L6" s="354" t="s">
        <v>281</v>
      </c>
      <c r="M6" s="354" t="s">
        <v>282</v>
      </c>
      <c r="N6" s="356" t="s">
        <v>281</v>
      </c>
      <c r="O6" s="356" t="s">
        <v>282</v>
      </c>
      <c r="P6" s="354" t="s">
        <v>281</v>
      </c>
      <c r="Q6" s="354" t="s">
        <v>282</v>
      </c>
      <c r="R6" s="356" t="s">
        <v>281</v>
      </c>
      <c r="S6" s="356" t="s">
        <v>282</v>
      </c>
      <c r="T6" s="354" t="s">
        <v>281</v>
      </c>
      <c r="U6" s="354" t="s">
        <v>282</v>
      </c>
      <c r="V6" s="356" t="s">
        <v>281</v>
      </c>
      <c r="W6" s="356" t="s">
        <v>282</v>
      </c>
      <c r="X6" s="354" t="s">
        <v>281</v>
      </c>
      <c r="Y6" s="354" t="s">
        <v>282</v>
      </c>
      <c r="Z6" s="356" t="s">
        <v>281</v>
      </c>
      <c r="AA6" s="356" t="s">
        <v>282</v>
      </c>
      <c r="AB6" s="354" t="s">
        <v>281</v>
      </c>
      <c r="AC6" s="354" t="s">
        <v>282</v>
      </c>
    </row>
    <row r="7" spans="1:29" ht="14.25" customHeight="1" x14ac:dyDescent="0.3">
      <c r="A7" s="349">
        <v>46155</v>
      </c>
      <c r="B7" s="358">
        <f t="shared" ref="B7:B66" si="2">SUM(E7,U7,K7,G7,I7,S7,O7,M7,Q7,W7,Y7,AA7,AC7)-SUM(D7,F7,T7,H7,R7,N7,J7,L7,P7,V7,X7,Z7,AB7)</f>
        <v>-221.4</v>
      </c>
      <c r="C7" s="359" t="s">
        <v>872</v>
      </c>
      <c r="D7" s="353"/>
      <c r="E7" s="354"/>
      <c r="F7" s="356"/>
      <c r="G7" s="356"/>
      <c r="H7" s="354">
        <v>221.4</v>
      </c>
      <c r="I7" s="354"/>
      <c r="J7" s="356"/>
      <c r="K7" s="356"/>
      <c r="L7" s="354"/>
      <c r="M7" s="354"/>
      <c r="N7" s="356"/>
      <c r="O7" s="356"/>
      <c r="P7" s="354"/>
      <c r="Q7" s="354"/>
      <c r="R7" s="356"/>
      <c r="S7" s="356"/>
      <c r="T7" s="354"/>
      <c r="U7" s="354"/>
      <c r="V7" s="356"/>
      <c r="W7" s="356"/>
      <c r="X7" s="354"/>
      <c r="Y7" s="354"/>
      <c r="Z7" s="356"/>
      <c r="AA7" s="356"/>
      <c r="AB7" s="354"/>
      <c r="AC7" s="354"/>
    </row>
    <row r="8" spans="1:29" ht="14.25" customHeight="1" x14ac:dyDescent="0.3">
      <c r="A8" s="349">
        <v>46155</v>
      </c>
      <c r="B8" s="358">
        <f t="shared" si="2"/>
        <v>444.44</v>
      </c>
      <c r="C8" s="359" t="s">
        <v>533</v>
      </c>
      <c r="D8" s="353"/>
      <c r="E8" s="354">
        <v>444.44</v>
      </c>
      <c r="F8" s="356"/>
      <c r="G8" s="356"/>
      <c r="H8" s="354"/>
      <c r="I8" s="354"/>
      <c r="J8" s="356"/>
      <c r="K8" s="356"/>
      <c r="L8" s="354"/>
      <c r="M8" s="354"/>
      <c r="N8" s="356"/>
      <c r="O8" s="356"/>
      <c r="P8" s="354"/>
      <c r="Q8" s="354"/>
      <c r="R8" s="356"/>
      <c r="S8" s="356"/>
      <c r="T8" s="354"/>
      <c r="U8" s="354"/>
      <c r="V8" s="356"/>
      <c r="W8" s="356"/>
      <c r="X8" s="354"/>
      <c r="Y8" s="354"/>
      <c r="Z8" s="356"/>
      <c r="AA8" s="356"/>
      <c r="AB8" s="354"/>
      <c r="AC8" s="354"/>
    </row>
    <row r="9" spans="1:29" ht="14.25" customHeight="1" x14ac:dyDescent="0.3">
      <c r="A9" s="349">
        <v>46155</v>
      </c>
      <c r="B9" s="358">
        <f t="shared" si="2"/>
        <v>351.69</v>
      </c>
      <c r="C9" s="359" t="s">
        <v>875</v>
      </c>
      <c r="D9" s="353"/>
      <c r="E9" s="354">
        <v>351.69</v>
      </c>
      <c r="F9" s="356"/>
      <c r="G9" s="356"/>
      <c r="H9" s="354"/>
      <c r="I9" s="354"/>
      <c r="J9" s="356"/>
      <c r="K9" s="356"/>
      <c r="L9" s="354"/>
      <c r="M9" s="354"/>
      <c r="N9" s="356"/>
      <c r="O9" s="356"/>
      <c r="P9" s="354"/>
      <c r="Q9" s="354"/>
      <c r="R9" s="356"/>
      <c r="S9" s="356"/>
      <c r="T9" s="354"/>
      <c r="U9" s="354"/>
      <c r="V9" s="356"/>
      <c r="W9" s="356"/>
      <c r="X9" s="354"/>
      <c r="Y9" s="354"/>
      <c r="Z9" s="356"/>
      <c r="AA9" s="356"/>
      <c r="AB9" s="354"/>
      <c r="AC9" s="354"/>
    </row>
    <row r="10" spans="1:29" ht="14.25" customHeight="1" x14ac:dyDescent="0.3">
      <c r="A10" s="349">
        <v>46153</v>
      </c>
      <c r="B10" s="358">
        <f t="shared" si="2"/>
        <v>-1045.8699999999999</v>
      </c>
      <c r="C10" s="359" t="s">
        <v>859</v>
      </c>
      <c r="D10" s="353"/>
      <c r="E10" s="354"/>
      <c r="F10" s="356"/>
      <c r="G10" s="356"/>
      <c r="H10" s="354"/>
      <c r="I10" s="354"/>
      <c r="J10" s="356"/>
      <c r="K10" s="356"/>
      <c r="L10" s="354"/>
      <c r="M10" s="354"/>
      <c r="N10" s="356"/>
      <c r="O10" s="356"/>
      <c r="P10" s="354"/>
      <c r="Q10" s="354"/>
      <c r="R10" s="356"/>
      <c r="S10" s="356"/>
      <c r="T10" s="354">
        <v>1045.8699999999999</v>
      </c>
      <c r="U10" s="354"/>
      <c r="V10" s="356"/>
      <c r="W10" s="356"/>
      <c r="X10" s="354"/>
      <c r="Y10" s="354"/>
      <c r="Z10" s="356"/>
      <c r="AA10" s="356"/>
      <c r="AB10" s="354"/>
      <c r="AC10" s="354"/>
    </row>
    <row r="11" spans="1:29" ht="14.25" customHeight="1" x14ac:dyDescent="0.3">
      <c r="A11" s="349">
        <v>46151</v>
      </c>
      <c r="B11" s="358">
        <f t="shared" si="2"/>
        <v>-903.88</v>
      </c>
      <c r="C11" s="359" t="s">
        <v>873</v>
      </c>
      <c r="D11" s="353"/>
      <c r="E11" s="354"/>
      <c r="F11" s="356"/>
      <c r="G11" s="356"/>
      <c r="H11" s="354"/>
      <c r="I11" s="354"/>
      <c r="J11" s="356"/>
      <c r="K11" s="356"/>
      <c r="L11" s="354"/>
      <c r="M11" s="354"/>
      <c r="N11" s="356"/>
      <c r="O11" s="356"/>
      <c r="P11" s="354"/>
      <c r="Q11" s="354"/>
      <c r="R11" s="356"/>
      <c r="S11" s="356"/>
      <c r="T11" s="354">
        <v>903.88</v>
      </c>
      <c r="U11" s="354"/>
      <c r="V11" s="356"/>
      <c r="W11" s="356"/>
      <c r="X11" s="354"/>
      <c r="Y11" s="354"/>
      <c r="Z11" s="356"/>
      <c r="AA11" s="356"/>
      <c r="AB11" s="354"/>
      <c r="AC11" s="354"/>
    </row>
    <row r="12" spans="1:29" ht="14.25" customHeight="1" x14ac:dyDescent="0.3">
      <c r="A12" s="349">
        <v>46149</v>
      </c>
      <c r="B12" s="358">
        <f t="shared" si="2"/>
        <v>69.400000000000006</v>
      </c>
      <c r="C12" s="359" t="s">
        <v>523</v>
      </c>
      <c r="D12" s="353"/>
      <c r="E12" s="354"/>
      <c r="F12" s="356"/>
      <c r="G12" s="356">
        <v>69.400000000000006</v>
      </c>
      <c r="H12" s="354"/>
      <c r="I12" s="354"/>
      <c r="J12" s="356"/>
      <c r="K12" s="356"/>
      <c r="L12" s="354"/>
      <c r="M12" s="354"/>
      <c r="N12" s="356"/>
      <c r="O12" s="356"/>
      <c r="P12" s="354"/>
      <c r="Q12" s="354"/>
      <c r="R12" s="356"/>
      <c r="S12" s="356"/>
      <c r="T12" s="354"/>
      <c r="U12" s="354"/>
      <c r="V12" s="356"/>
      <c r="W12" s="356"/>
      <c r="X12" s="354"/>
      <c r="Y12" s="354"/>
      <c r="Z12" s="356"/>
      <c r="AA12" s="356"/>
      <c r="AB12" s="354"/>
      <c r="AC12" s="354"/>
    </row>
    <row r="13" spans="1:29" ht="14.25" customHeight="1" x14ac:dyDescent="0.3">
      <c r="A13" s="349">
        <v>46148</v>
      </c>
      <c r="B13" s="358">
        <f t="shared" si="2"/>
        <v>-500.5</v>
      </c>
      <c r="C13" s="359" t="s">
        <v>212</v>
      </c>
      <c r="D13" s="353"/>
      <c r="E13" s="354"/>
      <c r="F13" s="356"/>
      <c r="G13" s="356"/>
      <c r="H13" s="354"/>
      <c r="I13" s="354"/>
      <c r="J13" s="356"/>
      <c r="K13" s="356"/>
      <c r="L13" s="354"/>
      <c r="M13" s="354"/>
      <c r="N13" s="356"/>
      <c r="O13" s="356"/>
      <c r="P13" s="354"/>
      <c r="Q13" s="354"/>
      <c r="R13" s="356"/>
      <c r="S13" s="356"/>
      <c r="T13" s="354"/>
      <c r="U13" s="354"/>
      <c r="V13" s="356"/>
      <c r="W13" s="356"/>
      <c r="X13" s="354">
        <v>500.5</v>
      </c>
      <c r="Y13" s="354"/>
      <c r="Z13" s="356"/>
      <c r="AA13" s="356"/>
      <c r="AB13" s="354"/>
      <c r="AC13" s="354"/>
    </row>
    <row r="14" spans="1:29" ht="14.25" customHeight="1" x14ac:dyDescent="0.3">
      <c r="A14" s="349">
        <v>46148</v>
      </c>
      <c r="B14" s="358">
        <f t="shared" si="2"/>
        <v>-457.94</v>
      </c>
      <c r="C14" s="359" t="s">
        <v>874</v>
      </c>
      <c r="D14" s="353">
        <v>457.94</v>
      </c>
      <c r="E14" s="354"/>
      <c r="F14" s="356"/>
      <c r="G14" s="356"/>
      <c r="H14" s="354"/>
      <c r="I14" s="354"/>
      <c r="J14" s="356"/>
      <c r="K14" s="356"/>
      <c r="L14" s="354"/>
      <c r="M14" s="354"/>
      <c r="N14" s="356"/>
      <c r="O14" s="356"/>
      <c r="P14" s="354"/>
      <c r="Q14" s="354"/>
      <c r="R14" s="356"/>
      <c r="S14" s="356"/>
      <c r="T14" s="354"/>
      <c r="U14" s="354"/>
      <c r="V14" s="356"/>
      <c r="W14" s="356"/>
      <c r="X14" s="354"/>
      <c r="Y14" s="354"/>
      <c r="Z14" s="356"/>
      <c r="AA14" s="356"/>
      <c r="AB14" s="354"/>
      <c r="AC14" s="354"/>
    </row>
    <row r="15" spans="1:29" ht="14.25" customHeight="1" x14ac:dyDescent="0.3">
      <c r="A15" s="349">
        <v>46142</v>
      </c>
      <c r="B15" s="358">
        <f t="shared" si="2"/>
        <v>5616.82</v>
      </c>
      <c r="C15" s="359" t="s">
        <v>285</v>
      </c>
      <c r="D15" s="353"/>
      <c r="E15" s="354">
        <v>5616.82</v>
      </c>
      <c r="F15" s="356"/>
      <c r="G15" s="356"/>
      <c r="H15" s="354"/>
      <c r="I15" s="354"/>
      <c r="J15" s="356"/>
      <c r="K15" s="356"/>
      <c r="L15" s="354"/>
      <c r="M15" s="354"/>
      <c r="N15" s="356"/>
      <c r="O15" s="356"/>
      <c r="P15" s="354"/>
      <c r="Q15" s="354"/>
      <c r="R15" s="356"/>
      <c r="S15" s="356"/>
      <c r="T15" s="354"/>
      <c r="U15" s="354"/>
      <c r="V15" s="356"/>
      <c r="W15" s="356"/>
      <c r="X15" s="354"/>
      <c r="Y15" s="354"/>
      <c r="Z15" s="356"/>
      <c r="AA15" s="356"/>
      <c r="AB15" s="354"/>
      <c r="AC15" s="354"/>
    </row>
    <row r="16" spans="1:29" ht="14.25" customHeight="1" x14ac:dyDescent="0.3">
      <c r="A16" s="349">
        <v>46142</v>
      </c>
      <c r="B16" s="358">
        <f t="shared" si="2"/>
        <v>2000</v>
      </c>
      <c r="C16" s="359" t="s">
        <v>517</v>
      </c>
      <c r="D16" s="353"/>
      <c r="E16" s="354"/>
      <c r="F16" s="356"/>
      <c r="G16" s="356"/>
      <c r="H16" s="354"/>
      <c r="I16" s="354">
        <v>350</v>
      </c>
      <c r="J16" s="356"/>
      <c r="K16" s="356">
        <v>320</v>
      </c>
      <c r="L16" s="354"/>
      <c r="M16" s="354">
        <v>25</v>
      </c>
      <c r="N16" s="356"/>
      <c r="O16" s="356">
        <v>25</v>
      </c>
      <c r="P16" s="354"/>
      <c r="Q16" s="354">
        <v>45</v>
      </c>
      <c r="R16" s="356"/>
      <c r="S16" s="356">
        <v>400</v>
      </c>
      <c r="T16" s="354"/>
      <c r="U16" s="354">
        <v>375</v>
      </c>
      <c r="V16" s="356"/>
      <c r="W16" s="356">
        <v>100</v>
      </c>
      <c r="X16" s="354"/>
      <c r="Y16" s="354">
        <v>85</v>
      </c>
      <c r="Z16" s="356"/>
      <c r="AA16" s="356">
        <v>230</v>
      </c>
      <c r="AB16" s="354"/>
      <c r="AC16" s="354">
        <v>45</v>
      </c>
    </row>
    <row r="17" spans="1:29" ht="14.25" customHeight="1" x14ac:dyDescent="0.3">
      <c r="A17" s="349">
        <v>46142</v>
      </c>
      <c r="B17" s="358">
        <f t="shared" si="2"/>
        <v>62.26</v>
      </c>
      <c r="C17" s="359" t="s">
        <v>518</v>
      </c>
      <c r="D17" s="353"/>
      <c r="E17" s="354"/>
      <c r="F17" s="356"/>
      <c r="G17" s="356">
        <v>62.26</v>
      </c>
      <c r="H17" s="354"/>
      <c r="I17" s="354"/>
      <c r="J17" s="356"/>
      <c r="K17" s="356"/>
      <c r="L17" s="354"/>
      <c r="M17" s="354"/>
      <c r="N17" s="356"/>
      <c r="O17" s="356"/>
      <c r="P17" s="354"/>
      <c r="Q17" s="354"/>
      <c r="R17" s="356"/>
      <c r="S17" s="356"/>
      <c r="T17" s="354"/>
      <c r="U17" s="354"/>
      <c r="V17" s="356"/>
      <c r="W17" s="356"/>
      <c r="X17" s="354"/>
      <c r="Y17" s="354"/>
      <c r="Z17" s="356"/>
      <c r="AA17" s="356"/>
      <c r="AB17" s="354"/>
      <c r="AC17" s="354"/>
    </row>
    <row r="18" spans="1:29" ht="14.25" customHeight="1" x14ac:dyDescent="0.3">
      <c r="A18" s="349">
        <v>46142</v>
      </c>
      <c r="B18" s="358">
        <f t="shared" si="2"/>
        <v>-185.64</v>
      </c>
      <c r="C18" s="359" t="s">
        <v>430</v>
      </c>
      <c r="D18" s="353"/>
      <c r="E18" s="354"/>
      <c r="F18" s="356"/>
      <c r="G18" s="356"/>
      <c r="H18" s="354"/>
      <c r="I18" s="354"/>
      <c r="J18" s="356"/>
      <c r="K18" s="356"/>
      <c r="L18" s="354"/>
      <c r="M18" s="354"/>
      <c r="N18" s="356"/>
      <c r="O18" s="356"/>
      <c r="P18" s="354">
        <v>92.82</v>
      </c>
      <c r="Q18" s="354"/>
      <c r="R18" s="356"/>
      <c r="S18" s="356"/>
      <c r="T18" s="354"/>
      <c r="U18" s="354"/>
      <c r="V18" s="356"/>
      <c r="W18" s="356"/>
      <c r="X18" s="354"/>
      <c r="Y18" s="354"/>
      <c r="Z18" s="356"/>
      <c r="AA18" s="356"/>
      <c r="AB18" s="354">
        <v>92.82</v>
      </c>
      <c r="AC18" s="354"/>
    </row>
    <row r="19" spans="1:29" ht="14.25" customHeight="1" x14ac:dyDescent="0.3">
      <c r="A19" s="349">
        <v>46142</v>
      </c>
      <c r="B19" s="358">
        <f t="shared" si="2"/>
        <v>-127.68</v>
      </c>
      <c r="C19" s="359" t="s">
        <v>316</v>
      </c>
      <c r="D19" s="353"/>
      <c r="E19" s="354"/>
      <c r="F19" s="356"/>
      <c r="G19" s="356"/>
      <c r="H19" s="354"/>
      <c r="I19" s="354"/>
      <c r="J19" s="356"/>
      <c r="K19" s="356"/>
      <c r="L19" s="354">
        <v>63.84</v>
      </c>
      <c r="M19" s="354"/>
      <c r="N19" s="356">
        <v>63.84</v>
      </c>
      <c r="O19" s="356"/>
      <c r="P19" s="354"/>
      <c r="Q19" s="354"/>
      <c r="R19" s="356"/>
      <c r="S19" s="356"/>
      <c r="T19" s="354"/>
      <c r="U19" s="354"/>
      <c r="V19" s="356"/>
      <c r="W19" s="356"/>
      <c r="X19" s="354"/>
      <c r="Y19" s="354"/>
      <c r="Z19" s="356"/>
      <c r="AA19" s="356"/>
      <c r="AB19" s="354"/>
      <c r="AC19" s="354"/>
    </row>
    <row r="20" spans="1:29" ht="14.25" customHeight="1" x14ac:dyDescent="0.3">
      <c r="A20" s="349">
        <v>46142</v>
      </c>
      <c r="B20" s="358">
        <f t="shared" si="2"/>
        <v>0.52</v>
      </c>
      <c r="C20" s="359" t="s">
        <v>519</v>
      </c>
      <c r="D20" s="353"/>
      <c r="E20" s="354"/>
      <c r="F20" s="356"/>
      <c r="G20" s="356">
        <v>0.52</v>
      </c>
      <c r="H20" s="354"/>
      <c r="I20" s="354"/>
      <c r="J20" s="356"/>
      <c r="K20" s="356"/>
      <c r="L20" s="354"/>
      <c r="M20" s="354"/>
      <c r="N20" s="356"/>
      <c r="O20" s="356"/>
      <c r="P20" s="354"/>
      <c r="Q20" s="354"/>
      <c r="R20" s="356"/>
      <c r="S20" s="356"/>
      <c r="T20" s="354"/>
      <c r="U20" s="354"/>
      <c r="V20" s="356"/>
      <c r="W20" s="356"/>
      <c r="X20" s="354"/>
      <c r="Y20" s="354"/>
      <c r="Z20" s="356"/>
      <c r="AA20" s="356"/>
      <c r="AB20" s="354"/>
      <c r="AC20" s="354"/>
    </row>
    <row r="21" spans="1:29" ht="14.25" customHeight="1" x14ac:dyDescent="0.3">
      <c r="A21" s="349">
        <v>46130</v>
      </c>
      <c r="B21" s="358">
        <f t="shared" si="2"/>
        <v>-578.57000000000005</v>
      </c>
      <c r="C21" s="359" t="s">
        <v>520</v>
      </c>
      <c r="D21" s="353"/>
      <c r="E21" s="354"/>
      <c r="F21" s="356"/>
      <c r="G21" s="356"/>
      <c r="H21" s="354"/>
      <c r="I21" s="354"/>
      <c r="J21" s="356"/>
      <c r="K21" s="356"/>
      <c r="L21" s="354"/>
      <c r="M21" s="354"/>
      <c r="N21" s="356"/>
      <c r="O21" s="356"/>
      <c r="P21" s="354"/>
      <c r="Q21" s="354"/>
      <c r="R21" s="356"/>
      <c r="S21" s="356"/>
      <c r="T21" s="354">
        <v>578.57000000000005</v>
      </c>
      <c r="U21" s="354"/>
      <c r="V21" s="356"/>
      <c r="W21" s="356"/>
      <c r="X21" s="354"/>
      <c r="Y21" s="354"/>
      <c r="Z21" s="356"/>
      <c r="AA21" s="356"/>
      <c r="AB21" s="354"/>
      <c r="AC21" s="354"/>
    </row>
    <row r="22" spans="1:29" ht="14.25" customHeight="1" x14ac:dyDescent="0.3">
      <c r="A22" s="349">
        <v>46130</v>
      </c>
      <c r="B22" s="358">
        <f t="shared" si="2"/>
        <v>-93.71</v>
      </c>
      <c r="C22" s="359" t="s">
        <v>521</v>
      </c>
      <c r="D22" s="353"/>
      <c r="E22" s="354"/>
      <c r="F22" s="356"/>
      <c r="G22" s="356"/>
      <c r="H22" s="354">
        <v>93.71</v>
      </c>
      <c r="I22" s="354"/>
      <c r="J22" s="356"/>
      <c r="K22" s="356"/>
      <c r="L22" s="354"/>
      <c r="M22" s="354"/>
      <c r="N22" s="356"/>
      <c r="O22" s="356"/>
      <c r="P22" s="354"/>
      <c r="Q22" s="354"/>
      <c r="R22" s="356"/>
      <c r="S22" s="356"/>
      <c r="T22" s="354"/>
      <c r="U22" s="354"/>
      <c r="V22" s="356"/>
      <c r="W22" s="356"/>
      <c r="X22" s="354"/>
      <c r="Y22" s="354"/>
      <c r="Z22" s="356"/>
      <c r="AA22" s="356"/>
      <c r="AB22" s="354"/>
      <c r="AC22" s="354"/>
    </row>
    <row r="23" spans="1:29" ht="14.25" customHeight="1" x14ac:dyDescent="0.3">
      <c r="A23" s="349">
        <v>46130</v>
      </c>
      <c r="B23" s="358">
        <f t="shared" si="2"/>
        <v>-318.36</v>
      </c>
      <c r="C23" s="359" t="s">
        <v>522</v>
      </c>
      <c r="D23" s="353"/>
      <c r="E23" s="354"/>
      <c r="F23" s="356"/>
      <c r="G23" s="356"/>
      <c r="H23" s="354"/>
      <c r="I23" s="354"/>
      <c r="J23" s="356"/>
      <c r="K23" s="356"/>
      <c r="L23" s="354"/>
      <c r="M23" s="354"/>
      <c r="N23" s="356"/>
      <c r="O23" s="356"/>
      <c r="P23" s="354"/>
      <c r="Q23" s="354"/>
      <c r="R23" s="356">
        <v>318.36</v>
      </c>
      <c r="S23" s="356"/>
      <c r="T23" s="354"/>
      <c r="U23" s="354"/>
      <c r="V23" s="356"/>
      <c r="W23" s="356"/>
      <c r="X23" s="354"/>
      <c r="Y23" s="354"/>
      <c r="Z23" s="356"/>
      <c r="AA23" s="356"/>
      <c r="AB23" s="354"/>
      <c r="AC23" s="354"/>
    </row>
    <row r="24" spans="1:29" ht="14.25" customHeight="1" x14ac:dyDescent="0.3">
      <c r="A24" s="349">
        <v>46129</v>
      </c>
      <c r="B24" s="358">
        <f t="shared" si="2"/>
        <v>62.19</v>
      </c>
      <c r="C24" s="359" t="s">
        <v>523</v>
      </c>
      <c r="D24" s="353"/>
      <c r="E24" s="354"/>
      <c r="F24" s="356"/>
      <c r="G24" s="356">
        <v>62.19</v>
      </c>
      <c r="H24" s="354"/>
      <c r="I24" s="354"/>
      <c r="J24" s="356"/>
      <c r="K24" s="356"/>
      <c r="L24" s="354"/>
      <c r="M24" s="354"/>
      <c r="N24" s="356"/>
      <c r="O24" s="356"/>
      <c r="P24" s="354"/>
      <c r="Q24" s="354"/>
      <c r="R24" s="356"/>
      <c r="S24" s="356"/>
      <c r="T24" s="354"/>
      <c r="U24" s="354"/>
      <c r="V24" s="356"/>
      <c r="W24" s="356"/>
      <c r="X24" s="354"/>
      <c r="Y24" s="354"/>
      <c r="Z24" s="356"/>
      <c r="AA24" s="356"/>
      <c r="AB24" s="354"/>
      <c r="AC24" s="354"/>
    </row>
    <row r="25" spans="1:29" ht="14.25" customHeight="1" x14ac:dyDescent="0.3">
      <c r="A25" s="349">
        <v>46112</v>
      </c>
      <c r="B25" s="358">
        <f t="shared" si="2"/>
        <v>4309.58</v>
      </c>
      <c r="C25" s="359" t="s">
        <v>524</v>
      </c>
      <c r="D25" s="353"/>
      <c r="E25" s="354">
        <v>4309.58</v>
      </c>
      <c r="F25" s="356"/>
      <c r="G25" s="356"/>
      <c r="H25" s="354"/>
      <c r="I25" s="354"/>
      <c r="J25" s="356"/>
      <c r="K25" s="356"/>
      <c r="L25" s="354"/>
      <c r="M25" s="354"/>
      <c r="N25" s="356"/>
      <c r="O25" s="356"/>
      <c r="P25" s="354"/>
      <c r="Q25" s="354"/>
      <c r="R25" s="356"/>
      <c r="S25" s="356"/>
      <c r="T25" s="354"/>
      <c r="U25" s="354"/>
      <c r="V25" s="356"/>
      <c r="W25" s="356"/>
      <c r="X25" s="354"/>
      <c r="Y25" s="354"/>
      <c r="Z25" s="356"/>
      <c r="AA25" s="356"/>
      <c r="AB25" s="354"/>
      <c r="AC25" s="354"/>
    </row>
    <row r="26" spans="1:29" ht="14.25" customHeight="1" x14ac:dyDescent="0.3">
      <c r="A26" s="349">
        <v>46112</v>
      </c>
      <c r="B26" s="358">
        <f t="shared" si="2"/>
        <v>2000</v>
      </c>
      <c r="C26" s="359" t="s">
        <v>525</v>
      </c>
      <c r="D26" s="353"/>
      <c r="E26" s="354"/>
      <c r="F26" s="356"/>
      <c r="G26" s="356"/>
      <c r="H26" s="354"/>
      <c r="I26" s="354">
        <v>350</v>
      </c>
      <c r="J26" s="356"/>
      <c r="K26" s="356">
        <v>320</v>
      </c>
      <c r="L26" s="354"/>
      <c r="M26" s="354">
        <v>25</v>
      </c>
      <c r="N26" s="356"/>
      <c r="O26" s="356">
        <v>25</v>
      </c>
      <c r="P26" s="354"/>
      <c r="Q26" s="354">
        <v>45</v>
      </c>
      <c r="R26" s="356"/>
      <c r="S26" s="356">
        <v>400</v>
      </c>
      <c r="T26" s="354"/>
      <c r="U26" s="354">
        <v>375</v>
      </c>
      <c r="V26" s="356"/>
      <c r="W26" s="356">
        <v>100</v>
      </c>
      <c r="X26" s="354"/>
      <c r="Y26" s="354">
        <v>85</v>
      </c>
      <c r="Z26" s="356"/>
      <c r="AA26" s="356">
        <v>230</v>
      </c>
      <c r="AB26" s="354"/>
      <c r="AC26" s="354">
        <v>45</v>
      </c>
    </row>
    <row r="27" spans="1:29" ht="14.25" customHeight="1" x14ac:dyDescent="0.3">
      <c r="A27" s="349">
        <v>46112</v>
      </c>
      <c r="B27" s="358">
        <f t="shared" si="2"/>
        <v>0.34</v>
      </c>
      <c r="C27" s="359" t="s">
        <v>519</v>
      </c>
      <c r="D27" s="353"/>
      <c r="E27" s="354"/>
      <c r="F27" s="356"/>
      <c r="G27" s="356">
        <v>0.34</v>
      </c>
      <c r="H27" s="354"/>
      <c r="I27" s="354"/>
      <c r="J27" s="356"/>
      <c r="K27" s="356"/>
      <c r="L27" s="354"/>
      <c r="M27" s="354"/>
      <c r="N27" s="356"/>
      <c r="O27" s="356"/>
      <c r="P27" s="354"/>
      <c r="Q27" s="354"/>
      <c r="R27" s="356"/>
      <c r="S27" s="356"/>
      <c r="T27" s="354"/>
      <c r="U27" s="354"/>
      <c r="V27" s="356"/>
      <c r="W27" s="356"/>
      <c r="X27" s="354"/>
      <c r="Y27" s="354"/>
      <c r="Z27" s="356"/>
      <c r="AA27" s="356"/>
      <c r="AB27" s="354"/>
      <c r="AC27" s="354"/>
    </row>
    <row r="28" spans="1:29" ht="14.25" customHeight="1" x14ac:dyDescent="0.3">
      <c r="A28" s="349">
        <v>46112</v>
      </c>
      <c r="B28" s="358">
        <f t="shared" si="2"/>
        <v>-1200</v>
      </c>
      <c r="C28" s="359" t="s">
        <v>526</v>
      </c>
      <c r="D28" s="353"/>
      <c r="E28" s="354"/>
      <c r="F28" s="356"/>
      <c r="G28" s="356"/>
      <c r="H28" s="354"/>
      <c r="I28" s="354"/>
      <c r="J28" s="356"/>
      <c r="K28" s="356"/>
      <c r="L28" s="354"/>
      <c r="M28" s="354"/>
      <c r="N28" s="356"/>
      <c r="O28" s="356"/>
      <c r="P28" s="354"/>
      <c r="Q28" s="354"/>
      <c r="R28" s="356"/>
      <c r="S28" s="356"/>
      <c r="T28" s="354">
        <v>1200</v>
      </c>
      <c r="U28" s="354"/>
      <c r="V28" s="356"/>
      <c r="W28" s="356"/>
      <c r="X28" s="354"/>
      <c r="Y28" s="354"/>
      <c r="Z28" s="356"/>
      <c r="AA28" s="356"/>
      <c r="AB28" s="354"/>
      <c r="AC28" s="354"/>
    </row>
    <row r="29" spans="1:29" ht="14.25" customHeight="1" x14ac:dyDescent="0.3">
      <c r="A29" s="349">
        <v>46108</v>
      </c>
      <c r="B29" s="358">
        <f t="shared" si="2"/>
        <v>68.72</v>
      </c>
      <c r="C29" s="359" t="s">
        <v>518</v>
      </c>
      <c r="D29" s="353"/>
      <c r="E29" s="354"/>
      <c r="F29" s="356"/>
      <c r="G29" s="356">
        <v>68.72</v>
      </c>
      <c r="H29" s="354"/>
      <c r="I29" s="354"/>
      <c r="J29" s="356"/>
      <c r="K29" s="356"/>
      <c r="L29" s="354"/>
      <c r="M29" s="354"/>
      <c r="N29" s="356"/>
      <c r="O29" s="356"/>
      <c r="P29" s="354"/>
      <c r="Q29" s="354"/>
      <c r="R29" s="356"/>
      <c r="S29" s="356"/>
      <c r="T29" s="354"/>
      <c r="U29" s="354"/>
      <c r="V29" s="356"/>
      <c r="W29" s="356"/>
      <c r="X29" s="354"/>
      <c r="Y29" s="354"/>
      <c r="Z29" s="356"/>
      <c r="AA29" s="356"/>
      <c r="AB29" s="354"/>
      <c r="AC29" s="354"/>
    </row>
    <row r="30" spans="1:29" ht="14.25" customHeight="1" x14ac:dyDescent="0.3">
      <c r="A30" s="349">
        <v>46104</v>
      </c>
      <c r="B30" s="358">
        <f t="shared" si="2"/>
        <v>-6</v>
      </c>
      <c r="C30" s="359" t="s">
        <v>527</v>
      </c>
      <c r="D30" s="353">
        <v>6</v>
      </c>
      <c r="E30" s="354"/>
      <c r="F30" s="356"/>
      <c r="G30" s="356"/>
      <c r="H30" s="354"/>
      <c r="I30" s="354"/>
      <c r="J30" s="356"/>
      <c r="K30" s="356"/>
      <c r="L30" s="354"/>
      <c r="M30" s="354"/>
      <c r="N30" s="356"/>
      <c r="O30" s="356"/>
      <c r="P30" s="354"/>
      <c r="Q30" s="354"/>
      <c r="R30" s="356"/>
      <c r="S30" s="356"/>
      <c r="T30" s="354"/>
      <c r="U30" s="354"/>
      <c r="V30" s="356"/>
      <c r="W30" s="356"/>
      <c r="X30" s="354"/>
      <c r="Y30" s="354"/>
      <c r="Z30" s="356"/>
      <c r="AA30" s="356"/>
      <c r="AB30" s="354"/>
      <c r="AC30" s="354"/>
    </row>
    <row r="31" spans="1:29" ht="14.25" customHeight="1" x14ac:dyDescent="0.3">
      <c r="A31" s="349">
        <v>46103</v>
      </c>
      <c r="B31" s="358">
        <f t="shared" si="2"/>
        <v>-100</v>
      </c>
      <c r="C31" s="359" t="s">
        <v>528</v>
      </c>
      <c r="D31" s="353">
        <v>100</v>
      </c>
      <c r="E31" s="354"/>
      <c r="F31" s="356"/>
      <c r="G31" s="356"/>
      <c r="H31" s="354"/>
      <c r="I31" s="354"/>
      <c r="J31" s="356"/>
      <c r="K31" s="356"/>
      <c r="L31" s="354"/>
      <c r="M31" s="354"/>
      <c r="N31" s="356"/>
      <c r="O31" s="356"/>
      <c r="P31" s="354"/>
      <c r="Q31" s="354"/>
      <c r="R31" s="356"/>
      <c r="S31" s="356"/>
      <c r="T31" s="354"/>
      <c r="U31" s="354"/>
      <c r="V31" s="356"/>
      <c r="W31" s="356"/>
      <c r="X31" s="354"/>
      <c r="Y31" s="354"/>
      <c r="Z31" s="356"/>
      <c r="AA31" s="356"/>
      <c r="AB31" s="354"/>
      <c r="AC31" s="354"/>
    </row>
    <row r="32" spans="1:29" ht="14.25" customHeight="1" x14ac:dyDescent="0.3">
      <c r="A32" s="349">
        <v>46103</v>
      </c>
      <c r="B32" s="358">
        <f t="shared" si="2"/>
        <v>-100</v>
      </c>
      <c r="C32" s="359" t="s">
        <v>529</v>
      </c>
      <c r="D32" s="353">
        <v>100</v>
      </c>
      <c r="E32" s="354"/>
      <c r="F32" s="356"/>
      <c r="G32" s="356"/>
      <c r="H32" s="354"/>
      <c r="I32" s="354"/>
      <c r="J32" s="356"/>
      <c r="K32" s="356"/>
      <c r="L32" s="354"/>
      <c r="M32" s="354"/>
      <c r="N32" s="356"/>
      <c r="O32" s="356"/>
      <c r="P32" s="354"/>
      <c r="Q32" s="354"/>
      <c r="R32" s="356"/>
      <c r="S32" s="356"/>
      <c r="T32" s="354"/>
      <c r="U32" s="354"/>
      <c r="V32" s="356"/>
      <c r="W32" s="356"/>
      <c r="X32" s="354"/>
      <c r="Y32" s="354"/>
      <c r="Z32" s="356"/>
      <c r="AA32" s="356"/>
      <c r="AB32" s="354"/>
      <c r="AC32" s="354"/>
    </row>
    <row r="33" spans="1:29" ht="14.25" customHeight="1" x14ac:dyDescent="0.3">
      <c r="A33" s="349">
        <v>46103</v>
      </c>
      <c r="B33" s="358">
        <f t="shared" si="2"/>
        <v>-50</v>
      </c>
      <c r="C33" s="359" t="s">
        <v>530</v>
      </c>
      <c r="D33" s="353">
        <v>50</v>
      </c>
      <c r="E33" s="354"/>
      <c r="F33" s="356"/>
      <c r="G33" s="356"/>
      <c r="H33" s="354"/>
      <c r="I33" s="354"/>
      <c r="J33" s="356"/>
      <c r="K33" s="356"/>
      <c r="L33" s="354"/>
      <c r="M33" s="354"/>
      <c r="N33" s="356"/>
      <c r="O33" s="356"/>
      <c r="P33" s="354"/>
      <c r="Q33" s="354"/>
      <c r="R33" s="356"/>
      <c r="S33" s="356"/>
      <c r="T33" s="354"/>
      <c r="U33" s="354"/>
      <c r="V33" s="356"/>
      <c r="W33" s="356"/>
      <c r="X33" s="354"/>
      <c r="Y33" s="354"/>
      <c r="Z33" s="356"/>
      <c r="AA33" s="356"/>
      <c r="AB33" s="354"/>
      <c r="AC33" s="354"/>
    </row>
    <row r="34" spans="1:29" ht="14.25" customHeight="1" x14ac:dyDescent="0.3">
      <c r="A34" s="349">
        <v>46103</v>
      </c>
      <c r="B34" s="358">
        <f t="shared" si="2"/>
        <v>-100</v>
      </c>
      <c r="C34" s="359" t="s">
        <v>531</v>
      </c>
      <c r="D34" s="353">
        <v>100</v>
      </c>
      <c r="E34" s="354"/>
      <c r="F34" s="356"/>
      <c r="G34" s="356"/>
      <c r="H34" s="354"/>
      <c r="I34" s="354"/>
      <c r="J34" s="356"/>
      <c r="K34" s="356"/>
      <c r="L34" s="354"/>
      <c r="M34" s="354"/>
      <c r="N34" s="356"/>
      <c r="O34" s="356"/>
      <c r="P34" s="354"/>
      <c r="Q34" s="354"/>
      <c r="R34" s="356"/>
      <c r="S34" s="356"/>
      <c r="T34" s="354"/>
      <c r="U34" s="354"/>
      <c r="V34" s="356"/>
      <c r="W34" s="356"/>
      <c r="X34" s="354"/>
      <c r="Y34" s="354"/>
      <c r="Z34" s="356"/>
      <c r="AA34" s="356"/>
      <c r="AB34" s="354"/>
      <c r="AC34" s="354"/>
    </row>
    <row r="35" spans="1:29" ht="14.25" customHeight="1" x14ac:dyDescent="0.3">
      <c r="A35" s="349">
        <v>46103</v>
      </c>
      <c r="B35" s="358">
        <f t="shared" si="2"/>
        <v>-100</v>
      </c>
      <c r="C35" s="359" t="s">
        <v>532</v>
      </c>
      <c r="D35" s="353">
        <v>100</v>
      </c>
      <c r="E35" s="354"/>
      <c r="F35" s="356"/>
      <c r="G35" s="356"/>
      <c r="H35" s="354"/>
      <c r="I35" s="354"/>
      <c r="J35" s="356"/>
      <c r="K35" s="356"/>
      <c r="L35" s="354"/>
      <c r="M35" s="354"/>
      <c r="N35" s="356"/>
      <c r="O35" s="356"/>
      <c r="P35" s="354"/>
      <c r="Q35" s="354"/>
      <c r="R35" s="356"/>
      <c r="S35" s="356"/>
      <c r="T35" s="354"/>
      <c r="U35" s="354"/>
      <c r="V35" s="356"/>
      <c r="W35" s="356"/>
      <c r="X35" s="354"/>
      <c r="Y35" s="354"/>
      <c r="Z35" s="356"/>
      <c r="AA35" s="356"/>
      <c r="AB35" s="354"/>
      <c r="AC35" s="354"/>
    </row>
    <row r="36" spans="1:29" ht="14.25" customHeight="1" x14ac:dyDescent="0.3">
      <c r="A36" s="349">
        <v>46102</v>
      </c>
      <c r="B36" s="358">
        <f t="shared" si="2"/>
        <v>-300</v>
      </c>
      <c r="C36" s="359" t="s">
        <v>533</v>
      </c>
      <c r="D36" s="353">
        <v>300</v>
      </c>
      <c r="E36" s="354"/>
      <c r="F36" s="356"/>
      <c r="G36" s="356"/>
      <c r="H36" s="354"/>
      <c r="I36" s="354"/>
      <c r="J36" s="356"/>
      <c r="K36" s="356"/>
      <c r="L36" s="354"/>
      <c r="M36" s="354"/>
      <c r="N36" s="356"/>
      <c r="O36" s="356"/>
      <c r="P36" s="354"/>
      <c r="Q36" s="354"/>
      <c r="R36" s="356"/>
      <c r="S36" s="356"/>
      <c r="T36" s="354"/>
      <c r="U36" s="354"/>
      <c r="V36" s="356"/>
      <c r="W36" s="356"/>
      <c r="X36" s="354"/>
      <c r="Y36" s="354"/>
      <c r="Z36" s="356"/>
      <c r="AA36" s="356"/>
      <c r="AB36" s="354"/>
      <c r="AC36" s="354"/>
    </row>
    <row r="37" spans="1:29" ht="14.25" customHeight="1" x14ac:dyDescent="0.3">
      <c r="A37" s="349">
        <v>46102</v>
      </c>
      <c r="B37" s="358">
        <f t="shared" si="2"/>
        <v>1384.5</v>
      </c>
      <c r="C37" s="359" t="s">
        <v>534</v>
      </c>
      <c r="D37" s="353"/>
      <c r="E37" s="354"/>
      <c r="F37" s="356"/>
      <c r="G37" s="356"/>
      <c r="H37" s="354"/>
      <c r="I37" s="354"/>
      <c r="J37" s="356"/>
      <c r="K37" s="356"/>
      <c r="L37" s="354"/>
      <c r="M37" s="354"/>
      <c r="N37" s="356"/>
      <c r="O37" s="356"/>
      <c r="P37" s="354"/>
      <c r="Q37" s="354"/>
      <c r="R37" s="356">
        <v>-1384.5</v>
      </c>
      <c r="S37" s="356"/>
      <c r="T37" s="354"/>
      <c r="U37" s="354"/>
      <c r="V37" s="356"/>
      <c r="W37" s="356"/>
      <c r="X37" s="354"/>
      <c r="Y37" s="354"/>
      <c r="Z37" s="356"/>
      <c r="AA37" s="356"/>
      <c r="AB37" s="354"/>
      <c r="AC37" s="354"/>
    </row>
    <row r="38" spans="1:29" ht="14.25" customHeight="1" x14ac:dyDescent="0.3">
      <c r="A38" s="349">
        <v>46094</v>
      </c>
      <c r="B38" s="358">
        <f t="shared" si="2"/>
        <v>55.66</v>
      </c>
      <c r="C38" s="359" t="s">
        <v>523</v>
      </c>
      <c r="D38" s="353"/>
      <c r="E38" s="354"/>
      <c r="F38" s="356"/>
      <c r="G38" s="356">
        <v>55.66</v>
      </c>
      <c r="H38" s="354"/>
      <c r="I38" s="354"/>
      <c r="J38" s="356"/>
      <c r="K38" s="356"/>
      <c r="L38" s="354"/>
      <c r="M38" s="354"/>
      <c r="N38" s="356"/>
      <c r="O38" s="356"/>
      <c r="P38" s="354"/>
      <c r="Q38" s="354"/>
      <c r="R38" s="356"/>
      <c r="S38" s="356"/>
      <c r="T38" s="354"/>
      <c r="U38" s="354"/>
      <c r="V38" s="356"/>
      <c r="W38" s="356"/>
      <c r="X38" s="354"/>
      <c r="Y38" s="354"/>
      <c r="Z38" s="356"/>
      <c r="AA38" s="356"/>
      <c r="AB38" s="354"/>
      <c r="AC38" s="354"/>
    </row>
    <row r="39" spans="1:29" ht="14.25" customHeight="1" x14ac:dyDescent="0.3">
      <c r="A39" s="349">
        <v>46090</v>
      </c>
      <c r="B39" s="358">
        <f t="shared" si="2"/>
        <v>-380</v>
      </c>
      <c r="C39" s="359" t="s">
        <v>535</v>
      </c>
      <c r="D39" s="353"/>
      <c r="E39" s="354"/>
      <c r="F39" s="356"/>
      <c r="G39" s="356"/>
      <c r="H39" s="354"/>
      <c r="I39" s="354"/>
      <c r="J39" s="356"/>
      <c r="K39" s="356"/>
      <c r="L39" s="354"/>
      <c r="M39" s="354"/>
      <c r="N39" s="356"/>
      <c r="O39" s="356"/>
      <c r="P39" s="354"/>
      <c r="Q39" s="354"/>
      <c r="R39" s="356">
        <v>380</v>
      </c>
      <c r="S39" s="356"/>
      <c r="T39" s="354"/>
      <c r="U39" s="354"/>
      <c r="V39" s="356"/>
      <c r="W39" s="356"/>
      <c r="X39" s="354"/>
      <c r="Y39" s="354"/>
      <c r="Z39" s="356"/>
      <c r="AA39" s="356"/>
      <c r="AB39" s="354"/>
      <c r="AC39" s="354"/>
    </row>
    <row r="40" spans="1:29" ht="14.25" customHeight="1" x14ac:dyDescent="0.3">
      <c r="A40" s="349">
        <v>46083</v>
      </c>
      <c r="B40" s="358">
        <f t="shared" si="2"/>
        <v>-185.64</v>
      </c>
      <c r="C40" s="359" t="s">
        <v>430</v>
      </c>
      <c r="D40" s="353"/>
      <c r="E40" s="354"/>
      <c r="F40" s="356"/>
      <c r="G40" s="356"/>
      <c r="H40" s="354"/>
      <c r="I40" s="354"/>
      <c r="J40" s="356"/>
      <c r="K40" s="356"/>
      <c r="L40" s="354"/>
      <c r="M40" s="354"/>
      <c r="N40" s="356"/>
      <c r="O40" s="356"/>
      <c r="P40" s="354">
        <v>92.82</v>
      </c>
      <c r="Q40" s="354"/>
      <c r="R40" s="356"/>
      <c r="S40" s="356"/>
      <c r="T40" s="354"/>
      <c r="U40" s="354"/>
      <c r="V40" s="356"/>
      <c r="W40" s="356"/>
      <c r="X40" s="354"/>
      <c r="Y40" s="354"/>
      <c r="Z40" s="356"/>
      <c r="AA40" s="356"/>
      <c r="AB40" s="354">
        <v>92.82</v>
      </c>
      <c r="AC40" s="354"/>
    </row>
    <row r="41" spans="1:29" ht="14.25" customHeight="1" x14ac:dyDescent="0.3">
      <c r="A41" s="349">
        <v>46081</v>
      </c>
      <c r="B41" s="358">
        <f t="shared" si="2"/>
        <v>3764.91</v>
      </c>
      <c r="C41" s="359" t="s">
        <v>432</v>
      </c>
      <c r="D41" s="353"/>
      <c r="E41" s="354">
        <v>3764.91</v>
      </c>
      <c r="F41" s="356"/>
      <c r="G41" s="356"/>
      <c r="H41" s="354"/>
      <c r="I41" s="354"/>
      <c r="J41" s="356"/>
      <c r="K41" s="356"/>
      <c r="L41" s="354"/>
      <c r="M41" s="354"/>
      <c r="N41" s="356"/>
      <c r="O41" s="356"/>
      <c r="P41" s="354"/>
      <c r="Q41" s="354"/>
      <c r="R41" s="356"/>
      <c r="S41" s="356"/>
      <c r="T41" s="354"/>
      <c r="U41" s="354"/>
      <c r="V41" s="356"/>
      <c r="W41" s="356"/>
      <c r="X41" s="354"/>
      <c r="Y41" s="354"/>
      <c r="Z41" s="356"/>
      <c r="AA41" s="356"/>
      <c r="AB41" s="354"/>
      <c r="AC41" s="354"/>
    </row>
    <row r="42" spans="1:29" ht="14.25" customHeight="1" x14ac:dyDescent="0.3">
      <c r="A42" s="349">
        <v>46081</v>
      </c>
      <c r="B42" s="358">
        <f t="shared" si="2"/>
        <v>2000</v>
      </c>
      <c r="C42" s="359" t="s">
        <v>536</v>
      </c>
      <c r="D42" s="353"/>
      <c r="E42" s="354"/>
      <c r="F42" s="356"/>
      <c r="G42" s="356"/>
      <c r="H42" s="354"/>
      <c r="I42" s="354">
        <v>350</v>
      </c>
      <c r="J42" s="356"/>
      <c r="K42" s="356">
        <v>320</v>
      </c>
      <c r="L42" s="354"/>
      <c r="M42" s="354">
        <v>25</v>
      </c>
      <c r="N42" s="356"/>
      <c r="O42" s="356">
        <v>25</v>
      </c>
      <c r="P42" s="354"/>
      <c r="Q42" s="354">
        <v>45</v>
      </c>
      <c r="R42" s="356"/>
      <c r="S42" s="356">
        <v>400</v>
      </c>
      <c r="T42" s="354"/>
      <c r="U42" s="354">
        <v>375</v>
      </c>
      <c r="V42" s="356"/>
      <c r="W42" s="356">
        <v>100</v>
      </c>
      <c r="X42" s="354"/>
      <c r="Y42" s="354">
        <v>85</v>
      </c>
      <c r="Z42" s="356"/>
      <c r="AA42" s="356">
        <v>230</v>
      </c>
      <c r="AB42" s="354"/>
      <c r="AC42" s="354">
        <v>45</v>
      </c>
    </row>
    <row r="43" spans="1:29" ht="14.25" customHeight="1" x14ac:dyDescent="0.3">
      <c r="A43" s="349">
        <v>46081</v>
      </c>
      <c r="B43" s="358">
        <f t="shared" si="2"/>
        <v>0.23</v>
      </c>
      <c r="C43" s="359" t="s">
        <v>519</v>
      </c>
      <c r="D43" s="353"/>
      <c r="E43" s="354"/>
      <c r="F43" s="356"/>
      <c r="G43" s="356">
        <v>0.23</v>
      </c>
      <c r="H43" s="354"/>
      <c r="I43" s="354"/>
      <c r="J43" s="356"/>
      <c r="K43" s="356"/>
      <c r="L43" s="354"/>
      <c r="M43" s="354"/>
      <c r="N43" s="356"/>
      <c r="O43" s="356"/>
      <c r="P43" s="354"/>
      <c r="Q43" s="354"/>
      <c r="R43" s="356"/>
      <c r="S43" s="356"/>
      <c r="T43" s="354"/>
      <c r="U43" s="354"/>
      <c r="V43" s="356"/>
      <c r="W43" s="356"/>
      <c r="X43" s="354"/>
      <c r="Y43" s="354"/>
      <c r="Z43" s="356"/>
      <c r="AA43" s="356"/>
      <c r="AB43" s="354"/>
      <c r="AC43" s="354"/>
    </row>
    <row r="44" spans="1:29" ht="14.25" customHeight="1" x14ac:dyDescent="0.3">
      <c r="A44" s="349">
        <v>46070</v>
      </c>
      <c r="B44" s="358">
        <f t="shared" si="2"/>
        <v>-1920</v>
      </c>
      <c r="C44" s="359" t="s">
        <v>537</v>
      </c>
      <c r="D44" s="353"/>
      <c r="E44" s="354"/>
      <c r="F44" s="356"/>
      <c r="G44" s="356"/>
      <c r="H44" s="354"/>
      <c r="I44" s="354"/>
      <c r="J44" s="356"/>
      <c r="K44" s="356"/>
      <c r="L44" s="354"/>
      <c r="M44" s="354"/>
      <c r="N44" s="356"/>
      <c r="O44" s="356"/>
      <c r="P44" s="354"/>
      <c r="Q44" s="354"/>
      <c r="R44" s="356"/>
      <c r="S44" s="356"/>
      <c r="T44" s="354">
        <v>1920</v>
      </c>
      <c r="U44" s="354"/>
      <c r="V44" s="356"/>
      <c r="W44" s="356"/>
      <c r="X44" s="354"/>
      <c r="Y44" s="354"/>
      <c r="Z44" s="356"/>
      <c r="AA44" s="356"/>
      <c r="AB44" s="354"/>
      <c r="AC44" s="354"/>
    </row>
    <row r="45" spans="1:29" ht="14.25" customHeight="1" x14ac:dyDescent="0.3">
      <c r="A45" s="349">
        <v>46069</v>
      </c>
      <c r="B45" s="358">
        <f t="shared" si="2"/>
        <v>-243.8</v>
      </c>
      <c r="C45" s="359" t="s">
        <v>537</v>
      </c>
      <c r="D45" s="353"/>
      <c r="E45" s="354"/>
      <c r="F45" s="356"/>
      <c r="G45" s="356"/>
      <c r="H45" s="354"/>
      <c r="I45" s="354"/>
      <c r="J45" s="356"/>
      <c r="K45" s="356"/>
      <c r="L45" s="354"/>
      <c r="M45" s="354"/>
      <c r="N45" s="356"/>
      <c r="O45" s="356"/>
      <c r="P45" s="354"/>
      <c r="Q45" s="354"/>
      <c r="R45" s="356"/>
      <c r="S45" s="356"/>
      <c r="T45" s="354">
        <v>243.8</v>
      </c>
      <c r="U45" s="354"/>
      <c r="V45" s="356"/>
      <c r="W45" s="356"/>
      <c r="X45" s="354"/>
      <c r="Y45" s="354"/>
      <c r="Z45" s="356"/>
      <c r="AA45" s="356"/>
      <c r="AB45" s="354"/>
      <c r="AC45" s="354"/>
    </row>
    <row r="46" spans="1:29" ht="14.25" customHeight="1" x14ac:dyDescent="0.3">
      <c r="A46" s="349">
        <v>46068</v>
      </c>
      <c r="B46" s="358">
        <f t="shared" si="2"/>
        <v>63.46</v>
      </c>
      <c r="C46" s="359" t="s">
        <v>523</v>
      </c>
      <c r="D46" s="353"/>
      <c r="E46" s="354"/>
      <c r="F46" s="356"/>
      <c r="G46" s="356">
        <v>63.46</v>
      </c>
      <c r="H46" s="354"/>
      <c r="I46" s="354"/>
      <c r="J46" s="356"/>
      <c r="K46" s="356"/>
      <c r="L46" s="354"/>
      <c r="M46" s="354"/>
      <c r="N46" s="356"/>
      <c r="O46" s="356"/>
      <c r="P46" s="354"/>
      <c r="Q46" s="354"/>
      <c r="R46" s="356"/>
      <c r="S46" s="356"/>
      <c r="T46" s="354"/>
      <c r="U46" s="354"/>
      <c r="V46" s="356"/>
      <c r="W46" s="356"/>
      <c r="X46" s="354"/>
      <c r="Y46" s="354"/>
      <c r="Z46" s="356"/>
      <c r="AA46" s="356"/>
      <c r="AB46" s="354"/>
      <c r="AC46" s="354"/>
    </row>
    <row r="47" spans="1:29" ht="14.25" customHeight="1" x14ac:dyDescent="0.3">
      <c r="A47" s="349">
        <v>46067</v>
      </c>
      <c r="B47" s="358">
        <f t="shared" si="2"/>
        <v>-1007.99</v>
      </c>
      <c r="C47" s="359" t="s">
        <v>538</v>
      </c>
      <c r="D47" s="353">
        <v>1007.99</v>
      </c>
      <c r="E47" s="354"/>
      <c r="F47" s="356"/>
      <c r="G47" s="356"/>
      <c r="H47" s="354"/>
      <c r="I47" s="354"/>
      <c r="J47" s="356"/>
      <c r="K47" s="356"/>
      <c r="L47" s="354"/>
      <c r="M47" s="354"/>
      <c r="N47" s="356"/>
      <c r="O47" s="356"/>
      <c r="P47" s="354"/>
      <c r="Q47" s="354"/>
      <c r="R47" s="356"/>
      <c r="S47" s="356"/>
      <c r="T47" s="354"/>
      <c r="U47" s="354"/>
      <c r="V47" s="356"/>
      <c r="W47" s="356"/>
      <c r="X47" s="354"/>
      <c r="Y47" s="354"/>
      <c r="Z47" s="356"/>
      <c r="AA47" s="356"/>
      <c r="AB47" s="354"/>
      <c r="AC47" s="354"/>
    </row>
    <row r="48" spans="1:29" ht="14.25" customHeight="1" x14ac:dyDescent="0.3">
      <c r="A48" s="349">
        <v>46063</v>
      </c>
      <c r="B48" s="358">
        <f t="shared" si="2"/>
        <v>-1276.4000000000001</v>
      </c>
      <c r="C48" s="359" t="s">
        <v>539</v>
      </c>
      <c r="D48" s="353"/>
      <c r="E48" s="354"/>
      <c r="F48" s="356"/>
      <c r="G48" s="356"/>
      <c r="H48" s="354"/>
      <c r="I48" s="354"/>
      <c r="J48" s="356"/>
      <c r="K48" s="356"/>
      <c r="L48" s="354"/>
      <c r="M48" s="354"/>
      <c r="N48" s="356"/>
      <c r="O48" s="356"/>
      <c r="P48" s="354"/>
      <c r="Q48" s="354"/>
      <c r="R48" s="356"/>
      <c r="S48" s="356"/>
      <c r="T48" s="354"/>
      <c r="U48" s="354"/>
      <c r="V48" s="356"/>
      <c r="W48" s="356"/>
      <c r="X48" s="354"/>
      <c r="Y48" s="354"/>
      <c r="Z48" s="356">
        <v>1276.4000000000001</v>
      </c>
      <c r="AA48" s="356"/>
      <c r="AB48" s="354"/>
      <c r="AC48" s="354"/>
    </row>
    <row r="49" spans="1:29" ht="14.25" customHeight="1" x14ac:dyDescent="0.3">
      <c r="A49" s="349">
        <v>46063</v>
      </c>
      <c r="B49" s="358">
        <f t="shared" si="2"/>
        <v>-955</v>
      </c>
      <c r="C49" s="359" t="s">
        <v>540</v>
      </c>
      <c r="D49" s="353"/>
      <c r="E49" s="354"/>
      <c r="F49" s="356"/>
      <c r="G49" s="356"/>
      <c r="H49" s="354"/>
      <c r="I49" s="354"/>
      <c r="J49" s="356"/>
      <c r="K49" s="356"/>
      <c r="L49" s="354"/>
      <c r="M49" s="354"/>
      <c r="N49" s="356"/>
      <c r="O49" s="356"/>
      <c r="P49" s="354"/>
      <c r="Q49" s="354"/>
      <c r="R49" s="356">
        <v>955</v>
      </c>
      <c r="S49" s="356"/>
      <c r="T49" s="354"/>
      <c r="U49" s="354"/>
      <c r="V49" s="356"/>
      <c r="W49" s="356"/>
      <c r="X49" s="354"/>
      <c r="Y49" s="354"/>
      <c r="Z49" s="356"/>
      <c r="AA49" s="356"/>
      <c r="AB49" s="354"/>
      <c r="AC49" s="354"/>
    </row>
    <row r="50" spans="1:29" ht="14.25" customHeight="1" x14ac:dyDescent="0.3">
      <c r="A50" s="349">
        <v>46063</v>
      </c>
      <c r="B50" s="358">
        <f t="shared" si="2"/>
        <v>59.19</v>
      </c>
      <c r="C50" s="359" t="s">
        <v>518</v>
      </c>
      <c r="D50" s="353"/>
      <c r="E50" s="354"/>
      <c r="F50" s="356"/>
      <c r="G50" s="356">
        <v>59.19</v>
      </c>
      <c r="H50" s="354"/>
      <c r="I50" s="354"/>
      <c r="J50" s="356"/>
      <c r="K50" s="356"/>
      <c r="L50" s="354"/>
      <c r="M50" s="354"/>
      <c r="N50" s="356"/>
      <c r="O50" s="356"/>
      <c r="P50" s="354"/>
      <c r="Q50" s="354"/>
      <c r="R50" s="356"/>
      <c r="S50" s="356"/>
      <c r="T50" s="354"/>
      <c r="U50" s="354"/>
      <c r="V50" s="356"/>
      <c r="W50" s="356"/>
      <c r="X50" s="354"/>
      <c r="Y50" s="354"/>
      <c r="Z50" s="356"/>
      <c r="AA50" s="356"/>
      <c r="AB50" s="354"/>
      <c r="AC50" s="354"/>
    </row>
    <row r="51" spans="1:29" ht="14.25" customHeight="1" x14ac:dyDescent="0.3">
      <c r="A51" s="349">
        <v>46061</v>
      </c>
      <c r="B51" s="358">
        <f t="shared" si="2"/>
        <v>-2203.44</v>
      </c>
      <c r="C51" s="359" t="s">
        <v>537</v>
      </c>
      <c r="D51" s="353"/>
      <c r="E51" s="354"/>
      <c r="F51" s="356"/>
      <c r="G51" s="356"/>
      <c r="H51" s="354"/>
      <c r="I51" s="354"/>
      <c r="J51" s="356"/>
      <c r="K51" s="356"/>
      <c r="L51" s="354"/>
      <c r="M51" s="354"/>
      <c r="N51" s="356"/>
      <c r="O51" s="356"/>
      <c r="P51" s="354"/>
      <c r="Q51" s="354"/>
      <c r="R51" s="356"/>
      <c r="S51" s="356"/>
      <c r="T51" s="354">
        <v>2203.44</v>
      </c>
      <c r="U51" s="354"/>
      <c r="V51" s="356"/>
      <c r="W51" s="356"/>
      <c r="X51" s="354"/>
      <c r="Y51" s="354"/>
      <c r="Z51" s="356"/>
      <c r="AA51" s="356"/>
      <c r="AB51" s="354"/>
      <c r="AC51" s="354"/>
    </row>
    <row r="52" spans="1:29" ht="14.25" customHeight="1" x14ac:dyDescent="0.3">
      <c r="A52" s="349">
        <v>46061</v>
      </c>
      <c r="B52" s="358">
        <f t="shared" si="2"/>
        <v>-831.92</v>
      </c>
      <c r="C52" s="359" t="s">
        <v>541</v>
      </c>
      <c r="D52" s="353"/>
      <c r="E52" s="354"/>
      <c r="F52" s="356"/>
      <c r="G52" s="356"/>
      <c r="H52" s="354"/>
      <c r="I52" s="354"/>
      <c r="J52" s="356"/>
      <c r="K52" s="356"/>
      <c r="L52" s="354"/>
      <c r="M52" s="354"/>
      <c r="N52" s="356"/>
      <c r="O52" s="356"/>
      <c r="P52" s="354"/>
      <c r="Q52" s="354"/>
      <c r="R52" s="356">
        <v>831.92</v>
      </c>
      <c r="S52" s="356"/>
      <c r="T52" s="354"/>
      <c r="U52" s="354"/>
      <c r="V52" s="356"/>
      <c r="W52" s="356"/>
      <c r="X52" s="354"/>
      <c r="Y52" s="354"/>
      <c r="Z52" s="356"/>
      <c r="AA52" s="356"/>
      <c r="AB52" s="354"/>
      <c r="AC52" s="354"/>
    </row>
    <row r="53" spans="1:29" ht="14.25" customHeight="1" x14ac:dyDescent="0.3">
      <c r="A53" s="349">
        <v>46055</v>
      </c>
      <c r="B53" s="358">
        <f t="shared" si="2"/>
        <v>-900</v>
      </c>
      <c r="C53" s="359" t="s">
        <v>526</v>
      </c>
      <c r="D53" s="353"/>
      <c r="E53" s="354"/>
      <c r="F53" s="356"/>
      <c r="G53" s="356"/>
      <c r="H53" s="354"/>
      <c r="I53" s="354"/>
      <c r="J53" s="356"/>
      <c r="K53" s="356"/>
      <c r="L53" s="354"/>
      <c r="M53" s="354"/>
      <c r="N53" s="356"/>
      <c r="O53" s="356"/>
      <c r="P53" s="354"/>
      <c r="Q53" s="354"/>
      <c r="R53" s="356"/>
      <c r="S53" s="356"/>
      <c r="T53" s="354">
        <v>900</v>
      </c>
      <c r="U53" s="354"/>
      <c r="V53" s="356"/>
      <c r="W53" s="356"/>
      <c r="X53" s="354"/>
      <c r="Y53" s="354"/>
      <c r="Z53" s="356"/>
      <c r="AA53" s="356"/>
      <c r="AB53" s="354"/>
      <c r="AC53" s="354"/>
    </row>
    <row r="54" spans="1:29" ht="14.25" customHeight="1" x14ac:dyDescent="0.3">
      <c r="A54" s="349">
        <v>46053</v>
      </c>
      <c r="B54" s="358">
        <f t="shared" si="2"/>
        <v>3194.64</v>
      </c>
      <c r="C54" s="359" t="s">
        <v>468</v>
      </c>
      <c r="D54" s="353"/>
      <c r="E54" s="354">
        <v>3194.64</v>
      </c>
      <c r="F54" s="356"/>
      <c r="G54" s="356"/>
      <c r="H54" s="354"/>
      <c r="I54" s="354"/>
      <c r="J54" s="356"/>
      <c r="K54" s="356"/>
      <c r="L54" s="354"/>
      <c r="M54" s="354"/>
      <c r="N54" s="356"/>
      <c r="O54" s="356"/>
      <c r="P54" s="354"/>
      <c r="Q54" s="354"/>
      <c r="R54" s="356"/>
      <c r="S54" s="356"/>
      <c r="T54" s="354"/>
      <c r="U54" s="354"/>
      <c r="V54" s="356"/>
      <c r="W54" s="356"/>
      <c r="X54" s="354"/>
      <c r="Y54" s="354"/>
      <c r="Z54" s="356"/>
      <c r="AA54" s="356"/>
      <c r="AB54" s="354"/>
      <c r="AC54" s="354"/>
    </row>
    <row r="55" spans="1:29" ht="14.25" customHeight="1" x14ac:dyDescent="0.3">
      <c r="A55" s="349">
        <v>46053</v>
      </c>
      <c r="B55" s="358">
        <f t="shared" si="2"/>
        <v>2000</v>
      </c>
      <c r="C55" s="359" t="s">
        <v>542</v>
      </c>
      <c r="D55" s="353"/>
      <c r="E55" s="354"/>
      <c r="F55" s="356"/>
      <c r="G55" s="356"/>
      <c r="H55" s="354"/>
      <c r="I55" s="354">
        <v>350</v>
      </c>
      <c r="J55" s="356"/>
      <c r="K55" s="356">
        <v>320</v>
      </c>
      <c r="L55" s="354"/>
      <c r="M55" s="354">
        <v>25</v>
      </c>
      <c r="N55" s="356"/>
      <c r="O55" s="356">
        <v>25</v>
      </c>
      <c r="P55" s="354"/>
      <c r="Q55" s="354">
        <v>45</v>
      </c>
      <c r="R55" s="356"/>
      <c r="S55" s="356">
        <v>400</v>
      </c>
      <c r="T55" s="354"/>
      <c r="U55" s="354">
        <v>375</v>
      </c>
      <c r="V55" s="356"/>
      <c r="W55" s="356">
        <v>100</v>
      </c>
      <c r="X55" s="354"/>
      <c r="Y55" s="354">
        <v>85</v>
      </c>
      <c r="Z55" s="356"/>
      <c r="AA55" s="356">
        <v>230</v>
      </c>
      <c r="AB55" s="354"/>
      <c r="AC55" s="354">
        <v>45</v>
      </c>
    </row>
    <row r="56" spans="1:29" ht="14.25" customHeight="1" x14ac:dyDescent="0.3">
      <c r="A56" s="349">
        <v>46053</v>
      </c>
      <c r="B56" s="358">
        <f t="shared" si="2"/>
        <v>0.38</v>
      </c>
      <c r="C56" s="359" t="s">
        <v>519</v>
      </c>
      <c r="D56" s="353"/>
      <c r="E56" s="354"/>
      <c r="F56" s="356"/>
      <c r="G56" s="356">
        <v>0.38</v>
      </c>
      <c r="H56" s="354"/>
      <c r="I56" s="354"/>
      <c r="J56" s="356"/>
      <c r="K56" s="356"/>
      <c r="L56" s="354"/>
      <c r="M56" s="354"/>
      <c r="N56" s="356"/>
      <c r="O56" s="356"/>
      <c r="P56" s="354"/>
      <c r="Q56" s="354"/>
      <c r="R56" s="356"/>
      <c r="S56" s="356"/>
      <c r="T56" s="354"/>
      <c r="U56" s="354"/>
      <c r="V56" s="356"/>
      <c r="W56" s="356"/>
      <c r="X56" s="354"/>
      <c r="Y56" s="354"/>
      <c r="Z56" s="356"/>
      <c r="AA56" s="356"/>
      <c r="AB56" s="354"/>
      <c r="AC56" s="354"/>
    </row>
    <row r="57" spans="1:29" ht="14.25" customHeight="1" x14ac:dyDescent="0.3">
      <c r="A57" s="349">
        <v>46053</v>
      </c>
      <c r="B57" s="358">
        <f t="shared" si="2"/>
        <v>54.55</v>
      </c>
      <c r="C57" s="359" t="s">
        <v>523</v>
      </c>
      <c r="D57" s="353"/>
      <c r="E57" s="354"/>
      <c r="F57" s="356"/>
      <c r="G57" s="356">
        <v>54.55</v>
      </c>
      <c r="H57" s="354"/>
      <c r="I57" s="354"/>
      <c r="J57" s="356"/>
      <c r="K57" s="356"/>
      <c r="L57" s="354"/>
      <c r="M57" s="354"/>
      <c r="N57" s="356"/>
      <c r="O57" s="356"/>
      <c r="P57" s="354"/>
      <c r="Q57" s="354"/>
      <c r="R57" s="356"/>
      <c r="S57" s="356"/>
      <c r="T57" s="354"/>
      <c r="U57" s="354"/>
      <c r="V57" s="356"/>
      <c r="W57" s="356"/>
      <c r="X57" s="354"/>
      <c r="Y57" s="354"/>
      <c r="Z57" s="356"/>
      <c r="AA57" s="356"/>
      <c r="AB57" s="354"/>
      <c r="AC57" s="354"/>
    </row>
    <row r="58" spans="1:29" ht="14.25" customHeight="1" x14ac:dyDescent="0.3">
      <c r="A58" s="349">
        <v>46048</v>
      </c>
      <c r="B58" s="358">
        <f t="shared" si="2"/>
        <v>-583</v>
      </c>
      <c r="C58" s="359" t="s">
        <v>543</v>
      </c>
      <c r="D58" s="353">
        <v>583</v>
      </c>
      <c r="E58" s="354"/>
      <c r="F58" s="356"/>
      <c r="G58" s="356"/>
      <c r="H58" s="354"/>
      <c r="I58" s="354"/>
      <c r="J58" s="356"/>
      <c r="K58" s="356"/>
      <c r="L58" s="354"/>
      <c r="M58" s="354"/>
      <c r="N58" s="356"/>
      <c r="O58" s="356"/>
      <c r="P58" s="354"/>
      <c r="Q58" s="354"/>
      <c r="R58" s="356"/>
      <c r="S58" s="356"/>
      <c r="T58" s="354"/>
      <c r="U58" s="354"/>
      <c r="V58" s="356"/>
      <c r="W58" s="356"/>
      <c r="X58" s="354"/>
      <c r="Y58" s="354"/>
      <c r="Z58" s="356"/>
      <c r="AA58" s="356"/>
      <c r="AB58" s="354"/>
      <c r="AC58" s="354"/>
    </row>
    <row r="59" spans="1:29" ht="14.25" customHeight="1" x14ac:dyDescent="0.3">
      <c r="A59" s="349">
        <v>46044</v>
      </c>
      <c r="B59" s="358">
        <f t="shared" si="2"/>
        <v>-126.24</v>
      </c>
      <c r="C59" s="359" t="s">
        <v>316</v>
      </c>
      <c r="D59" s="353"/>
      <c r="E59" s="354"/>
      <c r="F59" s="356"/>
      <c r="G59" s="356"/>
      <c r="H59" s="354"/>
      <c r="I59" s="354"/>
      <c r="J59" s="356"/>
      <c r="K59" s="356"/>
      <c r="L59" s="354">
        <v>63.12</v>
      </c>
      <c r="M59" s="354"/>
      <c r="N59" s="356">
        <v>63.12</v>
      </c>
      <c r="O59" s="356"/>
      <c r="P59" s="354"/>
      <c r="Q59" s="354"/>
      <c r="R59" s="356"/>
      <c r="S59" s="356"/>
      <c r="T59" s="354"/>
      <c r="U59" s="354"/>
      <c r="V59" s="356"/>
      <c r="W59" s="356"/>
      <c r="X59" s="354"/>
      <c r="Y59" s="354"/>
      <c r="Z59" s="356"/>
      <c r="AA59" s="356"/>
      <c r="AB59" s="354"/>
      <c r="AC59" s="354"/>
    </row>
    <row r="60" spans="1:29" ht="14.25" customHeight="1" x14ac:dyDescent="0.3">
      <c r="A60" s="349">
        <v>46043</v>
      </c>
      <c r="B60" s="358">
        <f t="shared" si="2"/>
        <v>-100</v>
      </c>
      <c r="C60" s="359" t="s">
        <v>544</v>
      </c>
      <c r="D60" s="353"/>
      <c r="E60" s="354"/>
      <c r="F60" s="356"/>
      <c r="G60" s="356"/>
      <c r="H60" s="354">
        <v>100</v>
      </c>
      <c r="I60" s="354"/>
      <c r="J60" s="356"/>
      <c r="K60" s="356"/>
      <c r="L60" s="354"/>
      <c r="M60" s="354"/>
      <c r="N60" s="356"/>
      <c r="O60" s="356"/>
      <c r="P60" s="354"/>
      <c r="Q60" s="354"/>
      <c r="R60" s="356"/>
      <c r="S60" s="356"/>
      <c r="T60" s="354"/>
      <c r="U60" s="354"/>
      <c r="V60" s="356"/>
      <c r="W60" s="356"/>
      <c r="X60" s="354"/>
      <c r="Y60" s="354"/>
      <c r="Z60" s="356"/>
      <c r="AA60" s="356"/>
      <c r="AB60" s="354"/>
      <c r="AC60" s="354"/>
    </row>
    <row r="61" spans="1:29" ht="14.25" customHeight="1" x14ac:dyDescent="0.3">
      <c r="A61" s="349">
        <v>46043</v>
      </c>
      <c r="B61" s="358">
        <f t="shared" si="2"/>
        <v>-2724</v>
      </c>
      <c r="C61" s="359" t="s">
        <v>545</v>
      </c>
      <c r="D61" s="353"/>
      <c r="E61" s="354"/>
      <c r="F61" s="356"/>
      <c r="G61" s="356"/>
      <c r="H61" s="354"/>
      <c r="I61" s="354"/>
      <c r="J61" s="356"/>
      <c r="K61" s="356"/>
      <c r="L61" s="354"/>
      <c r="M61" s="354"/>
      <c r="N61" s="356"/>
      <c r="O61" s="356"/>
      <c r="P61" s="354"/>
      <c r="Q61" s="354"/>
      <c r="R61" s="356">
        <v>2724</v>
      </c>
      <c r="S61" s="356"/>
      <c r="T61" s="354"/>
      <c r="U61" s="354"/>
      <c r="V61" s="356"/>
      <c r="W61" s="356"/>
      <c r="X61" s="354"/>
      <c r="Y61" s="354"/>
      <c r="Z61" s="356"/>
      <c r="AA61" s="356"/>
      <c r="AB61" s="354"/>
      <c r="AC61" s="354"/>
    </row>
    <row r="62" spans="1:29" ht="14.25" customHeight="1" x14ac:dyDescent="0.3">
      <c r="A62" s="349">
        <v>46038</v>
      </c>
      <c r="B62" s="358">
        <f t="shared" si="2"/>
        <v>55.69</v>
      </c>
      <c r="C62" s="359" t="s">
        <v>523</v>
      </c>
      <c r="D62" s="353"/>
      <c r="E62" s="354"/>
      <c r="F62" s="356"/>
      <c r="G62" s="356">
        <v>55.69</v>
      </c>
      <c r="H62" s="354"/>
      <c r="I62" s="354"/>
      <c r="J62" s="356"/>
      <c r="K62" s="356"/>
      <c r="L62" s="354"/>
      <c r="M62" s="354"/>
      <c r="N62" s="356"/>
      <c r="O62" s="356"/>
      <c r="P62" s="354"/>
      <c r="Q62" s="354"/>
      <c r="R62" s="356"/>
      <c r="S62" s="356"/>
      <c r="T62" s="354"/>
      <c r="U62" s="354"/>
      <c r="V62" s="356"/>
      <c r="W62" s="356"/>
      <c r="X62" s="354"/>
      <c r="Y62" s="354"/>
      <c r="Z62" s="356"/>
      <c r="AA62" s="356"/>
      <c r="AB62" s="354"/>
      <c r="AC62" s="354"/>
    </row>
    <row r="63" spans="1:29" ht="14.25" customHeight="1" x14ac:dyDescent="0.3">
      <c r="A63" s="349">
        <v>46030</v>
      </c>
      <c r="B63" s="358">
        <f t="shared" si="2"/>
        <v>1049.3699999999999</v>
      </c>
      <c r="C63" s="351" t="s">
        <v>546</v>
      </c>
      <c r="D63" s="353"/>
      <c r="E63" s="354">
        <v>1049.3699999999999</v>
      </c>
      <c r="F63" s="356"/>
      <c r="G63" s="356"/>
      <c r="H63" s="354"/>
      <c r="I63" s="354"/>
      <c r="J63" s="356"/>
      <c r="K63" s="356"/>
      <c r="L63" s="354"/>
      <c r="M63" s="354"/>
      <c r="N63" s="356"/>
      <c r="O63" s="356"/>
      <c r="P63" s="354"/>
      <c r="Q63" s="354"/>
      <c r="R63" s="356"/>
      <c r="S63" s="356"/>
      <c r="T63" s="354"/>
      <c r="U63" s="354"/>
      <c r="V63" s="356"/>
      <c r="W63" s="356"/>
      <c r="X63" s="354"/>
      <c r="Y63" s="354"/>
      <c r="Z63" s="356"/>
      <c r="AA63" s="356"/>
      <c r="AB63" s="354"/>
      <c r="AC63" s="354"/>
    </row>
    <row r="64" spans="1:29" ht="14.25" customHeight="1" x14ac:dyDescent="0.3">
      <c r="A64" s="349">
        <v>46027</v>
      </c>
      <c r="B64" s="358">
        <f t="shared" si="2"/>
        <v>-113.94</v>
      </c>
      <c r="C64" s="359" t="s">
        <v>547</v>
      </c>
      <c r="D64" s="353"/>
      <c r="E64" s="354"/>
      <c r="F64" s="356"/>
      <c r="G64" s="356"/>
      <c r="H64" s="354">
        <v>113.94</v>
      </c>
      <c r="I64" s="354"/>
      <c r="J64" s="356"/>
      <c r="K64" s="356"/>
      <c r="L64" s="354"/>
      <c r="M64" s="354"/>
      <c r="N64" s="356"/>
      <c r="O64" s="356"/>
      <c r="P64" s="354"/>
      <c r="Q64" s="354"/>
      <c r="R64" s="356"/>
      <c r="S64" s="356"/>
      <c r="T64" s="354"/>
      <c r="U64" s="354"/>
      <c r="V64" s="356"/>
      <c r="W64" s="356"/>
      <c r="X64" s="354"/>
      <c r="Y64" s="354"/>
      <c r="Z64" s="356"/>
      <c r="AA64" s="356"/>
      <c r="AB64" s="354"/>
      <c r="AC64" s="354"/>
    </row>
    <row r="65" spans="1:29" ht="14.25" customHeight="1" x14ac:dyDescent="0.3">
      <c r="A65" s="349">
        <v>46027</v>
      </c>
      <c r="B65" s="358">
        <f t="shared" si="2"/>
        <v>-622.1</v>
      </c>
      <c r="C65" s="359" t="s">
        <v>537</v>
      </c>
      <c r="D65" s="353"/>
      <c r="E65" s="354"/>
      <c r="F65" s="356"/>
      <c r="G65" s="356"/>
      <c r="H65" s="354"/>
      <c r="I65" s="354"/>
      <c r="J65" s="356"/>
      <c r="K65" s="356"/>
      <c r="L65" s="354"/>
      <c r="M65" s="354"/>
      <c r="N65" s="356"/>
      <c r="O65" s="356"/>
      <c r="P65" s="354"/>
      <c r="Q65" s="354"/>
      <c r="R65" s="356"/>
      <c r="S65" s="356"/>
      <c r="T65" s="354">
        <v>622.1</v>
      </c>
      <c r="U65" s="354"/>
      <c r="V65" s="356"/>
      <c r="W65" s="356"/>
      <c r="X65" s="354"/>
      <c r="Y65" s="354"/>
      <c r="Z65" s="356"/>
      <c r="AA65" s="356"/>
      <c r="AB65" s="354"/>
      <c r="AC65" s="354"/>
    </row>
    <row r="66" spans="1:29" ht="14.25" customHeight="1" x14ac:dyDescent="0.3">
      <c r="A66" s="349">
        <v>44562</v>
      </c>
      <c r="B66" s="358">
        <f t="shared" si="2"/>
        <v>12240.49</v>
      </c>
      <c r="C66" s="359" t="s">
        <v>548</v>
      </c>
      <c r="D66" s="353"/>
      <c r="E66" s="354">
        <v>1710.49</v>
      </c>
      <c r="F66" s="356"/>
      <c r="G66" s="356">
        <v>500</v>
      </c>
      <c r="H66" s="354"/>
      <c r="I66" s="354">
        <v>2000</v>
      </c>
      <c r="J66" s="356"/>
      <c r="K66" s="356">
        <v>1000</v>
      </c>
      <c r="L66" s="354"/>
      <c r="M66" s="354">
        <v>65</v>
      </c>
      <c r="N66" s="356"/>
      <c r="O66" s="356">
        <v>65</v>
      </c>
      <c r="P66" s="354"/>
      <c r="Q66" s="354">
        <v>100</v>
      </c>
      <c r="R66" s="356"/>
      <c r="S66" s="356">
        <v>2000</v>
      </c>
      <c r="T66" s="354"/>
      <c r="U66" s="354">
        <v>2500</v>
      </c>
      <c r="V66" s="356"/>
      <c r="W66" s="356">
        <v>500</v>
      </c>
      <c r="X66" s="354"/>
      <c r="Y66" s="354">
        <v>200</v>
      </c>
      <c r="Z66" s="356"/>
      <c r="AA66" s="356">
        <v>1500</v>
      </c>
      <c r="AB66" s="354"/>
      <c r="AC66" s="354">
        <v>100</v>
      </c>
    </row>
    <row r="67" spans="1:29" ht="14.25" customHeight="1" x14ac:dyDescent="0.3"/>
    <row r="68" spans="1:29" ht="14.25" customHeight="1" x14ac:dyDescent="0.3"/>
    <row r="69" spans="1:29" ht="14.25" customHeight="1" x14ac:dyDescent="0.3"/>
    <row r="70" spans="1:29" ht="14.25" customHeight="1" x14ac:dyDescent="0.3"/>
    <row r="71" spans="1:29" ht="14.25" customHeight="1" x14ac:dyDescent="0.3"/>
    <row r="72" spans="1:29" ht="14.25" customHeight="1" x14ac:dyDescent="0.3"/>
    <row r="73" spans="1:29" ht="14.25" customHeight="1" x14ac:dyDescent="0.3"/>
    <row r="74" spans="1:29" ht="14.25" customHeight="1" x14ac:dyDescent="0.3"/>
    <row r="75" spans="1:29" ht="14.25" customHeight="1" x14ac:dyDescent="0.3"/>
    <row r="76" spans="1:29" ht="14.25" customHeight="1" x14ac:dyDescent="0.3"/>
    <row r="77" spans="1:29" ht="14.25" customHeight="1" x14ac:dyDescent="0.3"/>
    <row r="78" spans="1:29" ht="14.25" customHeight="1" x14ac:dyDescent="0.3"/>
    <row r="79" spans="1:29" ht="14.25" customHeight="1" x14ac:dyDescent="0.3"/>
    <row r="80" spans="1:2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22"/>
      <c r="O1" s="122"/>
      <c r="P1" s="122"/>
      <c r="Q1" s="122"/>
    </row>
    <row r="2" spans="1:17" ht="14.25" customHeight="1" x14ac:dyDescent="0.3">
      <c r="B2" s="23"/>
      <c r="D2" s="25" t="s">
        <v>549</v>
      </c>
      <c r="E2" s="25" t="s">
        <v>550</v>
      </c>
      <c r="M2" s="12"/>
      <c r="N2" s="122"/>
      <c r="O2" s="122"/>
      <c r="P2" s="122"/>
      <c r="Q2" s="122"/>
    </row>
    <row r="3" spans="1:17" ht="14.25" customHeight="1" x14ac:dyDescent="0.3">
      <c r="A3" s="92" t="s">
        <v>539</v>
      </c>
      <c r="B3" s="23">
        <v>2700</v>
      </c>
      <c r="C3" s="92" t="s">
        <v>551</v>
      </c>
      <c r="D3" s="25">
        <f t="shared" ref="D3:D4" si="0">B3/12</f>
        <v>225</v>
      </c>
      <c r="E3" s="25">
        <f t="shared" ref="E3:E7" si="1">D3*12</f>
        <v>2700</v>
      </c>
      <c r="M3" s="12"/>
      <c r="N3" s="122"/>
      <c r="O3" s="122"/>
      <c r="P3" s="122"/>
      <c r="Q3" s="122"/>
    </row>
    <row r="4" spans="1:17" ht="14.25" customHeight="1" x14ac:dyDescent="0.3">
      <c r="A4" s="92" t="s">
        <v>552</v>
      </c>
      <c r="B4" s="23">
        <v>780</v>
      </c>
      <c r="C4" s="92" t="s">
        <v>551</v>
      </c>
      <c r="D4" s="25">
        <f t="shared" si="0"/>
        <v>65</v>
      </c>
      <c r="E4" s="25">
        <f t="shared" si="1"/>
        <v>780</v>
      </c>
      <c r="M4" s="12"/>
      <c r="N4" s="122"/>
      <c r="O4" s="122"/>
      <c r="P4" s="122"/>
      <c r="Q4" s="122"/>
    </row>
    <row r="5" spans="1:17" ht="14.25" customHeight="1" x14ac:dyDescent="0.3">
      <c r="A5" s="92" t="s">
        <v>207</v>
      </c>
      <c r="B5" s="23">
        <v>75</v>
      </c>
      <c r="C5" s="92" t="s">
        <v>553</v>
      </c>
      <c r="D5" s="25">
        <f>B5/3</f>
        <v>25</v>
      </c>
      <c r="E5" s="25">
        <f t="shared" si="1"/>
        <v>300</v>
      </c>
      <c r="M5" s="12"/>
      <c r="N5" s="122"/>
      <c r="O5" s="122"/>
      <c r="P5" s="122"/>
      <c r="Q5" s="122"/>
    </row>
    <row r="6" spans="1:17" ht="14.25" customHeight="1" x14ac:dyDescent="0.3">
      <c r="A6" s="92" t="s">
        <v>430</v>
      </c>
      <c r="B6" s="23">
        <v>90</v>
      </c>
      <c r="C6" s="92" t="s">
        <v>554</v>
      </c>
      <c r="D6" s="25">
        <f>B6/2</f>
        <v>45</v>
      </c>
      <c r="E6" s="25">
        <f t="shared" si="1"/>
        <v>540</v>
      </c>
      <c r="M6" s="12"/>
      <c r="N6" s="122"/>
      <c r="O6" s="122"/>
      <c r="P6" s="122"/>
      <c r="Q6" s="122"/>
    </row>
    <row r="7" spans="1:17" ht="14.25" customHeight="1" x14ac:dyDescent="0.3">
      <c r="A7" s="92" t="s">
        <v>555</v>
      </c>
      <c r="B7" s="23">
        <v>60</v>
      </c>
      <c r="C7" s="92" t="s">
        <v>556</v>
      </c>
      <c r="D7" s="25">
        <f>B7</f>
        <v>60</v>
      </c>
      <c r="E7" s="25">
        <f t="shared" si="1"/>
        <v>720</v>
      </c>
      <c r="M7" s="12"/>
      <c r="N7" s="122"/>
      <c r="O7" s="122"/>
      <c r="P7" s="122"/>
      <c r="Q7" s="122"/>
    </row>
    <row r="8" spans="1:17" ht="14.25" customHeight="1" x14ac:dyDescent="0.3">
      <c r="B8" s="23"/>
      <c r="D8" s="25"/>
      <c r="E8" s="25"/>
      <c r="M8" s="12"/>
      <c r="N8" s="122"/>
      <c r="O8" s="122"/>
      <c r="P8" s="122"/>
      <c r="Q8" s="122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22"/>
      <c r="O9" s="122"/>
      <c r="P9" s="122"/>
      <c r="Q9" s="122"/>
    </row>
    <row r="10" spans="1:17" ht="14.25" customHeight="1" x14ac:dyDescent="0.3">
      <c r="B10" s="23"/>
      <c r="D10" s="25"/>
      <c r="E10" s="25"/>
      <c r="M10" s="12"/>
      <c r="N10" s="122"/>
      <c r="O10" s="122"/>
      <c r="P10" s="122"/>
      <c r="Q10" s="122"/>
    </row>
    <row r="11" spans="1:17" ht="14.25" customHeight="1" x14ac:dyDescent="0.3">
      <c r="A11" s="92" t="s">
        <v>557</v>
      </c>
      <c r="B11" s="23">
        <v>100</v>
      </c>
      <c r="C11" s="92" t="s">
        <v>556</v>
      </c>
      <c r="D11" s="25">
        <f>B11</f>
        <v>100</v>
      </c>
      <c r="E11" s="25">
        <f>D11*12</f>
        <v>1200</v>
      </c>
      <c r="M11" s="12"/>
      <c r="N11" s="122"/>
      <c r="O11" s="122"/>
      <c r="P11" s="122"/>
      <c r="Q11" s="122"/>
    </row>
    <row r="12" spans="1:17" ht="14.25" customHeight="1" x14ac:dyDescent="0.3">
      <c r="B12" s="23"/>
      <c r="D12" s="25"/>
      <c r="E12" s="25"/>
      <c r="M12" s="12"/>
      <c r="N12" s="122"/>
      <c r="O12" s="122"/>
      <c r="P12" s="122"/>
      <c r="Q12" s="122"/>
    </row>
    <row r="13" spans="1:17" ht="14.25" customHeight="1" x14ac:dyDescent="0.3">
      <c r="A13" s="92" t="s">
        <v>558</v>
      </c>
      <c r="B13" s="23"/>
      <c r="D13" s="25">
        <f>SUM(D9+D11)</f>
        <v>520</v>
      </c>
      <c r="E13" s="25">
        <f>D13*12</f>
        <v>6240</v>
      </c>
      <c r="M13" s="12"/>
      <c r="N13" s="122"/>
      <c r="O13" s="122"/>
      <c r="P13" s="122"/>
      <c r="Q13" s="122"/>
    </row>
    <row r="14" spans="1:17" ht="14.25" customHeight="1" x14ac:dyDescent="0.3">
      <c r="B14" s="23"/>
      <c r="D14" s="25"/>
      <c r="E14" s="25"/>
      <c r="M14" s="12"/>
      <c r="N14" s="122"/>
      <c r="O14" s="122"/>
      <c r="P14" s="122"/>
      <c r="Q14" s="122"/>
    </row>
    <row r="15" spans="1:17" ht="14.25" customHeight="1" x14ac:dyDescent="0.3">
      <c r="B15" s="23"/>
      <c r="D15" s="25"/>
      <c r="E15" s="25"/>
      <c r="M15" s="12"/>
      <c r="N15" s="122"/>
      <c r="O15" s="122"/>
      <c r="P15" s="122"/>
      <c r="Q15" s="122"/>
    </row>
    <row r="16" spans="1:17" ht="14.25" customHeight="1" x14ac:dyDescent="0.3">
      <c r="A16" s="92" t="s">
        <v>559</v>
      </c>
      <c r="B16" s="23">
        <v>800</v>
      </c>
      <c r="C16" s="92" t="s">
        <v>556</v>
      </c>
      <c r="D16" s="25">
        <f>B16</f>
        <v>800</v>
      </c>
      <c r="E16" s="25">
        <f>D16*12</f>
        <v>9600</v>
      </c>
      <c r="M16" s="12"/>
      <c r="N16" s="122"/>
      <c r="O16" s="122"/>
      <c r="P16" s="122"/>
      <c r="Q16" s="122"/>
    </row>
    <row r="17" spans="1:17" ht="14.25" customHeight="1" x14ac:dyDescent="0.3">
      <c r="B17" s="23"/>
      <c r="D17" s="25"/>
      <c r="E17" s="25"/>
      <c r="M17" s="12"/>
      <c r="N17" s="122"/>
      <c r="O17" s="122"/>
      <c r="P17" s="122"/>
      <c r="Q17" s="122"/>
    </row>
    <row r="18" spans="1:17" ht="14.25" customHeight="1" x14ac:dyDescent="0.3">
      <c r="A18" s="92" t="s">
        <v>560</v>
      </c>
      <c r="B18" s="23"/>
      <c r="D18" s="25">
        <f>D16-D13</f>
        <v>280</v>
      </c>
      <c r="E18" s="25">
        <f>D18*12</f>
        <v>3360</v>
      </c>
      <c r="M18" s="12"/>
      <c r="N18" s="122"/>
      <c r="O18" s="122"/>
      <c r="P18" s="122"/>
      <c r="Q18" s="122"/>
    </row>
    <row r="19" spans="1:17" ht="14.25" customHeight="1" x14ac:dyDescent="0.3">
      <c r="A19" s="92" t="s">
        <v>561</v>
      </c>
      <c r="B19" s="23"/>
      <c r="D19" s="25"/>
      <c r="E19" s="50">
        <f>(E16-E13)/E13</f>
        <v>0.53846153846153844</v>
      </c>
      <c r="M19" s="12"/>
      <c r="N19" s="122"/>
      <c r="O19" s="122"/>
      <c r="P19" s="122"/>
      <c r="Q19" s="122"/>
    </row>
    <row r="20" spans="1:17" ht="14.25" customHeight="1" x14ac:dyDescent="0.3">
      <c r="B20" s="23"/>
      <c r="D20" s="25"/>
      <c r="E20" s="25"/>
      <c r="M20" s="12"/>
      <c r="N20" s="122"/>
      <c r="O20" s="122"/>
      <c r="P20" s="122"/>
      <c r="Q20" s="122"/>
    </row>
    <row r="21" spans="1:17" ht="14.25" customHeight="1" x14ac:dyDescent="0.3">
      <c r="B21" s="23"/>
      <c r="D21" s="25"/>
      <c r="E21" s="25"/>
      <c r="M21" s="12"/>
      <c r="N21" s="122"/>
      <c r="O21" s="122"/>
      <c r="P21" s="122"/>
      <c r="Q21" s="122"/>
    </row>
    <row r="22" spans="1:17" ht="14.25" customHeight="1" x14ac:dyDescent="0.3">
      <c r="B22" s="23"/>
      <c r="D22" s="25"/>
      <c r="E22" s="25"/>
      <c r="M22" s="12"/>
      <c r="N22" s="122"/>
      <c r="O22" s="122"/>
      <c r="P22" s="122"/>
      <c r="Q22" s="122"/>
    </row>
    <row r="23" spans="1:17" ht="14.25" customHeight="1" x14ac:dyDescent="0.3">
      <c r="B23" s="23"/>
      <c r="D23" s="25"/>
      <c r="E23" s="25"/>
      <c r="M23" s="12"/>
      <c r="N23" s="122"/>
      <c r="O23" s="122"/>
      <c r="P23" s="122"/>
      <c r="Q23" s="122"/>
    </row>
    <row r="24" spans="1:17" ht="14.25" customHeight="1" x14ac:dyDescent="0.3">
      <c r="B24" s="23"/>
      <c r="D24" s="25"/>
      <c r="E24" s="25"/>
      <c r="M24" s="12"/>
      <c r="N24" s="122"/>
      <c r="O24" s="122"/>
      <c r="P24" s="122"/>
      <c r="Q24" s="122"/>
    </row>
    <row r="25" spans="1:17" ht="14.25" customHeight="1" x14ac:dyDescent="0.3">
      <c r="B25" s="23"/>
      <c r="D25" s="25"/>
      <c r="E25" s="25"/>
      <c r="M25" s="12"/>
      <c r="N25" s="122"/>
      <c r="O25" s="122"/>
      <c r="P25" s="122"/>
      <c r="Q25" s="122"/>
    </row>
    <row r="26" spans="1:17" ht="14.25" customHeight="1" x14ac:dyDescent="0.3">
      <c r="B26" s="23"/>
      <c r="D26" s="25"/>
      <c r="E26" s="25"/>
      <c r="M26" s="12"/>
      <c r="N26" s="122"/>
      <c r="O26" s="122"/>
      <c r="P26" s="122"/>
      <c r="Q26" s="122"/>
    </row>
    <row r="27" spans="1:17" ht="14.25" customHeight="1" x14ac:dyDescent="0.3">
      <c r="B27" s="23"/>
      <c r="D27" s="25"/>
      <c r="E27" s="25"/>
      <c r="M27" s="12"/>
      <c r="N27" s="122"/>
      <c r="O27" s="122"/>
      <c r="P27" s="122"/>
      <c r="Q27" s="122"/>
    </row>
    <row r="28" spans="1:17" ht="14.25" customHeight="1" x14ac:dyDescent="0.3">
      <c r="B28" s="23"/>
      <c r="D28" s="25"/>
      <c r="E28" s="25"/>
      <c r="M28" s="12"/>
      <c r="N28" s="122"/>
      <c r="O28" s="122"/>
      <c r="P28" s="122"/>
      <c r="Q28" s="122"/>
    </row>
    <row r="29" spans="1:17" ht="14.25" customHeight="1" x14ac:dyDescent="0.3">
      <c r="B29" s="23"/>
      <c r="D29" s="25"/>
      <c r="E29" s="25"/>
      <c r="M29" s="12"/>
      <c r="N29" s="122"/>
      <c r="O29" s="122"/>
      <c r="P29" s="122"/>
      <c r="Q29" s="122"/>
    </row>
    <row r="30" spans="1:17" ht="14.25" customHeight="1" x14ac:dyDescent="0.3">
      <c r="B30" s="23"/>
      <c r="D30" s="25"/>
      <c r="E30" s="25"/>
      <c r="M30" s="12"/>
      <c r="N30" s="122"/>
      <c r="O30" s="122"/>
      <c r="P30" s="122"/>
      <c r="Q30" s="122"/>
    </row>
    <row r="31" spans="1:17" ht="14.25" customHeight="1" x14ac:dyDescent="0.3">
      <c r="B31" s="23"/>
      <c r="D31" s="25"/>
      <c r="E31" s="25"/>
      <c r="M31" s="12"/>
      <c r="N31" s="122"/>
      <c r="O31" s="122"/>
      <c r="P31" s="122"/>
      <c r="Q31" s="122"/>
    </row>
    <row r="32" spans="1:17" ht="14.25" customHeight="1" x14ac:dyDescent="0.3">
      <c r="B32" s="23"/>
      <c r="D32" s="25"/>
      <c r="E32" s="25"/>
      <c r="M32" s="12"/>
      <c r="N32" s="122"/>
      <c r="O32" s="122"/>
      <c r="P32" s="122"/>
      <c r="Q32" s="122"/>
    </row>
    <row r="33" spans="2:17" ht="14.25" customHeight="1" x14ac:dyDescent="0.3">
      <c r="B33" s="23"/>
      <c r="D33" s="25"/>
      <c r="E33" s="25"/>
      <c r="M33" s="12"/>
      <c r="N33" s="122"/>
      <c r="O33" s="122"/>
      <c r="P33" s="122"/>
      <c r="Q33" s="122"/>
    </row>
    <row r="34" spans="2:17" ht="14.25" customHeight="1" x14ac:dyDescent="0.3">
      <c r="B34" s="23"/>
      <c r="D34" s="25"/>
      <c r="E34" s="25"/>
      <c r="M34" s="12"/>
      <c r="N34" s="122"/>
      <c r="O34" s="122"/>
      <c r="P34" s="122"/>
      <c r="Q34" s="122"/>
    </row>
    <row r="35" spans="2:17" ht="14.25" customHeight="1" x14ac:dyDescent="0.3">
      <c r="B35" s="23"/>
      <c r="D35" s="25"/>
      <c r="E35" s="25"/>
      <c r="M35" s="12"/>
      <c r="N35" s="122"/>
      <c r="O35" s="122"/>
      <c r="P35" s="122"/>
      <c r="Q35" s="122"/>
    </row>
    <row r="36" spans="2:17" ht="14.25" customHeight="1" x14ac:dyDescent="0.3">
      <c r="B36" s="23"/>
      <c r="D36" s="25"/>
      <c r="E36" s="25"/>
      <c r="M36" s="12"/>
      <c r="N36" s="122"/>
      <c r="O36" s="122"/>
      <c r="P36" s="122"/>
      <c r="Q36" s="122"/>
    </row>
    <row r="37" spans="2:17" ht="14.25" customHeight="1" x14ac:dyDescent="0.3">
      <c r="B37" s="23"/>
      <c r="D37" s="25"/>
      <c r="E37" s="25"/>
      <c r="M37" s="12"/>
      <c r="N37" s="122"/>
      <c r="O37" s="122"/>
      <c r="P37" s="122"/>
      <c r="Q37" s="122"/>
    </row>
    <row r="38" spans="2:17" ht="14.25" customHeight="1" x14ac:dyDescent="0.3">
      <c r="B38" s="23"/>
      <c r="D38" s="25"/>
      <c r="E38" s="25"/>
      <c r="M38" s="12"/>
      <c r="N38" s="122"/>
      <c r="O38" s="122"/>
      <c r="P38" s="122"/>
      <c r="Q38" s="122"/>
    </row>
    <row r="39" spans="2:17" ht="14.25" customHeight="1" x14ac:dyDescent="0.3">
      <c r="B39" s="23"/>
      <c r="D39" s="25"/>
      <c r="E39" s="25"/>
      <c r="M39" s="12"/>
      <c r="N39" s="122"/>
      <c r="O39" s="122"/>
      <c r="P39" s="122"/>
      <c r="Q39" s="122"/>
    </row>
    <row r="40" spans="2:17" ht="14.25" customHeight="1" x14ac:dyDescent="0.3">
      <c r="B40" s="23"/>
      <c r="D40" s="25"/>
      <c r="E40" s="25"/>
      <c r="M40" s="12"/>
      <c r="N40" s="122"/>
      <c r="O40" s="122"/>
      <c r="P40" s="122"/>
      <c r="Q40" s="122"/>
    </row>
    <row r="41" spans="2:17" ht="14.25" customHeight="1" x14ac:dyDescent="0.3">
      <c r="B41" s="23"/>
      <c r="D41" s="25"/>
      <c r="E41" s="25"/>
      <c r="M41" s="12"/>
      <c r="N41" s="122"/>
      <c r="O41" s="122"/>
      <c r="P41" s="122"/>
      <c r="Q41" s="122"/>
    </row>
    <row r="42" spans="2:17" ht="14.25" customHeight="1" x14ac:dyDescent="0.3">
      <c r="B42" s="23"/>
      <c r="D42" s="25"/>
      <c r="E42" s="25"/>
      <c r="M42" s="12"/>
      <c r="N42" s="122"/>
      <c r="O42" s="122"/>
      <c r="P42" s="122"/>
      <c r="Q42" s="122"/>
    </row>
    <row r="43" spans="2:17" ht="14.25" customHeight="1" x14ac:dyDescent="0.3">
      <c r="B43" s="23"/>
      <c r="D43" s="25"/>
      <c r="E43" s="25"/>
      <c r="M43" s="12"/>
      <c r="N43" s="122"/>
      <c r="O43" s="122"/>
      <c r="P43" s="122"/>
      <c r="Q43" s="122"/>
    </row>
    <row r="44" spans="2:17" ht="14.25" customHeight="1" x14ac:dyDescent="0.3">
      <c r="B44" s="23"/>
      <c r="D44" s="25"/>
      <c r="E44" s="25"/>
      <c r="M44" s="12"/>
      <c r="N44" s="122"/>
      <c r="O44" s="122"/>
      <c r="P44" s="122"/>
      <c r="Q44" s="122"/>
    </row>
    <row r="45" spans="2:17" ht="14.25" customHeight="1" x14ac:dyDescent="0.3">
      <c r="B45" s="23"/>
      <c r="D45" s="25"/>
      <c r="E45" s="25"/>
      <c r="M45" s="12"/>
      <c r="N45" s="122"/>
      <c r="O45" s="122"/>
      <c r="P45" s="122"/>
      <c r="Q45" s="122"/>
    </row>
    <row r="46" spans="2:17" ht="14.25" customHeight="1" x14ac:dyDescent="0.3">
      <c r="B46" s="23"/>
      <c r="D46" s="25"/>
      <c r="E46" s="25"/>
      <c r="M46" s="12"/>
      <c r="N46" s="122"/>
      <c r="O46" s="122"/>
      <c r="P46" s="122"/>
      <c r="Q46" s="122"/>
    </row>
    <row r="47" spans="2:17" ht="14.25" customHeight="1" x14ac:dyDescent="0.3">
      <c r="B47" s="23"/>
      <c r="D47" s="25"/>
      <c r="E47" s="25"/>
      <c r="M47" s="12"/>
      <c r="N47" s="122"/>
      <c r="O47" s="122"/>
      <c r="P47" s="122"/>
      <c r="Q47" s="122"/>
    </row>
    <row r="48" spans="2:17" ht="14.25" customHeight="1" x14ac:dyDescent="0.3">
      <c r="B48" s="23"/>
      <c r="D48" s="25"/>
      <c r="E48" s="25"/>
      <c r="M48" s="12"/>
      <c r="N48" s="122"/>
      <c r="O48" s="122"/>
      <c r="P48" s="122"/>
      <c r="Q48" s="122"/>
    </row>
    <row r="49" spans="2:17" ht="14.25" customHeight="1" x14ac:dyDescent="0.3">
      <c r="B49" s="23"/>
      <c r="D49" s="25"/>
      <c r="E49" s="25"/>
      <c r="M49" s="12"/>
      <c r="N49" s="122"/>
      <c r="O49" s="122"/>
      <c r="P49" s="122"/>
      <c r="Q49" s="122"/>
    </row>
    <row r="50" spans="2:17" ht="14.25" customHeight="1" x14ac:dyDescent="0.3">
      <c r="B50" s="23"/>
      <c r="D50" s="25"/>
      <c r="E50" s="25"/>
      <c r="M50" s="12"/>
      <c r="N50" s="122"/>
      <c r="O50" s="122"/>
      <c r="P50" s="122"/>
      <c r="Q50" s="122"/>
    </row>
    <row r="51" spans="2:17" ht="14.25" customHeight="1" x14ac:dyDescent="0.3">
      <c r="B51" s="23"/>
      <c r="D51" s="25"/>
      <c r="E51" s="25"/>
      <c r="M51" s="12"/>
      <c r="N51" s="122"/>
      <c r="O51" s="122"/>
      <c r="P51" s="122"/>
      <c r="Q51" s="122"/>
    </row>
    <row r="52" spans="2:17" ht="14.25" customHeight="1" x14ac:dyDescent="0.3">
      <c r="B52" s="23"/>
      <c r="D52" s="25"/>
      <c r="E52" s="25"/>
      <c r="M52" s="12"/>
      <c r="N52" s="122"/>
      <c r="O52" s="122"/>
      <c r="P52" s="122"/>
      <c r="Q52" s="122"/>
    </row>
    <row r="53" spans="2:17" ht="14.25" customHeight="1" x14ac:dyDescent="0.3">
      <c r="B53" s="23"/>
      <c r="D53" s="25"/>
      <c r="E53" s="25"/>
      <c r="M53" s="12"/>
      <c r="N53" s="122"/>
      <c r="O53" s="122"/>
      <c r="P53" s="122"/>
      <c r="Q53" s="122"/>
    </row>
    <row r="54" spans="2:17" ht="14.25" customHeight="1" x14ac:dyDescent="0.3">
      <c r="B54" s="23"/>
      <c r="D54" s="25"/>
      <c r="E54" s="25"/>
      <c r="M54" s="12"/>
      <c r="N54" s="122"/>
      <c r="O54" s="122"/>
      <c r="P54" s="122"/>
      <c r="Q54" s="122"/>
    </row>
    <row r="55" spans="2:17" ht="14.25" customHeight="1" x14ac:dyDescent="0.3">
      <c r="B55" s="23"/>
      <c r="D55" s="25"/>
      <c r="E55" s="25"/>
      <c r="M55" s="12"/>
      <c r="N55" s="122"/>
      <c r="O55" s="122"/>
      <c r="P55" s="122"/>
      <c r="Q55" s="122"/>
    </row>
    <row r="56" spans="2:17" ht="14.25" customHeight="1" x14ac:dyDescent="0.3">
      <c r="B56" s="23"/>
      <c r="D56" s="25"/>
      <c r="E56" s="25"/>
      <c r="M56" s="12"/>
      <c r="N56" s="122"/>
      <c r="O56" s="122"/>
      <c r="P56" s="122"/>
      <c r="Q56" s="122"/>
    </row>
    <row r="57" spans="2:17" ht="14.25" customHeight="1" x14ac:dyDescent="0.3">
      <c r="B57" s="23"/>
      <c r="D57" s="25"/>
      <c r="E57" s="25"/>
      <c r="M57" s="12"/>
      <c r="N57" s="122"/>
      <c r="O57" s="122"/>
      <c r="P57" s="122"/>
      <c r="Q57" s="122"/>
    </row>
    <row r="58" spans="2:17" ht="14.25" customHeight="1" x14ac:dyDescent="0.3">
      <c r="B58" s="23"/>
      <c r="D58" s="25"/>
      <c r="E58" s="25"/>
      <c r="M58" s="12"/>
      <c r="N58" s="122"/>
      <c r="O58" s="122"/>
      <c r="P58" s="122"/>
      <c r="Q58" s="122"/>
    </row>
    <row r="59" spans="2:17" ht="14.25" customHeight="1" x14ac:dyDescent="0.3">
      <c r="B59" s="23"/>
      <c r="D59" s="25"/>
      <c r="E59" s="25"/>
      <c r="M59" s="12"/>
      <c r="N59" s="122"/>
      <c r="O59" s="122"/>
      <c r="P59" s="122"/>
      <c r="Q59" s="122"/>
    </row>
    <row r="60" spans="2:17" ht="14.25" customHeight="1" x14ac:dyDescent="0.3">
      <c r="B60" s="23"/>
      <c r="D60" s="25"/>
      <c r="E60" s="25"/>
      <c r="M60" s="12"/>
      <c r="N60" s="122"/>
      <c r="O60" s="122"/>
      <c r="P60" s="122"/>
      <c r="Q60" s="122"/>
    </row>
    <row r="61" spans="2:17" ht="14.25" customHeight="1" x14ac:dyDescent="0.3">
      <c r="B61" s="23"/>
      <c r="D61" s="25"/>
      <c r="E61" s="25"/>
      <c r="M61" s="12"/>
      <c r="N61" s="122"/>
      <c r="O61" s="122"/>
      <c r="P61" s="122"/>
      <c r="Q61" s="122"/>
    </row>
    <row r="62" spans="2:17" ht="14.25" customHeight="1" x14ac:dyDescent="0.3">
      <c r="B62" s="23"/>
      <c r="D62" s="25"/>
      <c r="E62" s="25"/>
      <c r="M62" s="12"/>
      <c r="N62" s="122"/>
      <c r="O62" s="122"/>
      <c r="P62" s="122"/>
      <c r="Q62" s="122"/>
    </row>
    <row r="63" spans="2:17" ht="14.25" customHeight="1" x14ac:dyDescent="0.3">
      <c r="B63" s="23"/>
      <c r="D63" s="25"/>
      <c r="E63" s="25"/>
      <c r="M63" s="12"/>
      <c r="N63" s="122"/>
      <c r="O63" s="122"/>
      <c r="P63" s="122"/>
      <c r="Q63" s="122"/>
    </row>
    <row r="64" spans="2:17" ht="14.25" customHeight="1" x14ac:dyDescent="0.3">
      <c r="B64" s="23"/>
      <c r="D64" s="25"/>
      <c r="E64" s="25"/>
      <c r="M64" s="12"/>
      <c r="N64" s="122"/>
      <c r="O64" s="122"/>
      <c r="P64" s="122"/>
      <c r="Q64" s="122"/>
    </row>
    <row r="65" spans="2:17" ht="14.25" customHeight="1" x14ac:dyDescent="0.3">
      <c r="B65" s="23"/>
      <c r="D65" s="25"/>
      <c r="E65" s="25"/>
      <c r="M65" s="12"/>
      <c r="N65" s="122"/>
      <c r="O65" s="122"/>
      <c r="P65" s="122"/>
      <c r="Q65" s="122"/>
    </row>
    <row r="66" spans="2:17" ht="14.25" customHeight="1" x14ac:dyDescent="0.3">
      <c r="B66" s="23"/>
      <c r="D66" s="25"/>
      <c r="E66" s="25"/>
      <c r="M66" s="12"/>
      <c r="N66" s="122"/>
      <c r="O66" s="122"/>
      <c r="P66" s="122"/>
      <c r="Q66" s="122"/>
    </row>
    <row r="67" spans="2:17" ht="14.25" customHeight="1" x14ac:dyDescent="0.3">
      <c r="B67" s="23"/>
      <c r="D67" s="25"/>
      <c r="E67" s="25"/>
      <c r="M67" s="12"/>
      <c r="N67" s="122"/>
      <c r="O67" s="122"/>
      <c r="P67" s="122"/>
      <c r="Q67" s="122"/>
    </row>
    <row r="68" spans="2:17" ht="14.25" customHeight="1" x14ac:dyDescent="0.3">
      <c r="B68" s="23"/>
      <c r="D68" s="25"/>
      <c r="E68" s="25"/>
      <c r="M68" s="12"/>
      <c r="N68" s="122"/>
      <c r="O68" s="122"/>
      <c r="P68" s="122"/>
      <c r="Q68" s="122"/>
    </row>
    <row r="69" spans="2:17" ht="14.25" customHeight="1" x14ac:dyDescent="0.3">
      <c r="B69" s="23"/>
      <c r="D69" s="25"/>
      <c r="E69" s="25"/>
      <c r="M69" s="12"/>
      <c r="N69" s="122"/>
      <c r="O69" s="122"/>
      <c r="P69" s="122"/>
      <c r="Q69" s="122"/>
    </row>
    <row r="70" spans="2:17" ht="14.25" customHeight="1" x14ac:dyDescent="0.3">
      <c r="B70" s="23"/>
      <c r="D70" s="25"/>
      <c r="E70" s="25"/>
      <c r="M70" s="12"/>
      <c r="N70" s="122"/>
      <c r="O70" s="122"/>
      <c r="P70" s="122"/>
      <c r="Q70" s="122"/>
    </row>
    <row r="71" spans="2:17" ht="14.25" customHeight="1" x14ac:dyDescent="0.3">
      <c r="B71" s="23"/>
      <c r="D71" s="25"/>
      <c r="E71" s="25"/>
      <c r="M71" s="12"/>
      <c r="N71" s="122"/>
      <c r="O71" s="122"/>
      <c r="P71" s="122"/>
      <c r="Q71" s="122"/>
    </row>
    <row r="72" spans="2:17" ht="14.25" customHeight="1" x14ac:dyDescent="0.3">
      <c r="B72" s="23"/>
      <c r="D72" s="25"/>
      <c r="E72" s="25"/>
      <c r="M72" s="12"/>
      <c r="N72" s="122"/>
      <c r="O72" s="122"/>
      <c r="P72" s="122"/>
      <c r="Q72" s="122"/>
    </row>
    <row r="73" spans="2:17" ht="14.25" customHeight="1" x14ac:dyDescent="0.3">
      <c r="B73" s="23"/>
      <c r="D73" s="25"/>
      <c r="E73" s="25"/>
      <c r="M73" s="12"/>
      <c r="N73" s="122"/>
      <c r="O73" s="122"/>
      <c r="P73" s="122"/>
      <c r="Q73" s="122"/>
    </row>
    <row r="74" spans="2:17" ht="14.25" customHeight="1" x14ac:dyDescent="0.3">
      <c r="B74" s="23"/>
      <c r="D74" s="25"/>
      <c r="E74" s="25"/>
      <c r="M74" s="12"/>
      <c r="N74" s="122"/>
      <c r="O74" s="122"/>
      <c r="P74" s="122"/>
      <c r="Q74" s="122"/>
    </row>
    <row r="75" spans="2:17" ht="14.25" customHeight="1" x14ac:dyDescent="0.3">
      <c r="B75" s="23"/>
      <c r="D75" s="25"/>
      <c r="E75" s="25"/>
      <c r="M75" s="12"/>
      <c r="N75" s="122"/>
      <c r="O75" s="122"/>
      <c r="P75" s="122"/>
      <c r="Q75" s="122"/>
    </row>
    <row r="76" spans="2:17" ht="14.25" customHeight="1" x14ac:dyDescent="0.3">
      <c r="B76" s="23"/>
      <c r="D76" s="25"/>
      <c r="E76" s="25"/>
      <c r="M76" s="12"/>
      <c r="N76" s="122"/>
      <c r="O76" s="122"/>
      <c r="P76" s="122"/>
      <c r="Q76" s="122"/>
    </row>
    <row r="77" spans="2:17" ht="14.25" customHeight="1" x14ac:dyDescent="0.3">
      <c r="B77" s="23"/>
      <c r="D77" s="25"/>
      <c r="E77" s="25"/>
      <c r="M77" s="12"/>
      <c r="N77" s="122"/>
      <c r="O77" s="122"/>
      <c r="P77" s="122"/>
      <c r="Q77" s="122"/>
    </row>
    <row r="78" spans="2:17" ht="14.25" customHeight="1" x14ac:dyDescent="0.3">
      <c r="B78" s="23"/>
      <c r="D78" s="25"/>
      <c r="E78" s="25"/>
      <c r="M78" s="12"/>
      <c r="N78" s="122"/>
      <c r="O78" s="122"/>
      <c r="P78" s="122"/>
      <c r="Q78" s="122"/>
    </row>
    <row r="79" spans="2:17" ht="14.25" customHeight="1" x14ac:dyDescent="0.3">
      <c r="B79" s="23"/>
      <c r="D79" s="25"/>
      <c r="E79" s="25"/>
      <c r="M79" s="12"/>
      <c r="N79" s="122"/>
      <c r="O79" s="122"/>
      <c r="P79" s="122"/>
      <c r="Q79" s="122"/>
    </row>
    <row r="80" spans="2:17" ht="14.25" customHeight="1" x14ac:dyDescent="0.3">
      <c r="B80" s="23"/>
      <c r="D80" s="25"/>
      <c r="E80" s="25"/>
      <c r="M80" s="12"/>
      <c r="N80" s="122"/>
      <c r="O80" s="122"/>
      <c r="P80" s="122"/>
      <c r="Q80" s="122"/>
    </row>
    <row r="81" spans="2:17" ht="14.25" customHeight="1" x14ac:dyDescent="0.3">
      <c r="B81" s="23"/>
      <c r="D81" s="25"/>
      <c r="E81" s="25"/>
      <c r="M81" s="12"/>
      <c r="N81" s="122"/>
      <c r="O81" s="122"/>
      <c r="P81" s="122"/>
      <c r="Q81" s="122"/>
    </row>
    <row r="82" spans="2:17" ht="14.25" customHeight="1" x14ac:dyDescent="0.3">
      <c r="B82" s="23"/>
      <c r="D82" s="25"/>
      <c r="E82" s="25"/>
      <c r="M82" s="12"/>
      <c r="N82" s="122"/>
      <c r="O82" s="122"/>
      <c r="P82" s="122"/>
      <c r="Q82" s="122"/>
    </row>
    <row r="83" spans="2:17" ht="14.25" customHeight="1" x14ac:dyDescent="0.3">
      <c r="B83" s="23"/>
      <c r="D83" s="25"/>
      <c r="E83" s="25"/>
      <c r="M83" s="12"/>
      <c r="N83" s="122"/>
      <c r="O83" s="122"/>
      <c r="P83" s="122"/>
      <c r="Q83" s="122"/>
    </row>
    <row r="84" spans="2:17" ht="14.25" customHeight="1" x14ac:dyDescent="0.3">
      <c r="B84" s="23"/>
      <c r="D84" s="25"/>
      <c r="E84" s="25"/>
      <c r="M84" s="12"/>
      <c r="N84" s="122"/>
      <c r="O84" s="122"/>
      <c r="P84" s="122"/>
      <c r="Q84" s="122"/>
    </row>
    <row r="85" spans="2:17" ht="14.25" customHeight="1" x14ac:dyDescent="0.3">
      <c r="B85" s="23"/>
      <c r="D85" s="25"/>
      <c r="E85" s="25"/>
      <c r="M85" s="12"/>
      <c r="N85" s="122"/>
      <c r="O85" s="122"/>
      <c r="P85" s="122"/>
      <c r="Q85" s="122"/>
    </row>
    <row r="86" spans="2:17" ht="14.25" customHeight="1" x14ac:dyDescent="0.3">
      <c r="B86" s="23"/>
      <c r="D86" s="25"/>
      <c r="E86" s="25"/>
      <c r="M86" s="12"/>
      <c r="N86" s="122"/>
      <c r="O86" s="122"/>
      <c r="P86" s="122"/>
      <c r="Q86" s="122"/>
    </row>
    <row r="87" spans="2:17" ht="14.25" customHeight="1" x14ac:dyDescent="0.3">
      <c r="B87" s="23"/>
      <c r="D87" s="25"/>
      <c r="E87" s="25"/>
      <c r="M87" s="12"/>
      <c r="N87" s="122"/>
      <c r="O87" s="122"/>
      <c r="P87" s="122"/>
      <c r="Q87" s="122"/>
    </row>
    <row r="88" spans="2:17" ht="14.25" customHeight="1" x14ac:dyDescent="0.3">
      <c r="B88" s="23"/>
      <c r="D88" s="25"/>
      <c r="E88" s="25"/>
      <c r="M88" s="12"/>
      <c r="N88" s="122"/>
      <c r="O88" s="122"/>
      <c r="P88" s="122"/>
      <c r="Q88" s="122"/>
    </row>
    <row r="89" spans="2:17" ht="14.25" customHeight="1" x14ac:dyDescent="0.3">
      <c r="B89" s="23"/>
      <c r="D89" s="25"/>
      <c r="E89" s="25"/>
      <c r="M89" s="12"/>
      <c r="N89" s="122"/>
      <c r="O89" s="122"/>
      <c r="P89" s="122"/>
      <c r="Q89" s="122"/>
    </row>
    <row r="90" spans="2:17" ht="14.25" customHeight="1" x14ac:dyDescent="0.3">
      <c r="B90" s="23"/>
      <c r="D90" s="25"/>
      <c r="E90" s="25"/>
      <c r="M90" s="12"/>
      <c r="N90" s="122"/>
      <c r="O90" s="122"/>
      <c r="P90" s="122"/>
      <c r="Q90" s="122"/>
    </row>
    <row r="91" spans="2:17" ht="14.25" customHeight="1" x14ac:dyDescent="0.3">
      <c r="B91" s="23"/>
      <c r="D91" s="25"/>
      <c r="E91" s="25"/>
      <c r="M91" s="12"/>
      <c r="N91" s="122"/>
      <c r="O91" s="122"/>
      <c r="P91" s="122"/>
      <c r="Q91" s="122"/>
    </row>
    <row r="92" spans="2:17" ht="14.25" customHeight="1" x14ac:dyDescent="0.3">
      <c r="B92" s="23"/>
      <c r="D92" s="25"/>
      <c r="E92" s="25"/>
      <c r="M92" s="12"/>
      <c r="N92" s="122"/>
      <c r="O92" s="122"/>
      <c r="P92" s="122"/>
      <c r="Q92" s="122"/>
    </row>
    <row r="93" spans="2:17" ht="14.25" customHeight="1" x14ac:dyDescent="0.3">
      <c r="B93" s="23"/>
      <c r="D93" s="25"/>
      <c r="E93" s="25"/>
      <c r="M93" s="12"/>
      <c r="N93" s="122"/>
      <c r="O93" s="122"/>
      <c r="P93" s="122"/>
      <c r="Q93" s="122"/>
    </row>
    <row r="94" spans="2:17" ht="14.25" customHeight="1" x14ac:dyDescent="0.3">
      <c r="B94" s="23"/>
      <c r="D94" s="25"/>
      <c r="E94" s="25"/>
      <c r="M94" s="12"/>
      <c r="N94" s="122"/>
      <c r="O94" s="122"/>
      <c r="P94" s="122"/>
      <c r="Q94" s="122"/>
    </row>
    <row r="95" spans="2:17" ht="14.25" customHeight="1" x14ac:dyDescent="0.3">
      <c r="B95" s="23"/>
      <c r="D95" s="25"/>
      <c r="E95" s="25"/>
      <c r="M95" s="12"/>
      <c r="N95" s="122"/>
      <c r="O95" s="122"/>
      <c r="P95" s="122"/>
      <c r="Q95" s="122"/>
    </row>
    <row r="96" spans="2:17" ht="14.25" customHeight="1" x14ac:dyDescent="0.3">
      <c r="B96" s="23"/>
      <c r="D96" s="25"/>
      <c r="E96" s="25"/>
      <c r="M96" s="12"/>
      <c r="N96" s="122"/>
      <c r="O96" s="122"/>
      <c r="P96" s="122"/>
      <c r="Q96" s="122"/>
    </row>
    <row r="97" spans="2:17" ht="14.25" customHeight="1" x14ac:dyDescent="0.3">
      <c r="B97" s="23"/>
      <c r="D97" s="25"/>
      <c r="E97" s="25"/>
      <c r="M97" s="12"/>
      <c r="N97" s="122"/>
      <c r="O97" s="122"/>
      <c r="P97" s="122"/>
      <c r="Q97" s="122"/>
    </row>
    <row r="98" spans="2:17" ht="14.25" customHeight="1" x14ac:dyDescent="0.3">
      <c r="B98" s="23"/>
      <c r="D98" s="25"/>
      <c r="E98" s="25"/>
      <c r="M98" s="12"/>
      <c r="N98" s="122"/>
      <c r="O98" s="122"/>
      <c r="P98" s="122"/>
      <c r="Q98" s="122"/>
    </row>
    <row r="99" spans="2:17" ht="14.25" customHeight="1" x14ac:dyDescent="0.3">
      <c r="B99" s="23"/>
      <c r="D99" s="25"/>
      <c r="E99" s="25"/>
      <c r="M99" s="12"/>
      <c r="N99" s="122"/>
      <c r="O99" s="122"/>
      <c r="P99" s="122"/>
      <c r="Q99" s="122"/>
    </row>
    <row r="100" spans="2:17" ht="14.25" customHeight="1" x14ac:dyDescent="0.3">
      <c r="B100" s="23"/>
      <c r="D100" s="25"/>
      <c r="E100" s="25"/>
      <c r="M100" s="12"/>
      <c r="N100" s="122"/>
      <c r="O100" s="122"/>
      <c r="P100" s="122"/>
      <c r="Q100" s="122"/>
    </row>
    <row r="101" spans="2:17" ht="14.25" customHeight="1" x14ac:dyDescent="0.3">
      <c r="B101" s="23"/>
      <c r="D101" s="25"/>
      <c r="E101" s="25"/>
      <c r="M101" s="12"/>
      <c r="N101" s="122"/>
      <c r="O101" s="122"/>
      <c r="P101" s="122"/>
      <c r="Q101" s="122"/>
    </row>
    <row r="102" spans="2:17" ht="14.25" customHeight="1" x14ac:dyDescent="0.3">
      <c r="B102" s="23"/>
      <c r="D102" s="25"/>
      <c r="E102" s="25"/>
      <c r="M102" s="12"/>
      <c r="N102" s="122"/>
      <c r="O102" s="122"/>
      <c r="P102" s="122"/>
      <c r="Q102" s="122"/>
    </row>
    <row r="103" spans="2:17" ht="14.25" customHeight="1" x14ac:dyDescent="0.3">
      <c r="B103" s="23"/>
      <c r="D103" s="25"/>
      <c r="E103" s="25"/>
      <c r="M103" s="12"/>
      <c r="N103" s="122"/>
      <c r="O103" s="122"/>
      <c r="P103" s="122"/>
      <c r="Q103" s="122"/>
    </row>
    <row r="104" spans="2:17" ht="14.25" customHeight="1" x14ac:dyDescent="0.3">
      <c r="B104" s="23"/>
      <c r="D104" s="25"/>
      <c r="E104" s="25"/>
      <c r="M104" s="12"/>
      <c r="N104" s="122"/>
      <c r="O104" s="122"/>
      <c r="P104" s="122"/>
      <c r="Q104" s="122"/>
    </row>
    <row r="105" spans="2:17" ht="14.25" customHeight="1" x14ac:dyDescent="0.3">
      <c r="B105" s="23"/>
      <c r="D105" s="25"/>
      <c r="E105" s="25"/>
      <c r="M105" s="12"/>
      <c r="N105" s="122"/>
      <c r="O105" s="122"/>
      <c r="P105" s="122"/>
      <c r="Q105" s="122"/>
    </row>
    <row r="106" spans="2:17" ht="14.25" customHeight="1" x14ac:dyDescent="0.3">
      <c r="B106" s="23"/>
      <c r="D106" s="25"/>
      <c r="E106" s="25"/>
      <c r="M106" s="12"/>
      <c r="N106" s="122"/>
      <c r="O106" s="122"/>
      <c r="P106" s="122"/>
      <c r="Q106" s="122"/>
    </row>
    <row r="107" spans="2:17" ht="14.25" customHeight="1" x14ac:dyDescent="0.3">
      <c r="B107" s="23"/>
      <c r="D107" s="25"/>
      <c r="E107" s="25"/>
      <c r="M107" s="12"/>
      <c r="N107" s="122"/>
      <c r="O107" s="122"/>
      <c r="P107" s="122"/>
      <c r="Q107" s="122"/>
    </row>
    <row r="108" spans="2:17" ht="14.25" customHeight="1" x14ac:dyDescent="0.3">
      <c r="B108" s="23"/>
      <c r="D108" s="25"/>
      <c r="E108" s="25"/>
      <c r="M108" s="12"/>
      <c r="N108" s="122"/>
      <c r="O108" s="122"/>
      <c r="P108" s="122"/>
      <c r="Q108" s="122"/>
    </row>
    <row r="109" spans="2:17" ht="14.25" customHeight="1" x14ac:dyDescent="0.3">
      <c r="B109" s="23"/>
      <c r="D109" s="25"/>
      <c r="E109" s="25"/>
      <c r="M109" s="12"/>
      <c r="N109" s="122"/>
      <c r="O109" s="122"/>
      <c r="P109" s="122"/>
      <c r="Q109" s="122"/>
    </row>
    <row r="110" spans="2:17" ht="14.25" customHeight="1" x14ac:dyDescent="0.3">
      <c r="B110" s="23"/>
      <c r="D110" s="25"/>
      <c r="E110" s="25"/>
      <c r="M110" s="12"/>
      <c r="N110" s="122"/>
      <c r="O110" s="122"/>
      <c r="P110" s="122"/>
      <c r="Q110" s="122"/>
    </row>
    <row r="111" spans="2:17" ht="14.25" customHeight="1" x14ac:dyDescent="0.3">
      <c r="B111" s="23"/>
      <c r="D111" s="25"/>
      <c r="E111" s="25"/>
      <c r="M111" s="12"/>
      <c r="N111" s="122"/>
      <c r="O111" s="122"/>
      <c r="P111" s="122"/>
      <c r="Q111" s="122"/>
    </row>
    <row r="112" spans="2:17" ht="14.25" customHeight="1" x14ac:dyDescent="0.3">
      <c r="B112" s="23"/>
      <c r="D112" s="25"/>
      <c r="E112" s="25"/>
      <c r="M112" s="12"/>
      <c r="N112" s="122"/>
      <c r="O112" s="122"/>
      <c r="P112" s="122"/>
      <c r="Q112" s="122"/>
    </row>
    <row r="113" spans="2:17" ht="14.25" customHeight="1" x14ac:dyDescent="0.3">
      <c r="B113" s="23"/>
      <c r="D113" s="25"/>
      <c r="E113" s="25"/>
      <c r="M113" s="12"/>
      <c r="N113" s="122"/>
      <c r="O113" s="122"/>
      <c r="P113" s="122"/>
      <c r="Q113" s="122"/>
    </row>
    <row r="114" spans="2:17" ht="14.25" customHeight="1" x14ac:dyDescent="0.3">
      <c r="B114" s="23"/>
      <c r="D114" s="25"/>
      <c r="E114" s="25"/>
      <c r="M114" s="12"/>
      <c r="N114" s="122"/>
      <c r="O114" s="122"/>
      <c r="P114" s="122"/>
      <c r="Q114" s="122"/>
    </row>
    <row r="115" spans="2:17" ht="14.25" customHeight="1" x14ac:dyDescent="0.3">
      <c r="B115" s="23"/>
      <c r="D115" s="25"/>
      <c r="E115" s="25"/>
      <c r="M115" s="12"/>
      <c r="N115" s="122"/>
      <c r="O115" s="122"/>
      <c r="P115" s="122"/>
      <c r="Q115" s="122"/>
    </row>
    <row r="116" spans="2:17" ht="14.25" customHeight="1" x14ac:dyDescent="0.3">
      <c r="B116" s="23"/>
      <c r="D116" s="25"/>
      <c r="E116" s="25"/>
      <c r="M116" s="12"/>
      <c r="N116" s="122"/>
      <c r="O116" s="122"/>
      <c r="P116" s="122"/>
      <c r="Q116" s="122"/>
    </row>
    <row r="117" spans="2:17" ht="14.25" customHeight="1" x14ac:dyDescent="0.3">
      <c r="B117" s="23"/>
      <c r="D117" s="25"/>
      <c r="E117" s="25"/>
      <c r="M117" s="12"/>
      <c r="N117" s="122"/>
      <c r="O117" s="122"/>
      <c r="P117" s="122"/>
      <c r="Q117" s="122"/>
    </row>
    <row r="118" spans="2:17" ht="14.25" customHeight="1" x14ac:dyDescent="0.3">
      <c r="B118" s="23"/>
      <c r="D118" s="25"/>
      <c r="E118" s="25"/>
      <c r="M118" s="12"/>
      <c r="N118" s="122"/>
      <c r="O118" s="122"/>
      <c r="P118" s="122"/>
      <c r="Q118" s="122"/>
    </row>
    <row r="119" spans="2:17" ht="14.25" customHeight="1" x14ac:dyDescent="0.3">
      <c r="B119" s="23"/>
      <c r="D119" s="25"/>
      <c r="E119" s="25"/>
      <c r="M119" s="12"/>
      <c r="N119" s="122"/>
      <c r="O119" s="122"/>
      <c r="P119" s="122"/>
      <c r="Q119" s="122"/>
    </row>
    <row r="120" spans="2:17" ht="14.25" customHeight="1" x14ac:dyDescent="0.3">
      <c r="B120" s="23"/>
      <c r="D120" s="25"/>
      <c r="E120" s="25"/>
      <c r="M120" s="12"/>
      <c r="N120" s="122"/>
      <c r="O120" s="122"/>
      <c r="P120" s="122"/>
      <c r="Q120" s="122"/>
    </row>
    <row r="121" spans="2:17" ht="14.25" customHeight="1" x14ac:dyDescent="0.3">
      <c r="B121" s="23"/>
      <c r="D121" s="25"/>
      <c r="E121" s="25"/>
      <c r="M121" s="12"/>
      <c r="N121" s="122"/>
      <c r="O121" s="122"/>
      <c r="P121" s="122"/>
      <c r="Q121" s="122"/>
    </row>
    <row r="122" spans="2:17" ht="14.25" customHeight="1" x14ac:dyDescent="0.3">
      <c r="B122" s="23"/>
      <c r="D122" s="25"/>
      <c r="E122" s="25"/>
      <c r="M122" s="12"/>
      <c r="N122" s="122"/>
      <c r="O122" s="122"/>
      <c r="P122" s="122"/>
      <c r="Q122" s="122"/>
    </row>
    <row r="123" spans="2:17" ht="14.25" customHeight="1" x14ac:dyDescent="0.3">
      <c r="B123" s="23"/>
      <c r="D123" s="25"/>
      <c r="E123" s="25"/>
      <c r="M123" s="12"/>
      <c r="N123" s="122"/>
      <c r="O123" s="122"/>
      <c r="P123" s="122"/>
      <c r="Q123" s="122"/>
    </row>
    <row r="124" spans="2:17" ht="14.25" customHeight="1" x14ac:dyDescent="0.3">
      <c r="B124" s="23"/>
      <c r="D124" s="25"/>
      <c r="E124" s="25"/>
      <c r="M124" s="12"/>
      <c r="N124" s="122"/>
      <c r="O124" s="122"/>
      <c r="P124" s="122"/>
      <c r="Q124" s="122"/>
    </row>
    <row r="125" spans="2:17" ht="14.25" customHeight="1" x14ac:dyDescent="0.3">
      <c r="B125" s="23"/>
      <c r="D125" s="25"/>
      <c r="E125" s="25"/>
      <c r="M125" s="12"/>
      <c r="N125" s="122"/>
      <c r="O125" s="122"/>
      <c r="P125" s="122"/>
      <c r="Q125" s="122"/>
    </row>
    <row r="126" spans="2:17" ht="14.25" customHeight="1" x14ac:dyDescent="0.3">
      <c r="B126" s="23"/>
      <c r="D126" s="25"/>
      <c r="E126" s="25"/>
      <c r="M126" s="12"/>
      <c r="N126" s="122"/>
      <c r="O126" s="122"/>
      <c r="P126" s="122"/>
      <c r="Q126" s="122"/>
    </row>
    <row r="127" spans="2:17" ht="14.25" customHeight="1" x14ac:dyDescent="0.3">
      <c r="B127" s="23"/>
      <c r="D127" s="25"/>
      <c r="E127" s="25"/>
      <c r="M127" s="12"/>
      <c r="N127" s="122"/>
      <c r="O127" s="122"/>
      <c r="P127" s="122"/>
      <c r="Q127" s="122"/>
    </row>
    <row r="128" spans="2:17" ht="14.25" customHeight="1" x14ac:dyDescent="0.3">
      <c r="B128" s="23"/>
      <c r="D128" s="25"/>
      <c r="E128" s="25"/>
      <c r="M128" s="12"/>
      <c r="N128" s="122"/>
      <c r="O128" s="122"/>
      <c r="P128" s="122"/>
      <c r="Q128" s="122"/>
    </row>
    <row r="129" spans="2:17" ht="14.25" customHeight="1" x14ac:dyDescent="0.3">
      <c r="B129" s="23"/>
      <c r="D129" s="25"/>
      <c r="E129" s="25"/>
      <c r="M129" s="12"/>
      <c r="N129" s="122"/>
      <c r="O129" s="122"/>
      <c r="P129" s="122"/>
      <c r="Q129" s="122"/>
    </row>
    <row r="130" spans="2:17" ht="14.25" customHeight="1" x14ac:dyDescent="0.3">
      <c r="B130" s="23"/>
      <c r="D130" s="25"/>
      <c r="E130" s="25"/>
      <c r="M130" s="12"/>
      <c r="N130" s="122"/>
      <c r="O130" s="122"/>
      <c r="P130" s="122"/>
      <c r="Q130" s="122"/>
    </row>
    <row r="131" spans="2:17" ht="14.25" customHeight="1" x14ac:dyDescent="0.3">
      <c r="B131" s="23"/>
      <c r="D131" s="25"/>
      <c r="E131" s="25"/>
      <c r="M131" s="12"/>
      <c r="N131" s="122"/>
      <c r="O131" s="122"/>
      <c r="P131" s="122"/>
      <c r="Q131" s="122"/>
    </row>
    <row r="132" spans="2:17" ht="14.25" customHeight="1" x14ac:dyDescent="0.3">
      <c r="B132" s="23"/>
      <c r="D132" s="25"/>
      <c r="E132" s="25"/>
      <c r="M132" s="12"/>
      <c r="N132" s="122"/>
      <c r="O132" s="122"/>
      <c r="P132" s="122"/>
      <c r="Q132" s="122"/>
    </row>
    <row r="133" spans="2:17" ht="14.25" customHeight="1" x14ac:dyDescent="0.3">
      <c r="B133" s="23"/>
      <c r="D133" s="25"/>
      <c r="E133" s="25"/>
      <c r="M133" s="12"/>
      <c r="N133" s="122"/>
      <c r="O133" s="122"/>
      <c r="P133" s="122"/>
      <c r="Q133" s="122"/>
    </row>
    <row r="134" spans="2:17" ht="14.25" customHeight="1" x14ac:dyDescent="0.3">
      <c r="B134" s="23"/>
      <c r="D134" s="25"/>
      <c r="E134" s="25"/>
      <c r="M134" s="12"/>
      <c r="N134" s="122"/>
      <c r="O134" s="122"/>
      <c r="P134" s="122"/>
      <c r="Q134" s="122"/>
    </row>
    <row r="135" spans="2:17" ht="14.25" customHeight="1" x14ac:dyDescent="0.3">
      <c r="B135" s="23"/>
      <c r="D135" s="25"/>
      <c r="E135" s="25"/>
      <c r="M135" s="12"/>
      <c r="N135" s="122"/>
      <c r="O135" s="122"/>
      <c r="P135" s="122"/>
      <c r="Q135" s="122"/>
    </row>
    <row r="136" spans="2:17" ht="14.25" customHeight="1" x14ac:dyDescent="0.3">
      <c r="B136" s="23"/>
      <c r="D136" s="25"/>
      <c r="E136" s="25"/>
      <c r="M136" s="12"/>
      <c r="N136" s="122"/>
      <c r="O136" s="122"/>
      <c r="P136" s="122"/>
      <c r="Q136" s="122"/>
    </row>
    <row r="137" spans="2:17" ht="14.25" customHeight="1" x14ac:dyDescent="0.3">
      <c r="B137" s="23"/>
      <c r="D137" s="25"/>
      <c r="E137" s="25"/>
      <c r="M137" s="12"/>
      <c r="N137" s="122"/>
      <c r="O137" s="122"/>
      <c r="P137" s="122"/>
      <c r="Q137" s="122"/>
    </row>
    <row r="138" spans="2:17" ht="14.25" customHeight="1" x14ac:dyDescent="0.3">
      <c r="B138" s="23"/>
      <c r="D138" s="25"/>
      <c r="E138" s="25"/>
      <c r="M138" s="12"/>
      <c r="N138" s="122"/>
      <c r="O138" s="122"/>
      <c r="P138" s="122"/>
      <c r="Q138" s="122"/>
    </row>
    <row r="139" spans="2:17" ht="14.25" customHeight="1" x14ac:dyDescent="0.3">
      <c r="B139" s="23"/>
      <c r="D139" s="25"/>
      <c r="E139" s="25"/>
      <c r="M139" s="12"/>
      <c r="N139" s="122"/>
      <c r="O139" s="122"/>
      <c r="P139" s="122"/>
      <c r="Q139" s="122"/>
    </row>
    <row r="140" spans="2:17" ht="14.25" customHeight="1" x14ac:dyDescent="0.3">
      <c r="B140" s="23"/>
      <c r="D140" s="25"/>
      <c r="E140" s="25"/>
      <c r="M140" s="12"/>
      <c r="N140" s="122"/>
      <c r="O140" s="122"/>
      <c r="P140" s="122"/>
      <c r="Q140" s="122"/>
    </row>
    <row r="141" spans="2:17" ht="14.25" customHeight="1" x14ac:dyDescent="0.3">
      <c r="B141" s="23"/>
      <c r="D141" s="25"/>
      <c r="E141" s="25"/>
      <c r="M141" s="12"/>
      <c r="N141" s="122"/>
      <c r="O141" s="122"/>
      <c r="P141" s="122"/>
      <c r="Q141" s="122"/>
    </row>
    <row r="142" spans="2:17" ht="14.25" customHeight="1" x14ac:dyDescent="0.3">
      <c r="B142" s="23"/>
      <c r="D142" s="25"/>
      <c r="E142" s="25"/>
      <c r="M142" s="12"/>
      <c r="N142" s="122"/>
      <c r="O142" s="122"/>
      <c r="P142" s="122"/>
      <c r="Q142" s="122"/>
    </row>
    <row r="143" spans="2:17" ht="14.25" customHeight="1" x14ac:dyDescent="0.3">
      <c r="B143" s="23"/>
      <c r="D143" s="25"/>
      <c r="E143" s="25"/>
      <c r="M143" s="12"/>
      <c r="N143" s="122"/>
      <c r="O143" s="122"/>
      <c r="P143" s="122"/>
      <c r="Q143" s="122"/>
    </row>
    <row r="144" spans="2:17" ht="14.25" customHeight="1" x14ac:dyDescent="0.3">
      <c r="B144" s="23"/>
      <c r="D144" s="25"/>
      <c r="E144" s="25"/>
      <c r="M144" s="12"/>
      <c r="N144" s="122"/>
      <c r="O144" s="122"/>
      <c r="P144" s="122"/>
      <c r="Q144" s="122"/>
    </row>
    <row r="145" spans="2:17" ht="14.25" customHeight="1" x14ac:dyDescent="0.3">
      <c r="B145" s="23"/>
      <c r="D145" s="25"/>
      <c r="E145" s="25"/>
      <c r="M145" s="12"/>
      <c r="N145" s="122"/>
      <c r="O145" s="122"/>
      <c r="P145" s="122"/>
      <c r="Q145" s="122"/>
    </row>
    <row r="146" spans="2:17" ht="14.25" customHeight="1" x14ac:dyDescent="0.3">
      <c r="B146" s="23"/>
      <c r="D146" s="25"/>
      <c r="E146" s="25"/>
      <c r="M146" s="12"/>
      <c r="N146" s="122"/>
      <c r="O146" s="122"/>
      <c r="P146" s="122"/>
      <c r="Q146" s="122"/>
    </row>
    <row r="147" spans="2:17" ht="14.25" customHeight="1" x14ac:dyDescent="0.3">
      <c r="B147" s="23"/>
      <c r="D147" s="25"/>
      <c r="E147" s="25"/>
      <c r="M147" s="12"/>
      <c r="N147" s="122"/>
      <c r="O147" s="122"/>
      <c r="P147" s="122"/>
      <c r="Q147" s="122"/>
    </row>
    <row r="148" spans="2:17" ht="14.25" customHeight="1" x14ac:dyDescent="0.3">
      <c r="B148" s="23"/>
      <c r="D148" s="25"/>
      <c r="E148" s="25"/>
      <c r="M148" s="12"/>
      <c r="N148" s="122"/>
      <c r="O148" s="122"/>
      <c r="P148" s="122"/>
      <c r="Q148" s="122"/>
    </row>
    <row r="149" spans="2:17" ht="14.25" customHeight="1" x14ac:dyDescent="0.3">
      <c r="B149" s="23"/>
      <c r="D149" s="25"/>
      <c r="E149" s="25"/>
      <c r="M149" s="12"/>
      <c r="N149" s="122"/>
      <c r="O149" s="122"/>
      <c r="P149" s="122"/>
      <c r="Q149" s="122"/>
    </row>
    <row r="150" spans="2:17" ht="14.25" customHeight="1" x14ac:dyDescent="0.3">
      <c r="B150" s="23"/>
      <c r="D150" s="25"/>
      <c r="E150" s="25"/>
      <c r="M150" s="12"/>
      <c r="N150" s="122"/>
      <c r="O150" s="122"/>
      <c r="P150" s="122"/>
      <c r="Q150" s="122"/>
    </row>
    <row r="151" spans="2:17" ht="14.25" customHeight="1" x14ac:dyDescent="0.3">
      <c r="B151" s="23"/>
      <c r="D151" s="25"/>
      <c r="E151" s="25"/>
      <c r="M151" s="12"/>
      <c r="N151" s="122"/>
      <c r="O151" s="122"/>
      <c r="P151" s="122"/>
      <c r="Q151" s="122"/>
    </row>
    <row r="152" spans="2:17" ht="14.25" customHeight="1" x14ac:dyDescent="0.3">
      <c r="B152" s="23"/>
      <c r="D152" s="25"/>
      <c r="E152" s="25"/>
      <c r="M152" s="12"/>
      <c r="N152" s="122"/>
      <c r="O152" s="122"/>
      <c r="P152" s="122"/>
      <c r="Q152" s="122"/>
    </row>
    <row r="153" spans="2:17" ht="14.25" customHeight="1" x14ac:dyDescent="0.3">
      <c r="B153" s="23"/>
      <c r="D153" s="25"/>
      <c r="E153" s="25"/>
      <c r="M153" s="12"/>
      <c r="N153" s="122"/>
      <c r="O153" s="122"/>
      <c r="P153" s="122"/>
      <c r="Q153" s="122"/>
    </row>
    <row r="154" spans="2:17" ht="14.25" customHeight="1" x14ac:dyDescent="0.3">
      <c r="B154" s="23"/>
      <c r="D154" s="25"/>
      <c r="E154" s="25"/>
      <c r="M154" s="12"/>
      <c r="N154" s="122"/>
      <c r="O154" s="122"/>
      <c r="P154" s="122"/>
      <c r="Q154" s="122"/>
    </row>
    <row r="155" spans="2:17" ht="14.25" customHeight="1" x14ac:dyDescent="0.3">
      <c r="B155" s="23"/>
      <c r="D155" s="25"/>
      <c r="E155" s="25"/>
      <c r="M155" s="12"/>
      <c r="N155" s="122"/>
      <c r="O155" s="122"/>
      <c r="P155" s="122"/>
      <c r="Q155" s="122"/>
    </row>
    <row r="156" spans="2:17" ht="14.25" customHeight="1" x14ac:dyDescent="0.3">
      <c r="B156" s="23"/>
      <c r="D156" s="25"/>
      <c r="E156" s="25"/>
      <c r="M156" s="12"/>
      <c r="N156" s="122"/>
      <c r="O156" s="122"/>
      <c r="P156" s="122"/>
      <c r="Q156" s="122"/>
    </row>
    <row r="157" spans="2:17" ht="14.25" customHeight="1" x14ac:dyDescent="0.3">
      <c r="B157" s="23"/>
      <c r="D157" s="25"/>
      <c r="E157" s="25"/>
      <c r="M157" s="12"/>
      <c r="N157" s="122"/>
      <c r="O157" s="122"/>
      <c r="P157" s="122"/>
      <c r="Q157" s="122"/>
    </row>
    <row r="158" spans="2:17" ht="14.25" customHeight="1" x14ac:dyDescent="0.3">
      <c r="B158" s="23"/>
      <c r="D158" s="25"/>
      <c r="E158" s="25"/>
      <c r="M158" s="12"/>
      <c r="N158" s="122"/>
      <c r="O158" s="122"/>
      <c r="P158" s="122"/>
      <c r="Q158" s="122"/>
    </row>
    <row r="159" spans="2:17" ht="14.25" customHeight="1" x14ac:dyDescent="0.3">
      <c r="B159" s="23"/>
      <c r="D159" s="25"/>
      <c r="E159" s="25"/>
      <c r="M159" s="12"/>
      <c r="N159" s="122"/>
      <c r="O159" s="122"/>
      <c r="P159" s="122"/>
      <c r="Q159" s="122"/>
    </row>
    <row r="160" spans="2:17" ht="14.25" customHeight="1" x14ac:dyDescent="0.3">
      <c r="B160" s="23"/>
      <c r="D160" s="25"/>
      <c r="E160" s="25"/>
      <c r="M160" s="12"/>
      <c r="N160" s="122"/>
      <c r="O160" s="122"/>
      <c r="P160" s="122"/>
      <c r="Q160" s="122"/>
    </row>
    <row r="161" spans="2:17" ht="14.25" customHeight="1" x14ac:dyDescent="0.3">
      <c r="B161" s="23"/>
      <c r="D161" s="25"/>
      <c r="E161" s="25"/>
      <c r="M161" s="12"/>
      <c r="N161" s="122"/>
      <c r="O161" s="122"/>
      <c r="P161" s="122"/>
      <c r="Q161" s="122"/>
    </row>
    <row r="162" spans="2:17" ht="14.25" customHeight="1" x14ac:dyDescent="0.3">
      <c r="B162" s="23"/>
      <c r="D162" s="25"/>
      <c r="E162" s="25"/>
      <c r="M162" s="12"/>
      <c r="N162" s="122"/>
      <c r="O162" s="122"/>
      <c r="P162" s="122"/>
      <c r="Q162" s="122"/>
    </row>
    <row r="163" spans="2:17" ht="14.25" customHeight="1" x14ac:dyDescent="0.3">
      <c r="B163" s="23"/>
      <c r="D163" s="25"/>
      <c r="E163" s="25"/>
      <c r="M163" s="12"/>
      <c r="N163" s="122"/>
      <c r="O163" s="122"/>
      <c r="P163" s="122"/>
      <c r="Q163" s="122"/>
    </row>
    <row r="164" spans="2:17" ht="14.25" customHeight="1" x14ac:dyDescent="0.3">
      <c r="B164" s="23"/>
      <c r="D164" s="25"/>
      <c r="E164" s="25"/>
      <c r="M164" s="12"/>
      <c r="N164" s="122"/>
      <c r="O164" s="122"/>
      <c r="P164" s="122"/>
      <c r="Q164" s="122"/>
    </row>
    <row r="165" spans="2:17" ht="14.25" customHeight="1" x14ac:dyDescent="0.3">
      <c r="B165" s="23"/>
      <c r="D165" s="25"/>
      <c r="E165" s="25"/>
      <c r="M165" s="12"/>
      <c r="N165" s="122"/>
      <c r="O165" s="122"/>
      <c r="P165" s="122"/>
      <c r="Q165" s="122"/>
    </row>
    <row r="166" spans="2:17" ht="14.25" customHeight="1" x14ac:dyDescent="0.3">
      <c r="B166" s="23"/>
      <c r="D166" s="25"/>
      <c r="E166" s="25"/>
      <c r="M166" s="12"/>
      <c r="N166" s="122"/>
      <c r="O166" s="122"/>
      <c r="P166" s="122"/>
      <c r="Q166" s="122"/>
    </row>
    <row r="167" spans="2:17" ht="14.25" customHeight="1" x14ac:dyDescent="0.3">
      <c r="B167" s="23"/>
      <c r="D167" s="25"/>
      <c r="E167" s="25"/>
      <c r="M167" s="12"/>
      <c r="N167" s="122"/>
      <c r="O167" s="122"/>
      <c r="P167" s="122"/>
      <c r="Q167" s="122"/>
    </row>
    <row r="168" spans="2:17" ht="14.25" customHeight="1" x14ac:dyDescent="0.3">
      <c r="B168" s="23"/>
      <c r="D168" s="25"/>
      <c r="E168" s="25"/>
      <c r="M168" s="12"/>
      <c r="N168" s="122"/>
      <c r="O168" s="122"/>
      <c r="P168" s="122"/>
      <c r="Q168" s="122"/>
    </row>
    <row r="169" spans="2:17" ht="14.25" customHeight="1" x14ac:dyDescent="0.3">
      <c r="B169" s="23"/>
      <c r="D169" s="25"/>
      <c r="E169" s="25"/>
      <c r="M169" s="12"/>
      <c r="N169" s="122"/>
      <c r="O169" s="122"/>
      <c r="P169" s="122"/>
      <c r="Q169" s="122"/>
    </row>
    <row r="170" spans="2:17" ht="14.25" customHeight="1" x14ac:dyDescent="0.3">
      <c r="B170" s="23"/>
      <c r="D170" s="25"/>
      <c r="E170" s="25"/>
      <c r="M170" s="12"/>
      <c r="N170" s="122"/>
      <c r="O170" s="122"/>
      <c r="P170" s="122"/>
      <c r="Q170" s="122"/>
    </row>
    <row r="171" spans="2:17" ht="14.25" customHeight="1" x14ac:dyDescent="0.3">
      <c r="B171" s="23"/>
      <c r="D171" s="25"/>
      <c r="E171" s="25"/>
      <c r="M171" s="12"/>
      <c r="N171" s="122"/>
      <c r="O171" s="122"/>
      <c r="P171" s="122"/>
      <c r="Q171" s="122"/>
    </row>
    <row r="172" spans="2:17" ht="14.25" customHeight="1" x14ac:dyDescent="0.3">
      <c r="B172" s="23"/>
      <c r="D172" s="25"/>
      <c r="E172" s="25"/>
      <c r="M172" s="12"/>
      <c r="N172" s="122"/>
      <c r="O172" s="122"/>
      <c r="P172" s="122"/>
      <c r="Q172" s="122"/>
    </row>
    <row r="173" spans="2:17" ht="14.25" customHeight="1" x14ac:dyDescent="0.3">
      <c r="B173" s="23"/>
      <c r="D173" s="25"/>
      <c r="E173" s="25"/>
      <c r="M173" s="12"/>
      <c r="N173" s="122"/>
      <c r="O173" s="122"/>
      <c r="P173" s="122"/>
      <c r="Q173" s="122"/>
    </row>
    <row r="174" spans="2:17" ht="14.25" customHeight="1" x14ac:dyDescent="0.3">
      <c r="B174" s="23"/>
      <c r="D174" s="25"/>
      <c r="E174" s="25"/>
      <c r="M174" s="12"/>
      <c r="N174" s="122"/>
      <c r="O174" s="122"/>
      <c r="P174" s="122"/>
      <c r="Q174" s="122"/>
    </row>
    <row r="175" spans="2:17" ht="14.25" customHeight="1" x14ac:dyDescent="0.3">
      <c r="B175" s="23"/>
      <c r="D175" s="25"/>
      <c r="E175" s="25"/>
      <c r="M175" s="12"/>
      <c r="N175" s="122"/>
      <c r="O175" s="122"/>
      <c r="P175" s="122"/>
      <c r="Q175" s="122"/>
    </row>
    <row r="176" spans="2:17" ht="14.25" customHeight="1" x14ac:dyDescent="0.3">
      <c r="B176" s="23"/>
      <c r="D176" s="25"/>
      <c r="E176" s="25"/>
      <c r="M176" s="12"/>
      <c r="N176" s="122"/>
      <c r="O176" s="122"/>
      <c r="P176" s="122"/>
      <c r="Q176" s="122"/>
    </row>
    <row r="177" spans="2:17" ht="14.25" customHeight="1" x14ac:dyDescent="0.3">
      <c r="B177" s="23"/>
      <c r="D177" s="25"/>
      <c r="E177" s="25"/>
      <c r="M177" s="12"/>
      <c r="N177" s="122"/>
      <c r="O177" s="122"/>
      <c r="P177" s="122"/>
      <c r="Q177" s="122"/>
    </row>
    <row r="178" spans="2:17" ht="14.25" customHeight="1" x14ac:dyDescent="0.3">
      <c r="B178" s="23"/>
      <c r="D178" s="25"/>
      <c r="E178" s="25"/>
      <c r="M178" s="12"/>
      <c r="N178" s="122"/>
      <c r="O178" s="122"/>
      <c r="P178" s="122"/>
      <c r="Q178" s="122"/>
    </row>
    <row r="179" spans="2:17" ht="14.25" customHeight="1" x14ac:dyDescent="0.3">
      <c r="B179" s="23"/>
      <c r="D179" s="25"/>
      <c r="E179" s="25"/>
      <c r="M179" s="12"/>
      <c r="N179" s="122"/>
      <c r="O179" s="122"/>
      <c r="P179" s="122"/>
      <c r="Q179" s="122"/>
    </row>
    <row r="180" spans="2:17" ht="14.25" customHeight="1" x14ac:dyDescent="0.3">
      <c r="B180" s="23"/>
      <c r="D180" s="25"/>
      <c r="E180" s="25"/>
      <c r="M180" s="12"/>
      <c r="N180" s="122"/>
      <c r="O180" s="122"/>
      <c r="P180" s="122"/>
      <c r="Q180" s="122"/>
    </row>
    <row r="181" spans="2:17" ht="14.25" customHeight="1" x14ac:dyDescent="0.3">
      <c r="B181" s="23"/>
      <c r="D181" s="25"/>
      <c r="E181" s="25"/>
      <c r="M181" s="12"/>
      <c r="N181" s="122"/>
      <c r="O181" s="122"/>
      <c r="P181" s="122"/>
      <c r="Q181" s="122"/>
    </row>
    <row r="182" spans="2:17" ht="14.25" customHeight="1" x14ac:dyDescent="0.3">
      <c r="B182" s="23"/>
      <c r="D182" s="25"/>
      <c r="E182" s="25"/>
      <c r="M182" s="12"/>
      <c r="N182" s="122"/>
      <c r="O182" s="122"/>
      <c r="P182" s="122"/>
      <c r="Q182" s="122"/>
    </row>
    <row r="183" spans="2:17" ht="14.25" customHeight="1" x14ac:dyDescent="0.3">
      <c r="B183" s="23"/>
      <c r="D183" s="25"/>
      <c r="E183" s="25"/>
      <c r="M183" s="12"/>
      <c r="N183" s="122"/>
      <c r="O183" s="122"/>
      <c r="P183" s="122"/>
      <c r="Q183" s="122"/>
    </row>
    <row r="184" spans="2:17" ht="14.25" customHeight="1" x14ac:dyDescent="0.3">
      <c r="B184" s="23"/>
      <c r="D184" s="25"/>
      <c r="E184" s="25"/>
      <c r="M184" s="12"/>
      <c r="N184" s="122"/>
      <c r="O184" s="122"/>
      <c r="P184" s="122"/>
      <c r="Q184" s="122"/>
    </row>
    <row r="185" spans="2:17" ht="14.25" customHeight="1" x14ac:dyDescent="0.3">
      <c r="B185" s="23"/>
      <c r="D185" s="25"/>
      <c r="E185" s="25"/>
      <c r="M185" s="12"/>
      <c r="N185" s="122"/>
      <c r="O185" s="122"/>
      <c r="P185" s="122"/>
      <c r="Q185" s="122"/>
    </row>
    <row r="186" spans="2:17" ht="14.25" customHeight="1" x14ac:dyDescent="0.3">
      <c r="B186" s="23"/>
      <c r="D186" s="25"/>
      <c r="E186" s="25"/>
      <c r="M186" s="12"/>
      <c r="N186" s="122"/>
      <c r="O186" s="122"/>
      <c r="P186" s="122"/>
      <c r="Q186" s="122"/>
    </row>
    <row r="187" spans="2:17" ht="14.25" customHeight="1" x14ac:dyDescent="0.3">
      <c r="B187" s="23"/>
      <c r="D187" s="25"/>
      <c r="E187" s="25"/>
      <c r="M187" s="12"/>
      <c r="N187" s="122"/>
      <c r="O187" s="122"/>
      <c r="P187" s="122"/>
      <c r="Q187" s="122"/>
    </row>
    <row r="188" spans="2:17" ht="14.25" customHeight="1" x14ac:dyDescent="0.3">
      <c r="B188" s="23"/>
      <c r="D188" s="25"/>
      <c r="E188" s="25"/>
      <c r="M188" s="12"/>
      <c r="N188" s="122"/>
      <c r="O188" s="122"/>
      <c r="P188" s="122"/>
      <c r="Q188" s="122"/>
    </row>
    <row r="189" spans="2:17" ht="14.25" customHeight="1" x14ac:dyDescent="0.3">
      <c r="B189" s="23"/>
      <c r="D189" s="25"/>
      <c r="E189" s="25"/>
      <c r="M189" s="12"/>
      <c r="N189" s="122"/>
      <c r="O189" s="122"/>
      <c r="P189" s="122"/>
      <c r="Q189" s="122"/>
    </row>
    <row r="190" spans="2:17" ht="14.25" customHeight="1" x14ac:dyDescent="0.3">
      <c r="B190" s="23"/>
      <c r="D190" s="25"/>
      <c r="E190" s="25"/>
      <c r="M190" s="12"/>
      <c r="N190" s="122"/>
      <c r="O190" s="122"/>
      <c r="P190" s="122"/>
      <c r="Q190" s="122"/>
    </row>
    <row r="191" spans="2:17" ht="14.25" customHeight="1" x14ac:dyDescent="0.3">
      <c r="B191" s="23"/>
      <c r="D191" s="25"/>
      <c r="E191" s="25"/>
      <c r="M191" s="12"/>
      <c r="N191" s="122"/>
      <c r="O191" s="122"/>
      <c r="P191" s="122"/>
      <c r="Q191" s="122"/>
    </row>
    <row r="192" spans="2:17" ht="14.25" customHeight="1" x14ac:dyDescent="0.3">
      <c r="B192" s="23"/>
      <c r="D192" s="25"/>
      <c r="E192" s="25"/>
      <c r="M192" s="12"/>
      <c r="N192" s="122"/>
      <c r="O192" s="122"/>
      <c r="P192" s="122"/>
      <c r="Q192" s="122"/>
    </row>
    <row r="193" spans="2:17" ht="14.25" customHeight="1" x14ac:dyDescent="0.3">
      <c r="B193" s="23"/>
      <c r="D193" s="25"/>
      <c r="E193" s="25"/>
      <c r="M193" s="12"/>
      <c r="N193" s="122"/>
      <c r="O193" s="122"/>
      <c r="P193" s="122"/>
      <c r="Q193" s="122"/>
    </row>
    <row r="194" spans="2:17" ht="14.25" customHeight="1" x14ac:dyDescent="0.3">
      <c r="B194" s="23"/>
      <c r="D194" s="25"/>
      <c r="E194" s="25"/>
      <c r="M194" s="12"/>
      <c r="N194" s="122"/>
      <c r="O194" s="122"/>
      <c r="P194" s="122"/>
      <c r="Q194" s="122"/>
    </row>
    <row r="195" spans="2:17" ht="14.25" customHeight="1" x14ac:dyDescent="0.3">
      <c r="B195" s="23"/>
      <c r="D195" s="25"/>
      <c r="E195" s="25"/>
      <c r="M195" s="12"/>
      <c r="N195" s="122"/>
      <c r="O195" s="122"/>
      <c r="P195" s="122"/>
      <c r="Q195" s="122"/>
    </row>
    <row r="196" spans="2:17" ht="14.25" customHeight="1" x14ac:dyDescent="0.3">
      <c r="B196" s="23"/>
      <c r="D196" s="25"/>
      <c r="E196" s="25"/>
      <c r="M196" s="12"/>
      <c r="N196" s="122"/>
      <c r="O196" s="122"/>
      <c r="P196" s="122"/>
      <c r="Q196" s="122"/>
    </row>
    <row r="197" spans="2:17" ht="14.25" customHeight="1" x14ac:dyDescent="0.3">
      <c r="B197" s="23"/>
      <c r="D197" s="25"/>
      <c r="E197" s="25"/>
      <c r="M197" s="12"/>
      <c r="N197" s="122"/>
      <c r="O197" s="122"/>
      <c r="P197" s="122"/>
      <c r="Q197" s="122"/>
    </row>
    <row r="198" spans="2:17" ht="14.25" customHeight="1" x14ac:dyDescent="0.3">
      <c r="B198" s="23"/>
      <c r="D198" s="25"/>
      <c r="E198" s="25"/>
      <c r="M198" s="12"/>
      <c r="N198" s="122"/>
      <c r="O198" s="122"/>
      <c r="P198" s="122"/>
      <c r="Q198" s="122"/>
    </row>
    <row r="199" spans="2:17" ht="14.25" customHeight="1" x14ac:dyDescent="0.3">
      <c r="B199" s="23"/>
      <c r="D199" s="25"/>
      <c r="E199" s="25"/>
      <c r="M199" s="12"/>
      <c r="N199" s="122"/>
      <c r="O199" s="122"/>
      <c r="P199" s="122"/>
      <c r="Q199" s="122"/>
    </row>
    <row r="200" spans="2:17" ht="14.25" customHeight="1" x14ac:dyDescent="0.3">
      <c r="B200" s="23"/>
      <c r="D200" s="25"/>
      <c r="E200" s="25"/>
      <c r="M200" s="12"/>
      <c r="N200" s="122"/>
      <c r="O200" s="122"/>
      <c r="P200" s="122"/>
      <c r="Q200" s="122"/>
    </row>
    <row r="201" spans="2:17" ht="14.25" customHeight="1" x14ac:dyDescent="0.3">
      <c r="B201" s="23"/>
      <c r="D201" s="25"/>
      <c r="E201" s="25"/>
      <c r="M201" s="12"/>
      <c r="N201" s="122"/>
      <c r="O201" s="122"/>
      <c r="P201" s="122"/>
      <c r="Q201" s="122"/>
    </row>
    <row r="202" spans="2:17" ht="14.25" customHeight="1" x14ac:dyDescent="0.3">
      <c r="B202" s="23"/>
      <c r="D202" s="25"/>
      <c r="E202" s="25"/>
      <c r="M202" s="12"/>
      <c r="N202" s="122"/>
      <c r="O202" s="122"/>
      <c r="P202" s="122"/>
      <c r="Q202" s="122"/>
    </row>
    <row r="203" spans="2:17" ht="14.25" customHeight="1" x14ac:dyDescent="0.3">
      <c r="B203" s="23"/>
      <c r="D203" s="25"/>
      <c r="E203" s="25"/>
      <c r="M203" s="12"/>
      <c r="N203" s="122"/>
      <c r="O203" s="122"/>
      <c r="P203" s="122"/>
      <c r="Q203" s="122"/>
    </row>
    <row r="204" spans="2:17" ht="14.25" customHeight="1" x14ac:dyDescent="0.3">
      <c r="B204" s="23"/>
      <c r="D204" s="25"/>
      <c r="E204" s="25"/>
      <c r="M204" s="12"/>
      <c r="N204" s="122"/>
      <c r="O204" s="122"/>
      <c r="P204" s="122"/>
      <c r="Q204" s="122"/>
    </row>
    <row r="205" spans="2:17" ht="14.25" customHeight="1" x14ac:dyDescent="0.3">
      <c r="B205" s="23"/>
      <c r="D205" s="25"/>
      <c r="E205" s="25"/>
      <c r="M205" s="12"/>
      <c r="N205" s="122"/>
      <c r="O205" s="122"/>
      <c r="P205" s="122"/>
      <c r="Q205" s="122"/>
    </row>
    <row r="206" spans="2:17" ht="14.25" customHeight="1" x14ac:dyDescent="0.3">
      <c r="B206" s="23"/>
      <c r="D206" s="25"/>
      <c r="E206" s="25"/>
      <c r="M206" s="12"/>
      <c r="N206" s="122"/>
      <c r="O206" s="122"/>
      <c r="P206" s="122"/>
      <c r="Q206" s="122"/>
    </row>
    <row r="207" spans="2:17" ht="14.25" customHeight="1" x14ac:dyDescent="0.3">
      <c r="B207" s="23"/>
      <c r="D207" s="25"/>
      <c r="E207" s="25"/>
      <c r="M207" s="12"/>
      <c r="N207" s="122"/>
      <c r="O207" s="122"/>
      <c r="P207" s="122"/>
      <c r="Q207" s="122"/>
    </row>
    <row r="208" spans="2:17" ht="14.25" customHeight="1" x14ac:dyDescent="0.3">
      <c r="B208" s="23"/>
      <c r="D208" s="25"/>
      <c r="E208" s="25"/>
      <c r="M208" s="12"/>
      <c r="N208" s="122"/>
      <c r="O208" s="122"/>
      <c r="P208" s="122"/>
      <c r="Q208" s="122"/>
    </row>
    <row r="209" spans="2:17" ht="14.25" customHeight="1" x14ac:dyDescent="0.3">
      <c r="B209" s="23"/>
      <c r="D209" s="25"/>
      <c r="E209" s="25"/>
      <c r="M209" s="12"/>
      <c r="N209" s="122"/>
      <c r="O209" s="122"/>
      <c r="P209" s="122"/>
      <c r="Q209" s="122"/>
    </row>
    <row r="210" spans="2:17" ht="14.25" customHeight="1" x14ac:dyDescent="0.3">
      <c r="B210" s="23"/>
      <c r="D210" s="25"/>
      <c r="E210" s="25"/>
      <c r="M210" s="12"/>
      <c r="N210" s="122"/>
      <c r="O210" s="122"/>
      <c r="P210" s="122"/>
      <c r="Q210" s="122"/>
    </row>
    <row r="211" spans="2:17" ht="14.25" customHeight="1" x14ac:dyDescent="0.3">
      <c r="B211" s="23"/>
      <c r="D211" s="25"/>
      <c r="E211" s="25"/>
      <c r="M211" s="12"/>
      <c r="N211" s="122"/>
      <c r="O211" s="122"/>
      <c r="P211" s="122"/>
      <c r="Q211" s="122"/>
    </row>
    <row r="212" spans="2:17" ht="14.25" customHeight="1" x14ac:dyDescent="0.3">
      <c r="B212" s="23"/>
      <c r="D212" s="25"/>
      <c r="E212" s="25"/>
      <c r="M212" s="12"/>
      <c r="N212" s="122"/>
      <c r="O212" s="122"/>
      <c r="P212" s="122"/>
      <c r="Q212" s="122"/>
    </row>
    <row r="213" spans="2:17" ht="14.25" customHeight="1" x14ac:dyDescent="0.3">
      <c r="B213" s="23"/>
      <c r="D213" s="25"/>
      <c r="E213" s="25"/>
      <c r="M213" s="12"/>
      <c r="N213" s="122"/>
      <c r="O213" s="122"/>
      <c r="P213" s="122"/>
      <c r="Q213" s="122"/>
    </row>
    <row r="214" spans="2:17" ht="14.25" customHeight="1" x14ac:dyDescent="0.3">
      <c r="B214" s="23"/>
      <c r="D214" s="25"/>
      <c r="E214" s="25"/>
      <c r="M214" s="12"/>
      <c r="N214" s="122"/>
      <c r="O214" s="122"/>
      <c r="P214" s="122"/>
      <c r="Q214" s="122"/>
    </row>
    <row r="215" spans="2:17" ht="14.25" customHeight="1" x14ac:dyDescent="0.3">
      <c r="B215" s="23"/>
      <c r="D215" s="25"/>
      <c r="E215" s="25"/>
      <c r="M215" s="12"/>
      <c r="N215" s="122"/>
      <c r="O215" s="122"/>
      <c r="P215" s="122"/>
      <c r="Q215" s="122"/>
    </row>
    <row r="216" spans="2:17" ht="14.25" customHeight="1" x14ac:dyDescent="0.3">
      <c r="B216" s="23"/>
      <c r="D216" s="25"/>
      <c r="E216" s="25"/>
      <c r="M216" s="12"/>
      <c r="N216" s="122"/>
      <c r="O216" s="122"/>
      <c r="P216" s="122"/>
      <c r="Q216" s="122"/>
    </row>
    <row r="217" spans="2:17" ht="14.25" customHeight="1" x14ac:dyDescent="0.3">
      <c r="B217" s="23"/>
      <c r="D217" s="25"/>
      <c r="E217" s="25"/>
      <c r="M217" s="12"/>
      <c r="N217" s="122"/>
      <c r="O217" s="122"/>
      <c r="P217" s="122"/>
      <c r="Q217" s="122"/>
    </row>
    <row r="218" spans="2:17" ht="14.25" customHeight="1" x14ac:dyDescent="0.3">
      <c r="B218" s="23"/>
      <c r="D218" s="25"/>
      <c r="E218" s="25"/>
      <c r="M218" s="12"/>
      <c r="N218" s="122"/>
      <c r="O218" s="122"/>
      <c r="P218" s="122"/>
      <c r="Q218" s="122"/>
    </row>
    <row r="219" spans="2:17" ht="14.25" customHeight="1" x14ac:dyDescent="0.3">
      <c r="B219" s="23"/>
      <c r="D219" s="25"/>
      <c r="E219" s="25"/>
      <c r="M219" s="12"/>
      <c r="N219" s="122"/>
      <c r="O219" s="122"/>
      <c r="P219" s="122"/>
      <c r="Q219" s="122"/>
    </row>
    <row r="220" spans="2:17" ht="14.25" customHeight="1" x14ac:dyDescent="0.3">
      <c r="B220" s="23"/>
      <c r="D220" s="25"/>
      <c r="E220" s="25"/>
      <c r="M220" s="12"/>
      <c r="N220" s="122"/>
      <c r="O220" s="122"/>
      <c r="P220" s="122"/>
      <c r="Q220" s="122"/>
    </row>
    <row r="221" spans="2:17" ht="14.25" customHeight="1" x14ac:dyDescent="0.3">
      <c r="B221" s="23"/>
      <c r="D221" s="25"/>
      <c r="E221" s="25"/>
      <c r="M221" s="12"/>
      <c r="N221" s="122"/>
      <c r="O221" s="122"/>
      <c r="P221" s="122"/>
      <c r="Q221" s="122"/>
    </row>
    <row r="222" spans="2:17" ht="14.25" customHeight="1" x14ac:dyDescent="0.3">
      <c r="B222" s="23"/>
      <c r="D222" s="25"/>
      <c r="E222" s="25"/>
      <c r="M222" s="12"/>
      <c r="N222" s="122"/>
      <c r="O222" s="122"/>
      <c r="P222" s="122"/>
      <c r="Q222" s="122"/>
    </row>
    <row r="223" spans="2:17" ht="14.25" customHeight="1" x14ac:dyDescent="0.3">
      <c r="B223" s="23"/>
      <c r="D223" s="25"/>
      <c r="E223" s="25"/>
      <c r="M223" s="12"/>
      <c r="N223" s="122"/>
      <c r="O223" s="122"/>
      <c r="P223" s="122"/>
      <c r="Q223" s="122"/>
    </row>
    <row r="224" spans="2:17" ht="14.25" customHeight="1" x14ac:dyDescent="0.3">
      <c r="B224" s="23"/>
      <c r="D224" s="25"/>
      <c r="E224" s="25"/>
      <c r="M224" s="12"/>
      <c r="N224" s="122"/>
      <c r="O224" s="122"/>
      <c r="P224" s="122"/>
      <c r="Q224" s="122"/>
    </row>
    <row r="225" spans="2:17" ht="14.25" customHeight="1" x14ac:dyDescent="0.3">
      <c r="B225" s="23"/>
      <c r="D225" s="25"/>
      <c r="E225" s="25"/>
      <c r="M225" s="12"/>
      <c r="N225" s="122"/>
      <c r="O225" s="122"/>
      <c r="P225" s="122"/>
      <c r="Q225" s="122"/>
    </row>
    <row r="226" spans="2:17" ht="14.25" customHeight="1" x14ac:dyDescent="0.3">
      <c r="B226" s="23"/>
      <c r="D226" s="25"/>
      <c r="E226" s="25"/>
      <c r="M226" s="12"/>
      <c r="N226" s="122"/>
      <c r="O226" s="122"/>
      <c r="P226" s="122"/>
      <c r="Q226" s="122"/>
    </row>
    <row r="227" spans="2:17" ht="14.25" customHeight="1" x14ac:dyDescent="0.3">
      <c r="B227" s="23"/>
      <c r="D227" s="25"/>
      <c r="E227" s="25"/>
      <c r="M227" s="12"/>
      <c r="N227" s="122"/>
      <c r="O227" s="122"/>
      <c r="P227" s="122"/>
      <c r="Q227" s="122"/>
    </row>
    <row r="228" spans="2:17" ht="14.25" customHeight="1" x14ac:dyDescent="0.3">
      <c r="B228" s="23"/>
      <c r="D228" s="25"/>
      <c r="E228" s="25"/>
      <c r="M228" s="12"/>
      <c r="N228" s="122"/>
      <c r="O228" s="122"/>
      <c r="P228" s="122"/>
      <c r="Q228" s="122"/>
    </row>
    <row r="229" spans="2:17" ht="14.25" customHeight="1" x14ac:dyDescent="0.3">
      <c r="B229" s="23"/>
      <c r="D229" s="25"/>
      <c r="E229" s="25"/>
      <c r="M229" s="12"/>
      <c r="N229" s="122"/>
      <c r="O229" s="122"/>
      <c r="P229" s="122"/>
      <c r="Q229" s="122"/>
    </row>
    <row r="230" spans="2:17" ht="14.25" customHeight="1" x14ac:dyDescent="0.3">
      <c r="B230" s="23"/>
      <c r="D230" s="25"/>
      <c r="E230" s="25"/>
      <c r="M230" s="12"/>
      <c r="N230" s="122"/>
      <c r="O230" s="122"/>
      <c r="P230" s="122"/>
      <c r="Q230" s="122"/>
    </row>
    <row r="231" spans="2:17" ht="14.25" customHeight="1" x14ac:dyDescent="0.3">
      <c r="B231" s="23"/>
      <c r="D231" s="25"/>
      <c r="E231" s="25"/>
      <c r="M231" s="12"/>
      <c r="N231" s="122"/>
      <c r="O231" s="122"/>
      <c r="P231" s="122"/>
      <c r="Q231" s="122"/>
    </row>
    <row r="232" spans="2:17" ht="14.25" customHeight="1" x14ac:dyDescent="0.3">
      <c r="B232" s="23"/>
      <c r="D232" s="25"/>
      <c r="E232" s="25"/>
      <c r="M232" s="12"/>
      <c r="N232" s="122"/>
      <c r="O232" s="122"/>
      <c r="P232" s="122"/>
      <c r="Q232" s="122"/>
    </row>
    <row r="233" spans="2:17" ht="14.25" customHeight="1" x14ac:dyDescent="0.3">
      <c r="B233" s="23"/>
      <c r="D233" s="25"/>
      <c r="E233" s="25"/>
      <c r="M233" s="12"/>
      <c r="N233" s="122"/>
      <c r="O233" s="122"/>
      <c r="P233" s="122"/>
      <c r="Q233" s="122"/>
    </row>
    <row r="234" spans="2:17" ht="14.25" customHeight="1" x14ac:dyDescent="0.3">
      <c r="B234" s="23"/>
      <c r="D234" s="25"/>
      <c r="E234" s="25"/>
      <c r="M234" s="12"/>
      <c r="N234" s="122"/>
      <c r="O234" s="122"/>
      <c r="P234" s="122"/>
      <c r="Q234" s="122"/>
    </row>
    <row r="235" spans="2:17" ht="14.25" customHeight="1" x14ac:dyDescent="0.3">
      <c r="B235" s="23"/>
      <c r="D235" s="25"/>
      <c r="E235" s="25"/>
      <c r="M235" s="12"/>
      <c r="N235" s="122"/>
      <c r="O235" s="122"/>
      <c r="P235" s="122"/>
      <c r="Q235" s="122"/>
    </row>
    <row r="236" spans="2:17" ht="14.25" customHeight="1" x14ac:dyDescent="0.3">
      <c r="B236" s="23"/>
      <c r="D236" s="25"/>
      <c r="E236" s="25"/>
      <c r="M236" s="12"/>
      <c r="N236" s="122"/>
      <c r="O236" s="122"/>
      <c r="P236" s="122"/>
      <c r="Q236" s="122"/>
    </row>
    <row r="237" spans="2:17" ht="14.25" customHeight="1" x14ac:dyDescent="0.3">
      <c r="B237" s="23"/>
      <c r="D237" s="25"/>
      <c r="E237" s="25"/>
      <c r="M237" s="12"/>
      <c r="N237" s="122"/>
      <c r="O237" s="122"/>
      <c r="P237" s="122"/>
      <c r="Q237" s="122"/>
    </row>
    <row r="238" spans="2:17" ht="14.25" customHeight="1" x14ac:dyDescent="0.3">
      <c r="B238" s="23"/>
      <c r="D238" s="25"/>
      <c r="E238" s="25"/>
      <c r="M238" s="12"/>
      <c r="N238" s="122"/>
      <c r="O238" s="122"/>
      <c r="P238" s="122"/>
      <c r="Q238" s="122"/>
    </row>
    <row r="239" spans="2:17" ht="14.25" customHeight="1" x14ac:dyDescent="0.3">
      <c r="B239" s="23"/>
      <c r="D239" s="25"/>
      <c r="E239" s="25"/>
      <c r="M239" s="12"/>
      <c r="N239" s="122"/>
      <c r="O239" s="122"/>
      <c r="P239" s="122"/>
      <c r="Q239" s="122"/>
    </row>
    <row r="240" spans="2:17" ht="14.25" customHeight="1" x14ac:dyDescent="0.3">
      <c r="B240" s="23"/>
      <c r="D240" s="25"/>
      <c r="E240" s="25"/>
      <c r="M240" s="12"/>
      <c r="N240" s="122"/>
      <c r="O240" s="122"/>
      <c r="P240" s="122"/>
      <c r="Q240" s="122"/>
    </row>
    <row r="241" spans="2:17" ht="14.25" customHeight="1" x14ac:dyDescent="0.3">
      <c r="B241" s="23"/>
      <c r="D241" s="25"/>
      <c r="E241" s="25"/>
      <c r="M241" s="12"/>
      <c r="N241" s="122"/>
      <c r="O241" s="122"/>
      <c r="P241" s="122"/>
      <c r="Q241" s="122"/>
    </row>
    <row r="242" spans="2:17" ht="14.25" customHeight="1" x14ac:dyDescent="0.3">
      <c r="B242" s="23"/>
      <c r="D242" s="25"/>
      <c r="E242" s="25"/>
      <c r="M242" s="12"/>
      <c r="N242" s="122"/>
      <c r="O242" s="122"/>
      <c r="P242" s="122"/>
      <c r="Q242" s="122"/>
    </row>
    <row r="243" spans="2:17" ht="14.25" customHeight="1" x14ac:dyDescent="0.3">
      <c r="B243" s="23"/>
      <c r="D243" s="25"/>
      <c r="E243" s="25"/>
      <c r="M243" s="12"/>
      <c r="N243" s="122"/>
      <c r="O243" s="122"/>
      <c r="P243" s="122"/>
      <c r="Q243" s="122"/>
    </row>
    <row r="244" spans="2:17" ht="14.25" customHeight="1" x14ac:dyDescent="0.3">
      <c r="B244" s="23"/>
      <c r="D244" s="25"/>
      <c r="E244" s="25"/>
      <c r="M244" s="12"/>
      <c r="N244" s="122"/>
      <c r="O244" s="122"/>
      <c r="P244" s="122"/>
      <c r="Q244" s="122"/>
    </row>
    <row r="245" spans="2:17" ht="14.25" customHeight="1" x14ac:dyDescent="0.3">
      <c r="B245" s="23"/>
      <c r="D245" s="25"/>
      <c r="E245" s="25"/>
      <c r="M245" s="12"/>
      <c r="N245" s="122"/>
      <c r="O245" s="122"/>
      <c r="P245" s="122"/>
      <c r="Q245" s="122"/>
    </row>
    <row r="246" spans="2:17" ht="14.25" customHeight="1" x14ac:dyDescent="0.3">
      <c r="B246" s="23"/>
      <c r="D246" s="25"/>
      <c r="E246" s="25"/>
      <c r="M246" s="12"/>
      <c r="N246" s="122"/>
      <c r="O246" s="122"/>
      <c r="P246" s="122"/>
      <c r="Q246" s="122"/>
    </row>
    <row r="247" spans="2:17" ht="14.25" customHeight="1" x14ac:dyDescent="0.3">
      <c r="B247" s="23"/>
      <c r="D247" s="25"/>
      <c r="E247" s="25"/>
      <c r="M247" s="12"/>
      <c r="N247" s="122"/>
      <c r="O247" s="122"/>
      <c r="P247" s="122"/>
      <c r="Q247" s="122"/>
    </row>
    <row r="248" spans="2:17" ht="14.25" customHeight="1" x14ac:dyDescent="0.3">
      <c r="B248" s="23"/>
      <c r="D248" s="25"/>
      <c r="E248" s="25"/>
      <c r="M248" s="12"/>
      <c r="N248" s="122"/>
      <c r="O248" s="122"/>
      <c r="P248" s="122"/>
      <c r="Q248" s="122"/>
    </row>
    <row r="249" spans="2:17" ht="14.25" customHeight="1" x14ac:dyDescent="0.3">
      <c r="B249" s="23"/>
      <c r="D249" s="25"/>
      <c r="E249" s="25"/>
      <c r="M249" s="12"/>
      <c r="N249" s="122"/>
      <c r="O249" s="122"/>
      <c r="P249" s="122"/>
      <c r="Q249" s="122"/>
    </row>
    <row r="250" spans="2:17" ht="14.25" customHeight="1" x14ac:dyDescent="0.3">
      <c r="B250" s="23"/>
      <c r="D250" s="25"/>
      <c r="E250" s="25"/>
      <c r="M250" s="12"/>
      <c r="N250" s="122"/>
      <c r="O250" s="122"/>
      <c r="P250" s="122"/>
      <c r="Q250" s="122"/>
    </row>
    <row r="251" spans="2:17" ht="14.25" customHeight="1" x14ac:dyDescent="0.3">
      <c r="B251" s="23"/>
      <c r="D251" s="25"/>
      <c r="E251" s="25"/>
      <c r="M251" s="12"/>
      <c r="N251" s="122"/>
      <c r="O251" s="122"/>
      <c r="P251" s="122"/>
      <c r="Q251" s="122"/>
    </row>
    <row r="252" spans="2:17" ht="14.25" customHeight="1" x14ac:dyDescent="0.3">
      <c r="B252" s="23"/>
      <c r="D252" s="25"/>
      <c r="E252" s="25"/>
      <c r="M252" s="12"/>
      <c r="N252" s="122"/>
      <c r="O252" s="122"/>
      <c r="P252" s="122"/>
      <c r="Q252" s="122"/>
    </row>
    <row r="253" spans="2:17" ht="14.25" customHeight="1" x14ac:dyDescent="0.3">
      <c r="B253" s="23"/>
      <c r="D253" s="25"/>
      <c r="E253" s="25"/>
      <c r="M253" s="12"/>
      <c r="N253" s="122"/>
      <c r="O253" s="122"/>
      <c r="P253" s="122"/>
      <c r="Q253" s="122"/>
    </row>
    <row r="254" spans="2:17" ht="14.25" customHeight="1" x14ac:dyDescent="0.3">
      <c r="B254" s="23"/>
      <c r="D254" s="25"/>
      <c r="E254" s="25"/>
      <c r="M254" s="12"/>
      <c r="N254" s="122"/>
      <c r="O254" s="122"/>
      <c r="P254" s="122"/>
      <c r="Q254" s="122"/>
    </row>
    <row r="255" spans="2:17" ht="14.25" customHeight="1" x14ac:dyDescent="0.3">
      <c r="B255" s="23"/>
      <c r="D255" s="25"/>
      <c r="E255" s="25"/>
      <c r="M255" s="12"/>
      <c r="N255" s="122"/>
      <c r="O255" s="122"/>
      <c r="P255" s="122"/>
      <c r="Q255" s="122"/>
    </row>
    <row r="256" spans="2:17" ht="14.25" customHeight="1" x14ac:dyDescent="0.3">
      <c r="B256" s="23"/>
      <c r="D256" s="25"/>
      <c r="E256" s="25"/>
      <c r="M256" s="12"/>
      <c r="N256" s="122"/>
      <c r="O256" s="122"/>
      <c r="P256" s="122"/>
      <c r="Q256" s="122"/>
    </row>
    <row r="257" spans="2:17" ht="14.25" customHeight="1" x14ac:dyDescent="0.3">
      <c r="B257" s="23"/>
      <c r="D257" s="25"/>
      <c r="E257" s="25"/>
      <c r="M257" s="12"/>
      <c r="N257" s="122"/>
      <c r="O257" s="122"/>
      <c r="P257" s="122"/>
      <c r="Q257" s="122"/>
    </row>
    <row r="258" spans="2:17" ht="14.25" customHeight="1" x14ac:dyDescent="0.3">
      <c r="B258" s="23"/>
      <c r="D258" s="25"/>
      <c r="E258" s="25"/>
      <c r="M258" s="12"/>
      <c r="N258" s="122"/>
      <c r="O258" s="122"/>
      <c r="P258" s="122"/>
      <c r="Q258" s="122"/>
    </row>
    <row r="259" spans="2:17" ht="14.25" customHeight="1" x14ac:dyDescent="0.3">
      <c r="B259" s="23"/>
      <c r="D259" s="25"/>
      <c r="E259" s="25"/>
      <c r="M259" s="12"/>
      <c r="N259" s="122"/>
      <c r="O259" s="122"/>
      <c r="P259" s="122"/>
      <c r="Q259" s="122"/>
    </row>
    <row r="260" spans="2:17" ht="14.25" customHeight="1" x14ac:dyDescent="0.3">
      <c r="B260" s="23"/>
      <c r="D260" s="25"/>
      <c r="E260" s="25"/>
      <c r="M260" s="12"/>
      <c r="N260" s="122"/>
      <c r="O260" s="122"/>
      <c r="P260" s="122"/>
      <c r="Q260" s="122"/>
    </row>
    <row r="261" spans="2:17" ht="14.25" customHeight="1" x14ac:dyDescent="0.3">
      <c r="B261" s="23"/>
      <c r="D261" s="25"/>
      <c r="E261" s="25"/>
      <c r="M261" s="12"/>
      <c r="N261" s="122"/>
      <c r="O261" s="122"/>
      <c r="P261" s="122"/>
      <c r="Q261" s="122"/>
    </row>
    <row r="262" spans="2:17" ht="14.25" customHeight="1" x14ac:dyDescent="0.3">
      <c r="B262" s="23"/>
      <c r="D262" s="25"/>
      <c r="E262" s="25"/>
      <c r="M262" s="12"/>
      <c r="N262" s="122"/>
      <c r="O262" s="122"/>
      <c r="P262" s="122"/>
      <c r="Q262" s="122"/>
    </row>
    <row r="263" spans="2:17" ht="14.25" customHeight="1" x14ac:dyDescent="0.3">
      <c r="B263" s="23"/>
      <c r="D263" s="25"/>
      <c r="E263" s="25"/>
      <c r="M263" s="12"/>
      <c r="N263" s="122"/>
      <c r="O263" s="122"/>
      <c r="P263" s="122"/>
      <c r="Q263" s="122"/>
    </row>
    <row r="264" spans="2:17" ht="14.25" customHeight="1" x14ac:dyDescent="0.3">
      <c r="B264" s="23"/>
      <c r="D264" s="25"/>
      <c r="E264" s="25"/>
      <c r="M264" s="12"/>
      <c r="N264" s="122"/>
      <c r="O264" s="122"/>
      <c r="P264" s="122"/>
      <c r="Q264" s="122"/>
    </row>
    <row r="265" spans="2:17" ht="14.25" customHeight="1" x14ac:dyDescent="0.3">
      <c r="B265" s="23"/>
      <c r="D265" s="25"/>
      <c r="E265" s="25"/>
      <c r="M265" s="12"/>
      <c r="N265" s="122"/>
      <c r="O265" s="122"/>
      <c r="P265" s="122"/>
      <c r="Q265" s="122"/>
    </row>
    <row r="266" spans="2:17" ht="14.25" customHeight="1" x14ac:dyDescent="0.3">
      <c r="B266" s="23"/>
      <c r="D266" s="25"/>
      <c r="E266" s="25"/>
      <c r="M266" s="12"/>
      <c r="N266" s="122"/>
      <c r="O266" s="122"/>
      <c r="P266" s="122"/>
      <c r="Q266" s="122"/>
    </row>
    <row r="267" spans="2:17" ht="14.25" customHeight="1" x14ac:dyDescent="0.3">
      <c r="B267" s="23"/>
      <c r="D267" s="25"/>
      <c r="E267" s="25"/>
      <c r="M267" s="12"/>
      <c r="N267" s="122"/>
      <c r="O267" s="122"/>
      <c r="P267" s="122"/>
      <c r="Q267" s="122"/>
    </row>
    <row r="268" spans="2:17" ht="14.25" customHeight="1" x14ac:dyDescent="0.3">
      <c r="B268" s="23"/>
      <c r="D268" s="25"/>
      <c r="E268" s="25"/>
      <c r="M268" s="12"/>
      <c r="N268" s="122"/>
      <c r="O268" s="122"/>
      <c r="P268" s="122"/>
      <c r="Q268" s="122"/>
    </row>
    <row r="269" spans="2:17" ht="14.25" customHeight="1" x14ac:dyDescent="0.3">
      <c r="B269" s="23"/>
      <c r="D269" s="25"/>
      <c r="E269" s="25"/>
      <c r="M269" s="12"/>
      <c r="N269" s="122"/>
      <c r="O269" s="122"/>
      <c r="P269" s="122"/>
      <c r="Q269" s="122"/>
    </row>
    <row r="270" spans="2:17" ht="14.25" customHeight="1" x14ac:dyDescent="0.3">
      <c r="B270" s="23"/>
      <c r="D270" s="25"/>
      <c r="E270" s="25"/>
      <c r="M270" s="12"/>
      <c r="N270" s="122"/>
      <c r="O270" s="122"/>
      <c r="P270" s="122"/>
      <c r="Q270" s="122"/>
    </row>
    <row r="271" spans="2:17" ht="14.25" customHeight="1" x14ac:dyDescent="0.3">
      <c r="B271" s="23"/>
      <c r="D271" s="25"/>
      <c r="E271" s="25"/>
      <c r="M271" s="12"/>
      <c r="N271" s="122"/>
      <c r="O271" s="122"/>
      <c r="P271" s="122"/>
      <c r="Q271" s="122"/>
    </row>
    <row r="272" spans="2:17" ht="14.25" customHeight="1" x14ac:dyDescent="0.3">
      <c r="B272" s="23"/>
      <c r="D272" s="25"/>
      <c r="E272" s="25"/>
      <c r="M272" s="12"/>
      <c r="N272" s="122"/>
      <c r="O272" s="122"/>
      <c r="P272" s="122"/>
      <c r="Q272" s="122"/>
    </row>
    <row r="273" spans="2:17" ht="14.25" customHeight="1" x14ac:dyDescent="0.3">
      <c r="B273" s="23"/>
      <c r="D273" s="25"/>
      <c r="E273" s="25"/>
      <c r="M273" s="12"/>
      <c r="N273" s="122"/>
      <c r="O273" s="122"/>
      <c r="P273" s="122"/>
      <c r="Q273" s="122"/>
    </row>
    <row r="274" spans="2:17" ht="14.25" customHeight="1" x14ac:dyDescent="0.3">
      <c r="B274" s="23"/>
      <c r="D274" s="25"/>
      <c r="E274" s="25"/>
      <c r="M274" s="12"/>
      <c r="N274" s="122"/>
      <c r="O274" s="122"/>
      <c r="P274" s="122"/>
      <c r="Q274" s="122"/>
    </row>
    <row r="275" spans="2:17" ht="14.25" customHeight="1" x14ac:dyDescent="0.3">
      <c r="B275" s="23"/>
      <c r="D275" s="25"/>
      <c r="E275" s="25"/>
      <c r="M275" s="12"/>
      <c r="N275" s="122"/>
      <c r="O275" s="122"/>
      <c r="P275" s="122"/>
      <c r="Q275" s="122"/>
    </row>
    <row r="276" spans="2:17" ht="14.25" customHeight="1" x14ac:dyDescent="0.3">
      <c r="B276" s="23"/>
      <c r="D276" s="25"/>
      <c r="E276" s="25"/>
      <c r="M276" s="12"/>
      <c r="N276" s="122"/>
      <c r="O276" s="122"/>
      <c r="P276" s="122"/>
      <c r="Q276" s="122"/>
    </row>
    <row r="277" spans="2:17" ht="14.25" customHeight="1" x14ac:dyDescent="0.3">
      <c r="B277" s="23"/>
      <c r="D277" s="25"/>
      <c r="E277" s="25"/>
      <c r="M277" s="12"/>
      <c r="N277" s="122"/>
      <c r="O277" s="122"/>
      <c r="P277" s="122"/>
      <c r="Q277" s="122"/>
    </row>
    <row r="278" spans="2:17" ht="14.25" customHeight="1" x14ac:dyDescent="0.3">
      <c r="B278" s="23"/>
      <c r="D278" s="25"/>
      <c r="E278" s="25"/>
      <c r="M278" s="12"/>
      <c r="N278" s="122"/>
      <c r="O278" s="122"/>
      <c r="P278" s="122"/>
      <c r="Q278" s="122"/>
    </row>
    <row r="279" spans="2:17" ht="14.25" customHeight="1" x14ac:dyDescent="0.3">
      <c r="B279" s="23"/>
      <c r="D279" s="25"/>
      <c r="E279" s="25"/>
      <c r="M279" s="12"/>
      <c r="N279" s="122"/>
      <c r="O279" s="122"/>
      <c r="P279" s="122"/>
      <c r="Q279" s="122"/>
    </row>
    <row r="280" spans="2:17" ht="14.25" customHeight="1" x14ac:dyDescent="0.3">
      <c r="B280" s="23"/>
      <c r="D280" s="25"/>
      <c r="E280" s="25"/>
      <c r="M280" s="12"/>
      <c r="N280" s="122"/>
      <c r="O280" s="122"/>
      <c r="P280" s="122"/>
      <c r="Q280" s="122"/>
    </row>
    <row r="281" spans="2:17" ht="14.25" customHeight="1" x14ac:dyDescent="0.3">
      <c r="B281" s="23"/>
      <c r="D281" s="25"/>
      <c r="E281" s="25"/>
      <c r="M281" s="12"/>
      <c r="N281" s="122"/>
      <c r="O281" s="122"/>
      <c r="P281" s="122"/>
      <c r="Q281" s="122"/>
    </row>
    <row r="282" spans="2:17" ht="14.25" customHeight="1" x14ac:dyDescent="0.3">
      <c r="B282" s="23"/>
      <c r="D282" s="25"/>
      <c r="E282" s="25"/>
      <c r="M282" s="12"/>
      <c r="N282" s="122"/>
      <c r="O282" s="122"/>
      <c r="P282" s="122"/>
      <c r="Q282" s="122"/>
    </row>
    <row r="283" spans="2:17" ht="14.25" customHeight="1" x14ac:dyDescent="0.3">
      <c r="B283" s="23"/>
      <c r="D283" s="25"/>
      <c r="E283" s="25"/>
      <c r="M283" s="12"/>
      <c r="N283" s="122"/>
      <c r="O283" s="122"/>
      <c r="P283" s="122"/>
      <c r="Q283" s="122"/>
    </row>
    <row r="284" spans="2:17" ht="14.25" customHeight="1" x14ac:dyDescent="0.3">
      <c r="B284" s="23"/>
      <c r="D284" s="25"/>
      <c r="E284" s="25"/>
      <c r="M284" s="12"/>
      <c r="N284" s="122"/>
      <c r="O284" s="122"/>
      <c r="P284" s="122"/>
      <c r="Q284" s="122"/>
    </row>
    <row r="285" spans="2:17" ht="14.25" customHeight="1" x14ac:dyDescent="0.3">
      <c r="B285" s="23"/>
      <c r="D285" s="25"/>
      <c r="E285" s="25"/>
      <c r="M285" s="12"/>
      <c r="N285" s="122"/>
      <c r="O285" s="122"/>
      <c r="P285" s="122"/>
      <c r="Q285" s="122"/>
    </row>
    <row r="286" spans="2:17" ht="14.25" customHeight="1" x14ac:dyDescent="0.3">
      <c r="B286" s="23"/>
      <c r="D286" s="25"/>
      <c r="E286" s="25"/>
      <c r="M286" s="12"/>
      <c r="N286" s="122"/>
      <c r="O286" s="122"/>
      <c r="P286" s="122"/>
      <c r="Q286" s="122"/>
    </row>
    <row r="287" spans="2:17" ht="14.25" customHeight="1" x14ac:dyDescent="0.3">
      <c r="B287" s="23"/>
      <c r="D287" s="25"/>
      <c r="E287" s="25"/>
      <c r="M287" s="12"/>
      <c r="N287" s="122"/>
      <c r="O287" s="122"/>
      <c r="P287" s="122"/>
      <c r="Q287" s="122"/>
    </row>
    <row r="288" spans="2:17" ht="14.25" customHeight="1" x14ac:dyDescent="0.3">
      <c r="B288" s="23"/>
      <c r="D288" s="25"/>
      <c r="E288" s="25"/>
      <c r="M288" s="12"/>
      <c r="N288" s="122"/>
      <c r="O288" s="122"/>
      <c r="P288" s="122"/>
      <c r="Q288" s="122"/>
    </row>
    <row r="289" spans="2:17" ht="14.25" customHeight="1" x14ac:dyDescent="0.3">
      <c r="B289" s="23"/>
      <c r="D289" s="25"/>
      <c r="E289" s="25"/>
      <c r="M289" s="12"/>
      <c r="N289" s="122"/>
      <c r="O289" s="122"/>
      <c r="P289" s="122"/>
      <c r="Q289" s="122"/>
    </row>
    <row r="290" spans="2:17" ht="14.25" customHeight="1" x14ac:dyDescent="0.3">
      <c r="B290" s="23"/>
      <c r="D290" s="25"/>
      <c r="E290" s="25"/>
      <c r="M290" s="12"/>
      <c r="N290" s="122"/>
      <c r="O290" s="122"/>
      <c r="P290" s="122"/>
      <c r="Q290" s="122"/>
    </row>
    <row r="291" spans="2:17" ht="14.25" customHeight="1" x14ac:dyDescent="0.3">
      <c r="B291" s="23"/>
      <c r="D291" s="25"/>
      <c r="E291" s="25"/>
      <c r="M291" s="12"/>
      <c r="N291" s="122"/>
      <c r="O291" s="122"/>
      <c r="P291" s="122"/>
      <c r="Q291" s="122"/>
    </row>
    <row r="292" spans="2:17" ht="14.25" customHeight="1" x14ac:dyDescent="0.3">
      <c r="B292" s="23"/>
      <c r="D292" s="25"/>
      <c r="E292" s="25"/>
      <c r="M292" s="12"/>
      <c r="N292" s="122"/>
      <c r="O292" s="122"/>
      <c r="P292" s="122"/>
      <c r="Q292" s="122"/>
    </row>
    <row r="293" spans="2:17" ht="14.25" customHeight="1" x14ac:dyDescent="0.3">
      <c r="B293" s="23"/>
      <c r="D293" s="25"/>
      <c r="E293" s="25"/>
      <c r="M293" s="12"/>
      <c r="N293" s="122"/>
      <c r="O293" s="122"/>
      <c r="P293" s="122"/>
      <c r="Q293" s="122"/>
    </row>
    <row r="294" spans="2:17" ht="14.25" customHeight="1" x14ac:dyDescent="0.3">
      <c r="B294" s="23"/>
      <c r="D294" s="25"/>
      <c r="E294" s="25"/>
      <c r="M294" s="12"/>
      <c r="N294" s="122"/>
      <c r="O294" s="122"/>
      <c r="P294" s="122"/>
      <c r="Q294" s="122"/>
    </row>
    <row r="295" spans="2:17" ht="14.25" customHeight="1" x14ac:dyDescent="0.3">
      <c r="B295" s="23"/>
      <c r="D295" s="25"/>
      <c r="E295" s="25"/>
      <c r="M295" s="12"/>
      <c r="N295" s="122"/>
      <c r="O295" s="122"/>
      <c r="P295" s="122"/>
      <c r="Q295" s="122"/>
    </row>
    <row r="296" spans="2:17" ht="14.25" customHeight="1" x14ac:dyDescent="0.3">
      <c r="B296" s="23"/>
      <c r="D296" s="25"/>
      <c r="E296" s="25"/>
      <c r="M296" s="12"/>
      <c r="N296" s="122"/>
      <c r="O296" s="122"/>
      <c r="P296" s="122"/>
      <c r="Q296" s="122"/>
    </row>
    <row r="297" spans="2:17" ht="14.25" customHeight="1" x14ac:dyDescent="0.3">
      <c r="B297" s="23"/>
      <c r="D297" s="25"/>
      <c r="E297" s="25"/>
      <c r="M297" s="12"/>
      <c r="N297" s="122"/>
      <c r="O297" s="122"/>
      <c r="P297" s="122"/>
      <c r="Q297" s="122"/>
    </row>
    <row r="298" spans="2:17" ht="14.25" customHeight="1" x14ac:dyDescent="0.3">
      <c r="B298" s="23"/>
      <c r="D298" s="25"/>
      <c r="E298" s="25"/>
      <c r="M298" s="12"/>
      <c r="N298" s="122"/>
      <c r="O298" s="122"/>
      <c r="P298" s="122"/>
      <c r="Q298" s="122"/>
    </row>
    <row r="299" spans="2:17" ht="14.25" customHeight="1" x14ac:dyDescent="0.3">
      <c r="B299" s="23"/>
      <c r="D299" s="25"/>
      <c r="E299" s="25"/>
      <c r="M299" s="12"/>
      <c r="N299" s="122"/>
      <c r="O299" s="122"/>
      <c r="P299" s="122"/>
      <c r="Q299" s="122"/>
    </row>
    <row r="300" spans="2:17" ht="14.25" customHeight="1" x14ac:dyDescent="0.3">
      <c r="B300" s="23"/>
      <c r="D300" s="25"/>
      <c r="E300" s="25"/>
      <c r="M300" s="12"/>
      <c r="N300" s="122"/>
      <c r="O300" s="122"/>
      <c r="P300" s="122"/>
      <c r="Q300" s="122"/>
    </row>
    <row r="301" spans="2:17" ht="14.25" customHeight="1" x14ac:dyDescent="0.3">
      <c r="B301" s="23"/>
      <c r="D301" s="25"/>
      <c r="E301" s="25"/>
      <c r="M301" s="12"/>
      <c r="N301" s="122"/>
      <c r="O301" s="122"/>
      <c r="P301" s="122"/>
      <c r="Q301" s="122"/>
    </row>
    <row r="302" spans="2:17" ht="14.25" customHeight="1" x14ac:dyDescent="0.3">
      <c r="B302" s="23"/>
      <c r="D302" s="25"/>
      <c r="E302" s="25"/>
      <c r="M302" s="12"/>
      <c r="N302" s="122"/>
      <c r="O302" s="122"/>
      <c r="P302" s="122"/>
      <c r="Q302" s="122"/>
    </row>
    <row r="303" spans="2:17" ht="14.25" customHeight="1" x14ac:dyDescent="0.3">
      <c r="B303" s="23"/>
      <c r="D303" s="25"/>
      <c r="E303" s="25"/>
      <c r="M303" s="12"/>
      <c r="N303" s="122"/>
      <c r="O303" s="122"/>
      <c r="P303" s="122"/>
      <c r="Q303" s="122"/>
    </row>
    <row r="304" spans="2:17" ht="14.25" customHeight="1" x14ac:dyDescent="0.3">
      <c r="B304" s="23"/>
      <c r="D304" s="25"/>
      <c r="E304" s="25"/>
      <c r="M304" s="12"/>
      <c r="N304" s="122"/>
      <c r="O304" s="122"/>
      <c r="P304" s="122"/>
      <c r="Q304" s="122"/>
    </row>
    <row r="305" spans="2:17" ht="14.25" customHeight="1" x14ac:dyDescent="0.3">
      <c r="B305" s="23"/>
      <c r="D305" s="25"/>
      <c r="E305" s="25"/>
      <c r="M305" s="12"/>
      <c r="N305" s="122"/>
      <c r="O305" s="122"/>
      <c r="P305" s="122"/>
      <c r="Q305" s="122"/>
    </row>
    <row r="306" spans="2:17" ht="14.25" customHeight="1" x14ac:dyDescent="0.3">
      <c r="B306" s="23"/>
      <c r="D306" s="25"/>
      <c r="E306" s="25"/>
      <c r="M306" s="12"/>
      <c r="N306" s="122"/>
      <c r="O306" s="122"/>
      <c r="P306" s="122"/>
      <c r="Q306" s="122"/>
    </row>
    <row r="307" spans="2:17" ht="14.25" customHeight="1" x14ac:dyDescent="0.3">
      <c r="B307" s="23"/>
      <c r="D307" s="25"/>
      <c r="E307" s="25"/>
      <c r="M307" s="12"/>
      <c r="N307" s="122"/>
      <c r="O307" s="122"/>
      <c r="P307" s="122"/>
      <c r="Q307" s="122"/>
    </row>
    <row r="308" spans="2:17" ht="14.25" customHeight="1" x14ac:dyDescent="0.3">
      <c r="B308" s="23"/>
      <c r="D308" s="25"/>
      <c r="E308" s="25"/>
      <c r="M308" s="12"/>
      <c r="N308" s="122"/>
      <c r="O308" s="122"/>
      <c r="P308" s="122"/>
      <c r="Q308" s="122"/>
    </row>
    <row r="309" spans="2:17" ht="14.25" customHeight="1" x14ac:dyDescent="0.3">
      <c r="B309" s="23"/>
      <c r="D309" s="25"/>
      <c r="E309" s="25"/>
      <c r="M309" s="12"/>
      <c r="N309" s="122"/>
      <c r="O309" s="122"/>
      <c r="P309" s="122"/>
      <c r="Q309" s="122"/>
    </row>
    <row r="310" spans="2:17" ht="14.25" customHeight="1" x14ac:dyDescent="0.3">
      <c r="B310" s="23"/>
      <c r="D310" s="25"/>
      <c r="E310" s="25"/>
      <c r="M310" s="12"/>
      <c r="N310" s="122"/>
      <c r="O310" s="122"/>
      <c r="P310" s="122"/>
      <c r="Q310" s="122"/>
    </row>
    <row r="311" spans="2:17" ht="14.25" customHeight="1" x14ac:dyDescent="0.3">
      <c r="B311" s="23"/>
      <c r="D311" s="25"/>
      <c r="E311" s="25"/>
      <c r="M311" s="12"/>
      <c r="N311" s="122"/>
      <c r="O311" s="122"/>
      <c r="P311" s="122"/>
      <c r="Q311" s="122"/>
    </row>
    <row r="312" spans="2:17" ht="14.25" customHeight="1" x14ac:dyDescent="0.3">
      <c r="B312" s="23"/>
      <c r="D312" s="25"/>
      <c r="E312" s="25"/>
      <c r="M312" s="12"/>
      <c r="N312" s="122"/>
      <c r="O312" s="122"/>
      <c r="P312" s="122"/>
      <c r="Q312" s="122"/>
    </row>
    <row r="313" spans="2:17" ht="14.25" customHeight="1" x14ac:dyDescent="0.3">
      <c r="B313" s="23"/>
      <c r="D313" s="25"/>
      <c r="E313" s="25"/>
      <c r="M313" s="12"/>
      <c r="N313" s="122"/>
      <c r="O313" s="122"/>
      <c r="P313" s="122"/>
      <c r="Q313" s="122"/>
    </row>
    <row r="314" spans="2:17" ht="14.25" customHeight="1" x14ac:dyDescent="0.3">
      <c r="B314" s="23"/>
      <c r="D314" s="25"/>
      <c r="E314" s="25"/>
      <c r="M314" s="12"/>
      <c r="N314" s="122"/>
      <c r="O314" s="122"/>
      <c r="P314" s="122"/>
      <c r="Q314" s="122"/>
    </row>
    <row r="315" spans="2:17" ht="14.25" customHeight="1" x14ac:dyDescent="0.3">
      <c r="B315" s="23"/>
      <c r="D315" s="25"/>
      <c r="E315" s="25"/>
      <c r="M315" s="12"/>
      <c r="N315" s="122"/>
      <c r="O315" s="122"/>
      <c r="P315" s="122"/>
      <c r="Q315" s="122"/>
    </row>
    <row r="316" spans="2:17" ht="14.25" customHeight="1" x14ac:dyDescent="0.3">
      <c r="B316" s="23"/>
      <c r="D316" s="25"/>
      <c r="E316" s="25"/>
      <c r="M316" s="12"/>
      <c r="N316" s="122"/>
      <c r="O316" s="122"/>
      <c r="P316" s="122"/>
      <c r="Q316" s="122"/>
    </row>
    <row r="317" spans="2:17" ht="14.25" customHeight="1" x14ac:dyDescent="0.3">
      <c r="B317" s="23"/>
      <c r="D317" s="25"/>
      <c r="E317" s="25"/>
      <c r="M317" s="12"/>
      <c r="N317" s="122"/>
      <c r="O317" s="122"/>
      <c r="P317" s="122"/>
      <c r="Q317" s="122"/>
    </row>
    <row r="318" spans="2:17" ht="14.25" customHeight="1" x14ac:dyDescent="0.3">
      <c r="B318" s="23"/>
      <c r="D318" s="25"/>
      <c r="E318" s="25"/>
      <c r="M318" s="12"/>
      <c r="N318" s="122"/>
      <c r="O318" s="122"/>
      <c r="P318" s="122"/>
      <c r="Q318" s="122"/>
    </row>
    <row r="319" spans="2:17" ht="14.25" customHeight="1" x14ac:dyDescent="0.3">
      <c r="B319" s="23"/>
      <c r="D319" s="25"/>
      <c r="E319" s="25"/>
      <c r="M319" s="12"/>
      <c r="N319" s="122"/>
      <c r="O319" s="122"/>
      <c r="P319" s="122"/>
      <c r="Q319" s="122"/>
    </row>
    <row r="320" spans="2:17" ht="14.25" customHeight="1" x14ac:dyDescent="0.3">
      <c r="B320" s="23"/>
      <c r="D320" s="25"/>
      <c r="E320" s="25"/>
      <c r="M320" s="12"/>
      <c r="N320" s="122"/>
      <c r="O320" s="122"/>
      <c r="P320" s="122"/>
      <c r="Q320" s="122"/>
    </row>
    <row r="321" spans="2:17" ht="14.25" customHeight="1" x14ac:dyDescent="0.3">
      <c r="B321" s="23"/>
      <c r="D321" s="25"/>
      <c r="E321" s="25"/>
      <c r="M321" s="12"/>
      <c r="N321" s="122"/>
      <c r="O321" s="122"/>
      <c r="P321" s="122"/>
      <c r="Q321" s="122"/>
    </row>
    <row r="322" spans="2:17" ht="14.25" customHeight="1" x14ac:dyDescent="0.3">
      <c r="B322" s="23"/>
      <c r="D322" s="25"/>
      <c r="E322" s="25"/>
      <c r="M322" s="12"/>
      <c r="N322" s="122"/>
      <c r="O322" s="122"/>
      <c r="P322" s="122"/>
      <c r="Q322" s="122"/>
    </row>
    <row r="323" spans="2:17" ht="14.25" customHeight="1" x14ac:dyDescent="0.3">
      <c r="B323" s="23"/>
      <c r="D323" s="25"/>
      <c r="E323" s="25"/>
      <c r="M323" s="12"/>
      <c r="N323" s="122"/>
      <c r="O323" s="122"/>
      <c r="P323" s="122"/>
      <c r="Q323" s="122"/>
    </row>
    <row r="324" spans="2:17" ht="14.25" customHeight="1" x14ac:dyDescent="0.3">
      <c r="B324" s="23"/>
      <c r="D324" s="25"/>
      <c r="E324" s="25"/>
      <c r="M324" s="12"/>
      <c r="N324" s="122"/>
      <c r="O324" s="122"/>
      <c r="P324" s="122"/>
      <c r="Q324" s="122"/>
    </row>
    <row r="325" spans="2:17" ht="14.25" customHeight="1" x14ac:dyDescent="0.3">
      <c r="B325" s="23"/>
      <c r="D325" s="25"/>
      <c r="E325" s="25"/>
      <c r="M325" s="12"/>
      <c r="N325" s="122"/>
      <c r="O325" s="122"/>
      <c r="P325" s="122"/>
      <c r="Q325" s="122"/>
    </row>
    <row r="326" spans="2:17" ht="14.25" customHeight="1" x14ac:dyDescent="0.3">
      <c r="B326" s="23"/>
      <c r="D326" s="25"/>
      <c r="E326" s="25"/>
      <c r="M326" s="12"/>
      <c r="N326" s="122"/>
      <c r="O326" s="122"/>
      <c r="P326" s="122"/>
      <c r="Q326" s="122"/>
    </row>
    <row r="327" spans="2:17" ht="14.25" customHeight="1" x14ac:dyDescent="0.3">
      <c r="B327" s="23"/>
      <c r="D327" s="25"/>
      <c r="E327" s="25"/>
      <c r="M327" s="12"/>
      <c r="N327" s="122"/>
      <c r="O327" s="122"/>
      <c r="P327" s="122"/>
      <c r="Q327" s="122"/>
    </row>
    <row r="328" spans="2:17" ht="14.25" customHeight="1" x14ac:dyDescent="0.3">
      <c r="B328" s="23"/>
      <c r="D328" s="25"/>
      <c r="E328" s="25"/>
      <c r="M328" s="12"/>
      <c r="N328" s="122"/>
      <c r="O328" s="122"/>
      <c r="P328" s="122"/>
      <c r="Q328" s="122"/>
    </row>
    <row r="329" spans="2:17" ht="14.25" customHeight="1" x14ac:dyDescent="0.3">
      <c r="B329" s="23"/>
      <c r="D329" s="25"/>
      <c r="E329" s="25"/>
      <c r="M329" s="12"/>
      <c r="N329" s="122"/>
      <c r="O329" s="122"/>
      <c r="P329" s="122"/>
      <c r="Q329" s="122"/>
    </row>
    <row r="330" spans="2:17" ht="14.25" customHeight="1" x14ac:dyDescent="0.3">
      <c r="B330" s="23"/>
      <c r="D330" s="25"/>
      <c r="E330" s="25"/>
      <c r="M330" s="12"/>
      <c r="N330" s="122"/>
      <c r="O330" s="122"/>
      <c r="P330" s="122"/>
      <c r="Q330" s="122"/>
    </row>
    <row r="331" spans="2:17" ht="14.25" customHeight="1" x14ac:dyDescent="0.3">
      <c r="B331" s="23"/>
      <c r="D331" s="25"/>
      <c r="E331" s="25"/>
      <c r="M331" s="12"/>
      <c r="N331" s="122"/>
      <c r="O331" s="122"/>
      <c r="P331" s="122"/>
      <c r="Q331" s="122"/>
    </row>
    <row r="332" spans="2:17" ht="14.25" customHeight="1" x14ac:dyDescent="0.3">
      <c r="B332" s="23"/>
      <c r="D332" s="25"/>
      <c r="E332" s="25"/>
      <c r="M332" s="12"/>
      <c r="N332" s="122"/>
      <c r="O332" s="122"/>
      <c r="P332" s="122"/>
      <c r="Q332" s="122"/>
    </row>
    <row r="333" spans="2:17" ht="14.25" customHeight="1" x14ac:dyDescent="0.3">
      <c r="B333" s="23"/>
      <c r="D333" s="25"/>
      <c r="E333" s="25"/>
      <c r="M333" s="12"/>
      <c r="N333" s="122"/>
      <c r="O333" s="122"/>
      <c r="P333" s="122"/>
      <c r="Q333" s="122"/>
    </row>
    <row r="334" spans="2:17" ht="14.25" customHeight="1" x14ac:dyDescent="0.3">
      <c r="B334" s="23"/>
      <c r="D334" s="25"/>
      <c r="E334" s="25"/>
      <c r="M334" s="12"/>
      <c r="N334" s="122"/>
      <c r="O334" s="122"/>
      <c r="P334" s="122"/>
      <c r="Q334" s="122"/>
    </row>
    <row r="335" spans="2:17" ht="14.25" customHeight="1" x14ac:dyDescent="0.3">
      <c r="B335" s="23"/>
      <c r="D335" s="25"/>
      <c r="E335" s="25"/>
      <c r="M335" s="12"/>
      <c r="N335" s="122"/>
      <c r="O335" s="122"/>
      <c r="P335" s="122"/>
      <c r="Q335" s="122"/>
    </row>
    <row r="336" spans="2:17" ht="14.25" customHeight="1" x14ac:dyDescent="0.3">
      <c r="B336" s="23"/>
      <c r="D336" s="25"/>
      <c r="E336" s="25"/>
      <c r="M336" s="12"/>
      <c r="N336" s="122"/>
      <c r="O336" s="122"/>
      <c r="P336" s="122"/>
      <c r="Q336" s="122"/>
    </row>
    <row r="337" spans="2:17" ht="14.25" customHeight="1" x14ac:dyDescent="0.3">
      <c r="B337" s="23"/>
      <c r="D337" s="25"/>
      <c r="E337" s="25"/>
      <c r="M337" s="12"/>
      <c r="N337" s="122"/>
      <c r="O337" s="122"/>
      <c r="P337" s="122"/>
      <c r="Q337" s="122"/>
    </row>
    <row r="338" spans="2:17" ht="14.25" customHeight="1" x14ac:dyDescent="0.3">
      <c r="B338" s="23"/>
      <c r="D338" s="25"/>
      <c r="E338" s="25"/>
      <c r="M338" s="12"/>
      <c r="N338" s="122"/>
      <c r="O338" s="122"/>
      <c r="P338" s="122"/>
      <c r="Q338" s="122"/>
    </row>
    <row r="339" spans="2:17" ht="14.25" customHeight="1" x14ac:dyDescent="0.3">
      <c r="B339" s="23"/>
      <c r="D339" s="25"/>
      <c r="E339" s="25"/>
      <c r="M339" s="12"/>
      <c r="N339" s="122"/>
      <c r="O339" s="122"/>
      <c r="P339" s="122"/>
      <c r="Q339" s="122"/>
    </row>
    <row r="340" spans="2:17" ht="14.25" customHeight="1" x14ac:dyDescent="0.3">
      <c r="B340" s="23"/>
      <c r="D340" s="25"/>
      <c r="E340" s="25"/>
      <c r="M340" s="12"/>
      <c r="N340" s="122"/>
      <c r="O340" s="122"/>
      <c r="P340" s="122"/>
      <c r="Q340" s="122"/>
    </row>
    <row r="341" spans="2:17" ht="14.25" customHeight="1" x14ac:dyDescent="0.3">
      <c r="B341" s="23"/>
      <c r="D341" s="25"/>
      <c r="E341" s="25"/>
      <c r="M341" s="12"/>
      <c r="N341" s="122"/>
      <c r="O341" s="122"/>
      <c r="P341" s="122"/>
      <c r="Q341" s="122"/>
    </row>
    <row r="342" spans="2:17" ht="14.25" customHeight="1" x14ac:dyDescent="0.3">
      <c r="B342" s="23"/>
      <c r="D342" s="25"/>
      <c r="E342" s="25"/>
      <c r="M342" s="12"/>
      <c r="N342" s="122"/>
      <c r="O342" s="122"/>
      <c r="P342" s="122"/>
      <c r="Q342" s="122"/>
    </row>
    <row r="343" spans="2:17" ht="14.25" customHeight="1" x14ac:dyDescent="0.3">
      <c r="B343" s="23"/>
      <c r="D343" s="25"/>
      <c r="E343" s="25"/>
      <c r="M343" s="12"/>
      <c r="N343" s="122"/>
      <c r="O343" s="122"/>
      <c r="P343" s="122"/>
      <c r="Q343" s="122"/>
    </row>
    <row r="344" spans="2:17" ht="14.25" customHeight="1" x14ac:dyDescent="0.3">
      <c r="B344" s="23"/>
      <c r="D344" s="25"/>
      <c r="E344" s="25"/>
      <c r="M344" s="12"/>
      <c r="N344" s="122"/>
      <c r="O344" s="122"/>
      <c r="P344" s="122"/>
      <c r="Q344" s="122"/>
    </row>
    <row r="345" spans="2:17" ht="14.25" customHeight="1" x14ac:dyDescent="0.3">
      <c r="B345" s="23"/>
      <c r="D345" s="25"/>
      <c r="E345" s="25"/>
      <c r="M345" s="12"/>
      <c r="N345" s="122"/>
      <c r="O345" s="122"/>
      <c r="P345" s="122"/>
      <c r="Q345" s="122"/>
    </row>
    <row r="346" spans="2:17" ht="14.25" customHeight="1" x14ac:dyDescent="0.3">
      <c r="B346" s="23"/>
      <c r="D346" s="25"/>
      <c r="E346" s="25"/>
      <c r="M346" s="12"/>
      <c r="N346" s="122"/>
      <c r="O346" s="122"/>
      <c r="P346" s="122"/>
      <c r="Q346" s="122"/>
    </row>
    <row r="347" spans="2:17" ht="14.25" customHeight="1" x14ac:dyDescent="0.3">
      <c r="B347" s="23"/>
      <c r="D347" s="25"/>
      <c r="E347" s="25"/>
      <c r="M347" s="12"/>
      <c r="N347" s="122"/>
      <c r="O347" s="122"/>
      <c r="P347" s="122"/>
      <c r="Q347" s="122"/>
    </row>
    <row r="348" spans="2:17" ht="14.25" customHeight="1" x14ac:dyDescent="0.3">
      <c r="B348" s="23"/>
      <c r="D348" s="25"/>
      <c r="E348" s="25"/>
      <c r="M348" s="12"/>
      <c r="N348" s="122"/>
      <c r="O348" s="122"/>
      <c r="P348" s="122"/>
      <c r="Q348" s="122"/>
    </row>
    <row r="349" spans="2:17" ht="14.25" customHeight="1" x14ac:dyDescent="0.3">
      <c r="B349" s="23"/>
      <c r="D349" s="25"/>
      <c r="E349" s="25"/>
      <c r="M349" s="12"/>
      <c r="N349" s="122"/>
      <c r="O349" s="122"/>
      <c r="P349" s="122"/>
      <c r="Q349" s="122"/>
    </row>
    <row r="350" spans="2:17" ht="14.25" customHeight="1" x14ac:dyDescent="0.3">
      <c r="B350" s="23"/>
      <c r="D350" s="25"/>
      <c r="E350" s="25"/>
      <c r="M350" s="12"/>
      <c r="N350" s="122"/>
      <c r="O350" s="122"/>
      <c r="P350" s="122"/>
      <c r="Q350" s="122"/>
    </row>
    <row r="351" spans="2:17" ht="14.25" customHeight="1" x14ac:dyDescent="0.3">
      <c r="B351" s="23"/>
      <c r="D351" s="25"/>
      <c r="E351" s="25"/>
      <c r="M351" s="12"/>
      <c r="N351" s="122"/>
      <c r="O351" s="122"/>
      <c r="P351" s="122"/>
      <c r="Q351" s="122"/>
    </row>
    <row r="352" spans="2:17" ht="14.25" customHeight="1" x14ac:dyDescent="0.3">
      <c r="B352" s="23"/>
      <c r="D352" s="25"/>
      <c r="E352" s="25"/>
      <c r="M352" s="12"/>
      <c r="N352" s="122"/>
      <c r="O352" s="122"/>
      <c r="P352" s="122"/>
      <c r="Q352" s="122"/>
    </row>
    <row r="353" spans="2:17" ht="14.25" customHeight="1" x14ac:dyDescent="0.3">
      <c r="B353" s="23"/>
      <c r="D353" s="25"/>
      <c r="E353" s="25"/>
      <c r="M353" s="12"/>
      <c r="N353" s="122"/>
      <c r="O353" s="122"/>
      <c r="P353" s="122"/>
      <c r="Q353" s="122"/>
    </row>
    <row r="354" spans="2:17" ht="14.25" customHeight="1" x14ac:dyDescent="0.3">
      <c r="B354" s="23"/>
      <c r="D354" s="25"/>
      <c r="E354" s="25"/>
      <c r="M354" s="12"/>
      <c r="N354" s="122"/>
      <c r="O354" s="122"/>
      <c r="P354" s="122"/>
      <c r="Q354" s="122"/>
    </row>
    <row r="355" spans="2:17" ht="14.25" customHeight="1" x14ac:dyDescent="0.3">
      <c r="B355" s="23"/>
      <c r="D355" s="25"/>
      <c r="E355" s="25"/>
      <c r="M355" s="12"/>
      <c r="N355" s="122"/>
      <c r="O355" s="122"/>
      <c r="P355" s="122"/>
      <c r="Q355" s="122"/>
    </row>
    <row r="356" spans="2:17" ht="14.25" customHeight="1" x14ac:dyDescent="0.3">
      <c r="B356" s="23"/>
      <c r="D356" s="25"/>
      <c r="E356" s="25"/>
      <c r="M356" s="12"/>
      <c r="N356" s="122"/>
      <c r="O356" s="122"/>
      <c r="P356" s="122"/>
      <c r="Q356" s="122"/>
    </row>
    <row r="357" spans="2:17" ht="14.25" customHeight="1" x14ac:dyDescent="0.3">
      <c r="B357" s="23"/>
      <c r="D357" s="25"/>
      <c r="E357" s="25"/>
      <c r="M357" s="12"/>
      <c r="N357" s="122"/>
      <c r="O357" s="122"/>
      <c r="P357" s="122"/>
      <c r="Q357" s="122"/>
    </row>
    <row r="358" spans="2:17" ht="14.25" customHeight="1" x14ac:dyDescent="0.3">
      <c r="B358" s="23"/>
      <c r="D358" s="25"/>
      <c r="E358" s="25"/>
      <c r="M358" s="12"/>
      <c r="N358" s="122"/>
      <c r="O358" s="122"/>
      <c r="P358" s="122"/>
      <c r="Q358" s="122"/>
    </row>
    <row r="359" spans="2:17" ht="14.25" customHeight="1" x14ac:dyDescent="0.3">
      <c r="B359" s="23"/>
      <c r="D359" s="25"/>
      <c r="E359" s="25"/>
      <c r="M359" s="12"/>
      <c r="N359" s="122"/>
      <c r="O359" s="122"/>
      <c r="P359" s="122"/>
      <c r="Q359" s="122"/>
    </row>
    <row r="360" spans="2:17" ht="14.25" customHeight="1" x14ac:dyDescent="0.3">
      <c r="B360" s="23"/>
      <c r="D360" s="25"/>
      <c r="E360" s="25"/>
      <c r="M360" s="12"/>
      <c r="N360" s="122"/>
      <c r="O360" s="122"/>
      <c r="P360" s="122"/>
      <c r="Q360" s="122"/>
    </row>
    <row r="361" spans="2:17" ht="14.25" customHeight="1" x14ac:dyDescent="0.3">
      <c r="B361" s="23"/>
      <c r="D361" s="25"/>
      <c r="E361" s="25"/>
      <c r="M361" s="12"/>
      <c r="N361" s="122"/>
      <c r="O361" s="122"/>
      <c r="P361" s="122"/>
      <c r="Q361" s="122"/>
    </row>
    <row r="362" spans="2:17" ht="14.25" customHeight="1" x14ac:dyDescent="0.3">
      <c r="B362" s="23"/>
      <c r="D362" s="25"/>
      <c r="E362" s="25"/>
      <c r="M362" s="12"/>
      <c r="N362" s="122"/>
      <c r="O362" s="122"/>
      <c r="P362" s="122"/>
      <c r="Q362" s="122"/>
    </row>
    <row r="363" spans="2:17" ht="14.25" customHeight="1" x14ac:dyDescent="0.3">
      <c r="B363" s="23"/>
      <c r="D363" s="25"/>
      <c r="E363" s="25"/>
      <c r="M363" s="12"/>
      <c r="N363" s="122"/>
      <c r="O363" s="122"/>
      <c r="P363" s="122"/>
      <c r="Q363" s="122"/>
    </row>
    <row r="364" spans="2:17" ht="14.25" customHeight="1" x14ac:dyDescent="0.3">
      <c r="B364" s="23"/>
      <c r="D364" s="25"/>
      <c r="E364" s="25"/>
      <c r="M364" s="12"/>
      <c r="N364" s="122"/>
      <c r="O364" s="122"/>
      <c r="P364" s="122"/>
      <c r="Q364" s="122"/>
    </row>
    <row r="365" spans="2:17" ht="14.25" customHeight="1" x14ac:dyDescent="0.3">
      <c r="B365" s="23"/>
      <c r="D365" s="25"/>
      <c r="E365" s="25"/>
      <c r="M365" s="12"/>
      <c r="N365" s="122"/>
      <c r="O365" s="122"/>
      <c r="P365" s="122"/>
      <c r="Q365" s="122"/>
    </row>
    <row r="366" spans="2:17" ht="14.25" customHeight="1" x14ac:dyDescent="0.3">
      <c r="B366" s="23"/>
      <c r="D366" s="25"/>
      <c r="E366" s="25"/>
      <c r="M366" s="12"/>
      <c r="N366" s="122"/>
      <c r="O366" s="122"/>
      <c r="P366" s="122"/>
      <c r="Q366" s="122"/>
    </row>
    <row r="367" spans="2:17" ht="14.25" customHeight="1" x14ac:dyDescent="0.3">
      <c r="B367" s="23"/>
      <c r="D367" s="25"/>
      <c r="E367" s="25"/>
      <c r="M367" s="12"/>
      <c r="N367" s="122"/>
      <c r="O367" s="122"/>
      <c r="P367" s="122"/>
      <c r="Q367" s="122"/>
    </row>
    <row r="368" spans="2:17" ht="14.25" customHeight="1" x14ac:dyDescent="0.3">
      <c r="B368" s="23"/>
      <c r="D368" s="25"/>
      <c r="E368" s="25"/>
      <c r="M368" s="12"/>
      <c r="N368" s="122"/>
      <c r="O368" s="122"/>
      <c r="P368" s="122"/>
      <c r="Q368" s="122"/>
    </row>
    <row r="369" spans="2:17" ht="14.25" customHeight="1" x14ac:dyDescent="0.3">
      <c r="B369" s="23"/>
      <c r="D369" s="25"/>
      <c r="E369" s="25"/>
      <c r="M369" s="12"/>
      <c r="N369" s="122"/>
      <c r="O369" s="122"/>
      <c r="P369" s="122"/>
      <c r="Q369" s="122"/>
    </row>
    <row r="370" spans="2:17" ht="14.25" customHeight="1" x14ac:dyDescent="0.3">
      <c r="B370" s="23"/>
      <c r="D370" s="25"/>
      <c r="E370" s="25"/>
      <c r="M370" s="12"/>
      <c r="N370" s="122"/>
      <c r="O370" s="122"/>
      <c r="P370" s="122"/>
      <c r="Q370" s="122"/>
    </row>
    <row r="371" spans="2:17" ht="14.25" customHeight="1" x14ac:dyDescent="0.3">
      <c r="B371" s="23"/>
      <c r="D371" s="25"/>
      <c r="E371" s="25"/>
      <c r="M371" s="12"/>
      <c r="N371" s="122"/>
      <c r="O371" s="122"/>
      <c r="P371" s="122"/>
      <c r="Q371" s="122"/>
    </row>
    <row r="372" spans="2:17" ht="14.25" customHeight="1" x14ac:dyDescent="0.3">
      <c r="B372" s="23"/>
      <c r="D372" s="25"/>
      <c r="E372" s="25"/>
      <c r="M372" s="12"/>
      <c r="N372" s="122"/>
      <c r="O372" s="122"/>
      <c r="P372" s="122"/>
      <c r="Q372" s="122"/>
    </row>
    <row r="373" spans="2:17" ht="14.25" customHeight="1" x14ac:dyDescent="0.3">
      <c r="B373" s="23"/>
      <c r="D373" s="25"/>
      <c r="E373" s="25"/>
      <c r="M373" s="12"/>
      <c r="N373" s="122"/>
      <c r="O373" s="122"/>
      <c r="P373" s="122"/>
      <c r="Q373" s="122"/>
    </row>
    <row r="374" spans="2:17" ht="14.25" customHeight="1" x14ac:dyDescent="0.3">
      <c r="B374" s="23"/>
      <c r="D374" s="25"/>
      <c r="E374" s="25"/>
      <c r="M374" s="12"/>
      <c r="N374" s="122"/>
      <c r="O374" s="122"/>
      <c r="P374" s="122"/>
      <c r="Q374" s="122"/>
    </row>
    <row r="375" spans="2:17" ht="14.25" customHeight="1" x14ac:dyDescent="0.3">
      <c r="B375" s="23"/>
      <c r="D375" s="25"/>
      <c r="E375" s="25"/>
      <c r="M375" s="12"/>
      <c r="N375" s="122"/>
      <c r="O375" s="122"/>
      <c r="P375" s="122"/>
      <c r="Q375" s="122"/>
    </row>
    <row r="376" spans="2:17" ht="14.25" customHeight="1" x14ac:dyDescent="0.3">
      <c r="B376" s="23"/>
      <c r="D376" s="25"/>
      <c r="E376" s="25"/>
      <c r="M376" s="12"/>
      <c r="N376" s="122"/>
      <c r="O376" s="122"/>
      <c r="P376" s="122"/>
      <c r="Q376" s="122"/>
    </row>
    <row r="377" spans="2:17" ht="14.25" customHeight="1" x14ac:dyDescent="0.3">
      <c r="B377" s="23"/>
      <c r="D377" s="25"/>
      <c r="E377" s="25"/>
      <c r="M377" s="12"/>
      <c r="N377" s="122"/>
      <c r="O377" s="122"/>
      <c r="P377" s="122"/>
      <c r="Q377" s="122"/>
    </row>
    <row r="378" spans="2:17" ht="14.25" customHeight="1" x14ac:dyDescent="0.3">
      <c r="B378" s="23"/>
      <c r="D378" s="25"/>
      <c r="E378" s="25"/>
      <c r="M378" s="12"/>
      <c r="N378" s="122"/>
      <c r="O378" s="122"/>
      <c r="P378" s="122"/>
      <c r="Q378" s="122"/>
    </row>
    <row r="379" spans="2:17" ht="14.25" customHeight="1" x14ac:dyDescent="0.3">
      <c r="B379" s="23"/>
      <c r="D379" s="25"/>
      <c r="E379" s="25"/>
      <c r="M379" s="12"/>
      <c r="N379" s="122"/>
      <c r="O379" s="122"/>
      <c r="P379" s="122"/>
      <c r="Q379" s="122"/>
    </row>
    <row r="380" spans="2:17" ht="14.25" customHeight="1" x14ac:dyDescent="0.3">
      <c r="B380" s="23"/>
      <c r="D380" s="25"/>
      <c r="E380" s="25"/>
      <c r="M380" s="12"/>
      <c r="N380" s="122"/>
      <c r="O380" s="122"/>
      <c r="P380" s="122"/>
      <c r="Q380" s="122"/>
    </row>
    <row r="381" spans="2:17" ht="14.25" customHeight="1" x14ac:dyDescent="0.3">
      <c r="B381" s="23"/>
      <c r="D381" s="25"/>
      <c r="E381" s="25"/>
      <c r="M381" s="12"/>
      <c r="N381" s="122"/>
      <c r="O381" s="122"/>
      <c r="P381" s="122"/>
      <c r="Q381" s="122"/>
    </row>
    <row r="382" spans="2:17" ht="14.25" customHeight="1" x14ac:dyDescent="0.3">
      <c r="B382" s="23"/>
      <c r="D382" s="25"/>
      <c r="E382" s="25"/>
      <c r="M382" s="12"/>
      <c r="N382" s="122"/>
      <c r="O382" s="122"/>
      <c r="P382" s="122"/>
      <c r="Q382" s="122"/>
    </row>
    <row r="383" spans="2:17" ht="14.25" customHeight="1" x14ac:dyDescent="0.3">
      <c r="B383" s="23"/>
      <c r="D383" s="25"/>
      <c r="E383" s="25"/>
      <c r="M383" s="12"/>
      <c r="N383" s="122"/>
      <c r="O383" s="122"/>
      <c r="P383" s="122"/>
      <c r="Q383" s="122"/>
    </row>
    <row r="384" spans="2:17" ht="14.25" customHeight="1" x14ac:dyDescent="0.3">
      <c r="B384" s="23"/>
      <c r="D384" s="25"/>
      <c r="E384" s="25"/>
      <c r="M384" s="12"/>
      <c r="N384" s="122"/>
      <c r="O384" s="122"/>
      <c r="P384" s="122"/>
      <c r="Q384" s="122"/>
    </row>
    <row r="385" spans="2:17" ht="14.25" customHeight="1" x14ac:dyDescent="0.3">
      <c r="B385" s="23"/>
      <c r="D385" s="25"/>
      <c r="E385" s="25"/>
      <c r="M385" s="12"/>
      <c r="N385" s="122"/>
      <c r="O385" s="122"/>
      <c r="P385" s="122"/>
      <c r="Q385" s="122"/>
    </row>
    <row r="386" spans="2:17" ht="14.25" customHeight="1" x14ac:dyDescent="0.3">
      <c r="B386" s="23"/>
      <c r="D386" s="25"/>
      <c r="E386" s="25"/>
      <c r="M386" s="12"/>
      <c r="N386" s="122"/>
      <c r="O386" s="122"/>
      <c r="P386" s="122"/>
      <c r="Q386" s="122"/>
    </row>
    <row r="387" spans="2:17" ht="14.25" customHeight="1" x14ac:dyDescent="0.3">
      <c r="B387" s="23"/>
      <c r="D387" s="25"/>
      <c r="E387" s="25"/>
      <c r="M387" s="12"/>
      <c r="N387" s="122"/>
      <c r="O387" s="122"/>
      <c r="P387" s="122"/>
      <c r="Q387" s="122"/>
    </row>
    <row r="388" spans="2:17" ht="14.25" customHeight="1" x14ac:dyDescent="0.3">
      <c r="B388" s="23"/>
      <c r="D388" s="25"/>
      <c r="E388" s="25"/>
      <c r="M388" s="12"/>
      <c r="N388" s="122"/>
      <c r="O388" s="122"/>
      <c r="P388" s="122"/>
      <c r="Q388" s="122"/>
    </row>
    <row r="389" spans="2:17" ht="14.25" customHeight="1" x14ac:dyDescent="0.3">
      <c r="B389" s="23"/>
      <c r="D389" s="25"/>
      <c r="E389" s="25"/>
      <c r="M389" s="12"/>
      <c r="N389" s="122"/>
      <c r="O389" s="122"/>
      <c r="P389" s="122"/>
      <c r="Q389" s="122"/>
    </row>
    <row r="390" spans="2:17" ht="14.25" customHeight="1" x14ac:dyDescent="0.3">
      <c r="B390" s="23"/>
      <c r="D390" s="25"/>
      <c r="E390" s="25"/>
      <c r="M390" s="12"/>
      <c r="N390" s="122"/>
      <c r="O390" s="122"/>
      <c r="P390" s="122"/>
      <c r="Q390" s="122"/>
    </row>
    <row r="391" spans="2:17" ht="14.25" customHeight="1" x14ac:dyDescent="0.3">
      <c r="B391" s="23"/>
      <c r="D391" s="25"/>
      <c r="E391" s="25"/>
      <c r="M391" s="12"/>
      <c r="N391" s="122"/>
      <c r="O391" s="122"/>
      <c r="P391" s="122"/>
      <c r="Q391" s="122"/>
    </row>
    <row r="392" spans="2:17" ht="14.25" customHeight="1" x14ac:dyDescent="0.3">
      <c r="B392" s="23"/>
      <c r="D392" s="25"/>
      <c r="E392" s="25"/>
      <c r="M392" s="12"/>
      <c r="N392" s="122"/>
      <c r="O392" s="122"/>
      <c r="P392" s="122"/>
      <c r="Q392" s="122"/>
    </row>
    <row r="393" spans="2:17" ht="14.25" customHeight="1" x14ac:dyDescent="0.3">
      <c r="B393" s="23"/>
      <c r="D393" s="25"/>
      <c r="E393" s="25"/>
      <c r="M393" s="12"/>
      <c r="N393" s="122"/>
      <c r="O393" s="122"/>
      <c r="P393" s="122"/>
      <c r="Q393" s="122"/>
    </row>
    <row r="394" spans="2:17" ht="14.25" customHeight="1" x14ac:dyDescent="0.3">
      <c r="B394" s="23"/>
      <c r="D394" s="25"/>
      <c r="E394" s="25"/>
      <c r="M394" s="12"/>
      <c r="N394" s="122"/>
      <c r="O394" s="122"/>
      <c r="P394" s="122"/>
      <c r="Q394" s="122"/>
    </row>
    <row r="395" spans="2:17" ht="14.25" customHeight="1" x14ac:dyDescent="0.3">
      <c r="B395" s="23"/>
      <c r="D395" s="25"/>
      <c r="E395" s="25"/>
      <c r="M395" s="12"/>
      <c r="N395" s="122"/>
      <c r="O395" s="122"/>
      <c r="P395" s="122"/>
      <c r="Q395" s="122"/>
    </row>
    <row r="396" spans="2:17" ht="14.25" customHeight="1" x14ac:dyDescent="0.3">
      <c r="B396" s="23"/>
      <c r="D396" s="25"/>
      <c r="E396" s="25"/>
      <c r="M396" s="12"/>
      <c r="N396" s="122"/>
      <c r="O396" s="122"/>
      <c r="P396" s="122"/>
      <c r="Q396" s="122"/>
    </row>
    <row r="397" spans="2:17" ht="14.25" customHeight="1" x14ac:dyDescent="0.3">
      <c r="B397" s="23"/>
      <c r="D397" s="25"/>
      <c r="E397" s="25"/>
      <c r="M397" s="12"/>
      <c r="N397" s="122"/>
      <c r="O397" s="122"/>
      <c r="P397" s="122"/>
      <c r="Q397" s="122"/>
    </row>
    <row r="398" spans="2:17" ht="14.25" customHeight="1" x14ac:dyDescent="0.3">
      <c r="B398" s="23"/>
      <c r="D398" s="25"/>
      <c r="E398" s="25"/>
      <c r="M398" s="12"/>
      <c r="N398" s="122"/>
      <c r="O398" s="122"/>
      <c r="P398" s="122"/>
      <c r="Q398" s="122"/>
    </row>
    <row r="399" spans="2:17" ht="14.25" customHeight="1" x14ac:dyDescent="0.3">
      <c r="B399" s="23"/>
      <c r="D399" s="25"/>
      <c r="E399" s="25"/>
      <c r="M399" s="12"/>
      <c r="N399" s="122"/>
      <c r="O399" s="122"/>
      <c r="P399" s="122"/>
      <c r="Q399" s="122"/>
    </row>
    <row r="400" spans="2:17" ht="14.25" customHeight="1" x14ac:dyDescent="0.3">
      <c r="B400" s="23"/>
      <c r="D400" s="25"/>
      <c r="E400" s="25"/>
      <c r="M400" s="12"/>
      <c r="N400" s="122"/>
      <c r="O400" s="122"/>
      <c r="P400" s="122"/>
      <c r="Q400" s="122"/>
    </row>
    <row r="401" spans="2:17" ht="14.25" customHeight="1" x14ac:dyDescent="0.3">
      <c r="B401" s="23"/>
      <c r="D401" s="25"/>
      <c r="E401" s="25"/>
      <c r="M401" s="12"/>
      <c r="N401" s="122"/>
      <c r="O401" s="122"/>
      <c r="P401" s="122"/>
      <c r="Q401" s="122"/>
    </row>
    <row r="402" spans="2:17" ht="14.25" customHeight="1" x14ac:dyDescent="0.3">
      <c r="B402" s="23"/>
      <c r="D402" s="25"/>
      <c r="E402" s="25"/>
      <c r="M402" s="12"/>
      <c r="N402" s="122"/>
      <c r="O402" s="122"/>
      <c r="P402" s="122"/>
      <c r="Q402" s="122"/>
    </row>
    <row r="403" spans="2:17" ht="14.25" customHeight="1" x14ac:dyDescent="0.3">
      <c r="B403" s="23"/>
      <c r="D403" s="25"/>
      <c r="E403" s="25"/>
      <c r="M403" s="12"/>
      <c r="N403" s="122"/>
      <c r="O403" s="122"/>
      <c r="P403" s="122"/>
      <c r="Q403" s="122"/>
    </row>
    <row r="404" spans="2:17" ht="14.25" customHeight="1" x14ac:dyDescent="0.3">
      <c r="B404" s="23"/>
      <c r="D404" s="25"/>
      <c r="E404" s="25"/>
      <c r="M404" s="12"/>
      <c r="N404" s="122"/>
      <c r="O404" s="122"/>
      <c r="P404" s="122"/>
      <c r="Q404" s="122"/>
    </row>
    <row r="405" spans="2:17" ht="14.25" customHeight="1" x14ac:dyDescent="0.3">
      <c r="B405" s="23"/>
      <c r="D405" s="25"/>
      <c r="E405" s="25"/>
      <c r="M405" s="12"/>
      <c r="N405" s="122"/>
      <c r="O405" s="122"/>
      <c r="P405" s="122"/>
      <c r="Q405" s="122"/>
    </row>
    <row r="406" spans="2:17" ht="14.25" customHeight="1" x14ac:dyDescent="0.3">
      <c r="B406" s="23"/>
      <c r="D406" s="25"/>
      <c r="E406" s="25"/>
      <c r="M406" s="12"/>
      <c r="N406" s="122"/>
      <c r="O406" s="122"/>
      <c r="P406" s="122"/>
      <c r="Q406" s="122"/>
    </row>
    <row r="407" spans="2:17" ht="14.25" customHeight="1" x14ac:dyDescent="0.3">
      <c r="B407" s="23"/>
      <c r="D407" s="25"/>
      <c r="E407" s="25"/>
      <c r="M407" s="12"/>
      <c r="N407" s="122"/>
      <c r="O407" s="122"/>
      <c r="P407" s="122"/>
      <c r="Q407" s="122"/>
    </row>
    <row r="408" spans="2:17" ht="14.25" customHeight="1" x14ac:dyDescent="0.3">
      <c r="B408" s="23"/>
      <c r="D408" s="25"/>
      <c r="E408" s="25"/>
      <c r="M408" s="12"/>
      <c r="N408" s="122"/>
      <c r="O408" s="122"/>
      <c r="P408" s="122"/>
      <c r="Q408" s="122"/>
    </row>
    <row r="409" spans="2:17" ht="14.25" customHeight="1" x14ac:dyDescent="0.3">
      <c r="B409" s="23"/>
      <c r="D409" s="25"/>
      <c r="E409" s="25"/>
      <c r="M409" s="12"/>
      <c r="N409" s="122"/>
      <c r="O409" s="122"/>
      <c r="P409" s="122"/>
      <c r="Q409" s="122"/>
    </row>
    <row r="410" spans="2:17" ht="14.25" customHeight="1" x14ac:dyDescent="0.3">
      <c r="B410" s="23"/>
      <c r="D410" s="25"/>
      <c r="E410" s="25"/>
      <c r="M410" s="12"/>
      <c r="N410" s="122"/>
      <c r="O410" s="122"/>
      <c r="P410" s="122"/>
      <c r="Q410" s="122"/>
    </row>
    <row r="411" spans="2:17" ht="14.25" customHeight="1" x14ac:dyDescent="0.3">
      <c r="B411" s="23"/>
      <c r="D411" s="25"/>
      <c r="E411" s="25"/>
      <c r="M411" s="12"/>
      <c r="N411" s="122"/>
      <c r="O411" s="122"/>
      <c r="P411" s="122"/>
      <c r="Q411" s="122"/>
    </row>
    <row r="412" spans="2:17" ht="14.25" customHeight="1" x14ac:dyDescent="0.3">
      <c r="B412" s="23"/>
      <c r="D412" s="25"/>
      <c r="E412" s="25"/>
      <c r="M412" s="12"/>
      <c r="N412" s="122"/>
      <c r="O412" s="122"/>
      <c r="P412" s="122"/>
      <c r="Q412" s="122"/>
    </row>
    <row r="413" spans="2:17" ht="14.25" customHeight="1" x14ac:dyDescent="0.3">
      <c r="B413" s="23"/>
      <c r="D413" s="25"/>
      <c r="E413" s="25"/>
      <c r="M413" s="12"/>
      <c r="N413" s="122"/>
      <c r="O413" s="122"/>
      <c r="P413" s="122"/>
      <c r="Q413" s="122"/>
    </row>
    <row r="414" spans="2:17" ht="14.25" customHeight="1" x14ac:dyDescent="0.3">
      <c r="B414" s="23"/>
      <c r="D414" s="25"/>
      <c r="E414" s="25"/>
      <c r="M414" s="12"/>
      <c r="N414" s="122"/>
      <c r="O414" s="122"/>
      <c r="P414" s="122"/>
      <c r="Q414" s="122"/>
    </row>
    <row r="415" spans="2:17" ht="14.25" customHeight="1" x14ac:dyDescent="0.3">
      <c r="B415" s="23"/>
      <c r="D415" s="25"/>
      <c r="E415" s="25"/>
      <c r="M415" s="12"/>
      <c r="N415" s="122"/>
      <c r="O415" s="122"/>
      <c r="P415" s="122"/>
      <c r="Q415" s="122"/>
    </row>
    <row r="416" spans="2:17" ht="14.25" customHeight="1" x14ac:dyDescent="0.3">
      <c r="B416" s="23"/>
      <c r="D416" s="25"/>
      <c r="E416" s="25"/>
      <c r="M416" s="12"/>
      <c r="N416" s="122"/>
      <c r="O416" s="122"/>
      <c r="P416" s="122"/>
      <c r="Q416" s="122"/>
    </row>
    <row r="417" spans="2:17" ht="14.25" customHeight="1" x14ac:dyDescent="0.3">
      <c r="B417" s="23"/>
      <c r="D417" s="25"/>
      <c r="E417" s="25"/>
      <c r="M417" s="12"/>
      <c r="N417" s="122"/>
      <c r="O417" s="122"/>
      <c r="P417" s="122"/>
      <c r="Q417" s="122"/>
    </row>
    <row r="418" spans="2:17" ht="14.25" customHeight="1" x14ac:dyDescent="0.3">
      <c r="B418" s="23"/>
      <c r="D418" s="25"/>
      <c r="E418" s="25"/>
      <c r="M418" s="12"/>
      <c r="N418" s="122"/>
      <c r="O418" s="122"/>
      <c r="P418" s="122"/>
      <c r="Q418" s="122"/>
    </row>
    <row r="419" spans="2:17" ht="14.25" customHeight="1" x14ac:dyDescent="0.3">
      <c r="B419" s="23"/>
      <c r="D419" s="25"/>
      <c r="E419" s="25"/>
      <c r="M419" s="12"/>
      <c r="N419" s="122"/>
      <c r="O419" s="122"/>
      <c r="P419" s="122"/>
      <c r="Q419" s="122"/>
    </row>
    <row r="420" spans="2:17" ht="14.25" customHeight="1" x14ac:dyDescent="0.3">
      <c r="B420" s="23"/>
      <c r="D420" s="25"/>
      <c r="E420" s="25"/>
      <c r="M420" s="12"/>
      <c r="N420" s="122"/>
      <c r="O420" s="122"/>
      <c r="P420" s="122"/>
      <c r="Q420" s="122"/>
    </row>
    <row r="421" spans="2:17" ht="14.25" customHeight="1" x14ac:dyDescent="0.3">
      <c r="B421" s="23"/>
      <c r="D421" s="25"/>
      <c r="E421" s="25"/>
      <c r="M421" s="12"/>
      <c r="N421" s="122"/>
      <c r="O421" s="122"/>
      <c r="P421" s="122"/>
      <c r="Q421" s="122"/>
    </row>
    <row r="422" spans="2:17" ht="14.25" customHeight="1" x14ac:dyDescent="0.3">
      <c r="B422" s="23"/>
      <c r="D422" s="25"/>
      <c r="E422" s="25"/>
      <c r="M422" s="12"/>
      <c r="N422" s="122"/>
      <c r="O422" s="122"/>
      <c r="P422" s="122"/>
      <c r="Q422" s="122"/>
    </row>
    <row r="423" spans="2:17" ht="14.25" customHeight="1" x14ac:dyDescent="0.3">
      <c r="B423" s="23"/>
      <c r="D423" s="25"/>
      <c r="E423" s="25"/>
      <c r="M423" s="12"/>
      <c r="N423" s="122"/>
      <c r="O423" s="122"/>
      <c r="P423" s="122"/>
      <c r="Q423" s="122"/>
    </row>
    <row r="424" spans="2:17" ht="14.25" customHeight="1" x14ac:dyDescent="0.3">
      <c r="B424" s="23"/>
      <c r="D424" s="25"/>
      <c r="E424" s="25"/>
      <c r="M424" s="12"/>
      <c r="N424" s="122"/>
      <c r="O424" s="122"/>
      <c r="P424" s="122"/>
      <c r="Q424" s="122"/>
    </row>
    <row r="425" spans="2:17" ht="14.25" customHeight="1" x14ac:dyDescent="0.3">
      <c r="B425" s="23"/>
      <c r="D425" s="25"/>
      <c r="E425" s="25"/>
      <c r="M425" s="12"/>
      <c r="N425" s="122"/>
      <c r="O425" s="122"/>
      <c r="P425" s="122"/>
      <c r="Q425" s="122"/>
    </row>
    <row r="426" spans="2:17" ht="14.25" customHeight="1" x14ac:dyDescent="0.3">
      <c r="B426" s="23"/>
      <c r="D426" s="25"/>
      <c r="E426" s="25"/>
      <c r="M426" s="12"/>
      <c r="N426" s="122"/>
      <c r="O426" s="122"/>
      <c r="P426" s="122"/>
      <c r="Q426" s="122"/>
    </row>
    <row r="427" spans="2:17" ht="14.25" customHeight="1" x14ac:dyDescent="0.3">
      <c r="B427" s="23"/>
      <c r="D427" s="25"/>
      <c r="E427" s="25"/>
      <c r="M427" s="12"/>
      <c r="N427" s="122"/>
      <c r="O427" s="122"/>
      <c r="P427" s="122"/>
      <c r="Q427" s="122"/>
    </row>
    <row r="428" spans="2:17" ht="14.25" customHeight="1" x14ac:dyDescent="0.3">
      <c r="B428" s="23"/>
      <c r="D428" s="25"/>
      <c r="E428" s="25"/>
      <c r="M428" s="12"/>
      <c r="N428" s="122"/>
      <c r="O428" s="122"/>
      <c r="P428" s="122"/>
      <c r="Q428" s="122"/>
    </row>
    <row r="429" spans="2:17" ht="14.25" customHeight="1" x14ac:dyDescent="0.3">
      <c r="B429" s="23"/>
      <c r="D429" s="25"/>
      <c r="E429" s="25"/>
      <c r="M429" s="12"/>
      <c r="N429" s="122"/>
      <c r="O429" s="122"/>
      <c r="P429" s="122"/>
      <c r="Q429" s="122"/>
    </row>
    <row r="430" spans="2:17" ht="14.25" customHeight="1" x14ac:dyDescent="0.3">
      <c r="B430" s="23"/>
      <c r="D430" s="25"/>
      <c r="E430" s="25"/>
      <c r="M430" s="12"/>
      <c r="N430" s="122"/>
      <c r="O430" s="122"/>
      <c r="P430" s="122"/>
      <c r="Q430" s="122"/>
    </row>
    <row r="431" spans="2:17" ht="14.25" customHeight="1" x14ac:dyDescent="0.3">
      <c r="B431" s="23"/>
      <c r="D431" s="25"/>
      <c r="E431" s="25"/>
      <c r="M431" s="12"/>
      <c r="N431" s="122"/>
      <c r="O431" s="122"/>
      <c r="P431" s="122"/>
      <c r="Q431" s="122"/>
    </row>
    <row r="432" spans="2:17" ht="14.25" customHeight="1" x14ac:dyDescent="0.3">
      <c r="B432" s="23"/>
      <c r="D432" s="25"/>
      <c r="E432" s="25"/>
      <c r="M432" s="12"/>
      <c r="N432" s="122"/>
      <c r="O432" s="122"/>
      <c r="P432" s="122"/>
      <c r="Q432" s="122"/>
    </row>
    <row r="433" spans="2:17" ht="14.25" customHeight="1" x14ac:dyDescent="0.3">
      <c r="B433" s="23"/>
      <c r="D433" s="25"/>
      <c r="E433" s="25"/>
      <c r="M433" s="12"/>
      <c r="N433" s="122"/>
      <c r="O433" s="122"/>
      <c r="P433" s="122"/>
      <c r="Q433" s="122"/>
    </row>
    <row r="434" spans="2:17" ht="14.25" customHeight="1" x14ac:dyDescent="0.3">
      <c r="B434" s="23"/>
      <c r="D434" s="25"/>
      <c r="E434" s="25"/>
      <c r="M434" s="12"/>
      <c r="N434" s="122"/>
      <c r="O434" s="122"/>
      <c r="P434" s="122"/>
      <c r="Q434" s="122"/>
    </row>
    <row r="435" spans="2:17" ht="14.25" customHeight="1" x14ac:dyDescent="0.3">
      <c r="B435" s="23"/>
      <c r="D435" s="25"/>
      <c r="E435" s="25"/>
      <c r="M435" s="12"/>
      <c r="N435" s="122"/>
      <c r="O435" s="122"/>
      <c r="P435" s="122"/>
      <c r="Q435" s="122"/>
    </row>
    <row r="436" spans="2:17" ht="14.25" customHeight="1" x14ac:dyDescent="0.3">
      <c r="B436" s="23"/>
      <c r="D436" s="25"/>
      <c r="E436" s="25"/>
      <c r="M436" s="12"/>
      <c r="N436" s="122"/>
      <c r="O436" s="122"/>
      <c r="P436" s="122"/>
      <c r="Q436" s="122"/>
    </row>
    <row r="437" spans="2:17" ht="14.25" customHeight="1" x14ac:dyDescent="0.3">
      <c r="B437" s="23"/>
      <c r="D437" s="25"/>
      <c r="E437" s="25"/>
      <c r="M437" s="12"/>
      <c r="N437" s="122"/>
      <c r="O437" s="122"/>
      <c r="P437" s="122"/>
      <c r="Q437" s="122"/>
    </row>
    <row r="438" spans="2:17" ht="14.25" customHeight="1" x14ac:dyDescent="0.3">
      <c r="B438" s="23"/>
      <c r="D438" s="25"/>
      <c r="E438" s="25"/>
      <c r="M438" s="12"/>
      <c r="N438" s="122"/>
      <c r="O438" s="122"/>
      <c r="P438" s="122"/>
      <c r="Q438" s="122"/>
    </row>
    <row r="439" spans="2:17" ht="14.25" customHeight="1" x14ac:dyDescent="0.3">
      <c r="B439" s="23"/>
      <c r="D439" s="25"/>
      <c r="E439" s="25"/>
      <c r="M439" s="12"/>
      <c r="N439" s="122"/>
      <c r="O439" s="122"/>
      <c r="P439" s="122"/>
      <c r="Q439" s="122"/>
    </row>
    <row r="440" spans="2:17" ht="14.25" customHeight="1" x14ac:dyDescent="0.3">
      <c r="B440" s="23"/>
      <c r="D440" s="25"/>
      <c r="E440" s="25"/>
      <c r="M440" s="12"/>
      <c r="N440" s="122"/>
      <c r="O440" s="122"/>
      <c r="P440" s="122"/>
      <c r="Q440" s="122"/>
    </row>
    <row r="441" spans="2:17" ht="14.25" customHeight="1" x14ac:dyDescent="0.3">
      <c r="B441" s="23"/>
      <c r="D441" s="25"/>
      <c r="E441" s="25"/>
      <c r="M441" s="12"/>
      <c r="N441" s="122"/>
      <c r="O441" s="122"/>
      <c r="P441" s="122"/>
      <c r="Q441" s="122"/>
    </row>
    <row r="442" spans="2:17" ht="14.25" customHeight="1" x14ac:dyDescent="0.3">
      <c r="B442" s="23"/>
      <c r="D442" s="25"/>
      <c r="E442" s="25"/>
      <c r="M442" s="12"/>
      <c r="N442" s="122"/>
      <c r="O442" s="122"/>
      <c r="P442" s="122"/>
      <c r="Q442" s="122"/>
    </row>
    <row r="443" spans="2:17" ht="14.25" customHeight="1" x14ac:dyDescent="0.3">
      <c r="B443" s="23"/>
      <c r="D443" s="25"/>
      <c r="E443" s="25"/>
      <c r="M443" s="12"/>
      <c r="N443" s="122"/>
      <c r="O443" s="122"/>
      <c r="P443" s="122"/>
      <c r="Q443" s="122"/>
    </row>
    <row r="444" spans="2:17" ht="14.25" customHeight="1" x14ac:dyDescent="0.3">
      <c r="B444" s="23"/>
      <c r="D444" s="25"/>
      <c r="E444" s="25"/>
      <c r="M444" s="12"/>
      <c r="N444" s="122"/>
      <c r="O444" s="122"/>
      <c r="P444" s="122"/>
      <c r="Q444" s="122"/>
    </row>
    <row r="445" spans="2:17" ht="14.25" customHeight="1" x14ac:dyDescent="0.3">
      <c r="B445" s="23"/>
      <c r="D445" s="25"/>
      <c r="E445" s="25"/>
      <c r="M445" s="12"/>
      <c r="N445" s="122"/>
      <c r="O445" s="122"/>
      <c r="P445" s="122"/>
      <c r="Q445" s="122"/>
    </row>
    <row r="446" spans="2:17" ht="14.25" customHeight="1" x14ac:dyDescent="0.3">
      <c r="B446" s="23"/>
      <c r="D446" s="25"/>
      <c r="E446" s="25"/>
      <c r="M446" s="12"/>
      <c r="N446" s="122"/>
      <c r="O446" s="122"/>
      <c r="P446" s="122"/>
      <c r="Q446" s="122"/>
    </row>
    <row r="447" spans="2:17" ht="14.25" customHeight="1" x14ac:dyDescent="0.3">
      <c r="B447" s="23"/>
      <c r="D447" s="25"/>
      <c r="E447" s="25"/>
      <c r="M447" s="12"/>
      <c r="N447" s="122"/>
      <c r="O447" s="122"/>
      <c r="P447" s="122"/>
      <c r="Q447" s="122"/>
    </row>
    <row r="448" spans="2:17" ht="14.25" customHeight="1" x14ac:dyDescent="0.3">
      <c r="B448" s="23"/>
      <c r="D448" s="25"/>
      <c r="E448" s="25"/>
      <c r="M448" s="12"/>
      <c r="N448" s="122"/>
      <c r="O448" s="122"/>
      <c r="P448" s="122"/>
      <c r="Q448" s="122"/>
    </row>
    <row r="449" spans="2:17" ht="14.25" customHeight="1" x14ac:dyDescent="0.3">
      <c r="B449" s="23"/>
      <c r="D449" s="25"/>
      <c r="E449" s="25"/>
      <c r="M449" s="12"/>
      <c r="N449" s="122"/>
      <c r="O449" s="122"/>
      <c r="P449" s="122"/>
      <c r="Q449" s="122"/>
    </row>
    <row r="450" spans="2:17" ht="14.25" customHeight="1" x14ac:dyDescent="0.3">
      <c r="B450" s="23"/>
      <c r="D450" s="25"/>
      <c r="E450" s="25"/>
      <c r="M450" s="12"/>
      <c r="N450" s="122"/>
      <c r="O450" s="122"/>
      <c r="P450" s="122"/>
      <c r="Q450" s="122"/>
    </row>
    <row r="451" spans="2:17" ht="14.25" customHeight="1" x14ac:dyDescent="0.3">
      <c r="B451" s="23"/>
      <c r="D451" s="25"/>
      <c r="E451" s="25"/>
      <c r="M451" s="12"/>
      <c r="N451" s="122"/>
      <c r="O451" s="122"/>
      <c r="P451" s="122"/>
      <c r="Q451" s="122"/>
    </row>
    <row r="452" spans="2:17" ht="14.25" customHeight="1" x14ac:dyDescent="0.3">
      <c r="B452" s="23"/>
      <c r="D452" s="25"/>
      <c r="E452" s="25"/>
      <c r="M452" s="12"/>
      <c r="N452" s="122"/>
      <c r="O452" s="122"/>
      <c r="P452" s="122"/>
      <c r="Q452" s="122"/>
    </row>
    <row r="453" spans="2:17" ht="14.25" customHeight="1" x14ac:dyDescent="0.3">
      <c r="B453" s="23"/>
      <c r="D453" s="25"/>
      <c r="E453" s="25"/>
      <c r="M453" s="12"/>
      <c r="N453" s="122"/>
      <c r="O453" s="122"/>
      <c r="P453" s="122"/>
      <c r="Q453" s="122"/>
    </row>
    <row r="454" spans="2:17" ht="14.25" customHeight="1" x14ac:dyDescent="0.3">
      <c r="B454" s="23"/>
      <c r="D454" s="25"/>
      <c r="E454" s="25"/>
      <c r="M454" s="12"/>
      <c r="N454" s="122"/>
      <c r="O454" s="122"/>
      <c r="P454" s="122"/>
      <c r="Q454" s="122"/>
    </row>
    <row r="455" spans="2:17" ht="14.25" customHeight="1" x14ac:dyDescent="0.3">
      <c r="B455" s="23"/>
      <c r="D455" s="25"/>
      <c r="E455" s="25"/>
      <c r="M455" s="12"/>
      <c r="N455" s="122"/>
      <c r="O455" s="122"/>
      <c r="P455" s="122"/>
      <c r="Q455" s="122"/>
    </row>
    <row r="456" spans="2:17" ht="14.25" customHeight="1" x14ac:dyDescent="0.3">
      <c r="B456" s="23"/>
      <c r="D456" s="25"/>
      <c r="E456" s="25"/>
      <c r="M456" s="12"/>
      <c r="N456" s="122"/>
      <c r="O456" s="122"/>
      <c r="P456" s="122"/>
      <c r="Q456" s="122"/>
    </row>
    <row r="457" spans="2:17" ht="14.25" customHeight="1" x14ac:dyDescent="0.3">
      <c r="B457" s="23"/>
      <c r="D457" s="25"/>
      <c r="E457" s="25"/>
      <c r="M457" s="12"/>
      <c r="N457" s="122"/>
      <c r="O457" s="122"/>
      <c r="P457" s="122"/>
      <c r="Q457" s="122"/>
    </row>
    <row r="458" spans="2:17" ht="14.25" customHeight="1" x14ac:dyDescent="0.3">
      <c r="B458" s="23"/>
      <c r="D458" s="25"/>
      <c r="E458" s="25"/>
      <c r="M458" s="12"/>
      <c r="N458" s="122"/>
      <c r="O458" s="122"/>
      <c r="P458" s="122"/>
      <c r="Q458" s="122"/>
    </row>
    <row r="459" spans="2:17" ht="14.25" customHeight="1" x14ac:dyDescent="0.3">
      <c r="B459" s="23"/>
      <c r="D459" s="25"/>
      <c r="E459" s="25"/>
      <c r="M459" s="12"/>
      <c r="N459" s="122"/>
      <c r="O459" s="122"/>
      <c r="P459" s="122"/>
      <c r="Q459" s="122"/>
    </row>
    <row r="460" spans="2:17" ht="14.25" customHeight="1" x14ac:dyDescent="0.3">
      <c r="B460" s="23"/>
      <c r="D460" s="25"/>
      <c r="E460" s="25"/>
      <c r="M460" s="12"/>
      <c r="N460" s="122"/>
      <c r="O460" s="122"/>
      <c r="P460" s="122"/>
      <c r="Q460" s="122"/>
    </row>
    <row r="461" spans="2:17" ht="14.25" customHeight="1" x14ac:dyDescent="0.3">
      <c r="B461" s="23"/>
      <c r="D461" s="25"/>
      <c r="E461" s="25"/>
      <c r="M461" s="12"/>
      <c r="N461" s="122"/>
      <c r="O461" s="122"/>
      <c r="P461" s="122"/>
      <c r="Q461" s="122"/>
    </row>
    <row r="462" spans="2:17" ht="14.25" customHeight="1" x14ac:dyDescent="0.3">
      <c r="B462" s="23"/>
      <c r="D462" s="25"/>
      <c r="E462" s="25"/>
      <c r="M462" s="12"/>
      <c r="N462" s="122"/>
      <c r="O462" s="122"/>
      <c r="P462" s="122"/>
      <c r="Q462" s="122"/>
    </row>
    <row r="463" spans="2:17" ht="14.25" customHeight="1" x14ac:dyDescent="0.3">
      <c r="B463" s="23"/>
      <c r="D463" s="25"/>
      <c r="E463" s="25"/>
      <c r="M463" s="12"/>
      <c r="N463" s="122"/>
      <c r="O463" s="122"/>
      <c r="P463" s="122"/>
      <c r="Q463" s="122"/>
    </row>
    <row r="464" spans="2:17" ht="14.25" customHeight="1" x14ac:dyDescent="0.3">
      <c r="B464" s="23"/>
      <c r="D464" s="25"/>
      <c r="E464" s="25"/>
      <c r="M464" s="12"/>
      <c r="N464" s="122"/>
      <c r="O464" s="122"/>
      <c r="P464" s="122"/>
      <c r="Q464" s="122"/>
    </row>
    <row r="465" spans="2:17" ht="14.25" customHeight="1" x14ac:dyDescent="0.3">
      <c r="B465" s="23"/>
      <c r="D465" s="25"/>
      <c r="E465" s="25"/>
      <c r="M465" s="12"/>
      <c r="N465" s="122"/>
      <c r="O465" s="122"/>
      <c r="P465" s="122"/>
      <c r="Q465" s="122"/>
    </row>
    <row r="466" spans="2:17" ht="14.25" customHeight="1" x14ac:dyDescent="0.3">
      <c r="B466" s="23"/>
      <c r="D466" s="25"/>
      <c r="E466" s="25"/>
      <c r="M466" s="12"/>
      <c r="N466" s="122"/>
      <c r="O466" s="122"/>
      <c r="P466" s="122"/>
      <c r="Q466" s="122"/>
    </row>
    <row r="467" spans="2:17" ht="14.25" customHeight="1" x14ac:dyDescent="0.3">
      <c r="B467" s="23"/>
      <c r="D467" s="25"/>
      <c r="E467" s="25"/>
      <c r="M467" s="12"/>
      <c r="N467" s="122"/>
      <c r="O467" s="122"/>
      <c r="P467" s="122"/>
      <c r="Q467" s="122"/>
    </row>
    <row r="468" spans="2:17" ht="14.25" customHeight="1" x14ac:dyDescent="0.3">
      <c r="B468" s="23"/>
      <c r="D468" s="25"/>
      <c r="E468" s="25"/>
      <c r="M468" s="12"/>
      <c r="N468" s="122"/>
      <c r="O468" s="122"/>
      <c r="P468" s="122"/>
      <c r="Q468" s="122"/>
    </row>
    <row r="469" spans="2:17" ht="14.25" customHeight="1" x14ac:dyDescent="0.3">
      <c r="B469" s="23"/>
      <c r="D469" s="25"/>
      <c r="E469" s="25"/>
      <c r="M469" s="12"/>
      <c r="N469" s="122"/>
      <c r="O469" s="122"/>
      <c r="P469" s="122"/>
      <c r="Q469" s="122"/>
    </row>
    <row r="470" spans="2:17" ht="14.25" customHeight="1" x14ac:dyDescent="0.3">
      <c r="B470" s="23"/>
      <c r="D470" s="25"/>
      <c r="E470" s="25"/>
      <c r="M470" s="12"/>
      <c r="N470" s="122"/>
      <c r="O470" s="122"/>
      <c r="P470" s="122"/>
      <c r="Q470" s="122"/>
    </row>
    <row r="471" spans="2:17" ht="14.25" customHeight="1" x14ac:dyDescent="0.3">
      <c r="B471" s="23"/>
      <c r="D471" s="25"/>
      <c r="E471" s="25"/>
      <c r="M471" s="12"/>
      <c r="N471" s="122"/>
      <c r="O471" s="122"/>
      <c r="P471" s="122"/>
      <c r="Q471" s="122"/>
    </row>
    <row r="472" spans="2:17" ht="14.25" customHeight="1" x14ac:dyDescent="0.3">
      <c r="B472" s="23"/>
      <c r="D472" s="25"/>
      <c r="E472" s="25"/>
      <c r="M472" s="12"/>
      <c r="N472" s="122"/>
      <c r="O472" s="122"/>
      <c r="P472" s="122"/>
      <c r="Q472" s="122"/>
    </row>
    <row r="473" spans="2:17" ht="14.25" customHeight="1" x14ac:dyDescent="0.3">
      <c r="B473" s="23"/>
      <c r="D473" s="25"/>
      <c r="E473" s="25"/>
      <c r="M473" s="12"/>
      <c r="N473" s="122"/>
      <c r="O473" s="122"/>
      <c r="P473" s="122"/>
      <c r="Q473" s="122"/>
    </row>
    <row r="474" spans="2:17" ht="14.25" customHeight="1" x14ac:dyDescent="0.3">
      <c r="B474" s="23"/>
      <c r="D474" s="25"/>
      <c r="E474" s="25"/>
      <c r="M474" s="12"/>
      <c r="N474" s="122"/>
      <c r="O474" s="122"/>
      <c r="P474" s="122"/>
      <c r="Q474" s="122"/>
    </row>
    <row r="475" spans="2:17" ht="14.25" customHeight="1" x14ac:dyDescent="0.3">
      <c r="B475" s="23"/>
      <c r="D475" s="25"/>
      <c r="E475" s="25"/>
      <c r="M475" s="12"/>
      <c r="N475" s="122"/>
      <c r="O475" s="122"/>
      <c r="P475" s="122"/>
      <c r="Q475" s="122"/>
    </row>
    <row r="476" spans="2:17" ht="14.25" customHeight="1" x14ac:dyDescent="0.3">
      <c r="B476" s="23"/>
      <c r="D476" s="25"/>
      <c r="E476" s="25"/>
      <c r="M476" s="12"/>
      <c r="N476" s="122"/>
      <c r="O476" s="122"/>
      <c r="P476" s="122"/>
      <c r="Q476" s="122"/>
    </row>
    <row r="477" spans="2:17" ht="14.25" customHeight="1" x14ac:dyDescent="0.3">
      <c r="B477" s="23"/>
      <c r="D477" s="25"/>
      <c r="E477" s="25"/>
      <c r="M477" s="12"/>
      <c r="N477" s="122"/>
      <c r="O477" s="122"/>
      <c r="P477" s="122"/>
      <c r="Q477" s="122"/>
    </row>
    <row r="478" spans="2:17" ht="14.25" customHeight="1" x14ac:dyDescent="0.3">
      <c r="B478" s="23"/>
      <c r="D478" s="25"/>
      <c r="E478" s="25"/>
      <c r="M478" s="12"/>
      <c r="N478" s="122"/>
      <c r="O478" s="122"/>
      <c r="P478" s="122"/>
      <c r="Q478" s="122"/>
    </row>
    <row r="479" spans="2:17" ht="14.25" customHeight="1" x14ac:dyDescent="0.3">
      <c r="B479" s="23"/>
      <c r="D479" s="25"/>
      <c r="E479" s="25"/>
      <c r="M479" s="12"/>
      <c r="N479" s="122"/>
      <c r="O479" s="122"/>
      <c r="P479" s="122"/>
      <c r="Q479" s="122"/>
    </row>
    <row r="480" spans="2:17" ht="14.25" customHeight="1" x14ac:dyDescent="0.3">
      <c r="B480" s="23"/>
      <c r="D480" s="25"/>
      <c r="E480" s="25"/>
      <c r="M480" s="12"/>
      <c r="N480" s="122"/>
      <c r="O480" s="122"/>
      <c r="P480" s="122"/>
      <c r="Q480" s="122"/>
    </row>
    <row r="481" spans="2:17" ht="14.25" customHeight="1" x14ac:dyDescent="0.3">
      <c r="B481" s="23"/>
      <c r="D481" s="25"/>
      <c r="E481" s="25"/>
      <c r="M481" s="12"/>
      <c r="N481" s="122"/>
      <c r="O481" s="122"/>
      <c r="P481" s="122"/>
      <c r="Q481" s="122"/>
    </row>
    <row r="482" spans="2:17" ht="14.25" customHeight="1" x14ac:dyDescent="0.3">
      <c r="B482" s="23"/>
      <c r="D482" s="25"/>
      <c r="E482" s="25"/>
      <c r="M482" s="12"/>
      <c r="N482" s="122"/>
      <c r="O482" s="122"/>
      <c r="P482" s="122"/>
      <c r="Q482" s="122"/>
    </row>
    <row r="483" spans="2:17" ht="14.25" customHeight="1" x14ac:dyDescent="0.3">
      <c r="B483" s="23"/>
      <c r="D483" s="25"/>
      <c r="E483" s="25"/>
      <c r="M483" s="12"/>
      <c r="N483" s="122"/>
      <c r="O483" s="122"/>
      <c r="P483" s="122"/>
      <c r="Q483" s="122"/>
    </row>
    <row r="484" spans="2:17" ht="14.25" customHeight="1" x14ac:dyDescent="0.3">
      <c r="B484" s="23"/>
      <c r="D484" s="25"/>
      <c r="E484" s="25"/>
      <c r="M484" s="12"/>
      <c r="N484" s="122"/>
      <c r="O484" s="122"/>
      <c r="P484" s="122"/>
      <c r="Q484" s="122"/>
    </row>
    <row r="485" spans="2:17" ht="14.25" customHeight="1" x14ac:dyDescent="0.3">
      <c r="B485" s="23"/>
      <c r="D485" s="25"/>
      <c r="E485" s="25"/>
      <c r="M485" s="12"/>
      <c r="N485" s="122"/>
      <c r="O485" s="122"/>
      <c r="P485" s="122"/>
      <c r="Q485" s="122"/>
    </row>
    <row r="486" spans="2:17" ht="14.25" customHeight="1" x14ac:dyDescent="0.3">
      <c r="B486" s="23"/>
      <c r="D486" s="25"/>
      <c r="E486" s="25"/>
      <c r="M486" s="12"/>
      <c r="N486" s="122"/>
      <c r="O486" s="122"/>
      <c r="P486" s="122"/>
      <c r="Q486" s="122"/>
    </row>
    <row r="487" spans="2:17" ht="14.25" customHeight="1" x14ac:dyDescent="0.3">
      <c r="B487" s="23"/>
      <c r="D487" s="25"/>
      <c r="E487" s="25"/>
      <c r="M487" s="12"/>
      <c r="N487" s="122"/>
      <c r="O487" s="122"/>
      <c r="P487" s="122"/>
      <c r="Q487" s="122"/>
    </row>
    <row r="488" spans="2:17" ht="14.25" customHeight="1" x14ac:dyDescent="0.3">
      <c r="B488" s="23"/>
      <c r="D488" s="25"/>
      <c r="E488" s="25"/>
      <c r="M488" s="12"/>
      <c r="N488" s="122"/>
      <c r="O488" s="122"/>
      <c r="P488" s="122"/>
      <c r="Q488" s="122"/>
    </row>
    <row r="489" spans="2:17" ht="14.25" customHeight="1" x14ac:dyDescent="0.3">
      <c r="B489" s="23"/>
      <c r="D489" s="25"/>
      <c r="E489" s="25"/>
      <c r="M489" s="12"/>
      <c r="N489" s="122"/>
      <c r="O489" s="122"/>
      <c r="P489" s="122"/>
      <c r="Q489" s="122"/>
    </row>
    <row r="490" spans="2:17" ht="14.25" customHeight="1" x14ac:dyDescent="0.3">
      <c r="B490" s="23"/>
      <c r="D490" s="25"/>
      <c r="E490" s="25"/>
      <c r="M490" s="12"/>
      <c r="N490" s="122"/>
      <c r="O490" s="122"/>
      <c r="P490" s="122"/>
      <c r="Q490" s="122"/>
    </row>
    <row r="491" spans="2:17" ht="14.25" customHeight="1" x14ac:dyDescent="0.3">
      <c r="B491" s="23"/>
      <c r="D491" s="25"/>
      <c r="E491" s="25"/>
      <c r="M491" s="12"/>
      <c r="N491" s="122"/>
      <c r="O491" s="122"/>
      <c r="P491" s="122"/>
      <c r="Q491" s="122"/>
    </row>
    <row r="492" spans="2:17" ht="14.25" customHeight="1" x14ac:dyDescent="0.3">
      <c r="B492" s="23"/>
      <c r="D492" s="25"/>
      <c r="E492" s="25"/>
      <c r="M492" s="12"/>
      <c r="N492" s="122"/>
      <c r="O492" s="122"/>
      <c r="P492" s="122"/>
      <c r="Q492" s="122"/>
    </row>
    <row r="493" spans="2:17" ht="14.25" customHeight="1" x14ac:dyDescent="0.3">
      <c r="B493" s="23"/>
      <c r="D493" s="25"/>
      <c r="E493" s="25"/>
      <c r="M493" s="12"/>
      <c r="N493" s="122"/>
      <c r="O493" s="122"/>
      <c r="P493" s="122"/>
      <c r="Q493" s="122"/>
    </row>
    <row r="494" spans="2:17" ht="14.25" customHeight="1" x14ac:dyDescent="0.3">
      <c r="B494" s="23"/>
      <c r="D494" s="25"/>
      <c r="E494" s="25"/>
      <c r="M494" s="12"/>
      <c r="N494" s="122"/>
      <c r="O494" s="122"/>
      <c r="P494" s="122"/>
      <c r="Q494" s="122"/>
    </row>
    <row r="495" spans="2:17" ht="14.25" customHeight="1" x14ac:dyDescent="0.3">
      <c r="B495" s="23"/>
      <c r="D495" s="25"/>
      <c r="E495" s="25"/>
      <c r="M495" s="12"/>
      <c r="N495" s="122"/>
      <c r="O495" s="122"/>
      <c r="P495" s="122"/>
      <c r="Q495" s="122"/>
    </row>
    <row r="496" spans="2:17" ht="14.25" customHeight="1" x14ac:dyDescent="0.3">
      <c r="B496" s="23"/>
      <c r="D496" s="25"/>
      <c r="E496" s="25"/>
      <c r="M496" s="12"/>
      <c r="N496" s="122"/>
      <c r="O496" s="122"/>
      <c r="P496" s="122"/>
      <c r="Q496" s="122"/>
    </row>
    <row r="497" spans="2:17" ht="14.25" customHeight="1" x14ac:dyDescent="0.3">
      <c r="B497" s="23"/>
      <c r="D497" s="25"/>
      <c r="E497" s="25"/>
      <c r="M497" s="12"/>
      <c r="N497" s="122"/>
      <c r="O497" s="122"/>
      <c r="P497" s="122"/>
      <c r="Q497" s="122"/>
    </row>
    <row r="498" spans="2:17" ht="14.25" customHeight="1" x14ac:dyDescent="0.3">
      <c r="B498" s="23"/>
      <c r="D498" s="25"/>
      <c r="E498" s="25"/>
      <c r="M498" s="12"/>
      <c r="N498" s="122"/>
      <c r="O498" s="122"/>
      <c r="P498" s="122"/>
      <c r="Q498" s="122"/>
    </row>
    <row r="499" spans="2:17" ht="14.25" customHeight="1" x14ac:dyDescent="0.3">
      <c r="B499" s="23"/>
      <c r="D499" s="25"/>
      <c r="E499" s="25"/>
      <c r="M499" s="12"/>
      <c r="N499" s="122"/>
      <c r="O499" s="122"/>
      <c r="P499" s="122"/>
      <c r="Q499" s="122"/>
    </row>
    <row r="500" spans="2:17" ht="14.25" customHeight="1" x14ac:dyDescent="0.3">
      <c r="B500" s="23"/>
      <c r="D500" s="25"/>
      <c r="E500" s="25"/>
      <c r="M500" s="12"/>
      <c r="N500" s="122"/>
      <c r="O500" s="122"/>
      <c r="P500" s="122"/>
      <c r="Q500" s="122"/>
    </row>
    <row r="501" spans="2:17" ht="14.25" customHeight="1" x14ac:dyDescent="0.3">
      <c r="B501" s="23"/>
      <c r="D501" s="25"/>
      <c r="E501" s="25"/>
      <c r="M501" s="12"/>
      <c r="N501" s="122"/>
      <c r="O501" s="122"/>
      <c r="P501" s="122"/>
      <c r="Q501" s="122"/>
    </row>
    <row r="502" spans="2:17" ht="14.25" customHeight="1" x14ac:dyDescent="0.3">
      <c r="B502" s="23"/>
      <c r="D502" s="25"/>
      <c r="E502" s="25"/>
      <c r="M502" s="12"/>
      <c r="N502" s="122"/>
      <c r="O502" s="122"/>
      <c r="P502" s="122"/>
      <c r="Q502" s="122"/>
    </row>
    <row r="503" spans="2:17" ht="14.25" customHeight="1" x14ac:dyDescent="0.3">
      <c r="B503" s="23"/>
      <c r="D503" s="25"/>
      <c r="E503" s="25"/>
      <c r="M503" s="12"/>
      <c r="N503" s="122"/>
      <c r="O503" s="122"/>
      <c r="P503" s="122"/>
      <c r="Q503" s="122"/>
    </row>
    <row r="504" spans="2:17" ht="14.25" customHeight="1" x14ac:dyDescent="0.3">
      <c r="B504" s="23"/>
      <c r="D504" s="25"/>
      <c r="E504" s="25"/>
      <c r="M504" s="12"/>
      <c r="N504" s="122"/>
      <c r="O504" s="122"/>
      <c r="P504" s="122"/>
      <c r="Q504" s="122"/>
    </row>
    <row r="505" spans="2:17" ht="14.25" customHeight="1" x14ac:dyDescent="0.3">
      <c r="B505" s="23"/>
      <c r="D505" s="25"/>
      <c r="E505" s="25"/>
      <c r="M505" s="12"/>
      <c r="N505" s="122"/>
      <c r="O505" s="122"/>
      <c r="P505" s="122"/>
      <c r="Q505" s="122"/>
    </row>
    <row r="506" spans="2:17" ht="14.25" customHeight="1" x14ac:dyDescent="0.3">
      <c r="B506" s="23"/>
      <c r="D506" s="25"/>
      <c r="E506" s="25"/>
      <c r="M506" s="12"/>
      <c r="N506" s="122"/>
      <c r="O506" s="122"/>
      <c r="P506" s="122"/>
      <c r="Q506" s="122"/>
    </row>
    <row r="507" spans="2:17" ht="14.25" customHeight="1" x14ac:dyDescent="0.3">
      <c r="B507" s="23"/>
      <c r="D507" s="25"/>
      <c r="E507" s="25"/>
      <c r="M507" s="12"/>
      <c r="N507" s="122"/>
      <c r="O507" s="122"/>
      <c r="P507" s="122"/>
      <c r="Q507" s="122"/>
    </row>
    <row r="508" spans="2:17" ht="14.25" customHeight="1" x14ac:dyDescent="0.3">
      <c r="B508" s="23"/>
      <c r="D508" s="25"/>
      <c r="E508" s="25"/>
      <c r="M508" s="12"/>
      <c r="N508" s="122"/>
      <c r="O508" s="122"/>
      <c r="P508" s="122"/>
      <c r="Q508" s="122"/>
    </row>
    <row r="509" spans="2:17" ht="14.25" customHeight="1" x14ac:dyDescent="0.3">
      <c r="B509" s="23"/>
      <c r="D509" s="25"/>
      <c r="E509" s="25"/>
      <c r="M509" s="12"/>
      <c r="N509" s="122"/>
      <c r="O509" s="122"/>
      <c r="P509" s="122"/>
      <c r="Q509" s="122"/>
    </row>
    <row r="510" spans="2:17" ht="14.25" customHeight="1" x14ac:dyDescent="0.3">
      <c r="B510" s="23"/>
      <c r="D510" s="25"/>
      <c r="E510" s="25"/>
      <c r="M510" s="12"/>
      <c r="N510" s="122"/>
      <c r="O510" s="122"/>
      <c r="P510" s="122"/>
      <c r="Q510" s="122"/>
    </row>
    <row r="511" spans="2:17" ht="14.25" customHeight="1" x14ac:dyDescent="0.3">
      <c r="B511" s="23"/>
      <c r="D511" s="25"/>
      <c r="E511" s="25"/>
      <c r="M511" s="12"/>
      <c r="N511" s="122"/>
      <c r="O511" s="122"/>
      <c r="P511" s="122"/>
      <c r="Q511" s="122"/>
    </row>
    <row r="512" spans="2:17" ht="14.25" customHeight="1" x14ac:dyDescent="0.3">
      <c r="B512" s="23"/>
      <c r="D512" s="25"/>
      <c r="E512" s="25"/>
      <c r="M512" s="12"/>
      <c r="N512" s="122"/>
      <c r="O512" s="122"/>
      <c r="P512" s="122"/>
      <c r="Q512" s="122"/>
    </row>
    <row r="513" spans="2:17" ht="14.25" customHeight="1" x14ac:dyDescent="0.3">
      <c r="B513" s="23"/>
      <c r="D513" s="25"/>
      <c r="E513" s="25"/>
      <c r="M513" s="12"/>
      <c r="N513" s="122"/>
      <c r="O513" s="122"/>
      <c r="P513" s="122"/>
      <c r="Q513" s="122"/>
    </row>
    <row r="514" spans="2:17" ht="14.25" customHeight="1" x14ac:dyDescent="0.3">
      <c r="B514" s="23"/>
      <c r="D514" s="25"/>
      <c r="E514" s="25"/>
      <c r="M514" s="12"/>
      <c r="N514" s="122"/>
      <c r="O514" s="122"/>
      <c r="P514" s="122"/>
      <c r="Q514" s="122"/>
    </row>
    <row r="515" spans="2:17" ht="14.25" customHeight="1" x14ac:dyDescent="0.3">
      <c r="B515" s="23"/>
      <c r="D515" s="25"/>
      <c r="E515" s="25"/>
      <c r="M515" s="12"/>
      <c r="N515" s="122"/>
      <c r="O515" s="122"/>
      <c r="P515" s="122"/>
      <c r="Q515" s="122"/>
    </row>
    <row r="516" spans="2:17" ht="14.25" customHeight="1" x14ac:dyDescent="0.3">
      <c r="B516" s="23"/>
      <c r="D516" s="25"/>
      <c r="E516" s="25"/>
      <c r="M516" s="12"/>
      <c r="N516" s="122"/>
      <c r="O516" s="122"/>
      <c r="P516" s="122"/>
      <c r="Q516" s="122"/>
    </row>
    <row r="517" spans="2:17" ht="14.25" customHeight="1" x14ac:dyDescent="0.3">
      <c r="B517" s="23"/>
      <c r="D517" s="25"/>
      <c r="E517" s="25"/>
      <c r="M517" s="12"/>
      <c r="N517" s="122"/>
      <c r="O517" s="122"/>
      <c r="P517" s="122"/>
      <c r="Q517" s="122"/>
    </row>
    <row r="518" spans="2:17" ht="14.25" customHeight="1" x14ac:dyDescent="0.3">
      <c r="B518" s="23"/>
      <c r="D518" s="25"/>
      <c r="E518" s="25"/>
      <c r="M518" s="12"/>
      <c r="N518" s="122"/>
      <c r="O518" s="122"/>
      <c r="P518" s="122"/>
      <c r="Q518" s="122"/>
    </row>
    <row r="519" spans="2:17" ht="14.25" customHeight="1" x14ac:dyDescent="0.3">
      <c r="B519" s="23"/>
      <c r="D519" s="25"/>
      <c r="E519" s="25"/>
      <c r="M519" s="12"/>
      <c r="N519" s="122"/>
      <c r="O519" s="122"/>
      <c r="P519" s="122"/>
      <c r="Q519" s="122"/>
    </row>
    <row r="520" spans="2:17" ht="14.25" customHeight="1" x14ac:dyDescent="0.3">
      <c r="B520" s="23"/>
      <c r="D520" s="25"/>
      <c r="E520" s="25"/>
      <c r="M520" s="12"/>
      <c r="N520" s="122"/>
      <c r="O520" s="122"/>
      <c r="P520" s="122"/>
      <c r="Q520" s="122"/>
    </row>
    <row r="521" spans="2:17" ht="14.25" customHeight="1" x14ac:dyDescent="0.3">
      <c r="B521" s="23"/>
      <c r="D521" s="25"/>
      <c r="E521" s="25"/>
      <c r="M521" s="12"/>
      <c r="N521" s="122"/>
      <c r="O521" s="122"/>
      <c r="P521" s="122"/>
      <c r="Q521" s="122"/>
    </row>
    <row r="522" spans="2:17" ht="14.25" customHeight="1" x14ac:dyDescent="0.3">
      <c r="B522" s="23"/>
      <c r="D522" s="25"/>
      <c r="E522" s="25"/>
      <c r="M522" s="12"/>
      <c r="N522" s="122"/>
      <c r="O522" s="122"/>
      <c r="P522" s="122"/>
      <c r="Q522" s="122"/>
    </row>
    <row r="523" spans="2:17" ht="14.25" customHeight="1" x14ac:dyDescent="0.3">
      <c r="B523" s="23"/>
      <c r="D523" s="25"/>
      <c r="E523" s="25"/>
      <c r="M523" s="12"/>
      <c r="N523" s="122"/>
      <c r="O523" s="122"/>
      <c r="P523" s="122"/>
      <c r="Q523" s="122"/>
    </row>
    <row r="524" spans="2:17" ht="14.25" customHeight="1" x14ac:dyDescent="0.3">
      <c r="B524" s="23"/>
      <c r="D524" s="25"/>
      <c r="E524" s="25"/>
      <c r="M524" s="12"/>
      <c r="N524" s="122"/>
      <c r="O524" s="122"/>
      <c r="P524" s="122"/>
      <c r="Q524" s="122"/>
    </row>
    <row r="525" spans="2:17" ht="14.25" customHeight="1" x14ac:dyDescent="0.3">
      <c r="B525" s="23"/>
      <c r="D525" s="25"/>
      <c r="E525" s="25"/>
      <c r="M525" s="12"/>
      <c r="N525" s="122"/>
      <c r="O525" s="122"/>
      <c r="P525" s="122"/>
      <c r="Q525" s="122"/>
    </row>
    <row r="526" spans="2:17" ht="14.25" customHeight="1" x14ac:dyDescent="0.3">
      <c r="B526" s="23"/>
      <c r="D526" s="25"/>
      <c r="E526" s="25"/>
      <c r="M526" s="12"/>
      <c r="N526" s="122"/>
      <c r="O526" s="122"/>
      <c r="P526" s="122"/>
      <c r="Q526" s="122"/>
    </row>
    <row r="527" spans="2:17" ht="14.25" customHeight="1" x14ac:dyDescent="0.3">
      <c r="B527" s="23"/>
      <c r="D527" s="25"/>
      <c r="E527" s="25"/>
      <c r="M527" s="12"/>
      <c r="N527" s="122"/>
      <c r="O527" s="122"/>
      <c r="P527" s="122"/>
      <c r="Q527" s="122"/>
    </row>
    <row r="528" spans="2:17" ht="14.25" customHeight="1" x14ac:dyDescent="0.3">
      <c r="B528" s="23"/>
      <c r="D528" s="25"/>
      <c r="E528" s="25"/>
      <c r="M528" s="12"/>
      <c r="N528" s="122"/>
      <c r="O528" s="122"/>
      <c r="P528" s="122"/>
      <c r="Q528" s="122"/>
    </row>
    <row r="529" spans="2:17" ht="14.25" customHeight="1" x14ac:dyDescent="0.3">
      <c r="B529" s="23"/>
      <c r="D529" s="25"/>
      <c r="E529" s="25"/>
      <c r="M529" s="12"/>
      <c r="N529" s="122"/>
      <c r="O529" s="122"/>
      <c r="P529" s="122"/>
      <c r="Q529" s="122"/>
    </row>
    <row r="530" spans="2:17" ht="14.25" customHeight="1" x14ac:dyDescent="0.3">
      <c r="B530" s="23"/>
      <c r="D530" s="25"/>
      <c r="E530" s="25"/>
      <c r="M530" s="12"/>
      <c r="N530" s="122"/>
      <c r="O530" s="122"/>
      <c r="P530" s="122"/>
      <c r="Q530" s="122"/>
    </row>
    <row r="531" spans="2:17" ht="14.25" customHeight="1" x14ac:dyDescent="0.3">
      <c r="B531" s="23"/>
      <c r="D531" s="25"/>
      <c r="E531" s="25"/>
      <c r="M531" s="12"/>
      <c r="N531" s="122"/>
      <c r="O531" s="122"/>
      <c r="P531" s="122"/>
      <c r="Q531" s="122"/>
    </row>
    <row r="532" spans="2:17" ht="14.25" customHeight="1" x14ac:dyDescent="0.3">
      <c r="B532" s="23"/>
      <c r="D532" s="25"/>
      <c r="E532" s="25"/>
      <c r="M532" s="12"/>
      <c r="N532" s="122"/>
      <c r="O532" s="122"/>
      <c r="P532" s="122"/>
      <c r="Q532" s="122"/>
    </row>
    <row r="533" spans="2:17" ht="14.25" customHeight="1" x14ac:dyDescent="0.3">
      <c r="B533" s="23"/>
      <c r="D533" s="25"/>
      <c r="E533" s="25"/>
      <c r="M533" s="12"/>
      <c r="N533" s="122"/>
      <c r="O533" s="122"/>
      <c r="P533" s="122"/>
      <c r="Q533" s="122"/>
    </row>
    <row r="534" spans="2:17" ht="14.25" customHeight="1" x14ac:dyDescent="0.3">
      <c r="B534" s="23"/>
      <c r="D534" s="25"/>
      <c r="E534" s="25"/>
      <c r="M534" s="12"/>
      <c r="N534" s="122"/>
      <c r="O534" s="122"/>
      <c r="P534" s="122"/>
      <c r="Q534" s="122"/>
    </row>
    <row r="535" spans="2:17" ht="14.25" customHeight="1" x14ac:dyDescent="0.3">
      <c r="B535" s="23"/>
      <c r="D535" s="25"/>
      <c r="E535" s="25"/>
      <c r="M535" s="12"/>
      <c r="N535" s="122"/>
      <c r="O535" s="122"/>
      <c r="P535" s="122"/>
      <c r="Q535" s="122"/>
    </row>
    <row r="536" spans="2:17" ht="14.25" customHeight="1" x14ac:dyDescent="0.3">
      <c r="B536" s="23"/>
      <c r="D536" s="25"/>
      <c r="E536" s="25"/>
      <c r="M536" s="12"/>
      <c r="N536" s="122"/>
      <c r="O536" s="122"/>
      <c r="P536" s="122"/>
      <c r="Q536" s="122"/>
    </row>
    <row r="537" spans="2:17" ht="14.25" customHeight="1" x14ac:dyDescent="0.3">
      <c r="B537" s="23"/>
      <c r="D537" s="25"/>
      <c r="E537" s="25"/>
      <c r="M537" s="12"/>
      <c r="N537" s="122"/>
      <c r="O537" s="122"/>
      <c r="P537" s="122"/>
      <c r="Q537" s="122"/>
    </row>
    <row r="538" spans="2:17" ht="14.25" customHeight="1" x14ac:dyDescent="0.3">
      <c r="B538" s="23"/>
      <c r="D538" s="25"/>
      <c r="E538" s="25"/>
      <c r="M538" s="12"/>
      <c r="N538" s="122"/>
      <c r="O538" s="122"/>
      <c r="P538" s="122"/>
      <c r="Q538" s="122"/>
    </row>
    <row r="539" spans="2:17" ht="14.25" customHeight="1" x14ac:dyDescent="0.3">
      <c r="B539" s="23"/>
      <c r="D539" s="25"/>
      <c r="E539" s="25"/>
      <c r="M539" s="12"/>
      <c r="N539" s="122"/>
      <c r="O539" s="122"/>
      <c r="P539" s="122"/>
      <c r="Q539" s="122"/>
    </row>
    <row r="540" spans="2:17" ht="14.25" customHeight="1" x14ac:dyDescent="0.3">
      <c r="B540" s="23"/>
      <c r="D540" s="25"/>
      <c r="E540" s="25"/>
      <c r="M540" s="12"/>
      <c r="N540" s="122"/>
      <c r="O540" s="122"/>
      <c r="P540" s="122"/>
      <c r="Q540" s="122"/>
    </row>
    <row r="541" spans="2:17" ht="14.25" customHeight="1" x14ac:dyDescent="0.3">
      <c r="B541" s="23"/>
      <c r="D541" s="25"/>
      <c r="E541" s="25"/>
      <c r="M541" s="12"/>
      <c r="N541" s="122"/>
      <c r="O541" s="122"/>
      <c r="P541" s="122"/>
      <c r="Q541" s="122"/>
    </row>
    <row r="542" spans="2:17" ht="14.25" customHeight="1" x14ac:dyDescent="0.3">
      <c r="B542" s="23"/>
      <c r="D542" s="25"/>
      <c r="E542" s="25"/>
      <c r="M542" s="12"/>
      <c r="N542" s="122"/>
      <c r="O542" s="122"/>
      <c r="P542" s="122"/>
      <c r="Q542" s="122"/>
    </row>
    <row r="543" spans="2:17" ht="14.25" customHeight="1" x14ac:dyDescent="0.3">
      <c r="B543" s="23"/>
      <c r="D543" s="25"/>
      <c r="E543" s="25"/>
      <c r="M543" s="12"/>
      <c r="N543" s="122"/>
      <c r="O543" s="122"/>
      <c r="P543" s="122"/>
      <c r="Q543" s="122"/>
    </row>
    <row r="544" spans="2:17" ht="14.25" customHeight="1" x14ac:dyDescent="0.3">
      <c r="B544" s="23"/>
      <c r="D544" s="25"/>
      <c r="E544" s="25"/>
      <c r="M544" s="12"/>
      <c r="N544" s="122"/>
      <c r="O544" s="122"/>
      <c r="P544" s="122"/>
      <c r="Q544" s="122"/>
    </row>
    <row r="545" spans="2:17" ht="14.25" customHeight="1" x14ac:dyDescent="0.3">
      <c r="B545" s="23"/>
      <c r="D545" s="25"/>
      <c r="E545" s="25"/>
      <c r="M545" s="12"/>
      <c r="N545" s="122"/>
      <c r="O545" s="122"/>
      <c r="P545" s="122"/>
      <c r="Q545" s="122"/>
    </row>
    <row r="546" spans="2:17" ht="14.25" customHeight="1" x14ac:dyDescent="0.3">
      <c r="B546" s="23"/>
      <c r="D546" s="25"/>
      <c r="E546" s="25"/>
      <c r="M546" s="12"/>
      <c r="N546" s="122"/>
      <c r="O546" s="122"/>
      <c r="P546" s="122"/>
      <c r="Q546" s="122"/>
    </row>
    <row r="547" spans="2:17" ht="14.25" customHeight="1" x14ac:dyDescent="0.3">
      <c r="B547" s="23"/>
      <c r="D547" s="25"/>
      <c r="E547" s="25"/>
      <c r="M547" s="12"/>
      <c r="N547" s="122"/>
      <c r="O547" s="122"/>
      <c r="P547" s="122"/>
      <c r="Q547" s="122"/>
    </row>
    <row r="548" spans="2:17" ht="14.25" customHeight="1" x14ac:dyDescent="0.3">
      <c r="B548" s="23"/>
      <c r="D548" s="25"/>
      <c r="E548" s="25"/>
      <c r="M548" s="12"/>
      <c r="N548" s="122"/>
      <c r="O548" s="122"/>
      <c r="P548" s="122"/>
      <c r="Q548" s="122"/>
    </row>
    <row r="549" spans="2:17" ht="14.25" customHeight="1" x14ac:dyDescent="0.3">
      <c r="B549" s="23"/>
      <c r="D549" s="25"/>
      <c r="E549" s="25"/>
      <c r="M549" s="12"/>
      <c r="N549" s="122"/>
      <c r="O549" s="122"/>
      <c r="P549" s="122"/>
      <c r="Q549" s="122"/>
    </row>
    <row r="550" spans="2:17" ht="14.25" customHeight="1" x14ac:dyDescent="0.3">
      <c r="B550" s="23"/>
      <c r="D550" s="25"/>
      <c r="E550" s="25"/>
      <c r="M550" s="12"/>
      <c r="N550" s="122"/>
      <c r="O550" s="122"/>
      <c r="P550" s="122"/>
      <c r="Q550" s="122"/>
    </row>
    <row r="551" spans="2:17" ht="14.25" customHeight="1" x14ac:dyDescent="0.3">
      <c r="B551" s="23"/>
      <c r="D551" s="25"/>
      <c r="E551" s="25"/>
      <c r="M551" s="12"/>
      <c r="N551" s="122"/>
      <c r="O551" s="122"/>
      <c r="P551" s="122"/>
      <c r="Q551" s="122"/>
    </row>
    <row r="552" spans="2:17" ht="14.25" customHeight="1" x14ac:dyDescent="0.3">
      <c r="B552" s="23"/>
      <c r="D552" s="25"/>
      <c r="E552" s="25"/>
      <c r="M552" s="12"/>
      <c r="N552" s="122"/>
      <c r="O552" s="122"/>
      <c r="P552" s="122"/>
      <c r="Q552" s="122"/>
    </row>
    <row r="553" spans="2:17" ht="14.25" customHeight="1" x14ac:dyDescent="0.3">
      <c r="B553" s="23"/>
      <c r="D553" s="25"/>
      <c r="E553" s="25"/>
      <c r="M553" s="12"/>
      <c r="N553" s="122"/>
      <c r="O553" s="122"/>
      <c r="P553" s="122"/>
      <c r="Q553" s="122"/>
    </row>
    <row r="554" spans="2:17" ht="14.25" customHeight="1" x14ac:dyDescent="0.3">
      <c r="B554" s="23"/>
      <c r="D554" s="25"/>
      <c r="E554" s="25"/>
      <c r="M554" s="12"/>
      <c r="N554" s="122"/>
      <c r="O554" s="122"/>
      <c r="P554" s="122"/>
      <c r="Q554" s="122"/>
    </row>
    <row r="555" spans="2:17" ht="14.25" customHeight="1" x14ac:dyDescent="0.3">
      <c r="B555" s="23"/>
      <c r="D555" s="25"/>
      <c r="E555" s="25"/>
      <c r="M555" s="12"/>
      <c r="N555" s="122"/>
      <c r="O555" s="122"/>
      <c r="P555" s="122"/>
      <c r="Q555" s="122"/>
    </row>
    <row r="556" spans="2:17" ht="14.25" customHeight="1" x14ac:dyDescent="0.3">
      <c r="B556" s="23"/>
      <c r="D556" s="25"/>
      <c r="E556" s="25"/>
      <c r="M556" s="12"/>
      <c r="N556" s="122"/>
      <c r="O556" s="122"/>
      <c r="P556" s="122"/>
      <c r="Q556" s="122"/>
    </row>
    <row r="557" spans="2:17" ht="14.25" customHeight="1" x14ac:dyDescent="0.3">
      <c r="B557" s="23"/>
      <c r="D557" s="25"/>
      <c r="E557" s="25"/>
      <c r="M557" s="12"/>
      <c r="N557" s="122"/>
      <c r="O557" s="122"/>
      <c r="P557" s="122"/>
      <c r="Q557" s="122"/>
    </row>
    <row r="558" spans="2:17" ht="14.25" customHeight="1" x14ac:dyDescent="0.3">
      <c r="B558" s="23"/>
      <c r="D558" s="25"/>
      <c r="E558" s="25"/>
      <c r="M558" s="12"/>
      <c r="N558" s="122"/>
      <c r="O558" s="122"/>
      <c r="P558" s="122"/>
      <c r="Q558" s="122"/>
    </row>
    <row r="559" spans="2:17" ht="14.25" customHeight="1" x14ac:dyDescent="0.3">
      <c r="B559" s="23"/>
      <c r="D559" s="25"/>
      <c r="E559" s="25"/>
      <c r="M559" s="12"/>
      <c r="N559" s="122"/>
      <c r="O559" s="122"/>
      <c r="P559" s="122"/>
      <c r="Q559" s="122"/>
    </row>
    <row r="560" spans="2:17" ht="14.25" customHeight="1" x14ac:dyDescent="0.3">
      <c r="B560" s="23"/>
      <c r="D560" s="25"/>
      <c r="E560" s="25"/>
      <c r="M560" s="12"/>
      <c r="N560" s="122"/>
      <c r="O560" s="122"/>
      <c r="P560" s="122"/>
      <c r="Q560" s="122"/>
    </row>
    <row r="561" spans="2:17" ht="14.25" customHeight="1" x14ac:dyDescent="0.3">
      <c r="B561" s="23"/>
      <c r="D561" s="25"/>
      <c r="E561" s="25"/>
      <c r="M561" s="12"/>
      <c r="N561" s="122"/>
      <c r="O561" s="122"/>
      <c r="P561" s="122"/>
      <c r="Q561" s="122"/>
    </row>
    <row r="562" spans="2:17" ht="14.25" customHeight="1" x14ac:dyDescent="0.3">
      <c r="B562" s="23"/>
      <c r="D562" s="25"/>
      <c r="E562" s="25"/>
      <c r="M562" s="12"/>
      <c r="N562" s="122"/>
      <c r="O562" s="122"/>
      <c r="P562" s="122"/>
      <c r="Q562" s="122"/>
    </row>
    <row r="563" spans="2:17" ht="14.25" customHeight="1" x14ac:dyDescent="0.3">
      <c r="B563" s="23"/>
      <c r="D563" s="25"/>
      <c r="E563" s="25"/>
      <c r="M563" s="12"/>
      <c r="N563" s="122"/>
      <c r="O563" s="122"/>
      <c r="P563" s="122"/>
      <c r="Q563" s="122"/>
    </row>
    <row r="564" spans="2:17" ht="14.25" customHeight="1" x14ac:dyDescent="0.3">
      <c r="B564" s="23"/>
      <c r="D564" s="25"/>
      <c r="E564" s="25"/>
      <c r="M564" s="12"/>
      <c r="N564" s="122"/>
      <c r="O564" s="122"/>
      <c r="P564" s="122"/>
      <c r="Q564" s="122"/>
    </row>
    <row r="565" spans="2:17" ht="14.25" customHeight="1" x14ac:dyDescent="0.3">
      <c r="B565" s="23"/>
      <c r="D565" s="25"/>
      <c r="E565" s="25"/>
      <c r="M565" s="12"/>
      <c r="N565" s="122"/>
      <c r="O565" s="122"/>
      <c r="P565" s="122"/>
      <c r="Q565" s="122"/>
    </row>
    <row r="566" spans="2:17" ht="14.25" customHeight="1" x14ac:dyDescent="0.3">
      <c r="B566" s="23"/>
      <c r="D566" s="25"/>
      <c r="E566" s="25"/>
      <c r="M566" s="12"/>
      <c r="N566" s="122"/>
      <c r="O566" s="122"/>
      <c r="P566" s="122"/>
      <c r="Q566" s="122"/>
    </row>
    <row r="567" spans="2:17" ht="14.25" customHeight="1" x14ac:dyDescent="0.3">
      <c r="B567" s="23"/>
      <c r="D567" s="25"/>
      <c r="E567" s="25"/>
      <c r="M567" s="12"/>
      <c r="N567" s="122"/>
      <c r="O567" s="122"/>
      <c r="P567" s="122"/>
      <c r="Q567" s="122"/>
    </row>
    <row r="568" spans="2:17" ht="14.25" customHeight="1" x14ac:dyDescent="0.3">
      <c r="B568" s="23"/>
      <c r="D568" s="25"/>
      <c r="E568" s="25"/>
      <c r="M568" s="12"/>
      <c r="N568" s="122"/>
      <c r="O568" s="122"/>
      <c r="P568" s="122"/>
      <c r="Q568" s="122"/>
    </row>
    <row r="569" spans="2:17" ht="14.25" customHeight="1" x14ac:dyDescent="0.3">
      <c r="B569" s="23"/>
      <c r="D569" s="25"/>
      <c r="E569" s="25"/>
      <c r="M569" s="12"/>
      <c r="N569" s="122"/>
      <c r="O569" s="122"/>
      <c r="P569" s="122"/>
      <c r="Q569" s="122"/>
    </row>
    <row r="570" spans="2:17" ht="14.25" customHeight="1" x14ac:dyDescent="0.3">
      <c r="B570" s="23"/>
      <c r="D570" s="25"/>
      <c r="E570" s="25"/>
      <c r="M570" s="12"/>
      <c r="N570" s="122"/>
      <c r="O570" s="122"/>
      <c r="P570" s="122"/>
      <c r="Q570" s="122"/>
    </row>
    <row r="571" spans="2:17" ht="14.25" customHeight="1" x14ac:dyDescent="0.3">
      <c r="B571" s="23"/>
      <c r="D571" s="25"/>
      <c r="E571" s="25"/>
      <c r="M571" s="12"/>
      <c r="N571" s="122"/>
      <c r="O571" s="122"/>
      <c r="P571" s="122"/>
      <c r="Q571" s="122"/>
    </row>
    <row r="572" spans="2:17" ht="14.25" customHeight="1" x14ac:dyDescent="0.3">
      <c r="B572" s="23"/>
      <c r="D572" s="25"/>
      <c r="E572" s="25"/>
      <c r="M572" s="12"/>
      <c r="N572" s="122"/>
      <c r="O572" s="122"/>
      <c r="P572" s="122"/>
      <c r="Q572" s="122"/>
    </row>
    <row r="573" spans="2:17" ht="14.25" customHeight="1" x14ac:dyDescent="0.3">
      <c r="B573" s="23"/>
      <c r="D573" s="25"/>
      <c r="E573" s="25"/>
      <c r="M573" s="12"/>
      <c r="N573" s="122"/>
      <c r="O573" s="122"/>
      <c r="P573" s="122"/>
      <c r="Q573" s="122"/>
    </row>
    <row r="574" spans="2:17" ht="14.25" customHeight="1" x14ac:dyDescent="0.3">
      <c r="B574" s="23"/>
      <c r="D574" s="25"/>
      <c r="E574" s="25"/>
      <c r="M574" s="12"/>
      <c r="N574" s="122"/>
      <c r="O574" s="122"/>
      <c r="P574" s="122"/>
      <c r="Q574" s="122"/>
    </row>
    <row r="575" spans="2:17" ht="14.25" customHeight="1" x14ac:dyDescent="0.3">
      <c r="B575" s="23"/>
      <c r="D575" s="25"/>
      <c r="E575" s="25"/>
      <c r="M575" s="12"/>
      <c r="N575" s="122"/>
      <c r="O575" s="122"/>
      <c r="P575" s="122"/>
      <c r="Q575" s="122"/>
    </row>
    <row r="576" spans="2:17" ht="14.25" customHeight="1" x14ac:dyDescent="0.3">
      <c r="B576" s="23"/>
      <c r="D576" s="25"/>
      <c r="E576" s="25"/>
      <c r="M576" s="12"/>
      <c r="N576" s="122"/>
      <c r="O576" s="122"/>
      <c r="P576" s="122"/>
      <c r="Q576" s="122"/>
    </row>
    <row r="577" spans="2:17" ht="14.25" customHeight="1" x14ac:dyDescent="0.3">
      <c r="B577" s="23"/>
      <c r="D577" s="25"/>
      <c r="E577" s="25"/>
      <c r="M577" s="12"/>
      <c r="N577" s="122"/>
      <c r="O577" s="122"/>
      <c r="P577" s="122"/>
      <c r="Q577" s="122"/>
    </row>
    <row r="578" spans="2:17" ht="14.25" customHeight="1" x14ac:dyDescent="0.3">
      <c r="B578" s="23"/>
      <c r="D578" s="25"/>
      <c r="E578" s="25"/>
      <c r="M578" s="12"/>
      <c r="N578" s="122"/>
      <c r="O578" s="122"/>
      <c r="P578" s="122"/>
      <c r="Q578" s="122"/>
    </row>
    <row r="579" spans="2:17" ht="14.25" customHeight="1" x14ac:dyDescent="0.3">
      <c r="B579" s="23"/>
      <c r="D579" s="25"/>
      <c r="E579" s="25"/>
      <c r="M579" s="12"/>
      <c r="N579" s="122"/>
      <c r="O579" s="122"/>
      <c r="P579" s="122"/>
      <c r="Q579" s="122"/>
    </row>
    <row r="580" spans="2:17" ht="14.25" customHeight="1" x14ac:dyDescent="0.3">
      <c r="B580" s="23"/>
      <c r="D580" s="25"/>
      <c r="E580" s="25"/>
      <c r="M580" s="12"/>
      <c r="N580" s="122"/>
      <c r="O580" s="122"/>
      <c r="P580" s="122"/>
      <c r="Q580" s="122"/>
    </row>
    <row r="581" spans="2:17" ht="14.25" customHeight="1" x14ac:dyDescent="0.3">
      <c r="B581" s="23"/>
      <c r="D581" s="25"/>
      <c r="E581" s="25"/>
      <c r="M581" s="12"/>
      <c r="N581" s="122"/>
      <c r="O581" s="122"/>
      <c r="P581" s="122"/>
      <c r="Q581" s="122"/>
    </row>
    <row r="582" spans="2:17" ht="14.25" customHeight="1" x14ac:dyDescent="0.3">
      <c r="B582" s="23"/>
      <c r="D582" s="25"/>
      <c r="E582" s="25"/>
      <c r="M582" s="12"/>
      <c r="N582" s="122"/>
      <c r="O582" s="122"/>
      <c r="P582" s="122"/>
      <c r="Q582" s="122"/>
    </row>
    <row r="583" spans="2:17" ht="14.25" customHeight="1" x14ac:dyDescent="0.3">
      <c r="B583" s="23"/>
      <c r="D583" s="25"/>
      <c r="E583" s="25"/>
      <c r="M583" s="12"/>
      <c r="N583" s="122"/>
      <c r="O583" s="122"/>
      <c r="P583" s="122"/>
      <c r="Q583" s="122"/>
    </row>
    <row r="584" spans="2:17" ht="14.25" customHeight="1" x14ac:dyDescent="0.3">
      <c r="B584" s="23"/>
      <c r="D584" s="25"/>
      <c r="E584" s="25"/>
      <c r="M584" s="12"/>
      <c r="N584" s="122"/>
      <c r="O584" s="122"/>
      <c r="P584" s="122"/>
      <c r="Q584" s="122"/>
    </row>
    <row r="585" spans="2:17" ht="14.25" customHeight="1" x14ac:dyDescent="0.3">
      <c r="B585" s="23"/>
      <c r="D585" s="25"/>
      <c r="E585" s="25"/>
      <c r="M585" s="12"/>
      <c r="N585" s="122"/>
      <c r="O585" s="122"/>
      <c r="P585" s="122"/>
      <c r="Q585" s="122"/>
    </row>
    <row r="586" spans="2:17" ht="14.25" customHeight="1" x14ac:dyDescent="0.3">
      <c r="B586" s="23"/>
      <c r="D586" s="25"/>
      <c r="E586" s="25"/>
      <c r="M586" s="12"/>
      <c r="N586" s="122"/>
      <c r="O586" s="122"/>
      <c r="P586" s="122"/>
      <c r="Q586" s="122"/>
    </row>
    <row r="587" spans="2:17" ht="14.25" customHeight="1" x14ac:dyDescent="0.3">
      <c r="B587" s="23"/>
      <c r="D587" s="25"/>
      <c r="E587" s="25"/>
      <c r="M587" s="12"/>
      <c r="N587" s="122"/>
      <c r="O587" s="122"/>
      <c r="P587" s="122"/>
      <c r="Q587" s="122"/>
    </row>
    <row r="588" spans="2:17" ht="14.25" customHeight="1" x14ac:dyDescent="0.3">
      <c r="B588" s="23"/>
      <c r="D588" s="25"/>
      <c r="E588" s="25"/>
      <c r="M588" s="12"/>
      <c r="N588" s="122"/>
      <c r="O588" s="122"/>
      <c r="P588" s="122"/>
      <c r="Q588" s="122"/>
    </row>
    <row r="589" spans="2:17" ht="14.25" customHeight="1" x14ac:dyDescent="0.3">
      <c r="B589" s="23"/>
      <c r="D589" s="25"/>
      <c r="E589" s="25"/>
      <c r="M589" s="12"/>
      <c r="N589" s="122"/>
      <c r="O589" s="122"/>
      <c r="P589" s="122"/>
      <c r="Q589" s="122"/>
    </row>
    <row r="590" spans="2:17" ht="14.25" customHeight="1" x14ac:dyDescent="0.3">
      <c r="B590" s="23"/>
      <c r="D590" s="25"/>
      <c r="E590" s="25"/>
      <c r="M590" s="12"/>
      <c r="N590" s="122"/>
      <c r="O590" s="122"/>
      <c r="P590" s="122"/>
      <c r="Q590" s="122"/>
    </row>
    <row r="591" spans="2:17" ht="14.25" customHeight="1" x14ac:dyDescent="0.3">
      <c r="B591" s="23"/>
      <c r="D591" s="25"/>
      <c r="E591" s="25"/>
      <c r="M591" s="12"/>
      <c r="N591" s="122"/>
      <c r="O591" s="122"/>
      <c r="P591" s="122"/>
      <c r="Q591" s="122"/>
    </row>
    <row r="592" spans="2:17" ht="14.25" customHeight="1" x14ac:dyDescent="0.3">
      <c r="B592" s="23"/>
      <c r="D592" s="25"/>
      <c r="E592" s="25"/>
      <c r="M592" s="12"/>
      <c r="N592" s="122"/>
      <c r="O592" s="122"/>
      <c r="P592" s="122"/>
      <c r="Q592" s="122"/>
    </row>
    <row r="593" spans="2:17" ht="14.25" customHeight="1" x14ac:dyDescent="0.3">
      <c r="B593" s="23"/>
      <c r="D593" s="25"/>
      <c r="E593" s="25"/>
      <c r="M593" s="12"/>
      <c r="N593" s="122"/>
      <c r="O593" s="122"/>
      <c r="P593" s="122"/>
      <c r="Q593" s="122"/>
    </row>
    <row r="594" spans="2:17" ht="14.25" customHeight="1" x14ac:dyDescent="0.3">
      <c r="B594" s="23"/>
      <c r="D594" s="25"/>
      <c r="E594" s="25"/>
      <c r="M594" s="12"/>
      <c r="N594" s="122"/>
      <c r="O594" s="122"/>
      <c r="P594" s="122"/>
      <c r="Q594" s="122"/>
    </row>
    <row r="595" spans="2:17" ht="14.25" customHeight="1" x14ac:dyDescent="0.3">
      <c r="B595" s="23"/>
      <c r="D595" s="25"/>
      <c r="E595" s="25"/>
      <c r="M595" s="12"/>
      <c r="N595" s="122"/>
      <c r="O595" s="122"/>
      <c r="P595" s="122"/>
      <c r="Q595" s="122"/>
    </row>
    <row r="596" spans="2:17" ht="14.25" customHeight="1" x14ac:dyDescent="0.3">
      <c r="B596" s="23"/>
      <c r="D596" s="25"/>
      <c r="E596" s="25"/>
      <c r="M596" s="12"/>
      <c r="N596" s="122"/>
      <c r="O596" s="122"/>
      <c r="P596" s="122"/>
      <c r="Q596" s="122"/>
    </row>
    <row r="597" spans="2:17" ht="14.25" customHeight="1" x14ac:dyDescent="0.3">
      <c r="B597" s="23"/>
      <c r="D597" s="25"/>
      <c r="E597" s="25"/>
      <c r="M597" s="12"/>
      <c r="N597" s="122"/>
      <c r="O597" s="122"/>
      <c r="P597" s="122"/>
      <c r="Q597" s="122"/>
    </row>
    <row r="598" spans="2:17" ht="14.25" customHeight="1" x14ac:dyDescent="0.3">
      <c r="B598" s="23"/>
      <c r="D598" s="25"/>
      <c r="E598" s="25"/>
      <c r="M598" s="12"/>
      <c r="N598" s="122"/>
      <c r="O598" s="122"/>
      <c r="P598" s="122"/>
      <c r="Q598" s="122"/>
    </row>
    <row r="599" spans="2:17" ht="14.25" customHeight="1" x14ac:dyDescent="0.3">
      <c r="B599" s="23"/>
      <c r="D599" s="25"/>
      <c r="E599" s="25"/>
      <c r="M599" s="12"/>
      <c r="N599" s="122"/>
      <c r="O599" s="122"/>
      <c r="P599" s="122"/>
      <c r="Q599" s="122"/>
    </row>
    <row r="600" spans="2:17" ht="14.25" customHeight="1" x14ac:dyDescent="0.3">
      <c r="B600" s="23"/>
      <c r="D600" s="25"/>
      <c r="E600" s="25"/>
      <c r="M600" s="12"/>
      <c r="N600" s="122"/>
      <c r="O600" s="122"/>
      <c r="P600" s="122"/>
      <c r="Q600" s="122"/>
    </row>
    <row r="601" spans="2:17" ht="14.25" customHeight="1" x14ac:dyDescent="0.3">
      <c r="B601" s="23"/>
      <c r="D601" s="25"/>
      <c r="E601" s="25"/>
      <c r="M601" s="12"/>
      <c r="N601" s="122"/>
      <c r="O601" s="122"/>
      <c r="P601" s="122"/>
      <c r="Q601" s="122"/>
    </row>
    <row r="602" spans="2:17" ht="14.25" customHeight="1" x14ac:dyDescent="0.3">
      <c r="B602" s="23"/>
      <c r="D602" s="25"/>
      <c r="E602" s="25"/>
      <c r="M602" s="12"/>
      <c r="N602" s="122"/>
      <c r="O602" s="122"/>
      <c r="P602" s="122"/>
      <c r="Q602" s="122"/>
    </row>
    <row r="603" spans="2:17" ht="14.25" customHeight="1" x14ac:dyDescent="0.3">
      <c r="B603" s="23"/>
      <c r="D603" s="25"/>
      <c r="E603" s="25"/>
      <c r="M603" s="12"/>
      <c r="N603" s="122"/>
      <c r="O603" s="122"/>
      <c r="P603" s="122"/>
      <c r="Q603" s="122"/>
    </row>
    <row r="604" spans="2:17" ht="14.25" customHeight="1" x14ac:dyDescent="0.3">
      <c r="B604" s="23"/>
      <c r="D604" s="25"/>
      <c r="E604" s="25"/>
      <c r="M604" s="12"/>
      <c r="N604" s="122"/>
      <c r="O604" s="122"/>
      <c r="P604" s="122"/>
      <c r="Q604" s="122"/>
    </row>
    <row r="605" spans="2:17" ht="14.25" customHeight="1" x14ac:dyDescent="0.3">
      <c r="B605" s="23"/>
      <c r="D605" s="25"/>
      <c r="E605" s="25"/>
      <c r="M605" s="12"/>
      <c r="N605" s="122"/>
      <c r="O605" s="122"/>
      <c r="P605" s="122"/>
      <c r="Q605" s="122"/>
    </row>
    <row r="606" spans="2:17" ht="14.25" customHeight="1" x14ac:dyDescent="0.3">
      <c r="B606" s="23"/>
      <c r="D606" s="25"/>
      <c r="E606" s="25"/>
      <c r="M606" s="12"/>
      <c r="N606" s="122"/>
      <c r="O606" s="122"/>
      <c r="P606" s="122"/>
      <c r="Q606" s="122"/>
    </row>
    <row r="607" spans="2:17" ht="14.25" customHeight="1" x14ac:dyDescent="0.3">
      <c r="B607" s="23"/>
      <c r="D607" s="25"/>
      <c r="E607" s="25"/>
      <c r="M607" s="12"/>
      <c r="N607" s="122"/>
      <c r="O607" s="122"/>
      <c r="P607" s="122"/>
      <c r="Q607" s="122"/>
    </row>
    <row r="608" spans="2:17" ht="14.25" customHeight="1" x14ac:dyDescent="0.3">
      <c r="B608" s="23"/>
      <c r="D608" s="25"/>
      <c r="E608" s="25"/>
      <c r="M608" s="12"/>
      <c r="N608" s="122"/>
      <c r="O608" s="122"/>
      <c r="P608" s="122"/>
      <c r="Q608" s="122"/>
    </row>
    <row r="609" spans="2:17" ht="14.25" customHeight="1" x14ac:dyDescent="0.3">
      <c r="B609" s="23"/>
      <c r="D609" s="25"/>
      <c r="E609" s="25"/>
      <c r="M609" s="12"/>
      <c r="N609" s="122"/>
      <c r="O609" s="122"/>
      <c r="P609" s="122"/>
      <c r="Q609" s="122"/>
    </row>
    <row r="610" spans="2:17" ht="14.25" customHeight="1" x14ac:dyDescent="0.3">
      <c r="B610" s="23"/>
      <c r="D610" s="25"/>
      <c r="E610" s="25"/>
      <c r="M610" s="12"/>
      <c r="N610" s="122"/>
      <c r="O610" s="122"/>
      <c r="P610" s="122"/>
      <c r="Q610" s="122"/>
    </row>
    <row r="611" spans="2:17" ht="14.25" customHeight="1" x14ac:dyDescent="0.3">
      <c r="B611" s="23"/>
      <c r="D611" s="25"/>
      <c r="E611" s="25"/>
      <c r="M611" s="12"/>
      <c r="N611" s="122"/>
      <c r="O611" s="122"/>
      <c r="P611" s="122"/>
      <c r="Q611" s="122"/>
    </row>
    <row r="612" spans="2:17" ht="14.25" customHeight="1" x14ac:dyDescent="0.3">
      <c r="B612" s="23"/>
      <c r="D612" s="25"/>
      <c r="E612" s="25"/>
      <c r="M612" s="12"/>
      <c r="N612" s="122"/>
      <c r="O612" s="122"/>
      <c r="P612" s="122"/>
      <c r="Q612" s="122"/>
    </row>
    <row r="613" spans="2:17" ht="14.25" customHeight="1" x14ac:dyDescent="0.3">
      <c r="B613" s="23"/>
      <c r="D613" s="25"/>
      <c r="E613" s="25"/>
      <c r="M613" s="12"/>
      <c r="N613" s="122"/>
      <c r="O613" s="122"/>
      <c r="P613" s="122"/>
      <c r="Q613" s="122"/>
    </row>
    <row r="614" spans="2:17" ht="14.25" customHeight="1" x14ac:dyDescent="0.3">
      <c r="B614" s="23"/>
      <c r="D614" s="25"/>
      <c r="E614" s="25"/>
      <c r="M614" s="12"/>
      <c r="N614" s="122"/>
      <c r="O614" s="122"/>
      <c r="P614" s="122"/>
      <c r="Q614" s="122"/>
    </row>
    <row r="615" spans="2:17" ht="14.25" customHeight="1" x14ac:dyDescent="0.3">
      <c r="B615" s="23"/>
      <c r="D615" s="25"/>
      <c r="E615" s="25"/>
      <c r="M615" s="12"/>
      <c r="N615" s="122"/>
      <c r="O615" s="122"/>
      <c r="P615" s="122"/>
      <c r="Q615" s="122"/>
    </row>
    <row r="616" spans="2:17" ht="14.25" customHeight="1" x14ac:dyDescent="0.3">
      <c r="B616" s="23"/>
      <c r="D616" s="25"/>
      <c r="E616" s="25"/>
      <c r="M616" s="12"/>
      <c r="N616" s="122"/>
      <c r="O616" s="122"/>
      <c r="P616" s="122"/>
      <c r="Q616" s="122"/>
    </row>
    <row r="617" spans="2:17" ht="14.25" customHeight="1" x14ac:dyDescent="0.3">
      <c r="B617" s="23"/>
      <c r="D617" s="25"/>
      <c r="E617" s="25"/>
      <c r="M617" s="12"/>
      <c r="N617" s="122"/>
      <c r="O617" s="122"/>
      <c r="P617" s="122"/>
      <c r="Q617" s="122"/>
    </row>
    <row r="618" spans="2:17" ht="14.25" customHeight="1" x14ac:dyDescent="0.3">
      <c r="B618" s="23"/>
      <c r="D618" s="25"/>
      <c r="E618" s="25"/>
      <c r="M618" s="12"/>
      <c r="N618" s="122"/>
      <c r="O618" s="122"/>
      <c r="P618" s="122"/>
      <c r="Q618" s="122"/>
    </row>
    <row r="619" spans="2:17" ht="14.25" customHeight="1" x14ac:dyDescent="0.3">
      <c r="B619" s="23"/>
      <c r="D619" s="25"/>
      <c r="E619" s="25"/>
      <c r="M619" s="12"/>
      <c r="N619" s="122"/>
      <c r="O619" s="122"/>
      <c r="P619" s="122"/>
      <c r="Q619" s="122"/>
    </row>
    <row r="620" spans="2:17" ht="14.25" customHeight="1" x14ac:dyDescent="0.3">
      <c r="B620" s="23"/>
      <c r="D620" s="25"/>
      <c r="E620" s="25"/>
      <c r="M620" s="12"/>
      <c r="N620" s="122"/>
      <c r="O620" s="122"/>
      <c r="P620" s="122"/>
      <c r="Q620" s="122"/>
    </row>
    <row r="621" spans="2:17" ht="14.25" customHeight="1" x14ac:dyDescent="0.3">
      <c r="B621" s="23"/>
      <c r="D621" s="25"/>
      <c r="E621" s="25"/>
      <c r="M621" s="12"/>
      <c r="N621" s="122"/>
      <c r="O621" s="122"/>
      <c r="P621" s="122"/>
      <c r="Q621" s="122"/>
    </row>
    <row r="622" spans="2:17" ht="14.25" customHeight="1" x14ac:dyDescent="0.3">
      <c r="B622" s="23"/>
      <c r="D622" s="25"/>
      <c r="E622" s="25"/>
      <c r="M622" s="12"/>
      <c r="N622" s="122"/>
      <c r="O622" s="122"/>
      <c r="P622" s="122"/>
      <c r="Q622" s="122"/>
    </row>
    <row r="623" spans="2:17" ht="14.25" customHeight="1" x14ac:dyDescent="0.3">
      <c r="B623" s="23"/>
      <c r="D623" s="25"/>
      <c r="E623" s="25"/>
      <c r="M623" s="12"/>
      <c r="N623" s="122"/>
      <c r="O623" s="122"/>
      <c r="P623" s="122"/>
      <c r="Q623" s="122"/>
    </row>
    <row r="624" spans="2:17" ht="14.25" customHeight="1" x14ac:dyDescent="0.3">
      <c r="B624" s="23"/>
      <c r="D624" s="25"/>
      <c r="E624" s="25"/>
      <c r="M624" s="12"/>
      <c r="N624" s="122"/>
      <c r="O624" s="122"/>
      <c r="P624" s="122"/>
      <c r="Q624" s="122"/>
    </row>
    <row r="625" spans="2:17" ht="14.25" customHeight="1" x14ac:dyDescent="0.3">
      <c r="B625" s="23"/>
      <c r="D625" s="25"/>
      <c r="E625" s="25"/>
      <c r="M625" s="12"/>
      <c r="N625" s="122"/>
      <c r="O625" s="122"/>
      <c r="P625" s="122"/>
      <c r="Q625" s="122"/>
    </row>
    <row r="626" spans="2:17" ht="14.25" customHeight="1" x14ac:dyDescent="0.3">
      <c r="B626" s="23"/>
      <c r="D626" s="25"/>
      <c r="E626" s="25"/>
      <c r="M626" s="12"/>
      <c r="N626" s="122"/>
      <c r="O626" s="122"/>
      <c r="P626" s="122"/>
      <c r="Q626" s="122"/>
    </row>
    <row r="627" spans="2:17" ht="14.25" customHeight="1" x14ac:dyDescent="0.3">
      <c r="B627" s="23"/>
      <c r="D627" s="25"/>
      <c r="E627" s="25"/>
      <c r="M627" s="12"/>
      <c r="N627" s="122"/>
      <c r="O627" s="122"/>
      <c r="P627" s="122"/>
      <c r="Q627" s="122"/>
    </row>
    <row r="628" spans="2:17" ht="14.25" customHeight="1" x14ac:dyDescent="0.3">
      <c r="B628" s="23"/>
      <c r="D628" s="25"/>
      <c r="E628" s="25"/>
      <c r="M628" s="12"/>
      <c r="N628" s="122"/>
      <c r="O628" s="122"/>
      <c r="P628" s="122"/>
      <c r="Q628" s="122"/>
    </row>
    <row r="629" spans="2:17" ht="14.25" customHeight="1" x14ac:dyDescent="0.3">
      <c r="B629" s="23"/>
      <c r="D629" s="25"/>
      <c r="E629" s="25"/>
      <c r="M629" s="12"/>
      <c r="N629" s="122"/>
      <c r="O629" s="122"/>
      <c r="P629" s="122"/>
      <c r="Q629" s="122"/>
    </row>
    <row r="630" spans="2:17" ht="14.25" customHeight="1" x14ac:dyDescent="0.3">
      <c r="B630" s="23"/>
      <c r="D630" s="25"/>
      <c r="E630" s="25"/>
      <c r="M630" s="12"/>
      <c r="N630" s="122"/>
      <c r="O630" s="122"/>
      <c r="P630" s="122"/>
      <c r="Q630" s="122"/>
    </row>
    <row r="631" spans="2:17" ht="14.25" customHeight="1" x14ac:dyDescent="0.3">
      <c r="B631" s="23"/>
      <c r="D631" s="25"/>
      <c r="E631" s="25"/>
      <c r="M631" s="12"/>
      <c r="N631" s="122"/>
      <c r="O631" s="122"/>
      <c r="P631" s="122"/>
      <c r="Q631" s="122"/>
    </row>
    <row r="632" spans="2:17" ht="14.25" customHeight="1" x14ac:dyDescent="0.3">
      <c r="B632" s="23"/>
      <c r="D632" s="25"/>
      <c r="E632" s="25"/>
      <c r="M632" s="12"/>
      <c r="N632" s="122"/>
      <c r="O632" s="122"/>
      <c r="P632" s="122"/>
      <c r="Q632" s="122"/>
    </row>
    <row r="633" spans="2:17" ht="14.25" customHeight="1" x14ac:dyDescent="0.3">
      <c r="B633" s="23"/>
      <c r="D633" s="25"/>
      <c r="E633" s="25"/>
      <c r="M633" s="12"/>
      <c r="N633" s="122"/>
      <c r="O633" s="122"/>
      <c r="P633" s="122"/>
      <c r="Q633" s="122"/>
    </row>
    <row r="634" spans="2:17" ht="14.25" customHeight="1" x14ac:dyDescent="0.3">
      <c r="B634" s="23"/>
      <c r="D634" s="25"/>
      <c r="E634" s="25"/>
      <c r="M634" s="12"/>
      <c r="N634" s="122"/>
      <c r="O634" s="122"/>
      <c r="P634" s="122"/>
      <c r="Q634" s="122"/>
    </row>
    <row r="635" spans="2:17" ht="14.25" customHeight="1" x14ac:dyDescent="0.3">
      <c r="B635" s="23"/>
      <c r="D635" s="25"/>
      <c r="E635" s="25"/>
      <c r="M635" s="12"/>
      <c r="N635" s="122"/>
      <c r="O635" s="122"/>
      <c r="P635" s="122"/>
      <c r="Q635" s="122"/>
    </row>
    <row r="636" spans="2:17" ht="14.25" customHeight="1" x14ac:dyDescent="0.3">
      <c r="B636" s="23"/>
      <c r="D636" s="25"/>
      <c r="E636" s="25"/>
      <c r="M636" s="12"/>
      <c r="N636" s="122"/>
      <c r="O636" s="122"/>
      <c r="P636" s="122"/>
      <c r="Q636" s="122"/>
    </row>
    <row r="637" spans="2:17" ht="14.25" customHeight="1" x14ac:dyDescent="0.3">
      <c r="B637" s="23"/>
      <c r="D637" s="25"/>
      <c r="E637" s="25"/>
      <c r="M637" s="12"/>
      <c r="N637" s="122"/>
      <c r="O637" s="122"/>
      <c r="P637" s="122"/>
      <c r="Q637" s="122"/>
    </row>
    <row r="638" spans="2:17" ht="14.25" customHeight="1" x14ac:dyDescent="0.3">
      <c r="B638" s="23"/>
      <c r="D638" s="25"/>
      <c r="E638" s="25"/>
      <c r="M638" s="12"/>
      <c r="N638" s="122"/>
      <c r="O638" s="122"/>
      <c r="P638" s="122"/>
      <c r="Q638" s="122"/>
    </row>
    <row r="639" spans="2:17" ht="14.25" customHeight="1" x14ac:dyDescent="0.3">
      <c r="B639" s="23"/>
      <c r="D639" s="25"/>
      <c r="E639" s="25"/>
      <c r="M639" s="12"/>
      <c r="N639" s="122"/>
      <c r="O639" s="122"/>
      <c r="P639" s="122"/>
      <c r="Q639" s="122"/>
    </row>
    <row r="640" spans="2:17" ht="14.25" customHeight="1" x14ac:dyDescent="0.3">
      <c r="B640" s="23"/>
      <c r="D640" s="25"/>
      <c r="E640" s="25"/>
      <c r="M640" s="12"/>
      <c r="N640" s="122"/>
      <c r="O640" s="122"/>
      <c r="P640" s="122"/>
      <c r="Q640" s="122"/>
    </row>
    <row r="641" spans="2:17" ht="14.25" customHeight="1" x14ac:dyDescent="0.3">
      <c r="B641" s="23"/>
      <c r="D641" s="25"/>
      <c r="E641" s="25"/>
      <c r="M641" s="12"/>
      <c r="N641" s="122"/>
      <c r="O641" s="122"/>
      <c r="P641" s="122"/>
      <c r="Q641" s="122"/>
    </row>
    <row r="642" spans="2:17" ht="14.25" customHeight="1" x14ac:dyDescent="0.3">
      <c r="B642" s="23"/>
      <c r="D642" s="25"/>
      <c r="E642" s="25"/>
      <c r="M642" s="12"/>
      <c r="N642" s="122"/>
      <c r="O642" s="122"/>
      <c r="P642" s="122"/>
      <c r="Q642" s="122"/>
    </row>
    <row r="643" spans="2:17" ht="14.25" customHeight="1" x14ac:dyDescent="0.3">
      <c r="B643" s="23"/>
      <c r="D643" s="25"/>
      <c r="E643" s="25"/>
      <c r="M643" s="12"/>
      <c r="N643" s="122"/>
      <c r="O643" s="122"/>
      <c r="P643" s="122"/>
      <c r="Q643" s="122"/>
    </row>
    <row r="644" spans="2:17" ht="14.25" customHeight="1" x14ac:dyDescent="0.3">
      <c r="B644" s="23"/>
      <c r="D644" s="25"/>
      <c r="E644" s="25"/>
      <c r="M644" s="12"/>
      <c r="N644" s="122"/>
      <c r="O644" s="122"/>
      <c r="P644" s="122"/>
      <c r="Q644" s="122"/>
    </row>
    <row r="645" spans="2:17" ht="14.25" customHeight="1" x14ac:dyDescent="0.3">
      <c r="B645" s="23"/>
      <c r="D645" s="25"/>
      <c r="E645" s="25"/>
      <c r="M645" s="12"/>
      <c r="N645" s="122"/>
      <c r="O645" s="122"/>
      <c r="P645" s="122"/>
      <c r="Q645" s="122"/>
    </row>
    <row r="646" spans="2:17" ht="14.25" customHeight="1" x14ac:dyDescent="0.3">
      <c r="B646" s="23"/>
      <c r="D646" s="25"/>
      <c r="E646" s="25"/>
      <c r="M646" s="12"/>
      <c r="N646" s="122"/>
      <c r="O646" s="122"/>
      <c r="P646" s="122"/>
      <c r="Q646" s="122"/>
    </row>
    <row r="647" spans="2:17" ht="14.25" customHeight="1" x14ac:dyDescent="0.3">
      <c r="B647" s="23"/>
      <c r="D647" s="25"/>
      <c r="E647" s="25"/>
      <c r="M647" s="12"/>
      <c r="N647" s="122"/>
      <c r="O647" s="122"/>
      <c r="P647" s="122"/>
      <c r="Q647" s="122"/>
    </row>
    <row r="648" spans="2:17" ht="14.25" customHeight="1" x14ac:dyDescent="0.3">
      <c r="B648" s="23"/>
      <c r="D648" s="25"/>
      <c r="E648" s="25"/>
      <c r="M648" s="12"/>
      <c r="N648" s="122"/>
      <c r="O648" s="122"/>
      <c r="P648" s="122"/>
      <c r="Q648" s="122"/>
    </row>
    <row r="649" spans="2:17" ht="14.25" customHeight="1" x14ac:dyDescent="0.3">
      <c r="B649" s="23"/>
      <c r="D649" s="25"/>
      <c r="E649" s="25"/>
      <c r="M649" s="12"/>
      <c r="N649" s="122"/>
      <c r="O649" s="122"/>
      <c r="P649" s="122"/>
      <c r="Q649" s="122"/>
    </row>
    <row r="650" spans="2:17" ht="14.25" customHeight="1" x14ac:dyDescent="0.3">
      <c r="B650" s="23"/>
      <c r="D650" s="25"/>
      <c r="E650" s="25"/>
      <c r="M650" s="12"/>
      <c r="N650" s="122"/>
      <c r="O650" s="122"/>
      <c r="P650" s="122"/>
      <c r="Q650" s="122"/>
    </row>
    <row r="651" spans="2:17" ht="14.25" customHeight="1" x14ac:dyDescent="0.3">
      <c r="B651" s="23"/>
      <c r="D651" s="25"/>
      <c r="E651" s="25"/>
      <c r="M651" s="12"/>
      <c r="N651" s="122"/>
      <c r="O651" s="122"/>
      <c r="P651" s="122"/>
      <c r="Q651" s="122"/>
    </row>
    <row r="652" spans="2:17" ht="14.25" customHeight="1" x14ac:dyDescent="0.3">
      <c r="B652" s="23"/>
      <c r="D652" s="25"/>
      <c r="E652" s="25"/>
      <c r="M652" s="12"/>
      <c r="N652" s="122"/>
      <c r="O652" s="122"/>
      <c r="P652" s="122"/>
      <c r="Q652" s="122"/>
    </row>
    <row r="653" spans="2:17" ht="14.25" customHeight="1" x14ac:dyDescent="0.3">
      <c r="B653" s="23"/>
      <c r="D653" s="25"/>
      <c r="E653" s="25"/>
      <c r="M653" s="12"/>
      <c r="N653" s="122"/>
      <c r="O653" s="122"/>
      <c r="P653" s="122"/>
      <c r="Q653" s="122"/>
    </row>
    <row r="654" spans="2:17" ht="14.25" customHeight="1" x14ac:dyDescent="0.3">
      <c r="B654" s="23"/>
      <c r="D654" s="25"/>
      <c r="E654" s="25"/>
      <c r="M654" s="12"/>
      <c r="N654" s="122"/>
      <c r="O654" s="122"/>
      <c r="P654" s="122"/>
      <c r="Q654" s="122"/>
    </row>
    <row r="655" spans="2:17" ht="14.25" customHeight="1" x14ac:dyDescent="0.3">
      <c r="B655" s="23"/>
      <c r="D655" s="25"/>
      <c r="E655" s="25"/>
      <c r="M655" s="12"/>
      <c r="N655" s="122"/>
      <c r="O655" s="122"/>
      <c r="P655" s="122"/>
      <c r="Q655" s="122"/>
    </row>
    <row r="656" spans="2:17" ht="14.25" customHeight="1" x14ac:dyDescent="0.3">
      <c r="B656" s="23"/>
      <c r="D656" s="25"/>
      <c r="E656" s="25"/>
      <c r="M656" s="12"/>
      <c r="N656" s="122"/>
      <c r="O656" s="122"/>
      <c r="P656" s="122"/>
      <c r="Q656" s="122"/>
    </row>
    <row r="657" spans="2:17" ht="14.25" customHeight="1" x14ac:dyDescent="0.3">
      <c r="B657" s="23"/>
      <c r="D657" s="25"/>
      <c r="E657" s="25"/>
      <c r="M657" s="12"/>
      <c r="N657" s="122"/>
      <c r="O657" s="122"/>
      <c r="P657" s="122"/>
      <c r="Q657" s="122"/>
    </row>
    <row r="658" spans="2:17" ht="14.25" customHeight="1" x14ac:dyDescent="0.3">
      <c r="B658" s="23"/>
      <c r="D658" s="25"/>
      <c r="E658" s="25"/>
      <c r="M658" s="12"/>
      <c r="N658" s="122"/>
      <c r="O658" s="122"/>
      <c r="P658" s="122"/>
      <c r="Q658" s="122"/>
    </row>
    <row r="659" spans="2:17" ht="14.25" customHeight="1" x14ac:dyDescent="0.3">
      <c r="B659" s="23"/>
      <c r="D659" s="25"/>
      <c r="E659" s="25"/>
      <c r="M659" s="12"/>
      <c r="N659" s="122"/>
      <c r="O659" s="122"/>
      <c r="P659" s="122"/>
      <c r="Q659" s="122"/>
    </row>
    <row r="660" spans="2:17" ht="14.25" customHeight="1" x14ac:dyDescent="0.3">
      <c r="B660" s="23"/>
      <c r="D660" s="25"/>
      <c r="E660" s="25"/>
      <c r="M660" s="12"/>
      <c r="N660" s="122"/>
      <c r="O660" s="122"/>
      <c r="P660" s="122"/>
      <c r="Q660" s="122"/>
    </row>
    <row r="661" spans="2:17" ht="14.25" customHeight="1" x14ac:dyDescent="0.3">
      <c r="B661" s="23"/>
      <c r="D661" s="25"/>
      <c r="E661" s="25"/>
      <c r="M661" s="12"/>
      <c r="N661" s="122"/>
      <c r="O661" s="122"/>
      <c r="P661" s="122"/>
      <c r="Q661" s="122"/>
    </row>
    <row r="662" spans="2:17" ht="14.25" customHeight="1" x14ac:dyDescent="0.3">
      <c r="B662" s="23"/>
      <c r="D662" s="25"/>
      <c r="E662" s="25"/>
      <c r="M662" s="12"/>
      <c r="N662" s="122"/>
      <c r="O662" s="122"/>
      <c r="P662" s="122"/>
      <c r="Q662" s="122"/>
    </row>
    <row r="663" spans="2:17" ht="14.25" customHeight="1" x14ac:dyDescent="0.3">
      <c r="B663" s="23"/>
      <c r="D663" s="25"/>
      <c r="E663" s="25"/>
      <c r="M663" s="12"/>
      <c r="N663" s="122"/>
      <c r="O663" s="122"/>
      <c r="P663" s="122"/>
      <c r="Q663" s="122"/>
    </row>
    <row r="664" spans="2:17" ht="14.25" customHeight="1" x14ac:dyDescent="0.3">
      <c r="B664" s="23"/>
      <c r="D664" s="25"/>
      <c r="E664" s="25"/>
      <c r="M664" s="12"/>
      <c r="N664" s="122"/>
      <c r="O664" s="122"/>
      <c r="P664" s="122"/>
      <c r="Q664" s="122"/>
    </row>
    <row r="665" spans="2:17" ht="14.25" customHeight="1" x14ac:dyDescent="0.3">
      <c r="B665" s="23"/>
      <c r="D665" s="25"/>
      <c r="E665" s="25"/>
      <c r="M665" s="12"/>
      <c r="N665" s="122"/>
      <c r="O665" s="122"/>
      <c r="P665" s="122"/>
      <c r="Q665" s="122"/>
    </row>
    <row r="666" spans="2:17" ht="14.25" customHeight="1" x14ac:dyDescent="0.3">
      <c r="B666" s="23"/>
      <c r="D666" s="25"/>
      <c r="E666" s="25"/>
      <c r="M666" s="12"/>
      <c r="N666" s="122"/>
      <c r="O666" s="122"/>
      <c r="P666" s="122"/>
      <c r="Q666" s="122"/>
    </row>
    <row r="667" spans="2:17" ht="14.25" customHeight="1" x14ac:dyDescent="0.3">
      <c r="B667" s="23"/>
      <c r="D667" s="25"/>
      <c r="E667" s="25"/>
      <c r="M667" s="12"/>
      <c r="N667" s="122"/>
      <c r="O667" s="122"/>
      <c r="P667" s="122"/>
      <c r="Q667" s="122"/>
    </row>
    <row r="668" spans="2:17" ht="14.25" customHeight="1" x14ac:dyDescent="0.3">
      <c r="B668" s="23"/>
      <c r="D668" s="25"/>
      <c r="E668" s="25"/>
      <c r="M668" s="12"/>
      <c r="N668" s="122"/>
      <c r="O668" s="122"/>
      <c r="P668" s="122"/>
      <c r="Q668" s="122"/>
    </row>
    <row r="669" spans="2:17" ht="14.25" customHeight="1" x14ac:dyDescent="0.3">
      <c r="B669" s="23"/>
      <c r="D669" s="25"/>
      <c r="E669" s="25"/>
      <c r="M669" s="12"/>
      <c r="N669" s="122"/>
      <c r="O669" s="122"/>
      <c r="P669" s="122"/>
      <c r="Q669" s="122"/>
    </row>
    <row r="670" spans="2:17" ht="14.25" customHeight="1" x14ac:dyDescent="0.3">
      <c r="B670" s="23"/>
      <c r="D670" s="25"/>
      <c r="E670" s="25"/>
      <c r="M670" s="12"/>
      <c r="N670" s="122"/>
      <c r="O670" s="122"/>
      <c r="P670" s="122"/>
      <c r="Q670" s="122"/>
    </row>
    <row r="671" spans="2:17" ht="14.25" customHeight="1" x14ac:dyDescent="0.3">
      <c r="B671" s="23"/>
      <c r="D671" s="25"/>
      <c r="E671" s="25"/>
      <c r="M671" s="12"/>
      <c r="N671" s="122"/>
      <c r="O671" s="122"/>
      <c r="P671" s="122"/>
      <c r="Q671" s="122"/>
    </row>
    <row r="672" spans="2:17" ht="14.25" customHeight="1" x14ac:dyDescent="0.3">
      <c r="B672" s="23"/>
      <c r="D672" s="25"/>
      <c r="E672" s="25"/>
      <c r="M672" s="12"/>
      <c r="N672" s="122"/>
      <c r="O672" s="122"/>
      <c r="P672" s="122"/>
      <c r="Q672" s="122"/>
    </row>
    <row r="673" spans="2:17" ht="14.25" customHeight="1" x14ac:dyDescent="0.3">
      <c r="B673" s="23"/>
      <c r="D673" s="25"/>
      <c r="E673" s="25"/>
      <c r="M673" s="12"/>
      <c r="N673" s="122"/>
      <c r="O673" s="122"/>
      <c r="P673" s="122"/>
      <c r="Q673" s="122"/>
    </row>
    <row r="674" spans="2:17" ht="14.25" customHeight="1" x14ac:dyDescent="0.3">
      <c r="B674" s="23"/>
      <c r="D674" s="25"/>
      <c r="E674" s="25"/>
      <c r="M674" s="12"/>
      <c r="N674" s="122"/>
      <c r="O674" s="122"/>
      <c r="P674" s="122"/>
      <c r="Q674" s="122"/>
    </row>
    <row r="675" spans="2:17" ht="14.25" customHeight="1" x14ac:dyDescent="0.3">
      <c r="B675" s="23"/>
      <c r="D675" s="25"/>
      <c r="E675" s="25"/>
      <c r="M675" s="12"/>
      <c r="N675" s="122"/>
      <c r="O675" s="122"/>
      <c r="P675" s="122"/>
      <c r="Q675" s="122"/>
    </row>
    <row r="676" spans="2:17" ht="14.25" customHeight="1" x14ac:dyDescent="0.3">
      <c r="B676" s="23"/>
      <c r="D676" s="25"/>
      <c r="E676" s="25"/>
      <c r="M676" s="12"/>
      <c r="N676" s="122"/>
      <c r="O676" s="122"/>
      <c r="P676" s="122"/>
      <c r="Q676" s="122"/>
    </row>
    <row r="677" spans="2:17" ht="14.25" customHeight="1" x14ac:dyDescent="0.3">
      <c r="B677" s="23"/>
      <c r="D677" s="25"/>
      <c r="E677" s="25"/>
      <c r="M677" s="12"/>
      <c r="N677" s="122"/>
      <c r="O677" s="122"/>
      <c r="P677" s="122"/>
      <c r="Q677" s="122"/>
    </row>
    <row r="678" spans="2:17" ht="14.25" customHeight="1" x14ac:dyDescent="0.3">
      <c r="B678" s="23"/>
      <c r="D678" s="25"/>
      <c r="E678" s="25"/>
      <c r="M678" s="12"/>
      <c r="N678" s="122"/>
      <c r="O678" s="122"/>
      <c r="P678" s="122"/>
      <c r="Q678" s="122"/>
    </row>
    <row r="679" spans="2:17" ht="14.25" customHeight="1" x14ac:dyDescent="0.3">
      <c r="B679" s="23"/>
      <c r="D679" s="25"/>
      <c r="E679" s="25"/>
      <c r="M679" s="12"/>
      <c r="N679" s="122"/>
      <c r="O679" s="122"/>
      <c r="P679" s="122"/>
      <c r="Q679" s="122"/>
    </row>
    <row r="680" spans="2:17" ht="14.25" customHeight="1" x14ac:dyDescent="0.3">
      <c r="B680" s="23"/>
      <c r="D680" s="25"/>
      <c r="E680" s="25"/>
      <c r="M680" s="12"/>
      <c r="N680" s="122"/>
      <c r="O680" s="122"/>
      <c r="P680" s="122"/>
      <c r="Q680" s="122"/>
    </row>
    <row r="681" spans="2:17" ht="14.25" customHeight="1" x14ac:dyDescent="0.3">
      <c r="B681" s="23"/>
      <c r="D681" s="25"/>
      <c r="E681" s="25"/>
      <c r="M681" s="12"/>
      <c r="N681" s="122"/>
      <c r="O681" s="122"/>
      <c r="P681" s="122"/>
      <c r="Q681" s="122"/>
    </row>
    <row r="682" spans="2:17" ht="14.25" customHeight="1" x14ac:dyDescent="0.3">
      <c r="B682" s="23"/>
      <c r="D682" s="25"/>
      <c r="E682" s="25"/>
      <c r="M682" s="12"/>
      <c r="N682" s="122"/>
      <c r="O682" s="122"/>
      <c r="P682" s="122"/>
      <c r="Q682" s="122"/>
    </row>
    <row r="683" spans="2:17" ht="14.25" customHeight="1" x14ac:dyDescent="0.3">
      <c r="B683" s="23"/>
      <c r="D683" s="25"/>
      <c r="E683" s="25"/>
      <c r="M683" s="12"/>
      <c r="N683" s="122"/>
      <c r="O683" s="122"/>
      <c r="P683" s="122"/>
      <c r="Q683" s="122"/>
    </row>
    <row r="684" spans="2:17" ht="14.25" customHeight="1" x14ac:dyDescent="0.3">
      <c r="B684" s="23"/>
      <c r="D684" s="25"/>
      <c r="E684" s="25"/>
      <c r="M684" s="12"/>
      <c r="N684" s="122"/>
      <c r="O684" s="122"/>
      <c r="P684" s="122"/>
      <c r="Q684" s="122"/>
    </row>
    <row r="685" spans="2:17" ht="14.25" customHeight="1" x14ac:dyDescent="0.3">
      <c r="B685" s="23"/>
      <c r="D685" s="25"/>
      <c r="E685" s="25"/>
      <c r="M685" s="12"/>
      <c r="N685" s="122"/>
      <c r="O685" s="122"/>
      <c r="P685" s="122"/>
      <c r="Q685" s="122"/>
    </row>
    <row r="686" spans="2:17" ht="14.25" customHeight="1" x14ac:dyDescent="0.3">
      <c r="B686" s="23"/>
      <c r="D686" s="25"/>
      <c r="E686" s="25"/>
      <c r="M686" s="12"/>
      <c r="N686" s="122"/>
      <c r="O686" s="122"/>
      <c r="P686" s="122"/>
      <c r="Q686" s="122"/>
    </row>
    <row r="687" spans="2:17" ht="14.25" customHeight="1" x14ac:dyDescent="0.3">
      <c r="B687" s="23"/>
      <c r="D687" s="25"/>
      <c r="E687" s="25"/>
      <c r="M687" s="12"/>
      <c r="N687" s="122"/>
      <c r="O687" s="122"/>
      <c r="P687" s="122"/>
      <c r="Q687" s="122"/>
    </row>
    <row r="688" spans="2:17" ht="14.25" customHeight="1" x14ac:dyDescent="0.3">
      <c r="B688" s="23"/>
      <c r="D688" s="25"/>
      <c r="E688" s="25"/>
      <c r="M688" s="12"/>
      <c r="N688" s="122"/>
      <c r="O688" s="122"/>
      <c r="P688" s="122"/>
      <c r="Q688" s="122"/>
    </row>
    <row r="689" spans="2:17" ht="14.25" customHeight="1" x14ac:dyDescent="0.3">
      <c r="B689" s="23"/>
      <c r="D689" s="25"/>
      <c r="E689" s="25"/>
      <c r="M689" s="12"/>
      <c r="N689" s="122"/>
      <c r="O689" s="122"/>
      <c r="P689" s="122"/>
      <c r="Q689" s="122"/>
    </row>
    <row r="690" spans="2:17" ht="14.25" customHeight="1" x14ac:dyDescent="0.3">
      <c r="B690" s="23"/>
      <c r="D690" s="25"/>
      <c r="E690" s="25"/>
      <c r="M690" s="12"/>
      <c r="N690" s="122"/>
      <c r="O690" s="122"/>
      <c r="P690" s="122"/>
      <c r="Q690" s="122"/>
    </row>
    <row r="691" spans="2:17" ht="14.25" customHeight="1" x14ac:dyDescent="0.3">
      <c r="B691" s="23"/>
      <c r="D691" s="25"/>
      <c r="E691" s="25"/>
      <c r="M691" s="12"/>
      <c r="N691" s="122"/>
      <c r="O691" s="122"/>
      <c r="P691" s="122"/>
      <c r="Q691" s="122"/>
    </row>
    <row r="692" spans="2:17" ht="14.25" customHeight="1" x14ac:dyDescent="0.3">
      <c r="B692" s="23"/>
      <c r="D692" s="25"/>
      <c r="E692" s="25"/>
      <c r="M692" s="12"/>
      <c r="N692" s="122"/>
      <c r="O692" s="122"/>
      <c r="P692" s="122"/>
      <c r="Q692" s="122"/>
    </row>
    <row r="693" spans="2:17" ht="14.25" customHeight="1" x14ac:dyDescent="0.3">
      <c r="B693" s="23"/>
      <c r="D693" s="25"/>
      <c r="E693" s="25"/>
      <c r="M693" s="12"/>
      <c r="N693" s="122"/>
      <c r="O693" s="122"/>
      <c r="P693" s="122"/>
      <c r="Q693" s="122"/>
    </row>
    <row r="694" spans="2:17" ht="14.25" customHeight="1" x14ac:dyDescent="0.3">
      <c r="B694" s="23"/>
      <c r="D694" s="25"/>
      <c r="E694" s="25"/>
      <c r="M694" s="12"/>
      <c r="N694" s="122"/>
      <c r="O694" s="122"/>
      <c r="P694" s="122"/>
      <c r="Q694" s="122"/>
    </row>
    <row r="695" spans="2:17" ht="14.25" customHeight="1" x14ac:dyDescent="0.3">
      <c r="B695" s="23"/>
      <c r="D695" s="25"/>
      <c r="E695" s="25"/>
      <c r="M695" s="12"/>
      <c r="N695" s="122"/>
      <c r="O695" s="122"/>
      <c r="P695" s="122"/>
      <c r="Q695" s="122"/>
    </row>
    <row r="696" spans="2:17" ht="14.25" customHeight="1" x14ac:dyDescent="0.3">
      <c r="B696" s="23"/>
      <c r="D696" s="25"/>
      <c r="E696" s="25"/>
      <c r="M696" s="12"/>
      <c r="N696" s="122"/>
      <c r="O696" s="122"/>
      <c r="P696" s="122"/>
      <c r="Q696" s="122"/>
    </row>
    <row r="697" spans="2:17" ht="14.25" customHeight="1" x14ac:dyDescent="0.3">
      <c r="B697" s="23"/>
      <c r="D697" s="25"/>
      <c r="E697" s="25"/>
      <c r="M697" s="12"/>
      <c r="N697" s="122"/>
      <c r="O697" s="122"/>
      <c r="P697" s="122"/>
      <c r="Q697" s="122"/>
    </row>
    <row r="698" spans="2:17" ht="14.25" customHeight="1" x14ac:dyDescent="0.3">
      <c r="B698" s="23"/>
      <c r="D698" s="25"/>
      <c r="E698" s="25"/>
      <c r="M698" s="12"/>
      <c r="N698" s="122"/>
      <c r="O698" s="122"/>
      <c r="P698" s="122"/>
      <c r="Q698" s="122"/>
    </row>
    <row r="699" spans="2:17" ht="14.25" customHeight="1" x14ac:dyDescent="0.3">
      <c r="B699" s="23"/>
      <c r="D699" s="25"/>
      <c r="E699" s="25"/>
      <c r="M699" s="12"/>
      <c r="N699" s="122"/>
      <c r="O699" s="122"/>
      <c r="P699" s="122"/>
      <c r="Q699" s="122"/>
    </row>
    <row r="700" spans="2:17" ht="14.25" customHeight="1" x14ac:dyDescent="0.3">
      <c r="B700" s="23"/>
      <c r="D700" s="25"/>
      <c r="E700" s="25"/>
      <c r="M700" s="12"/>
      <c r="N700" s="122"/>
      <c r="O700" s="122"/>
      <c r="P700" s="122"/>
      <c r="Q700" s="122"/>
    </row>
    <row r="701" spans="2:17" ht="14.25" customHeight="1" x14ac:dyDescent="0.3">
      <c r="B701" s="23"/>
      <c r="D701" s="25"/>
      <c r="E701" s="25"/>
      <c r="M701" s="12"/>
      <c r="N701" s="122"/>
      <c r="O701" s="122"/>
      <c r="P701" s="122"/>
      <c r="Q701" s="122"/>
    </row>
    <row r="702" spans="2:17" ht="14.25" customHeight="1" x14ac:dyDescent="0.3">
      <c r="B702" s="23"/>
      <c r="D702" s="25"/>
      <c r="E702" s="25"/>
      <c r="M702" s="12"/>
      <c r="N702" s="122"/>
      <c r="O702" s="122"/>
      <c r="P702" s="122"/>
      <c r="Q702" s="122"/>
    </row>
    <row r="703" spans="2:17" ht="14.25" customHeight="1" x14ac:dyDescent="0.3">
      <c r="B703" s="23"/>
      <c r="D703" s="25"/>
      <c r="E703" s="25"/>
      <c r="M703" s="12"/>
      <c r="N703" s="122"/>
      <c r="O703" s="122"/>
      <c r="P703" s="122"/>
      <c r="Q703" s="122"/>
    </row>
    <row r="704" spans="2:17" ht="14.25" customHeight="1" x14ac:dyDescent="0.3">
      <c r="B704" s="23"/>
      <c r="D704" s="25"/>
      <c r="E704" s="25"/>
      <c r="M704" s="12"/>
      <c r="N704" s="122"/>
      <c r="O704" s="122"/>
      <c r="P704" s="122"/>
      <c r="Q704" s="122"/>
    </row>
    <row r="705" spans="2:17" ht="14.25" customHeight="1" x14ac:dyDescent="0.3">
      <c r="B705" s="23"/>
      <c r="D705" s="25"/>
      <c r="E705" s="25"/>
      <c r="M705" s="12"/>
      <c r="N705" s="122"/>
      <c r="O705" s="122"/>
      <c r="P705" s="122"/>
      <c r="Q705" s="122"/>
    </row>
    <row r="706" spans="2:17" ht="14.25" customHeight="1" x14ac:dyDescent="0.3">
      <c r="B706" s="23"/>
      <c r="D706" s="25"/>
      <c r="E706" s="25"/>
      <c r="M706" s="12"/>
      <c r="N706" s="122"/>
      <c r="O706" s="122"/>
      <c r="P706" s="122"/>
      <c r="Q706" s="122"/>
    </row>
    <row r="707" spans="2:17" ht="14.25" customHeight="1" x14ac:dyDescent="0.3">
      <c r="B707" s="23"/>
      <c r="D707" s="25"/>
      <c r="E707" s="25"/>
      <c r="M707" s="12"/>
      <c r="N707" s="122"/>
      <c r="O707" s="122"/>
      <c r="P707" s="122"/>
      <c r="Q707" s="122"/>
    </row>
    <row r="708" spans="2:17" ht="14.25" customHeight="1" x14ac:dyDescent="0.3">
      <c r="B708" s="23"/>
      <c r="D708" s="25"/>
      <c r="E708" s="25"/>
      <c r="M708" s="12"/>
      <c r="N708" s="122"/>
      <c r="O708" s="122"/>
      <c r="P708" s="122"/>
      <c r="Q708" s="122"/>
    </row>
    <row r="709" spans="2:17" ht="14.25" customHeight="1" x14ac:dyDescent="0.3">
      <c r="B709" s="23"/>
      <c r="D709" s="25"/>
      <c r="E709" s="25"/>
      <c r="M709" s="12"/>
      <c r="N709" s="122"/>
      <c r="O709" s="122"/>
      <c r="P709" s="122"/>
      <c r="Q709" s="122"/>
    </row>
    <row r="710" spans="2:17" ht="14.25" customHeight="1" x14ac:dyDescent="0.3">
      <c r="B710" s="23"/>
      <c r="D710" s="25"/>
      <c r="E710" s="25"/>
      <c r="M710" s="12"/>
      <c r="N710" s="122"/>
      <c r="O710" s="122"/>
      <c r="P710" s="122"/>
      <c r="Q710" s="122"/>
    </row>
    <row r="711" spans="2:17" ht="14.25" customHeight="1" x14ac:dyDescent="0.3">
      <c r="B711" s="23"/>
      <c r="D711" s="25"/>
      <c r="E711" s="25"/>
      <c r="M711" s="12"/>
      <c r="N711" s="122"/>
      <c r="O711" s="122"/>
      <c r="P711" s="122"/>
      <c r="Q711" s="122"/>
    </row>
    <row r="712" spans="2:17" ht="14.25" customHeight="1" x14ac:dyDescent="0.3">
      <c r="B712" s="23"/>
      <c r="D712" s="25"/>
      <c r="E712" s="25"/>
      <c r="M712" s="12"/>
      <c r="N712" s="122"/>
      <c r="O712" s="122"/>
      <c r="P712" s="122"/>
      <c r="Q712" s="122"/>
    </row>
    <row r="713" spans="2:17" ht="14.25" customHeight="1" x14ac:dyDescent="0.3">
      <c r="B713" s="23"/>
      <c r="D713" s="25"/>
      <c r="E713" s="25"/>
      <c r="M713" s="12"/>
      <c r="N713" s="122"/>
      <c r="O713" s="122"/>
      <c r="P713" s="122"/>
      <c r="Q713" s="122"/>
    </row>
    <row r="714" spans="2:17" ht="14.25" customHeight="1" x14ac:dyDescent="0.3">
      <c r="B714" s="23"/>
      <c r="D714" s="25"/>
      <c r="E714" s="25"/>
      <c r="M714" s="12"/>
      <c r="N714" s="122"/>
      <c r="O714" s="122"/>
      <c r="P714" s="122"/>
      <c r="Q714" s="122"/>
    </row>
    <row r="715" spans="2:17" ht="14.25" customHeight="1" x14ac:dyDescent="0.3">
      <c r="B715" s="23"/>
      <c r="D715" s="25"/>
      <c r="E715" s="25"/>
      <c r="M715" s="12"/>
      <c r="N715" s="122"/>
      <c r="O715" s="122"/>
      <c r="P715" s="122"/>
      <c r="Q715" s="122"/>
    </row>
    <row r="716" spans="2:17" ht="14.25" customHeight="1" x14ac:dyDescent="0.3">
      <c r="B716" s="23"/>
      <c r="D716" s="25"/>
      <c r="E716" s="25"/>
      <c r="M716" s="12"/>
      <c r="N716" s="122"/>
      <c r="O716" s="122"/>
      <c r="P716" s="122"/>
      <c r="Q716" s="122"/>
    </row>
    <row r="717" spans="2:17" ht="14.25" customHeight="1" x14ac:dyDescent="0.3">
      <c r="B717" s="23"/>
      <c r="D717" s="25"/>
      <c r="E717" s="25"/>
      <c r="M717" s="12"/>
      <c r="N717" s="122"/>
      <c r="O717" s="122"/>
      <c r="P717" s="122"/>
      <c r="Q717" s="122"/>
    </row>
    <row r="718" spans="2:17" ht="14.25" customHeight="1" x14ac:dyDescent="0.3">
      <c r="B718" s="23"/>
      <c r="D718" s="25"/>
      <c r="E718" s="25"/>
      <c r="M718" s="12"/>
      <c r="N718" s="122"/>
      <c r="O718" s="122"/>
      <c r="P718" s="122"/>
      <c r="Q718" s="122"/>
    </row>
    <row r="719" spans="2:17" ht="14.25" customHeight="1" x14ac:dyDescent="0.3">
      <c r="B719" s="23"/>
      <c r="D719" s="25"/>
      <c r="E719" s="25"/>
      <c r="M719" s="12"/>
      <c r="N719" s="122"/>
      <c r="O719" s="122"/>
      <c r="P719" s="122"/>
      <c r="Q719" s="122"/>
    </row>
    <row r="720" spans="2:17" ht="14.25" customHeight="1" x14ac:dyDescent="0.3">
      <c r="B720" s="23"/>
      <c r="D720" s="25"/>
      <c r="E720" s="25"/>
      <c r="M720" s="12"/>
      <c r="N720" s="122"/>
      <c r="O720" s="122"/>
      <c r="P720" s="122"/>
      <c r="Q720" s="122"/>
    </row>
    <row r="721" spans="2:17" ht="14.25" customHeight="1" x14ac:dyDescent="0.3">
      <c r="B721" s="23"/>
      <c r="D721" s="25"/>
      <c r="E721" s="25"/>
      <c r="M721" s="12"/>
      <c r="N721" s="122"/>
      <c r="O721" s="122"/>
      <c r="P721" s="122"/>
      <c r="Q721" s="122"/>
    </row>
    <row r="722" spans="2:17" ht="14.25" customHeight="1" x14ac:dyDescent="0.3">
      <c r="B722" s="23"/>
      <c r="D722" s="25"/>
      <c r="E722" s="25"/>
      <c r="M722" s="12"/>
      <c r="N722" s="122"/>
      <c r="O722" s="122"/>
      <c r="P722" s="122"/>
      <c r="Q722" s="122"/>
    </row>
    <row r="723" spans="2:17" ht="14.25" customHeight="1" x14ac:dyDescent="0.3">
      <c r="B723" s="23"/>
      <c r="D723" s="25"/>
      <c r="E723" s="25"/>
      <c r="M723" s="12"/>
      <c r="N723" s="122"/>
      <c r="O723" s="122"/>
      <c r="P723" s="122"/>
      <c r="Q723" s="122"/>
    </row>
    <row r="724" spans="2:17" ht="14.25" customHeight="1" x14ac:dyDescent="0.3">
      <c r="B724" s="23"/>
      <c r="D724" s="25"/>
      <c r="E724" s="25"/>
      <c r="M724" s="12"/>
      <c r="N724" s="122"/>
      <c r="O724" s="122"/>
      <c r="P724" s="122"/>
      <c r="Q724" s="122"/>
    </row>
    <row r="725" spans="2:17" ht="14.25" customHeight="1" x14ac:dyDescent="0.3">
      <c r="B725" s="23"/>
      <c r="D725" s="25"/>
      <c r="E725" s="25"/>
      <c r="M725" s="12"/>
      <c r="N725" s="122"/>
      <c r="O725" s="122"/>
      <c r="P725" s="122"/>
      <c r="Q725" s="122"/>
    </row>
    <row r="726" spans="2:17" ht="14.25" customHeight="1" x14ac:dyDescent="0.3">
      <c r="B726" s="23"/>
      <c r="D726" s="25"/>
      <c r="E726" s="25"/>
      <c r="M726" s="12"/>
      <c r="N726" s="122"/>
      <c r="O726" s="122"/>
      <c r="P726" s="122"/>
      <c r="Q726" s="122"/>
    </row>
    <row r="727" spans="2:17" ht="14.25" customHeight="1" x14ac:dyDescent="0.3">
      <c r="B727" s="23"/>
      <c r="D727" s="25"/>
      <c r="E727" s="25"/>
      <c r="M727" s="12"/>
      <c r="N727" s="122"/>
      <c r="O727" s="122"/>
      <c r="P727" s="122"/>
      <c r="Q727" s="122"/>
    </row>
    <row r="728" spans="2:17" ht="14.25" customHeight="1" x14ac:dyDescent="0.3">
      <c r="B728" s="23"/>
      <c r="D728" s="25"/>
      <c r="E728" s="25"/>
      <c r="M728" s="12"/>
      <c r="N728" s="122"/>
      <c r="O728" s="122"/>
      <c r="P728" s="122"/>
      <c r="Q728" s="122"/>
    </row>
    <row r="729" spans="2:17" ht="14.25" customHeight="1" x14ac:dyDescent="0.3">
      <c r="B729" s="23"/>
      <c r="D729" s="25"/>
      <c r="E729" s="25"/>
      <c r="M729" s="12"/>
      <c r="N729" s="122"/>
      <c r="O729" s="122"/>
      <c r="P729" s="122"/>
      <c r="Q729" s="122"/>
    </row>
    <row r="730" spans="2:17" ht="14.25" customHeight="1" x14ac:dyDescent="0.3">
      <c r="B730" s="23"/>
      <c r="D730" s="25"/>
      <c r="E730" s="25"/>
      <c r="M730" s="12"/>
      <c r="N730" s="122"/>
      <c r="O730" s="122"/>
      <c r="P730" s="122"/>
      <c r="Q730" s="122"/>
    </row>
    <row r="731" spans="2:17" ht="14.25" customHeight="1" x14ac:dyDescent="0.3">
      <c r="B731" s="23"/>
      <c r="D731" s="25"/>
      <c r="E731" s="25"/>
      <c r="M731" s="12"/>
      <c r="N731" s="122"/>
      <c r="O731" s="122"/>
      <c r="P731" s="122"/>
      <c r="Q731" s="122"/>
    </row>
    <row r="732" spans="2:17" ht="14.25" customHeight="1" x14ac:dyDescent="0.3">
      <c r="B732" s="23"/>
      <c r="D732" s="25"/>
      <c r="E732" s="25"/>
      <c r="M732" s="12"/>
      <c r="N732" s="122"/>
      <c r="O732" s="122"/>
      <c r="P732" s="122"/>
      <c r="Q732" s="122"/>
    </row>
    <row r="733" spans="2:17" ht="14.25" customHeight="1" x14ac:dyDescent="0.3">
      <c r="B733" s="23"/>
      <c r="D733" s="25"/>
      <c r="E733" s="25"/>
      <c r="M733" s="12"/>
      <c r="N733" s="122"/>
      <c r="O733" s="122"/>
      <c r="P733" s="122"/>
      <c r="Q733" s="122"/>
    </row>
    <row r="734" spans="2:17" ht="14.25" customHeight="1" x14ac:dyDescent="0.3">
      <c r="B734" s="23"/>
      <c r="D734" s="25"/>
      <c r="E734" s="25"/>
      <c r="M734" s="12"/>
      <c r="N734" s="122"/>
      <c r="O734" s="122"/>
      <c r="P734" s="122"/>
      <c r="Q734" s="122"/>
    </row>
    <row r="735" spans="2:17" ht="14.25" customHeight="1" x14ac:dyDescent="0.3">
      <c r="B735" s="23"/>
      <c r="D735" s="25"/>
      <c r="E735" s="25"/>
      <c r="M735" s="12"/>
      <c r="N735" s="122"/>
      <c r="O735" s="122"/>
      <c r="P735" s="122"/>
      <c r="Q735" s="122"/>
    </row>
    <row r="736" spans="2:17" ht="14.25" customHeight="1" x14ac:dyDescent="0.3">
      <c r="B736" s="23"/>
      <c r="D736" s="25"/>
      <c r="E736" s="25"/>
      <c r="M736" s="12"/>
      <c r="N736" s="122"/>
      <c r="O736" s="122"/>
      <c r="P736" s="122"/>
      <c r="Q736" s="122"/>
    </row>
    <row r="737" spans="2:17" ht="14.25" customHeight="1" x14ac:dyDescent="0.3">
      <c r="B737" s="23"/>
      <c r="D737" s="25"/>
      <c r="E737" s="25"/>
      <c r="M737" s="12"/>
      <c r="N737" s="122"/>
      <c r="O737" s="122"/>
      <c r="P737" s="122"/>
      <c r="Q737" s="122"/>
    </row>
    <row r="738" spans="2:17" ht="14.25" customHeight="1" x14ac:dyDescent="0.3">
      <c r="B738" s="23"/>
      <c r="D738" s="25"/>
      <c r="E738" s="25"/>
      <c r="M738" s="12"/>
      <c r="N738" s="122"/>
      <c r="O738" s="122"/>
      <c r="P738" s="122"/>
      <c r="Q738" s="122"/>
    </row>
    <row r="739" spans="2:17" ht="14.25" customHeight="1" x14ac:dyDescent="0.3">
      <c r="B739" s="23"/>
      <c r="D739" s="25"/>
      <c r="E739" s="25"/>
      <c r="M739" s="12"/>
      <c r="N739" s="122"/>
      <c r="O739" s="122"/>
      <c r="P739" s="122"/>
      <c r="Q739" s="122"/>
    </row>
    <row r="740" spans="2:17" ht="14.25" customHeight="1" x14ac:dyDescent="0.3">
      <c r="B740" s="23"/>
      <c r="D740" s="25"/>
      <c r="E740" s="25"/>
      <c r="M740" s="12"/>
      <c r="N740" s="122"/>
      <c r="O740" s="122"/>
      <c r="P740" s="122"/>
      <c r="Q740" s="122"/>
    </row>
    <row r="741" spans="2:17" ht="14.25" customHeight="1" x14ac:dyDescent="0.3">
      <c r="B741" s="23"/>
      <c r="D741" s="25"/>
      <c r="E741" s="25"/>
      <c r="M741" s="12"/>
      <c r="N741" s="122"/>
      <c r="O741" s="122"/>
      <c r="P741" s="122"/>
      <c r="Q741" s="122"/>
    </row>
    <row r="742" spans="2:17" ht="14.25" customHeight="1" x14ac:dyDescent="0.3">
      <c r="B742" s="23"/>
      <c r="D742" s="25"/>
      <c r="E742" s="25"/>
      <c r="M742" s="12"/>
      <c r="N742" s="122"/>
      <c r="O742" s="122"/>
      <c r="P742" s="122"/>
      <c r="Q742" s="122"/>
    </row>
    <row r="743" spans="2:17" ht="14.25" customHeight="1" x14ac:dyDescent="0.3">
      <c r="B743" s="23"/>
      <c r="D743" s="25"/>
      <c r="E743" s="25"/>
      <c r="M743" s="12"/>
      <c r="N743" s="122"/>
      <c r="O743" s="122"/>
      <c r="P743" s="122"/>
      <c r="Q743" s="122"/>
    </row>
    <row r="744" spans="2:17" ht="14.25" customHeight="1" x14ac:dyDescent="0.3">
      <c r="B744" s="23"/>
      <c r="D744" s="25"/>
      <c r="E744" s="25"/>
      <c r="M744" s="12"/>
      <c r="N744" s="122"/>
      <c r="O744" s="122"/>
      <c r="P744" s="122"/>
      <c r="Q744" s="122"/>
    </row>
    <row r="745" spans="2:17" ht="14.25" customHeight="1" x14ac:dyDescent="0.3">
      <c r="B745" s="23"/>
      <c r="D745" s="25"/>
      <c r="E745" s="25"/>
      <c r="M745" s="12"/>
      <c r="N745" s="122"/>
      <c r="O745" s="122"/>
      <c r="P745" s="122"/>
      <c r="Q745" s="122"/>
    </row>
    <row r="746" spans="2:17" ht="14.25" customHeight="1" x14ac:dyDescent="0.3">
      <c r="B746" s="23"/>
      <c r="D746" s="25"/>
      <c r="E746" s="25"/>
      <c r="M746" s="12"/>
      <c r="N746" s="122"/>
      <c r="O746" s="122"/>
      <c r="P746" s="122"/>
      <c r="Q746" s="122"/>
    </row>
    <row r="747" spans="2:17" ht="14.25" customHeight="1" x14ac:dyDescent="0.3">
      <c r="B747" s="23"/>
      <c r="D747" s="25"/>
      <c r="E747" s="25"/>
      <c r="M747" s="12"/>
      <c r="N747" s="122"/>
      <c r="O747" s="122"/>
      <c r="P747" s="122"/>
      <c r="Q747" s="122"/>
    </row>
    <row r="748" spans="2:17" ht="14.25" customHeight="1" x14ac:dyDescent="0.3">
      <c r="B748" s="23"/>
      <c r="D748" s="25"/>
      <c r="E748" s="25"/>
      <c r="M748" s="12"/>
      <c r="N748" s="122"/>
      <c r="O748" s="122"/>
      <c r="P748" s="122"/>
      <c r="Q748" s="122"/>
    </row>
    <row r="749" spans="2:17" ht="14.25" customHeight="1" x14ac:dyDescent="0.3">
      <c r="B749" s="23"/>
      <c r="D749" s="25"/>
      <c r="E749" s="25"/>
      <c r="M749" s="12"/>
      <c r="N749" s="122"/>
      <c r="O749" s="122"/>
      <c r="P749" s="122"/>
      <c r="Q749" s="122"/>
    </row>
    <row r="750" spans="2:17" ht="14.25" customHeight="1" x14ac:dyDescent="0.3">
      <c r="B750" s="23"/>
      <c r="D750" s="25"/>
      <c r="E750" s="25"/>
      <c r="M750" s="12"/>
      <c r="N750" s="122"/>
      <c r="O750" s="122"/>
      <c r="P750" s="122"/>
      <c r="Q750" s="122"/>
    </row>
    <row r="751" spans="2:17" ht="14.25" customHeight="1" x14ac:dyDescent="0.3">
      <c r="B751" s="23"/>
      <c r="D751" s="25"/>
      <c r="E751" s="25"/>
      <c r="M751" s="12"/>
      <c r="N751" s="122"/>
      <c r="O751" s="122"/>
      <c r="P751" s="122"/>
      <c r="Q751" s="122"/>
    </row>
    <row r="752" spans="2:17" ht="14.25" customHeight="1" x14ac:dyDescent="0.3">
      <c r="B752" s="23"/>
      <c r="D752" s="25"/>
      <c r="E752" s="25"/>
      <c r="M752" s="12"/>
      <c r="N752" s="122"/>
      <c r="O752" s="122"/>
      <c r="P752" s="122"/>
      <c r="Q752" s="122"/>
    </row>
    <row r="753" spans="2:17" ht="14.25" customHeight="1" x14ac:dyDescent="0.3">
      <c r="B753" s="23"/>
      <c r="D753" s="25"/>
      <c r="E753" s="25"/>
      <c r="M753" s="12"/>
      <c r="N753" s="122"/>
      <c r="O753" s="122"/>
      <c r="P753" s="122"/>
      <c r="Q753" s="122"/>
    </row>
    <row r="754" spans="2:17" ht="14.25" customHeight="1" x14ac:dyDescent="0.3">
      <c r="B754" s="23"/>
      <c r="D754" s="25"/>
      <c r="E754" s="25"/>
      <c r="M754" s="12"/>
      <c r="N754" s="122"/>
      <c r="O754" s="122"/>
      <c r="P754" s="122"/>
      <c r="Q754" s="122"/>
    </row>
    <row r="755" spans="2:17" ht="14.25" customHeight="1" x14ac:dyDescent="0.3">
      <c r="B755" s="23"/>
      <c r="D755" s="25"/>
      <c r="E755" s="25"/>
      <c r="M755" s="12"/>
      <c r="N755" s="122"/>
      <c r="O755" s="122"/>
      <c r="P755" s="122"/>
      <c r="Q755" s="122"/>
    </row>
    <row r="756" spans="2:17" ht="14.25" customHeight="1" x14ac:dyDescent="0.3">
      <c r="B756" s="23"/>
      <c r="D756" s="25"/>
      <c r="E756" s="25"/>
      <c r="M756" s="12"/>
      <c r="N756" s="122"/>
      <c r="O756" s="122"/>
      <c r="P756" s="122"/>
      <c r="Q756" s="122"/>
    </row>
    <row r="757" spans="2:17" ht="14.25" customHeight="1" x14ac:dyDescent="0.3">
      <c r="B757" s="23"/>
      <c r="D757" s="25"/>
      <c r="E757" s="25"/>
      <c r="M757" s="12"/>
      <c r="N757" s="122"/>
      <c r="O757" s="122"/>
      <c r="P757" s="122"/>
      <c r="Q757" s="122"/>
    </row>
    <row r="758" spans="2:17" ht="14.25" customHeight="1" x14ac:dyDescent="0.3">
      <c r="B758" s="23"/>
      <c r="D758" s="25"/>
      <c r="E758" s="25"/>
      <c r="M758" s="12"/>
      <c r="N758" s="122"/>
      <c r="O758" s="122"/>
      <c r="P758" s="122"/>
      <c r="Q758" s="122"/>
    </row>
    <row r="759" spans="2:17" ht="14.25" customHeight="1" x14ac:dyDescent="0.3">
      <c r="B759" s="23"/>
      <c r="D759" s="25"/>
      <c r="E759" s="25"/>
      <c r="M759" s="12"/>
      <c r="N759" s="122"/>
      <c r="O759" s="122"/>
      <c r="P759" s="122"/>
      <c r="Q759" s="122"/>
    </row>
    <row r="760" spans="2:17" ht="14.25" customHeight="1" x14ac:dyDescent="0.3">
      <c r="B760" s="23"/>
      <c r="D760" s="25"/>
      <c r="E760" s="25"/>
      <c r="M760" s="12"/>
      <c r="N760" s="122"/>
      <c r="O760" s="122"/>
      <c r="P760" s="122"/>
      <c r="Q760" s="122"/>
    </row>
    <row r="761" spans="2:17" ht="14.25" customHeight="1" x14ac:dyDescent="0.3">
      <c r="B761" s="23"/>
      <c r="D761" s="25"/>
      <c r="E761" s="25"/>
      <c r="M761" s="12"/>
      <c r="N761" s="122"/>
      <c r="O761" s="122"/>
      <c r="P761" s="122"/>
      <c r="Q761" s="122"/>
    </row>
    <row r="762" spans="2:17" ht="14.25" customHeight="1" x14ac:dyDescent="0.3">
      <c r="B762" s="23"/>
      <c r="D762" s="25"/>
      <c r="E762" s="25"/>
      <c r="M762" s="12"/>
      <c r="N762" s="122"/>
      <c r="O762" s="122"/>
      <c r="P762" s="122"/>
      <c r="Q762" s="122"/>
    </row>
    <row r="763" spans="2:17" ht="14.25" customHeight="1" x14ac:dyDescent="0.3">
      <c r="B763" s="23"/>
      <c r="D763" s="25"/>
      <c r="E763" s="25"/>
      <c r="M763" s="12"/>
      <c r="N763" s="122"/>
      <c r="O763" s="122"/>
      <c r="P763" s="122"/>
      <c r="Q763" s="122"/>
    </row>
    <row r="764" spans="2:17" ht="14.25" customHeight="1" x14ac:dyDescent="0.3">
      <c r="B764" s="23"/>
      <c r="D764" s="25"/>
      <c r="E764" s="25"/>
      <c r="M764" s="12"/>
      <c r="N764" s="122"/>
      <c r="O764" s="122"/>
      <c r="P764" s="122"/>
      <c r="Q764" s="122"/>
    </row>
    <row r="765" spans="2:17" ht="14.25" customHeight="1" x14ac:dyDescent="0.3">
      <c r="B765" s="23"/>
      <c r="D765" s="25"/>
      <c r="E765" s="25"/>
      <c r="M765" s="12"/>
      <c r="N765" s="122"/>
      <c r="O765" s="122"/>
      <c r="P765" s="122"/>
      <c r="Q765" s="122"/>
    </row>
    <row r="766" spans="2:17" ht="14.25" customHeight="1" x14ac:dyDescent="0.3">
      <c r="B766" s="23"/>
      <c r="D766" s="25"/>
      <c r="E766" s="25"/>
      <c r="M766" s="12"/>
      <c r="N766" s="122"/>
      <c r="O766" s="122"/>
      <c r="P766" s="122"/>
      <c r="Q766" s="122"/>
    </row>
    <row r="767" spans="2:17" ht="14.25" customHeight="1" x14ac:dyDescent="0.3">
      <c r="B767" s="23"/>
      <c r="D767" s="25"/>
      <c r="E767" s="25"/>
      <c r="M767" s="12"/>
      <c r="N767" s="122"/>
      <c r="O767" s="122"/>
      <c r="P767" s="122"/>
      <c r="Q767" s="122"/>
    </row>
    <row r="768" spans="2:17" ht="14.25" customHeight="1" x14ac:dyDescent="0.3">
      <c r="B768" s="23"/>
      <c r="D768" s="25"/>
      <c r="E768" s="25"/>
      <c r="M768" s="12"/>
      <c r="N768" s="122"/>
      <c r="O768" s="122"/>
      <c r="P768" s="122"/>
      <c r="Q768" s="122"/>
    </row>
    <row r="769" spans="2:17" ht="14.25" customHeight="1" x14ac:dyDescent="0.3">
      <c r="B769" s="23"/>
      <c r="D769" s="25"/>
      <c r="E769" s="25"/>
      <c r="M769" s="12"/>
      <c r="N769" s="122"/>
      <c r="O769" s="122"/>
      <c r="P769" s="122"/>
      <c r="Q769" s="122"/>
    </row>
    <row r="770" spans="2:17" ht="14.25" customHeight="1" x14ac:dyDescent="0.3">
      <c r="B770" s="23"/>
      <c r="D770" s="25"/>
      <c r="E770" s="25"/>
      <c r="M770" s="12"/>
      <c r="N770" s="122"/>
      <c r="O770" s="122"/>
      <c r="P770" s="122"/>
      <c r="Q770" s="122"/>
    </row>
    <row r="771" spans="2:17" ht="14.25" customHeight="1" x14ac:dyDescent="0.3">
      <c r="B771" s="23"/>
      <c r="D771" s="25"/>
      <c r="E771" s="25"/>
      <c r="M771" s="12"/>
      <c r="N771" s="122"/>
      <c r="O771" s="122"/>
      <c r="P771" s="122"/>
      <c r="Q771" s="122"/>
    </row>
    <row r="772" spans="2:17" ht="14.25" customHeight="1" x14ac:dyDescent="0.3">
      <c r="B772" s="23"/>
      <c r="D772" s="25"/>
      <c r="E772" s="25"/>
      <c r="M772" s="12"/>
      <c r="N772" s="122"/>
      <c r="O772" s="122"/>
      <c r="P772" s="122"/>
      <c r="Q772" s="122"/>
    </row>
    <row r="773" spans="2:17" ht="14.25" customHeight="1" x14ac:dyDescent="0.3">
      <c r="B773" s="23"/>
      <c r="D773" s="25"/>
      <c r="E773" s="25"/>
      <c r="M773" s="12"/>
      <c r="N773" s="122"/>
      <c r="O773" s="122"/>
      <c r="P773" s="122"/>
      <c r="Q773" s="122"/>
    </row>
    <row r="774" spans="2:17" ht="14.25" customHeight="1" x14ac:dyDescent="0.3">
      <c r="B774" s="23"/>
      <c r="D774" s="25"/>
      <c r="E774" s="25"/>
      <c r="M774" s="12"/>
      <c r="N774" s="122"/>
      <c r="O774" s="122"/>
      <c r="P774" s="122"/>
      <c r="Q774" s="122"/>
    </row>
    <row r="775" spans="2:17" ht="14.25" customHeight="1" x14ac:dyDescent="0.3">
      <c r="B775" s="23"/>
      <c r="D775" s="25"/>
      <c r="E775" s="25"/>
      <c r="M775" s="12"/>
      <c r="N775" s="122"/>
      <c r="O775" s="122"/>
      <c r="P775" s="122"/>
      <c r="Q775" s="122"/>
    </row>
    <row r="776" spans="2:17" ht="14.25" customHeight="1" x14ac:dyDescent="0.3">
      <c r="B776" s="23"/>
      <c r="D776" s="25"/>
      <c r="E776" s="25"/>
      <c r="M776" s="12"/>
      <c r="N776" s="122"/>
      <c r="O776" s="122"/>
      <c r="P776" s="122"/>
      <c r="Q776" s="122"/>
    </row>
    <row r="777" spans="2:17" ht="14.25" customHeight="1" x14ac:dyDescent="0.3">
      <c r="B777" s="23"/>
      <c r="D777" s="25"/>
      <c r="E777" s="25"/>
      <c r="M777" s="12"/>
      <c r="N777" s="122"/>
      <c r="O777" s="122"/>
      <c r="P777" s="122"/>
      <c r="Q777" s="122"/>
    </row>
    <row r="778" spans="2:17" ht="14.25" customHeight="1" x14ac:dyDescent="0.3">
      <c r="B778" s="23"/>
      <c r="D778" s="25"/>
      <c r="E778" s="25"/>
      <c r="M778" s="12"/>
      <c r="N778" s="122"/>
      <c r="O778" s="122"/>
      <c r="P778" s="122"/>
      <c r="Q778" s="122"/>
    </row>
    <row r="779" spans="2:17" ht="14.25" customHeight="1" x14ac:dyDescent="0.3">
      <c r="B779" s="23"/>
      <c r="D779" s="25"/>
      <c r="E779" s="25"/>
      <c r="M779" s="12"/>
      <c r="N779" s="122"/>
      <c r="O779" s="122"/>
      <c r="P779" s="122"/>
      <c r="Q779" s="122"/>
    </row>
    <row r="780" spans="2:17" ht="14.25" customHeight="1" x14ac:dyDescent="0.3">
      <c r="B780" s="23"/>
      <c r="D780" s="25"/>
      <c r="E780" s="25"/>
      <c r="M780" s="12"/>
      <c r="N780" s="122"/>
      <c r="O780" s="122"/>
      <c r="P780" s="122"/>
      <c r="Q780" s="122"/>
    </row>
    <row r="781" spans="2:17" ht="14.25" customHeight="1" x14ac:dyDescent="0.3">
      <c r="B781" s="23"/>
      <c r="D781" s="25"/>
      <c r="E781" s="25"/>
      <c r="M781" s="12"/>
      <c r="N781" s="122"/>
      <c r="O781" s="122"/>
      <c r="P781" s="122"/>
      <c r="Q781" s="122"/>
    </row>
    <row r="782" spans="2:17" ht="14.25" customHeight="1" x14ac:dyDescent="0.3">
      <c r="B782" s="23"/>
      <c r="D782" s="25"/>
      <c r="E782" s="25"/>
      <c r="M782" s="12"/>
      <c r="N782" s="122"/>
      <c r="O782" s="122"/>
      <c r="P782" s="122"/>
      <c r="Q782" s="122"/>
    </row>
    <row r="783" spans="2:17" ht="14.25" customHeight="1" x14ac:dyDescent="0.3">
      <c r="B783" s="23"/>
      <c r="D783" s="25"/>
      <c r="E783" s="25"/>
      <c r="M783" s="12"/>
      <c r="N783" s="122"/>
      <c r="O783" s="122"/>
      <c r="P783" s="122"/>
      <c r="Q783" s="122"/>
    </row>
    <row r="784" spans="2:17" ht="14.25" customHeight="1" x14ac:dyDescent="0.3">
      <c r="B784" s="23"/>
      <c r="D784" s="25"/>
      <c r="E784" s="25"/>
      <c r="M784" s="12"/>
      <c r="N784" s="122"/>
      <c r="O784" s="122"/>
      <c r="P784" s="122"/>
      <c r="Q784" s="122"/>
    </row>
    <row r="785" spans="2:17" ht="14.25" customHeight="1" x14ac:dyDescent="0.3">
      <c r="B785" s="23"/>
      <c r="D785" s="25"/>
      <c r="E785" s="25"/>
      <c r="M785" s="12"/>
      <c r="N785" s="122"/>
      <c r="O785" s="122"/>
      <c r="P785" s="122"/>
      <c r="Q785" s="122"/>
    </row>
    <row r="786" spans="2:17" ht="14.25" customHeight="1" x14ac:dyDescent="0.3">
      <c r="B786" s="23"/>
      <c r="D786" s="25"/>
      <c r="E786" s="25"/>
      <c r="M786" s="12"/>
      <c r="N786" s="122"/>
      <c r="O786" s="122"/>
      <c r="P786" s="122"/>
      <c r="Q786" s="122"/>
    </row>
    <row r="787" spans="2:17" ht="14.25" customHeight="1" x14ac:dyDescent="0.3">
      <c r="B787" s="23"/>
      <c r="D787" s="25"/>
      <c r="E787" s="25"/>
      <c r="M787" s="12"/>
      <c r="N787" s="122"/>
      <c r="O787" s="122"/>
      <c r="P787" s="122"/>
      <c r="Q787" s="122"/>
    </row>
    <row r="788" spans="2:17" ht="14.25" customHeight="1" x14ac:dyDescent="0.3">
      <c r="B788" s="23"/>
      <c r="D788" s="25"/>
      <c r="E788" s="25"/>
      <c r="M788" s="12"/>
      <c r="N788" s="122"/>
      <c r="O788" s="122"/>
      <c r="P788" s="122"/>
      <c r="Q788" s="122"/>
    </row>
    <row r="789" spans="2:17" ht="14.25" customHeight="1" x14ac:dyDescent="0.3">
      <c r="B789" s="23"/>
      <c r="D789" s="25"/>
      <c r="E789" s="25"/>
      <c r="M789" s="12"/>
      <c r="N789" s="122"/>
      <c r="O789" s="122"/>
      <c r="P789" s="122"/>
      <c r="Q789" s="122"/>
    </row>
    <row r="790" spans="2:17" ht="14.25" customHeight="1" x14ac:dyDescent="0.3">
      <c r="B790" s="23"/>
      <c r="D790" s="25"/>
      <c r="E790" s="25"/>
      <c r="M790" s="12"/>
      <c r="N790" s="122"/>
      <c r="O790" s="122"/>
      <c r="P790" s="122"/>
      <c r="Q790" s="122"/>
    </row>
    <row r="791" spans="2:17" ht="14.25" customHeight="1" x14ac:dyDescent="0.3">
      <c r="B791" s="23"/>
      <c r="D791" s="25"/>
      <c r="E791" s="25"/>
      <c r="M791" s="12"/>
      <c r="N791" s="122"/>
      <c r="O791" s="122"/>
      <c r="P791" s="122"/>
      <c r="Q791" s="122"/>
    </row>
    <row r="792" spans="2:17" ht="14.25" customHeight="1" x14ac:dyDescent="0.3">
      <c r="B792" s="23"/>
      <c r="D792" s="25"/>
      <c r="E792" s="25"/>
      <c r="M792" s="12"/>
      <c r="N792" s="122"/>
      <c r="O792" s="122"/>
      <c r="P792" s="122"/>
      <c r="Q792" s="122"/>
    </row>
    <row r="793" spans="2:17" ht="14.25" customHeight="1" x14ac:dyDescent="0.3">
      <c r="B793" s="23"/>
      <c r="D793" s="25"/>
      <c r="E793" s="25"/>
      <c r="M793" s="12"/>
      <c r="N793" s="122"/>
      <c r="O793" s="122"/>
      <c r="P793" s="122"/>
      <c r="Q793" s="122"/>
    </row>
    <row r="794" spans="2:17" ht="14.25" customHeight="1" x14ac:dyDescent="0.3">
      <c r="B794" s="23"/>
      <c r="D794" s="25"/>
      <c r="E794" s="25"/>
      <c r="M794" s="12"/>
      <c r="N794" s="122"/>
      <c r="O794" s="122"/>
      <c r="P794" s="122"/>
      <c r="Q794" s="122"/>
    </row>
    <row r="795" spans="2:17" ht="14.25" customHeight="1" x14ac:dyDescent="0.3">
      <c r="B795" s="23"/>
      <c r="D795" s="25"/>
      <c r="E795" s="25"/>
      <c r="M795" s="12"/>
      <c r="N795" s="122"/>
      <c r="O795" s="122"/>
      <c r="P795" s="122"/>
      <c r="Q795" s="122"/>
    </row>
    <row r="796" spans="2:17" ht="14.25" customHeight="1" x14ac:dyDescent="0.3">
      <c r="B796" s="23"/>
      <c r="D796" s="25"/>
      <c r="E796" s="25"/>
      <c r="M796" s="12"/>
      <c r="N796" s="122"/>
      <c r="O796" s="122"/>
      <c r="P796" s="122"/>
      <c r="Q796" s="122"/>
    </row>
    <row r="797" spans="2:17" ht="14.25" customHeight="1" x14ac:dyDescent="0.3">
      <c r="B797" s="23"/>
      <c r="D797" s="25"/>
      <c r="E797" s="25"/>
      <c r="M797" s="12"/>
      <c r="N797" s="122"/>
      <c r="O797" s="122"/>
      <c r="P797" s="122"/>
      <c r="Q797" s="122"/>
    </row>
    <row r="798" spans="2:17" ht="14.25" customHeight="1" x14ac:dyDescent="0.3">
      <c r="B798" s="23"/>
      <c r="D798" s="25"/>
      <c r="E798" s="25"/>
      <c r="M798" s="12"/>
      <c r="N798" s="122"/>
      <c r="O798" s="122"/>
      <c r="P798" s="122"/>
      <c r="Q798" s="122"/>
    </row>
    <row r="799" spans="2:17" ht="14.25" customHeight="1" x14ac:dyDescent="0.3">
      <c r="B799" s="23"/>
      <c r="D799" s="25"/>
      <c r="E799" s="25"/>
      <c r="M799" s="12"/>
      <c r="N799" s="122"/>
      <c r="O799" s="122"/>
      <c r="P799" s="122"/>
      <c r="Q799" s="122"/>
    </row>
    <row r="800" spans="2:17" ht="14.25" customHeight="1" x14ac:dyDescent="0.3">
      <c r="B800" s="23"/>
      <c r="D800" s="25"/>
      <c r="E800" s="25"/>
      <c r="M800" s="12"/>
      <c r="N800" s="122"/>
      <c r="O800" s="122"/>
      <c r="P800" s="122"/>
      <c r="Q800" s="122"/>
    </row>
    <row r="801" spans="2:17" ht="14.25" customHeight="1" x14ac:dyDescent="0.3">
      <c r="B801" s="23"/>
      <c r="D801" s="25"/>
      <c r="E801" s="25"/>
      <c r="M801" s="12"/>
      <c r="N801" s="122"/>
      <c r="O801" s="122"/>
      <c r="P801" s="122"/>
      <c r="Q801" s="122"/>
    </row>
    <row r="802" spans="2:17" ht="14.25" customHeight="1" x14ac:dyDescent="0.3">
      <c r="B802" s="23"/>
      <c r="D802" s="25"/>
      <c r="E802" s="25"/>
      <c r="M802" s="12"/>
      <c r="N802" s="122"/>
      <c r="O802" s="122"/>
      <c r="P802" s="122"/>
      <c r="Q802" s="122"/>
    </row>
    <row r="803" spans="2:17" ht="14.25" customHeight="1" x14ac:dyDescent="0.3">
      <c r="B803" s="23"/>
      <c r="D803" s="25"/>
      <c r="E803" s="25"/>
      <c r="M803" s="12"/>
      <c r="N803" s="122"/>
      <c r="O803" s="122"/>
      <c r="P803" s="122"/>
      <c r="Q803" s="122"/>
    </row>
    <row r="804" spans="2:17" ht="14.25" customHeight="1" x14ac:dyDescent="0.3">
      <c r="B804" s="23"/>
      <c r="D804" s="25"/>
      <c r="E804" s="25"/>
      <c r="M804" s="12"/>
      <c r="N804" s="122"/>
      <c r="O804" s="122"/>
      <c r="P804" s="122"/>
      <c r="Q804" s="122"/>
    </row>
    <row r="805" spans="2:17" ht="14.25" customHeight="1" x14ac:dyDescent="0.3">
      <c r="B805" s="23"/>
      <c r="D805" s="25"/>
      <c r="E805" s="25"/>
      <c r="M805" s="12"/>
      <c r="N805" s="122"/>
      <c r="O805" s="122"/>
      <c r="P805" s="122"/>
      <c r="Q805" s="122"/>
    </row>
    <row r="806" spans="2:17" ht="14.25" customHeight="1" x14ac:dyDescent="0.3">
      <c r="B806" s="23"/>
      <c r="D806" s="25"/>
      <c r="E806" s="25"/>
      <c r="M806" s="12"/>
      <c r="N806" s="122"/>
      <c r="O806" s="122"/>
      <c r="P806" s="122"/>
      <c r="Q806" s="122"/>
    </row>
    <row r="807" spans="2:17" ht="14.25" customHeight="1" x14ac:dyDescent="0.3">
      <c r="B807" s="23"/>
      <c r="D807" s="25"/>
      <c r="E807" s="25"/>
      <c r="M807" s="12"/>
      <c r="N807" s="122"/>
      <c r="O807" s="122"/>
      <c r="P807" s="122"/>
      <c r="Q807" s="122"/>
    </row>
    <row r="808" spans="2:17" ht="14.25" customHeight="1" x14ac:dyDescent="0.3">
      <c r="B808" s="23"/>
      <c r="D808" s="25"/>
      <c r="E808" s="25"/>
      <c r="M808" s="12"/>
      <c r="N808" s="122"/>
      <c r="O808" s="122"/>
      <c r="P808" s="122"/>
      <c r="Q808" s="122"/>
    </row>
    <row r="809" spans="2:17" ht="14.25" customHeight="1" x14ac:dyDescent="0.3">
      <c r="B809" s="23"/>
      <c r="D809" s="25"/>
      <c r="E809" s="25"/>
      <c r="M809" s="12"/>
      <c r="N809" s="122"/>
      <c r="O809" s="122"/>
      <c r="P809" s="122"/>
      <c r="Q809" s="122"/>
    </row>
    <row r="810" spans="2:17" ht="14.25" customHeight="1" x14ac:dyDescent="0.3">
      <c r="B810" s="23"/>
      <c r="D810" s="25"/>
      <c r="E810" s="25"/>
      <c r="M810" s="12"/>
      <c r="N810" s="122"/>
      <c r="O810" s="122"/>
      <c r="P810" s="122"/>
      <c r="Q810" s="122"/>
    </row>
    <row r="811" spans="2:17" ht="14.25" customHeight="1" x14ac:dyDescent="0.3">
      <c r="B811" s="23"/>
      <c r="D811" s="25"/>
      <c r="E811" s="25"/>
      <c r="M811" s="12"/>
      <c r="N811" s="122"/>
      <c r="O811" s="122"/>
      <c r="P811" s="122"/>
      <c r="Q811" s="122"/>
    </row>
    <row r="812" spans="2:17" ht="14.25" customHeight="1" x14ac:dyDescent="0.3">
      <c r="B812" s="23"/>
      <c r="D812" s="25"/>
      <c r="E812" s="25"/>
      <c r="M812" s="12"/>
      <c r="N812" s="122"/>
      <c r="O812" s="122"/>
      <c r="P812" s="122"/>
      <c r="Q812" s="122"/>
    </row>
    <row r="813" spans="2:17" ht="14.25" customHeight="1" x14ac:dyDescent="0.3">
      <c r="B813" s="23"/>
      <c r="D813" s="25"/>
      <c r="E813" s="25"/>
      <c r="M813" s="12"/>
      <c r="N813" s="122"/>
      <c r="O813" s="122"/>
      <c r="P813" s="122"/>
      <c r="Q813" s="122"/>
    </row>
    <row r="814" spans="2:17" ht="14.25" customHeight="1" x14ac:dyDescent="0.3">
      <c r="B814" s="23"/>
      <c r="D814" s="25"/>
      <c r="E814" s="25"/>
      <c r="M814" s="12"/>
      <c r="N814" s="122"/>
      <c r="O814" s="122"/>
      <c r="P814" s="122"/>
      <c r="Q814" s="122"/>
    </row>
    <row r="815" spans="2:17" ht="14.25" customHeight="1" x14ac:dyDescent="0.3">
      <c r="B815" s="23"/>
      <c r="D815" s="25"/>
      <c r="E815" s="25"/>
      <c r="M815" s="12"/>
      <c r="N815" s="122"/>
      <c r="O815" s="122"/>
      <c r="P815" s="122"/>
      <c r="Q815" s="122"/>
    </row>
    <row r="816" spans="2:17" ht="14.25" customHeight="1" x14ac:dyDescent="0.3">
      <c r="B816" s="23"/>
      <c r="D816" s="25"/>
      <c r="E816" s="25"/>
      <c r="M816" s="12"/>
      <c r="N816" s="122"/>
      <c r="O816" s="122"/>
      <c r="P816" s="122"/>
      <c r="Q816" s="122"/>
    </row>
    <row r="817" spans="2:17" ht="14.25" customHeight="1" x14ac:dyDescent="0.3">
      <c r="B817" s="23"/>
      <c r="D817" s="25"/>
      <c r="E817" s="25"/>
      <c r="M817" s="12"/>
      <c r="N817" s="122"/>
      <c r="O817" s="122"/>
      <c r="P817" s="122"/>
      <c r="Q817" s="122"/>
    </row>
    <row r="818" spans="2:17" ht="14.25" customHeight="1" x14ac:dyDescent="0.3">
      <c r="B818" s="23"/>
      <c r="D818" s="25"/>
      <c r="E818" s="25"/>
      <c r="M818" s="12"/>
      <c r="N818" s="122"/>
      <c r="O818" s="122"/>
      <c r="P818" s="122"/>
      <c r="Q818" s="122"/>
    </row>
    <row r="819" spans="2:17" ht="14.25" customHeight="1" x14ac:dyDescent="0.3">
      <c r="B819" s="23"/>
      <c r="D819" s="25"/>
      <c r="E819" s="25"/>
      <c r="M819" s="12"/>
      <c r="N819" s="122"/>
      <c r="O819" s="122"/>
      <c r="P819" s="122"/>
      <c r="Q819" s="122"/>
    </row>
    <row r="820" spans="2:17" ht="14.25" customHeight="1" x14ac:dyDescent="0.3">
      <c r="B820" s="23"/>
      <c r="D820" s="25"/>
      <c r="E820" s="25"/>
      <c r="M820" s="12"/>
      <c r="N820" s="122"/>
      <c r="O820" s="122"/>
      <c r="P820" s="122"/>
      <c r="Q820" s="122"/>
    </row>
    <row r="821" spans="2:17" ht="14.25" customHeight="1" x14ac:dyDescent="0.3">
      <c r="B821" s="23"/>
      <c r="D821" s="25"/>
      <c r="E821" s="25"/>
      <c r="M821" s="12"/>
      <c r="N821" s="122"/>
      <c r="O821" s="122"/>
      <c r="P821" s="122"/>
      <c r="Q821" s="122"/>
    </row>
    <row r="822" spans="2:17" ht="14.25" customHeight="1" x14ac:dyDescent="0.3">
      <c r="B822" s="23"/>
      <c r="D822" s="25"/>
      <c r="E822" s="25"/>
      <c r="M822" s="12"/>
      <c r="N822" s="122"/>
      <c r="O822" s="122"/>
      <c r="P822" s="122"/>
      <c r="Q822" s="122"/>
    </row>
    <row r="823" spans="2:17" ht="14.25" customHeight="1" x14ac:dyDescent="0.3">
      <c r="B823" s="23"/>
      <c r="D823" s="25"/>
      <c r="E823" s="25"/>
      <c r="M823" s="12"/>
      <c r="N823" s="122"/>
      <c r="O823" s="122"/>
      <c r="P823" s="122"/>
      <c r="Q823" s="122"/>
    </row>
    <row r="824" spans="2:17" ht="14.25" customHeight="1" x14ac:dyDescent="0.3">
      <c r="B824" s="23"/>
      <c r="D824" s="25"/>
      <c r="E824" s="25"/>
      <c r="M824" s="12"/>
      <c r="N824" s="122"/>
      <c r="O824" s="122"/>
      <c r="P824" s="122"/>
      <c r="Q824" s="122"/>
    </row>
    <row r="825" spans="2:17" ht="14.25" customHeight="1" x14ac:dyDescent="0.3">
      <c r="B825" s="23"/>
      <c r="D825" s="25"/>
      <c r="E825" s="25"/>
      <c r="M825" s="12"/>
      <c r="N825" s="122"/>
      <c r="O825" s="122"/>
      <c r="P825" s="122"/>
      <c r="Q825" s="122"/>
    </row>
    <row r="826" spans="2:17" ht="14.25" customHeight="1" x14ac:dyDescent="0.3">
      <c r="B826" s="23"/>
      <c r="D826" s="25"/>
      <c r="E826" s="25"/>
      <c r="M826" s="12"/>
      <c r="N826" s="122"/>
      <c r="O826" s="122"/>
      <c r="P826" s="122"/>
      <c r="Q826" s="122"/>
    </row>
    <row r="827" spans="2:17" ht="14.25" customHeight="1" x14ac:dyDescent="0.3">
      <c r="B827" s="23"/>
      <c r="D827" s="25"/>
      <c r="E827" s="25"/>
      <c r="M827" s="12"/>
      <c r="N827" s="122"/>
      <c r="O827" s="122"/>
      <c r="P827" s="122"/>
      <c r="Q827" s="122"/>
    </row>
    <row r="828" spans="2:17" ht="14.25" customHeight="1" x14ac:dyDescent="0.3">
      <c r="B828" s="23"/>
      <c r="D828" s="25"/>
      <c r="E828" s="25"/>
      <c r="M828" s="12"/>
      <c r="N828" s="122"/>
      <c r="O828" s="122"/>
      <c r="P828" s="122"/>
      <c r="Q828" s="122"/>
    </row>
    <row r="829" spans="2:17" ht="14.25" customHeight="1" x14ac:dyDescent="0.3">
      <c r="B829" s="23"/>
      <c r="D829" s="25"/>
      <c r="E829" s="25"/>
      <c r="M829" s="12"/>
      <c r="N829" s="122"/>
      <c r="O829" s="122"/>
      <c r="P829" s="122"/>
      <c r="Q829" s="122"/>
    </row>
    <row r="830" spans="2:17" ht="14.25" customHeight="1" x14ac:dyDescent="0.3">
      <c r="B830" s="23"/>
      <c r="D830" s="25"/>
      <c r="E830" s="25"/>
      <c r="M830" s="12"/>
      <c r="N830" s="122"/>
      <c r="O830" s="122"/>
      <c r="P830" s="122"/>
      <c r="Q830" s="122"/>
    </row>
    <row r="831" spans="2:17" ht="14.25" customHeight="1" x14ac:dyDescent="0.3">
      <c r="B831" s="23"/>
      <c r="D831" s="25"/>
      <c r="E831" s="25"/>
      <c r="M831" s="12"/>
      <c r="N831" s="122"/>
      <c r="O831" s="122"/>
      <c r="P831" s="122"/>
      <c r="Q831" s="122"/>
    </row>
    <row r="832" spans="2:17" ht="14.25" customHeight="1" x14ac:dyDescent="0.3">
      <c r="B832" s="23"/>
      <c r="D832" s="25"/>
      <c r="E832" s="25"/>
      <c r="M832" s="12"/>
      <c r="N832" s="122"/>
      <c r="O832" s="122"/>
      <c r="P832" s="122"/>
      <c r="Q832" s="122"/>
    </row>
    <row r="833" spans="2:17" ht="14.25" customHeight="1" x14ac:dyDescent="0.3">
      <c r="B833" s="23"/>
      <c r="D833" s="25"/>
      <c r="E833" s="25"/>
      <c r="M833" s="12"/>
      <c r="N833" s="122"/>
      <c r="O833" s="122"/>
      <c r="P833" s="122"/>
      <c r="Q833" s="122"/>
    </row>
    <row r="834" spans="2:17" ht="14.25" customHeight="1" x14ac:dyDescent="0.3">
      <c r="B834" s="23"/>
      <c r="D834" s="25"/>
      <c r="E834" s="25"/>
      <c r="M834" s="12"/>
      <c r="N834" s="122"/>
      <c r="O834" s="122"/>
      <c r="P834" s="122"/>
      <c r="Q834" s="122"/>
    </row>
    <row r="835" spans="2:17" ht="14.25" customHeight="1" x14ac:dyDescent="0.3">
      <c r="B835" s="23"/>
      <c r="D835" s="25"/>
      <c r="E835" s="25"/>
      <c r="M835" s="12"/>
      <c r="N835" s="122"/>
      <c r="O835" s="122"/>
      <c r="P835" s="122"/>
      <c r="Q835" s="122"/>
    </row>
    <row r="836" spans="2:17" ht="14.25" customHeight="1" x14ac:dyDescent="0.3">
      <c r="B836" s="23"/>
      <c r="D836" s="25"/>
      <c r="E836" s="25"/>
      <c r="M836" s="12"/>
      <c r="N836" s="122"/>
      <c r="O836" s="122"/>
      <c r="P836" s="122"/>
      <c r="Q836" s="122"/>
    </row>
    <row r="837" spans="2:17" ht="14.25" customHeight="1" x14ac:dyDescent="0.3">
      <c r="B837" s="23"/>
      <c r="D837" s="25"/>
      <c r="E837" s="25"/>
      <c r="M837" s="12"/>
      <c r="N837" s="122"/>
      <c r="O837" s="122"/>
      <c r="P837" s="122"/>
      <c r="Q837" s="122"/>
    </row>
    <row r="838" spans="2:17" ht="14.25" customHeight="1" x14ac:dyDescent="0.3">
      <c r="B838" s="23"/>
      <c r="D838" s="25"/>
      <c r="E838" s="25"/>
      <c r="M838" s="12"/>
      <c r="N838" s="122"/>
      <c r="O838" s="122"/>
      <c r="P838" s="122"/>
      <c r="Q838" s="122"/>
    </row>
    <row r="839" spans="2:17" ht="14.25" customHeight="1" x14ac:dyDescent="0.3">
      <c r="B839" s="23"/>
      <c r="D839" s="25"/>
      <c r="E839" s="25"/>
      <c r="M839" s="12"/>
      <c r="N839" s="122"/>
      <c r="O839" s="122"/>
      <c r="P839" s="122"/>
      <c r="Q839" s="122"/>
    </row>
    <row r="840" spans="2:17" ht="14.25" customHeight="1" x14ac:dyDescent="0.3">
      <c r="B840" s="23"/>
      <c r="D840" s="25"/>
      <c r="E840" s="25"/>
      <c r="M840" s="12"/>
      <c r="N840" s="122"/>
      <c r="O840" s="122"/>
      <c r="P840" s="122"/>
      <c r="Q840" s="122"/>
    </row>
    <row r="841" spans="2:17" ht="14.25" customHeight="1" x14ac:dyDescent="0.3">
      <c r="B841" s="23"/>
      <c r="D841" s="25"/>
      <c r="E841" s="25"/>
      <c r="M841" s="12"/>
      <c r="N841" s="122"/>
      <c r="O841" s="122"/>
      <c r="P841" s="122"/>
      <c r="Q841" s="122"/>
    </row>
    <row r="842" spans="2:17" ht="14.25" customHeight="1" x14ac:dyDescent="0.3">
      <c r="B842" s="23"/>
      <c r="D842" s="25"/>
      <c r="E842" s="25"/>
      <c r="M842" s="12"/>
      <c r="N842" s="122"/>
      <c r="O842" s="122"/>
      <c r="P842" s="122"/>
      <c r="Q842" s="122"/>
    </row>
    <row r="843" spans="2:17" ht="14.25" customHeight="1" x14ac:dyDescent="0.3">
      <c r="B843" s="23"/>
      <c r="D843" s="25"/>
      <c r="E843" s="25"/>
      <c r="M843" s="12"/>
      <c r="N843" s="122"/>
      <c r="O843" s="122"/>
      <c r="P843" s="122"/>
      <c r="Q843" s="122"/>
    </row>
    <row r="844" spans="2:17" ht="14.25" customHeight="1" x14ac:dyDescent="0.3">
      <c r="B844" s="23"/>
      <c r="D844" s="25"/>
      <c r="E844" s="25"/>
      <c r="M844" s="12"/>
      <c r="N844" s="122"/>
      <c r="O844" s="122"/>
      <c r="P844" s="122"/>
      <c r="Q844" s="122"/>
    </row>
    <row r="845" spans="2:17" ht="14.25" customHeight="1" x14ac:dyDescent="0.3">
      <c r="B845" s="23"/>
      <c r="D845" s="25"/>
      <c r="E845" s="25"/>
      <c r="M845" s="12"/>
      <c r="N845" s="122"/>
      <c r="O845" s="122"/>
      <c r="P845" s="122"/>
      <c r="Q845" s="122"/>
    </row>
    <row r="846" spans="2:17" ht="14.25" customHeight="1" x14ac:dyDescent="0.3">
      <c r="B846" s="23"/>
      <c r="D846" s="25"/>
      <c r="E846" s="25"/>
      <c r="M846" s="12"/>
      <c r="N846" s="122"/>
      <c r="O846" s="122"/>
      <c r="P846" s="122"/>
      <c r="Q846" s="122"/>
    </row>
    <row r="847" spans="2:17" ht="14.25" customHeight="1" x14ac:dyDescent="0.3">
      <c r="B847" s="23"/>
      <c r="D847" s="25"/>
      <c r="E847" s="25"/>
      <c r="M847" s="12"/>
      <c r="N847" s="122"/>
      <c r="O847" s="122"/>
      <c r="P847" s="122"/>
      <c r="Q847" s="122"/>
    </row>
    <row r="848" spans="2:17" ht="14.25" customHeight="1" x14ac:dyDescent="0.3">
      <c r="B848" s="23"/>
      <c r="D848" s="25"/>
      <c r="E848" s="25"/>
      <c r="M848" s="12"/>
      <c r="N848" s="122"/>
      <c r="O848" s="122"/>
      <c r="P848" s="122"/>
      <c r="Q848" s="122"/>
    </row>
    <row r="849" spans="2:17" ht="14.25" customHeight="1" x14ac:dyDescent="0.3">
      <c r="B849" s="23"/>
      <c r="D849" s="25"/>
      <c r="E849" s="25"/>
      <c r="M849" s="12"/>
      <c r="N849" s="122"/>
      <c r="O849" s="122"/>
      <c r="P849" s="122"/>
      <c r="Q849" s="122"/>
    </row>
    <row r="850" spans="2:17" ht="14.25" customHeight="1" x14ac:dyDescent="0.3">
      <c r="B850" s="23"/>
      <c r="D850" s="25"/>
      <c r="E850" s="25"/>
      <c r="M850" s="12"/>
      <c r="N850" s="122"/>
      <c r="O850" s="122"/>
      <c r="P850" s="122"/>
      <c r="Q850" s="122"/>
    </row>
    <row r="851" spans="2:17" ht="14.25" customHeight="1" x14ac:dyDescent="0.3">
      <c r="B851" s="23"/>
      <c r="D851" s="25"/>
      <c r="E851" s="25"/>
      <c r="M851" s="12"/>
      <c r="N851" s="122"/>
      <c r="O851" s="122"/>
      <c r="P851" s="122"/>
      <c r="Q851" s="122"/>
    </row>
    <row r="852" spans="2:17" ht="14.25" customHeight="1" x14ac:dyDescent="0.3">
      <c r="B852" s="23"/>
      <c r="D852" s="25"/>
      <c r="E852" s="25"/>
      <c r="M852" s="12"/>
      <c r="N852" s="122"/>
      <c r="O852" s="122"/>
      <c r="P852" s="122"/>
      <c r="Q852" s="122"/>
    </row>
    <row r="853" spans="2:17" ht="14.25" customHeight="1" x14ac:dyDescent="0.3">
      <c r="B853" s="23"/>
      <c r="D853" s="25"/>
      <c r="E853" s="25"/>
      <c r="M853" s="12"/>
      <c r="N853" s="122"/>
      <c r="O853" s="122"/>
      <c r="P853" s="122"/>
      <c r="Q853" s="122"/>
    </row>
    <row r="854" spans="2:17" ht="14.25" customHeight="1" x14ac:dyDescent="0.3">
      <c r="B854" s="23"/>
      <c r="D854" s="25"/>
      <c r="E854" s="25"/>
      <c r="M854" s="12"/>
      <c r="N854" s="122"/>
      <c r="O854" s="122"/>
      <c r="P854" s="122"/>
      <c r="Q854" s="122"/>
    </row>
    <row r="855" spans="2:17" ht="14.25" customHeight="1" x14ac:dyDescent="0.3">
      <c r="B855" s="23"/>
      <c r="D855" s="25"/>
      <c r="E855" s="25"/>
      <c r="M855" s="12"/>
      <c r="N855" s="122"/>
      <c r="O855" s="122"/>
      <c r="P855" s="122"/>
      <c r="Q855" s="122"/>
    </row>
    <row r="856" spans="2:17" ht="14.25" customHeight="1" x14ac:dyDescent="0.3">
      <c r="B856" s="23"/>
      <c r="D856" s="25"/>
      <c r="E856" s="25"/>
      <c r="M856" s="12"/>
      <c r="N856" s="122"/>
      <c r="O856" s="122"/>
      <c r="P856" s="122"/>
      <c r="Q856" s="122"/>
    </row>
    <row r="857" spans="2:17" ht="14.25" customHeight="1" x14ac:dyDescent="0.3">
      <c r="B857" s="23"/>
      <c r="D857" s="25"/>
      <c r="E857" s="25"/>
      <c r="M857" s="12"/>
      <c r="N857" s="122"/>
      <c r="O857" s="122"/>
      <c r="P857" s="122"/>
      <c r="Q857" s="122"/>
    </row>
    <row r="858" spans="2:17" ht="14.25" customHeight="1" x14ac:dyDescent="0.3">
      <c r="B858" s="23"/>
      <c r="D858" s="25"/>
      <c r="E858" s="25"/>
      <c r="M858" s="12"/>
      <c r="N858" s="122"/>
      <c r="O858" s="122"/>
      <c r="P858" s="122"/>
      <c r="Q858" s="122"/>
    </row>
    <row r="859" spans="2:17" ht="14.25" customHeight="1" x14ac:dyDescent="0.3">
      <c r="B859" s="23"/>
      <c r="D859" s="25"/>
      <c r="E859" s="25"/>
      <c r="M859" s="12"/>
      <c r="N859" s="122"/>
      <c r="O859" s="122"/>
      <c r="P859" s="122"/>
      <c r="Q859" s="122"/>
    </row>
    <row r="860" spans="2:17" ht="14.25" customHeight="1" x14ac:dyDescent="0.3">
      <c r="B860" s="23"/>
      <c r="D860" s="25"/>
      <c r="E860" s="25"/>
      <c r="M860" s="12"/>
      <c r="N860" s="122"/>
      <c r="O860" s="122"/>
      <c r="P860" s="122"/>
      <c r="Q860" s="122"/>
    </row>
    <row r="861" spans="2:17" ht="14.25" customHeight="1" x14ac:dyDescent="0.3">
      <c r="B861" s="23"/>
      <c r="D861" s="25"/>
      <c r="E861" s="25"/>
      <c r="M861" s="12"/>
      <c r="N861" s="122"/>
      <c r="O861" s="122"/>
      <c r="P861" s="122"/>
      <c r="Q861" s="122"/>
    </row>
    <row r="862" spans="2:17" ht="14.25" customHeight="1" x14ac:dyDescent="0.3">
      <c r="B862" s="23"/>
      <c r="D862" s="25"/>
      <c r="E862" s="25"/>
      <c r="M862" s="12"/>
      <c r="N862" s="122"/>
      <c r="O862" s="122"/>
      <c r="P862" s="122"/>
      <c r="Q862" s="122"/>
    </row>
    <row r="863" spans="2:17" ht="14.25" customHeight="1" x14ac:dyDescent="0.3">
      <c r="B863" s="23"/>
      <c r="D863" s="25"/>
      <c r="E863" s="25"/>
      <c r="M863" s="12"/>
      <c r="N863" s="122"/>
      <c r="O863" s="122"/>
      <c r="P863" s="122"/>
      <c r="Q863" s="122"/>
    </row>
    <row r="864" spans="2:17" ht="14.25" customHeight="1" x14ac:dyDescent="0.3">
      <c r="B864" s="23"/>
      <c r="D864" s="25"/>
      <c r="E864" s="25"/>
      <c r="M864" s="12"/>
      <c r="N864" s="122"/>
      <c r="O864" s="122"/>
      <c r="P864" s="122"/>
      <c r="Q864" s="122"/>
    </row>
    <row r="865" spans="2:17" ht="14.25" customHeight="1" x14ac:dyDescent="0.3">
      <c r="B865" s="23"/>
      <c r="D865" s="25"/>
      <c r="E865" s="25"/>
      <c r="M865" s="12"/>
      <c r="N865" s="122"/>
      <c r="O865" s="122"/>
      <c r="P865" s="122"/>
      <c r="Q865" s="122"/>
    </row>
    <row r="866" spans="2:17" ht="14.25" customHeight="1" x14ac:dyDescent="0.3">
      <c r="B866" s="23"/>
      <c r="D866" s="25"/>
      <c r="E866" s="25"/>
      <c r="M866" s="12"/>
      <c r="N866" s="122"/>
      <c r="O866" s="122"/>
      <c r="P866" s="122"/>
      <c r="Q866" s="122"/>
    </row>
    <row r="867" spans="2:17" ht="14.25" customHeight="1" x14ac:dyDescent="0.3">
      <c r="B867" s="23"/>
      <c r="D867" s="25"/>
      <c r="E867" s="25"/>
      <c r="M867" s="12"/>
      <c r="N867" s="122"/>
      <c r="O867" s="122"/>
      <c r="P867" s="122"/>
      <c r="Q867" s="122"/>
    </row>
    <row r="868" spans="2:17" ht="14.25" customHeight="1" x14ac:dyDescent="0.3">
      <c r="B868" s="23"/>
      <c r="D868" s="25"/>
      <c r="E868" s="25"/>
      <c r="M868" s="12"/>
      <c r="N868" s="122"/>
      <c r="O868" s="122"/>
      <c r="P868" s="122"/>
      <c r="Q868" s="122"/>
    </row>
    <row r="869" spans="2:17" ht="14.25" customHeight="1" x14ac:dyDescent="0.3">
      <c r="B869" s="23"/>
      <c r="D869" s="25"/>
      <c r="E869" s="25"/>
      <c r="M869" s="12"/>
      <c r="N869" s="122"/>
      <c r="O869" s="122"/>
      <c r="P869" s="122"/>
      <c r="Q869" s="122"/>
    </row>
    <row r="870" spans="2:17" ht="14.25" customHeight="1" x14ac:dyDescent="0.3">
      <c r="B870" s="23"/>
      <c r="D870" s="25"/>
      <c r="E870" s="25"/>
      <c r="M870" s="12"/>
      <c r="N870" s="122"/>
      <c r="O870" s="122"/>
      <c r="P870" s="122"/>
      <c r="Q870" s="122"/>
    </row>
    <row r="871" spans="2:17" ht="14.25" customHeight="1" x14ac:dyDescent="0.3">
      <c r="B871" s="23"/>
      <c r="D871" s="25"/>
      <c r="E871" s="25"/>
      <c r="M871" s="12"/>
      <c r="N871" s="122"/>
      <c r="O871" s="122"/>
      <c r="P871" s="122"/>
      <c r="Q871" s="122"/>
    </row>
    <row r="872" spans="2:17" ht="14.25" customHeight="1" x14ac:dyDescent="0.3">
      <c r="B872" s="23"/>
      <c r="D872" s="25"/>
      <c r="E872" s="25"/>
      <c r="M872" s="12"/>
      <c r="N872" s="122"/>
      <c r="O872" s="122"/>
      <c r="P872" s="122"/>
      <c r="Q872" s="122"/>
    </row>
    <row r="873" spans="2:17" ht="14.25" customHeight="1" x14ac:dyDescent="0.3">
      <c r="B873" s="23"/>
      <c r="D873" s="25"/>
      <c r="E873" s="25"/>
      <c r="M873" s="12"/>
      <c r="N873" s="122"/>
      <c r="O873" s="122"/>
      <c r="P873" s="122"/>
      <c r="Q873" s="122"/>
    </row>
    <row r="874" spans="2:17" ht="14.25" customHeight="1" x14ac:dyDescent="0.3">
      <c r="B874" s="23"/>
      <c r="D874" s="25"/>
      <c r="E874" s="25"/>
      <c r="M874" s="12"/>
      <c r="N874" s="122"/>
      <c r="O874" s="122"/>
      <c r="P874" s="122"/>
      <c r="Q874" s="122"/>
    </row>
    <row r="875" spans="2:17" ht="14.25" customHeight="1" x14ac:dyDescent="0.3">
      <c r="B875" s="23"/>
      <c r="D875" s="25"/>
      <c r="E875" s="25"/>
      <c r="M875" s="12"/>
      <c r="N875" s="122"/>
      <c r="O875" s="122"/>
      <c r="P875" s="122"/>
      <c r="Q875" s="122"/>
    </row>
    <row r="876" spans="2:17" ht="14.25" customHeight="1" x14ac:dyDescent="0.3">
      <c r="B876" s="23"/>
      <c r="D876" s="25"/>
      <c r="E876" s="25"/>
      <c r="M876" s="12"/>
      <c r="N876" s="122"/>
      <c r="O876" s="122"/>
      <c r="P876" s="122"/>
      <c r="Q876" s="122"/>
    </row>
    <row r="877" spans="2:17" ht="14.25" customHeight="1" x14ac:dyDescent="0.3">
      <c r="B877" s="23"/>
      <c r="D877" s="25"/>
      <c r="E877" s="25"/>
      <c r="M877" s="12"/>
      <c r="N877" s="122"/>
      <c r="O877" s="122"/>
      <c r="P877" s="122"/>
      <c r="Q877" s="122"/>
    </row>
    <row r="878" spans="2:17" ht="14.25" customHeight="1" x14ac:dyDescent="0.3">
      <c r="B878" s="23"/>
      <c r="D878" s="25"/>
      <c r="E878" s="25"/>
      <c r="M878" s="12"/>
      <c r="N878" s="122"/>
      <c r="O878" s="122"/>
      <c r="P878" s="122"/>
      <c r="Q878" s="122"/>
    </row>
    <row r="879" spans="2:17" ht="14.25" customHeight="1" x14ac:dyDescent="0.3">
      <c r="B879" s="23"/>
      <c r="D879" s="25"/>
      <c r="E879" s="25"/>
      <c r="M879" s="12"/>
      <c r="N879" s="122"/>
      <c r="O879" s="122"/>
      <c r="P879" s="122"/>
      <c r="Q879" s="122"/>
    </row>
    <row r="880" spans="2:17" ht="14.25" customHeight="1" x14ac:dyDescent="0.3">
      <c r="B880" s="23"/>
      <c r="D880" s="25"/>
      <c r="E880" s="25"/>
      <c r="M880" s="12"/>
      <c r="N880" s="122"/>
      <c r="O880" s="122"/>
      <c r="P880" s="122"/>
      <c r="Q880" s="122"/>
    </row>
    <row r="881" spans="2:17" ht="14.25" customHeight="1" x14ac:dyDescent="0.3">
      <c r="B881" s="23"/>
      <c r="D881" s="25"/>
      <c r="E881" s="25"/>
      <c r="M881" s="12"/>
      <c r="N881" s="122"/>
      <c r="O881" s="122"/>
      <c r="P881" s="122"/>
      <c r="Q881" s="122"/>
    </row>
    <row r="882" spans="2:17" ht="14.25" customHeight="1" x14ac:dyDescent="0.3">
      <c r="B882" s="23"/>
      <c r="D882" s="25"/>
      <c r="E882" s="25"/>
      <c r="M882" s="12"/>
      <c r="N882" s="122"/>
      <c r="O882" s="122"/>
      <c r="P882" s="122"/>
      <c r="Q882" s="122"/>
    </row>
    <row r="883" spans="2:17" ht="14.25" customHeight="1" x14ac:dyDescent="0.3">
      <c r="B883" s="23"/>
      <c r="D883" s="25"/>
      <c r="E883" s="25"/>
      <c r="M883" s="12"/>
      <c r="N883" s="122"/>
      <c r="O883" s="122"/>
      <c r="P883" s="122"/>
      <c r="Q883" s="122"/>
    </row>
    <row r="884" spans="2:17" ht="14.25" customHeight="1" x14ac:dyDescent="0.3">
      <c r="B884" s="23"/>
      <c r="D884" s="25"/>
      <c r="E884" s="25"/>
      <c r="M884" s="12"/>
      <c r="N884" s="122"/>
      <c r="O884" s="122"/>
      <c r="P884" s="122"/>
      <c r="Q884" s="122"/>
    </row>
    <row r="885" spans="2:17" ht="14.25" customHeight="1" x14ac:dyDescent="0.3">
      <c r="B885" s="23"/>
      <c r="D885" s="25"/>
      <c r="E885" s="25"/>
      <c r="M885" s="12"/>
      <c r="N885" s="122"/>
      <c r="O885" s="122"/>
      <c r="P885" s="122"/>
      <c r="Q885" s="122"/>
    </row>
    <row r="886" spans="2:17" ht="14.25" customHeight="1" x14ac:dyDescent="0.3">
      <c r="B886" s="23"/>
      <c r="D886" s="25"/>
      <c r="E886" s="25"/>
      <c r="M886" s="12"/>
      <c r="N886" s="122"/>
      <c r="O886" s="122"/>
      <c r="P886" s="122"/>
      <c r="Q886" s="122"/>
    </row>
    <row r="887" spans="2:17" ht="14.25" customHeight="1" x14ac:dyDescent="0.3">
      <c r="B887" s="23"/>
      <c r="D887" s="25"/>
      <c r="E887" s="25"/>
      <c r="M887" s="12"/>
      <c r="N887" s="122"/>
      <c r="O887" s="122"/>
      <c r="P887" s="122"/>
      <c r="Q887" s="122"/>
    </row>
    <row r="888" spans="2:17" ht="14.25" customHeight="1" x14ac:dyDescent="0.3">
      <c r="B888" s="23"/>
      <c r="D888" s="25"/>
      <c r="E888" s="25"/>
      <c r="M888" s="12"/>
      <c r="N888" s="122"/>
      <c r="O888" s="122"/>
      <c r="P888" s="122"/>
      <c r="Q888" s="122"/>
    </row>
    <row r="889" spans="2:17" ht="14.25" customHeight="1" x14ac:dyDescent="0.3">
      <c r="B889" s="23"/>
      <c r="D889" s="25"/>
      <c r="E889" s="25"/>
      <c r="M889" s="12"/>
      <c r="N889" s="122"/>
      <c r="O889" s="122"/>
      <c r="P889" s="122"/>
      <c r="Q889" s="122"/>
    </row>
    <row r="890" spans="2:17" ht="14.25" customHeight="1" x14ac:dyDescent="0.3">
      <c r="B890" s="23"/>
      <c r="D890" s="25"/>
      <c r="E890" s="25"/>
      <c r="M890" s="12"/>
      <c r="N890" s="122"/>
      <c r="O890" s="122"/>
      <c r="P890" s="122"/>
      <c r="Q890" s="122"/>
    </row>
    <row r="891" spans="2:17" ht="14.25" customHeight="1" x14ac:dyDescent="0.3">
      <c r="B891" s="23"/>
      <c r="D891" s="25"/>
      <c r="E891" s="25"/>
      <c r="M891" s="12"/>
      <c r="N891" s="122"/>
      <c r="O891" s="122"/>
      <c r="P891" s="122"/>
      <c r="Q891" s="122"/>
    </row>
    <row r="892" spans="2:17" ht="14.25" customHeight="1" x14ac:dyDescent="0.3">
      <c r="B892" s="23"/>
      <c r="D892" s="25"/>
      <c r="E892" s="25"/>
      <c r="M892" s="12"/>
      <c r="N892" s="122"/>
      <c r="O892" s="122"/>
      <c r="P892" s="122"/>
      <c r="Q892" s="122"/>
    </row>
    <row r="893" spans="2:17" ht="14.25" customHeight="1" x14ac:dyDescent="0.3">
      <c r="B893" s="23"/>
      <c r="D893" s="25"/>
      <c r="E893" s="25"/>
      <c r="M893" s="12"/>
      <c r="N893" s="122"/>
      <c r="O893" s="122"/>
      <c r="P893" s="122"/>
      <c r="Q893" s="122"/>
    </row>
    <row r="894" spans="2:17" ht="14.25" customHeight="1" x14ac:dyDescent="0.3">
      <c r="B894" s="23"/>
      <c r="D894" s="25"/>
      <c r="E894" s="25"/>
      <c r="M894" s="12"/>
      <c r="N894" s="122"/>
      <c r="O894" s="122"/>
      <c r="P894" s="122"/>
      <c r="Q894" s="122"/>
    </row>
    <row r="895" spans="2:17" ht="14.25" customHeight="1" x14ac:dyDescent="0.3">
      <c r="B895" s="23"/>
      <c r="D895" s="25"/>
      <c r="E895" s="25"/>
      <c r="M895" s="12"/>
      <c r="N895" s="122"/>
      <c r="O895" s="122"/>
      <c r="P895" s="122"/>
      <c r="Q895" s="122"/>
    </row>
    <row r="896" spans="2:17" ht="14.25" customHeight="1" x14ac:dyDescent="0.3">
      <c r="B896" s="23"/>
      <c r="D896" s="25"/>
      <c r="E896" s="25"/>
      <c r="M896" s="12"/>
      <c r="N896" s="122"/>
      <c r="O896" s="122"/>
      <c r="P896" s="122"/>
      <c r="Q896" s="122"/>
    </row>
    <row r="897" spans="2:17" ht="14.25" customHeight="1" x14ac:dyDescent="0.3">
      <c r="B897" s="23"/>
      <c r="D897" s="25"/>
      <c r="E897" s="25"/>
      <c r="M897" s="12"/>
      <c r="N897" s="122"/>
      <c r="O897" s="122"/>
      <c r="P897" s="122"/>
      <c r="Q897" s="122"/>
    </row>
    <row r="898" spans="2:17" ht="14.25" customHeight="1" x14ac:dyDescent="0.3">
      <c r="B898" s="23"/>
      <c r="D898" s="25"/>
      <c r="E898" s="25"/>
      <c r="M898" s="12"/>
      <c r="N898" s="122"/>
      <c r="O898" s="122"/>
      <c r="P898" s="122"/>
      <c r="Q898" s="122"/>
    </row>
    <row r="899" spans="2:17" ht="14.25" customHeight="1" x14ac:dyDescent="0.3">
      <c r="B899" s="23"/>
      <c r="D899" s="25"/>
      <c r="E899" s="25"/>
      <c r="M899" s="12"/>
      <c r="N899" s="122"/>
      <c r="O899" s="122"/>
      <c r="P899" s="122"/>
      <c r="Q899" s="122"/>
    </row>
    <row r="900" spans="2:17" ht="14.25" customHeight="1" x14ac:dyDescent="0.3">
      <c r="B900" s="23"/>
      <c r="D900" s="25"/>
      <c r="E900" s="25"/>
      <c r="M900" s="12"/>
      <c r="N900" s="122"/>
      <c r="O900" s="122"/>
      <c r="P900" s="122"/>
      <c r="Q900" s="122"/>
    </row>
    <row r="901" spans="2:17" ht="14.25" customHeight="1" x14ac:dyDescent="0.3">
      <c r="B901" s="23"/>
      <c r="D901" s="25"/>
      <c r="E901" s="25"/>
      <c r="M901" s="12"/>
      <c r="N901" s="122"/>
      <c r="O901" s="122"/>
      <c r="P901" s="122"/>
      <c r="Q901" s="122"/>
    </row>
    <row r="902" spans="2:17" ht="14.25" customHeight="1" x14ac:dyDescent="0.3">
      <c r="B902" s="23"/>
      <c r="D902" s="25"/>
      <c r="E902" s="25"/>
      <c r="M902" s="12"/>
      <c r="N902" s="122"/>
      <c r="O902" s="122"/>
      <c r="P902" s="122"/>
      <c r="Q902" s="122"/>
    </row>
    <row r="903" spans="2:17" ht="14.25" customHeight="1" x14ac:dyDescent="0.3">
      <c r="B903" s="23"/>
      <c r="D903" s="25"/>
      <c r="E903" s="25"/>
      <c r="M903" s="12"/>
      <c r="N903" s="122"/>
      <c r="O903" s="122"/>
      <c r="P903" s="122"/>
      <c r="Q903" s="122"/>
    </row>
    <row r="904" spans="2:17" ht="14.25" customHeight="1" x14ac:dyDescent="0.3">
      <c r="B904" s="23"/>
      <c r="D904" s="25"/>
      <c r="E904" s="25"/>
      <c r="M904" s="12"/>
      <c r="N904" s="122"/>
      <c r="O904" s="122"/>
      <c r="P904" s="122"/>
      <c r="Q904" s="122"/>
    </row>
    <row r="905" spans="2:17" ht="14.25" customHeight="1" x14ac:dyDescent="0.3">
      <c r="B905" s="23"/>
      <c r="D905" s="25"/>
      <c r="E905" s="25"/>
      <c r="M905" s="12"/>
      <c r="N905" s="122"/>
      <c r="O905" s="122"/>
      <c r="P905" s="122"/>
      <c r="Q905" s="122"/>
    </row>
    <row r="906" spans="2:17" ht="14.25" customHeight="1" x14ac:dyDescent="0.3">
      <c r="B906" s="23"/>
      <c r="D906" s="25"/>
      <c r="E906" s="25"/>
      <c r="M906" s="12"/>
      <c r="N906" s="122"/>
      <c r="O906" s="122"/>
      <c r="P906" s="122"/>
      <c r="Q906" s="122"/>
    </row>
    <row r="907" spans="2:17" ht="14.25" customHeight="1" x14ac:dyDescent="0.3">
      <c r="B907" s="23"/>
      <c r="D907" s="25"/>
      <c r="E907" s="25"/>
      <c r="M907" s="12"/>
      <c r="N907" s="122"/>
      <c r="O907" s="122"/>
      <c r="P907" s="122"/>
      <c r="Q907" s="122"/>
    </row>
    <row r="908" spans="2:17" ht="14.25" customHeight="1" x14ac:dyDescent="0.3">
      <c r="B908" s="23"/>
      <c r="D908" s="25"/>
      <c r="E908" s="25"/>
      <c r="M908" s="12"/>
      <c r="N908" s="122"/>
      <c r="O908" s="122"/>
      <c r="P908" s="122"/>
      <c r="Q908" s="122"/>
    </row>
    <row r="909" spans="2:17" ht="14.25" customHeight="1" x14ac:dyDescent="0.3">
      <c r="B909" s="23"/>
      <c r="D909" s="25"/>
      <c r="E909" s="25"/>
      <c r="M909" s="12"/>
      <c r="N909" s="122"/>
      <c r="O909" s="122"/>
      <c r="P909" s="122"/>
      <c r="Q909" s="122"/>
    </row>
    <row r="910" spans="2:17" ht="14.25" customHeight="1" x14ac:dyDescent="0.3">
      <c r="B910" s="23"/>
      <c r="D910" s="25"/>
      <c r="E910" s="25"/>
      <c r="M910" s="12"/>
      <c r="N910" s="122"/>
      <c r="O910" s="122"/>
      <c r="P910" s="122"/>
      <c r="Q910" s="122"/>
    </row>
    <row r="911" spans="2:17" ht="14.25" customHeight="1" x14ac:dyDescent="0.3">
      <c r="B911" s="23"/>
      <c r="D911" s="25"/>
      <c r="E911" s="25"/>
      <c r="M911" s="12"/>
      <c r="N911" s="122"/>
      <c r="O911" s="122"/>
      <c r="P911" s="122"/>
      <c r="Q911" s="122"/>
    </row>
    <row r="912" spans="2:17" ht="14.25" customHeight="1" x14ac:dyDescent="0.3">
      <c r="B912" s="23"/>
      <c r="D912" s="25"/>
      <c r="E912" s="25"/>
      <c r="M912" s="12"/>
      <c r="N912" s="122"/>
      <c r="O912" s="122"/>
      <c r="P912" s="122"/>
      <c r="Q912" s="122"/>
    </row>
    <row r="913" spans="2:17" ht="14.25" customHeight="1" x14ac:dyDescent="0.3">
      <c r="B913" s="23"/>
      <c r="D913" s="25"/>
      <c r="E913" s="25"/>
      <c r="M913" s="12"/>
      <c r="N913" s="122"/>
      <c r="O913" s="122"/>
      <c r="P913" s="122"/>
      <c r="Q913" s="122"/>
    </row>
    <row r="914" spans="2:17" ht="14.25" customHeight="1" x14ac:dyDescent="0.3">
      <c r="B914" s="23"/>
      <c r="D914" s="25"/>
      <c r="E914" s="25"/>
      <c r="M914" s="12"/>
      <c r="N914" s="122"/>
      <c r="O914" s="122"/>
      <c r="P914" s="122"/>
      <c r="Q914" s="122"/>
    </row>
    <row r="915" spans="2:17" ht="14.25" customHeight="1" x14ac:dyDescent="0.3">
      <c r="B915" s="23"/>
      <c r="D915" s="25"/>
      <c r="E915" s="25"/>
      <c r="M915" s="12"/>
      <c r="N915" s="122"/>
      <c r="O915" s="122"/>
      <c r="P915" s="122"/>
      <c r="Q915" s="122"/>
    </row>
    <row r="916" spans="2:17" ht="14.25" customHeight="1" x14ac:dyDescent="0.3">
      <c r="B916" s="23"/>
      <c r="D916" s="25"/>
      <c r="E916" s="25"/>
      <c r="M916" s="12"/>
      <c r="N916" s="122"/>
      <c r="O916" s="122"/>
      <c r="P916" s="122"/>
      <c r="Q916" s="122"/>
    </row>
    <row r="917" spans="2:17" ht="14.25" customHeight="1" x14ac:dyDescent="0.3">
      <c r="B917" s="23"/>
      <c r="D917" s="25"/>
      <c r="E917" s="25"/>
      <c r="M917" s="12"/>
      <c r="N917" s="122"/>
      <c r="O917" s="122"/>
      <c r="P917" s="122"/>
      <c r="Q917" s="122"/>
    </row>
    <row r="918" spans="2:17" ht="14.25" customHeight="1" x14ac:dyDescent="0.3">
      <c r="B918" s="23"/>
      <c r="D918" s="25"/>
      <c r="E918" s="25"/>
      <c r="M918" s="12"/>
      <c r="N918" s="122"/>
      <c r="O918" s="122"/>
      <c r="P918" s="122"/>
      <c r="Q918" s="122"/>
    </row>
    <row r="919" spans="2:17" ht="14.25" customHeight="1" x14ac:dyDescent="0.3">
      <c r="B919" s="23"/>
      <c r="D919" s="25"/>
      <c r="E919" s="25"/>
      <c r="M919" s="12"/>
      <c r="N919" s="122"/>
      <c r="O919" s="122"/>
      <c r="P919" s="122"/>
      <c r="Q919" s="122"/>
    </row>
    <row r="920" spans="2:17" ht="14.25" customHeight="1" x14ac:dyDescent="0.3">
      <c r="B920" s="23"/>
      <c r="D920" s="25"/>
      <c r="E920" s="25"/>
      <c r="M920" s="12"/>
      <c r="N920" s="122"/>
      <c r="O920" s="122"/>
      <c r="P920" s="122"/>
      <c r="Q920" s="122"/>
    </row>
    <row r="921" spans="2:17" ht="14.25" customHeight="1" x14ac:dyDescent="0.3">
      <c r="B921" s="23"/>
      <c r="D921" s="25"/>
      <c r="E921" s="25"/>
      <c r="M921" s="12"/>
      <c r="N921" s="122"/>
      <c r="O921" s="122"/>
      <c r="P921" s="122"/>
      <c r="Q921" s="122"/>
    </row>
    <row r="922" spans="2:17" ht="14.25" customHeight="1" x14ac:dyDescent="0.3">
      <c r="B922" s="23"/>
      <c r="D922" s="25"/>
      <c r="E922" s="25"/>
      <c r="M922" s="12"/>
      <c r="N922" s="122"/>
      <c r="O922" s="122"/>
      <c r="P922" s="122"/>
      <c r="Q922" s="122"/>
    </row>
    <row r="923" spans="2:17" ht="14.25" customHeight="1" x14ac:dyDescent="0.3">
      <c r="B923" s="23"/>
      <c r="D923" s="25"/>
      <c r="E923" s="25"/>
      <c r="M923" s="12"/>
      <c r="N923" s="122"/>
      <c r="O923" s="122"/>
      <c r="P923" s="122"/>
      <c r="Q923" s="122"/>
    </row>
    <row r="924" spans="2:17" ht="14.25" customHeight="1" x14ac:dyDescent="0.3">
      <c r="B924" s="23"/>
      <c r="D924" s="25"/>
      <c r="E924" s="25"/>
      <c r="M924" s="12"/>
      <c r="N924" s="122"/>
      <c r="O924" s="122"/>
      <c r="P924" s="122"/>
      <c r="Q924" s="122"/>
    </row>
    <row r="925" spans="2:17" ht="14.25" customHeight="1" x14ac:dyDescent="0.3">
      <c r="B925" s="23"/>
      <c r="D925" s="25"/>
      <c r="E925" s="25"/>
      <c r="M925" s="12"/>
      <c r="N925" s="122"/>
      <c r="O925" s="122"/>
      <c r="P925" s="122"/>
      <c r="Q925" s="122"/>
    </row>
    <row r="926" spans="2:17" ht="14.25" customHeight="1" x14ac:dyDescent="0.3">
      <c r="B926" s="23"/>
      <c r="D926" s="25"/>
      <c r="E926" s="25"/>
      <c r="M926" s="12"/>
      <c r="N926" s="122"/>
      <c r="O926" s="122"/>
      <c r="P926" s="122"/>
      <c r="Q926" s="122"/>
    </row>
    <row r="927" spans="2:17" ht="14.25" customHeight="1" x14ac:dyDescent="0.3">
      <c r="B927" s="23"/>
      <c r="D927" s="25"/>
      <c r="E927" s="25"/>
      <c r="M927" s="12"/>
      <c r="N927" s="122"/>
      <c r="O927" s="122"/>
      <c r="P927" s="122"/>
      <c r="Q927" s="122"/>
    </row>
    <row r="928" spans="2:17" ht="14.25" customHeight="1" x14ac:dyDescent="0.3">
      <c r="B928" s="23"/>
      <c r="D928" s="25"/>
      <c r="E928" s="25"/>
      <c r="M928" s="12"/>
      <c r="N928" s="122"/>
      <c r="O928" s="122"/>
      <c r="P928" s="122"/>
      <c r="Q928" s="122"/>
    </row>
    <row r="929" spans="2:17" ht="14.25" customHeight="1" x14ac:dyDescent="0.3">
      <c r="B929" s="23"/>
      <c r="D929" s="25"/>
      <c r="E929" s="25"/>
      <c r="M929" s="12"/>
      <c r="N929" s="122"/>
      <c r="O929" s="122"/>
      <c r="P929" s="122"/>
      <c r="Q929" s="122"/>
    </row>
    <row r="930" spans="2:17" ht="14.25" customHeight="1" x14ac:dyDescent="0.3">
      <c r="B930" s="23"/>
      <c r="D930" s="25"/>
      <c r="E930" s="25"/>
      <c r="M930" s="12"/>
      <c r="N930" s="122"/>
      <c r="O930" s="122"/>
      <c r="P930" s="122"/>
      <c r="Q930" s="122"/>
    </row>
    <row r="931" spans="2:17" ht="14.25" customHeight="1" x14ac:dyDescent="0.3">
      <c r="B931" s="23"/>
      <c r="D931" s="25"/>
      <c r="E931" s="25"/>
      <c r="M931" s="12"/>
      <c r="N931" s="122"/>
      <c r="O931" s="122"/>
      <c r="P931" s="122"/>
      <c r="Q931" s="122"/>
    </row>
    <row r="932" spans="2:17" ht="14.25" customHeight="1" x14ac:dyDescent="0.3">
      <c r="B932" s="23"/>
      <c r="D932" s="25"/>
      <c r="E932" s="25"/>
      <c r="M932" s="12"/>
      <c r="N932" s="122"/>
      <c r="O932" s="122"/>
      <c r="P932" s="122"/>
      <c r="Q932" s="122"/>
    </row>
    <row r="933" spans="2:17" ht="14.25" customHeight="1" x14ac:dyDescent="0.3">
      <c r="B933" s="23"/>
      <c r="D933" s="25"/>
      <c r="E933" s="25"/>
      <c r="M933" s="12"/>
      <c r="N933" s="122"/>
      <c r="O933" s="122"/>
      <c r="P933" s="122"/>
      <c r="Q933" s="122"/>
    </row>
    <row r="934" spans="2:17" ht="14.25" customHeight="1" x14ac:dyDescent="0.3">
      <c r="B934" s="23"/>
      <c r="D934" s="25"/>
      <c r="E934" s="25"/>
      <c r="M934" s="12"/>
      <c r="N934" s="122"/>
      <c r="O934" s="122"/>
      <c r="P934" s="122"/>
      <c r="Q934" s="122"/>
    </row>
    <row r="935" spans="2:17" ht="14.25" customHeight="1" x14ac:dyDescent="0.3">
      <c r="B935" s="23"/>
      <c r="D935" s="25"/>
      <c r="E935" s="25"/>
      <c r="M935" s="12"/>
      <c r="N935" s="122"/>
      <c r="O935" s="122"/>
      <c r="P935" s="122"/>
      <c r="Q935" s="122"/>
    </row>
    <row r="936" spans="2:17" ht="14.25" customHeight="1" x14ac:dyDescent="0.3">
      <c r="B936" s="23"/>
      <c r="D936" s="25"/>
      <c r="E936" s="25"/>
      <c r="M936" s="12"/>
      <c r="N936" s="122"/>
      <c r="O936" s="122"/>
      <c r="P936" s="122"/>
      <c r="Q936" s="122"/>
    </row>
    <row r="937" spans="2:17" ht="14.25" customHeight="1" x14ac:dyDescent="0.3">
      <c r="B937" s="23"/>
      <c r="D937" s="25"/>
      <c r="E937" s="25"/>
      <c r="M937" s="12"/>
      <c r="N937" s="122"/>
      <c r="O937" s="122"/>
      <c r="P937" s="122"/>
      <c r="Q937" s="122"/>
    </row>
    <row r="938" spans="2:17" ht="14.25" customHeight="1" x14ac:dyDescent="0.3">
      <c r="B938" s="23"/>
      <c r="D938" s="25"/>
      <c r="E938" s="25"/>
      <c r="M938" s="12"/>
      <c r="N938" s="122"/>
      <c r="O938" s="122"/>
      <c r="P938" s="122"/>
      <c r="Q938" s="122"/>
    </row>
    <row r="939" spans="2:17" ht="14.25" customHeight="1" x14ac:dyDescent="0.3">
      <c r="B939" s="23"/>
      <c r="D939" s="25"/>
      <c r="E939" s="25"/>
      <c r="M939" s="12"/>
      <c r="N939" s="122"/>
      <c r="O939" s="122"/>
      <c r="P939" s="122"/>
      <c r="Q939" s="122"/>
    </row>
    <row r="940" spans="2:17" ht="14.25" customHeight="1" x14ac:dyDescent="0.3">
      <c r="B940" s="23"/>
      <c r="D940" s="25"/>
      <c r="E940" s="25"/>
      <c r="M940" s="12"/>
      <c r="N940" s="122"/>
      <c r="O940" s="122"/>
      <c r="P940" s="122"/>
      <c r="Q940" s="122"/>
    </row>
    <row r="941" spans="2:17" ht="14.25" customHeight="1" x14ac:dyDescent="0.3">
      <c r="B941" s="23"/>
      <c r="D941" s="25"/>
      <c r="E941" s="25"/>
      <c r="M941" s="12"/>
      <c r="N941" s="122"/>
      <c r="O941" s="122"/>
      <c r="P941" s="122"/>
      <c r="Q941" s="122"/>
    </row>
    <row r="942" spans="2:17" ht="14.25" customHeight="1" x14ac:dyDescent="0.3">
      <c r="B942" s="23"/>
      <c r="D942" s="25"/>
      <c r="E942" s="25"/>
      <c r="M942" s="12"/>
      <c r="N942" s="122"/>
      <c r="O942" s="122"/>
      <c r="P942" s="122"/>
      <c r="Q942" s="122"/>
    </row>
    <row r="943" spans="2:17" ht="14.25" customHeight="1" x14ac:dyDescent="0.3">
      <c r="B943" s="23"/>
      <c r="D943" s="25"/>
      <c r="E943" s="25"/>
      <c r="M943" s="12"/>
      <c r="N943" s="122"/>
      <c r="O943" s="122"/>
      <c r="P943" s="122"/>
      <c r="Q943" s="122"/>
    </row>
    <row r="944" spans="2:17" ht="14.25" customHeight="1" x14ac:dyDescent="0.3">
      <c r="B944" s="23"/>
      <c r="D944" s="25"/>
      <c r="E944" s="25"/>
      <c r="M944" s="12"/>
      <c r="N944" s="122"/>
      <c r="O944" s="122"/>
      <c r="P944" s="122"/>
      <c r="Q944" s="122"/>
    </row>
    <row r="945" spans="2:17" ht="14.25" customHeight="1" x14ac:dyDescent="0.3">
      <c r="B945" s="23"/>
      <c r="D945" s="25"/>
      <c r="E945" s="25"/>
      <c r="M945" s="12"/>
      <c r="N945" s="122"/>
      <c r="O945" s="122"/>
      <c r="P945" s="122"/>
      <c r="Q945" s="122"/>
    </row>
    <row r="946" spans="2:17" ht="14.25" customHeight="1" x14ac:dyDescent="0.3">
      <c r="B946" s="23"/>
      <c r="D946" s="25"/>
      <c r="E946" s="25"/>
      <c r="M946" s="12"/>
      <c r="N946" s="122"/>
      <c r="O946" s="122"/>
      <c r="P946" s="122"/>
      <c r="Q946" s="122"/>
    </row>
    <row r="947" spans="2:17" ht="14.25" customHeight="1" x14ac:dyDescent="0.3">
      <c r="B947" s="23"/>
      <c r="D947" s="25"/>
      <c r="E947" s="25"/>
      <c r="M947" s="12"/>
      <c r="N947" s="122"/>
      <c r="O947" s="122"/>
      <c r="P947" s="122"/>
      <c r="Q947" s="122"/>
    </row>
    <row r="948" spans="2:17" ht="14.25" customHeight="1" x14ac:dyDescent="0.3">
      <c r="B948" s="23"/>
      <c r="D948" s="25"/>
      <c r="E948" s="25"/>
      <c r="M948" s="12"/>
      <c r="N948" s="122"/>
      <c r="O948" s="122"/>
      <c r="P948" s="122"/>
      <c r="Q948" s="122"/>
    </row>
    <row r="949" spans="2:17" ht="14.25" customHeight="1" x14ac:dyDescent="0.3">
      <c r="B949" s="23"/>
      <c r="D949" s="25"/>
      <c r="E949" s="25"/>
      <c r="M949" s="12"/>
      <c r="N949" s="122"/>
      <c r="O949" s="122"/>
      <c r="P949" s="122"/>
      <c r="Q949" s="122"/>
    </row>
    <row r="950" spans="2:17" ht="14.25" customHeight="1" x14ac:dyDescent="0.3">
      <c r="B950" s="23"/>
      <c r="D950" s="25"/>
      <c r="E950" s="25"/>
      <c r="M950" s="12"/>
      <c r="N950" s="122"/>
      <c r="O950" s="122"/>
      <c r="P950" s="122"/>
      <c r="Q950" s="122"/>
    </row>
    <row r="951" spans="2:17" ht="14.25" customHeight="1" x14ac:dyDescent="0.3">
      <c r="B951" s="23"/>
      <c r="D951" s="25"/>
      <c r="E951" s="25"/>
      <c r="M951" s="12"/>
      <c r="N951" s="122"/>
      <c r="O951" s="122"/>
      <c r="P951" s="122"/>
      <c r="Q951" s="122"/>
    </row>
    <row r="952" spans="2:17" ht="14.25" customHeight="1" x14ac:dyDescent="0.3">
      <c r="B952" s="23"/>
      <c r="D952" s="25"/>
      <c r="E952" s="25"/>
      <c r="M952" s="12"/>
      <c r="N952" s="122"/>
      <c r="O952" s="122"/>
      <c r="P952" s="122"/>
      <c r="Q952" s="122"/>
    </row>
    <row r="953" spans="2:17" ht="14.25" customHeight="1" x14ac:dyDescent="0.3">
      <c r="B953" s="23"/>
      <c r="D953" s="25"/>
      <c r="E953" s="25"/>
      <c r="M953" s="12"/>
      <c r="N953" s="122"/>
      <c r="O953" s="122"/>
      <c r="P953" s="122"/>
      <c r="Q953" s="122"/>
    </row>
    <row r="954" spans="2:17" ht="14.25" customHeight="1" x14ac:dyDescent="0.3">
      <c r="B954" s="23"/>
      <c r="D954" s="25"/>
      <c r="E954" s="25"/>
      <c r="M954" s="12"/>
      <c r="N954" s="122"/>
      <c r="O954" s="122"/>
      <c r="P954" s="122"/>
      <c r="Q954" s="122"/>
    </row>
    <row r="955" spans="2:17" ht="14.25" customHeight="1" x14ac:dyDescent="0.3">
      <c r="B955" s="23"/>
      <c r="D955" s="25"/>
      <c r="E955" s="25"/>
      <c r="M955" s="12"/>
      <c r="N955" s="122"/>
      <c r="O955" s="122"/>
      <c r="P955" s="122"/>
      <c r="Q955" s="122"/>
    </row>
    <row r="956" spans="2:17" ht="14.25" customHeight="1" x14ac:dyDescent="0.3">
      <c r="B956" s="23"/>
      <c r="D956" s="25"/>
      <c r="E956" s="25"/>
      <c r="M956" s="12"/>
      <c r="N956" s="122"/>
      <c r="O956" s="122"/>
      <c r="P956" s="122"/>
      <c r="Q956" s="122"/>
    </row>
    <row r="957" spans="2:17" ht="14.25" customHeight="1" x14ac:dyDescent="0.3">
      <c r="B957" s="23"/>
      <c r="D957" s="25"/>
      <c r="E957" s="25"/>
      <c r="M957" s="12"/>
      <c r="N957" s="122"/>
      <c r="O957" s="122"/>
      <c r="P957" s="122"/>
      <c r="Q957" s="122"/>
    </row>
    <row r="958" spans="2:17" ht="14.25" customHeight="1" x14ac:dyDescent="0.3">
      <c r="B958" s="23"/>
      <c r="D958" s="25"/>
      <c r="E958" s="25"/>
      <c r="M958" s="12"/>
      <c r="N958" s="122"/>
      <c r="O958" s="122"/>
      <c r="P958" s="122"/>
      <c r="Q958" s="122"/>
    </row>
    <row r="959" spans="2:17" ht="14.25" customHeight="1" x14ac:dyDescent="0.3">
      <c r="B959" s="23"/>
      <c r="D959" s="25"/>
      <c r="E959" s="25"/>
      <c r="M959" s="12"/>
      <c r="N959" s="122"/>
      <c r="O959" s="122"/>
      <c r="P959" s="122"/>
      <c r="Q959" s="122"/>
    </row>
    <row r="960" spans="2:17" ht="14.25" customHeight="1" x14ac:dyDescent="0.3">
      <c r="B960" s="23"/>
      <c r="D960" s="25"/>
      <c r="E960" s="25"/>
      <c r="M960" s="12"/>
      <c r="N960" s="122"/>
      <c r="O960" s="122"/>
      <c r="P960" s="122"/>
      <c r="Q960" s="122"/>
    </row>
    <row r="961" spans="2:17" ht="14.25" customHeight="1" x14ac:dyDescent="0.3">
      <c r="B961" s="23"/>
      <c r="D961" s="25"/>
      <c r="E961" s="25"/>
      <c r="M961" s="12"/>
      <c r="N961" s="122"/>
      <c r="O961" s="122"/>
      <c r="P961" s="122"/>
      <c r="Q961" s="122"/>
    </row>
    <row r="962" spans="2:17" ht="14.25" customHeight="1" x14ac:dyDescent="0.3">
      <c r="B962" s="23"/>
      <c r="D962" s="25"/>
      <c r="E962" s="25"/>
      <c r="M962" s="12"/>
      <c r="N962" s="122"/>
      <c r="O962" s="122"/>
      <c r="P962" s="122"/>
      <c r="Q962" s="122"/>
    </row>
    <row r="963" spans="2:17" ht="14.25" customHeight="1" x14ac:dyDescent="0.3">
      <c r="B963" s="23"/>
      <c r="D963" s="25"/>
      <c r="E963" s="25"/>
      <c r="M963" s="12"/>
      <c r="N963" s="122"/>
      <c r="O963" s="122"/>
      <c r="P963" s="122"/>
      <c r="Q963" s="122"/>
    </row>
    <row r="964" spans="2:17" ht="14.25" customHeight="1" x14ac:dyDescent="0.3">
      <c r="B964" s="23"/>
      <c r="D964" s="25"/>
      <c r="E964" s="25"/>
      <c r="M964" s="12"/>
      <c r="N964" s="122"/>
      <c r="O964" s="122"/>
      <c r="P964" s="122"/>
      <c r="Q964" s="122"/>
    </row>
    <row r="965" spans="2:17" ht="14.25" customHeight="1" x14ac:dyDescent="0.3">
      <c r="B965" s="23"/>
      <c r="D965" s="25"/>
      <c r="E965" s="25"/>
      <c r="M965" s="12"/>
      <c r="N965" s="122"/>
      <c r="O965" s="122"/>
      <c r="P965" s="122"/>
      <c r="Q965" s="122"/>
    </row>
    <row r="966" spans="2:17" ht="14.25" customHeight="1" x14ac:dyDescent="0.3">
      <c r="B966" s="23"/>
      <c r="D966" s="25"/>
      <c r="E966" s="25"/>
      <c r="M966" s="12"/>
      <c r="N966" s="122"/>
      <c r="O966" s="122"/>
      <c r="P966" s="122"/>
      <c r="Q966" s="122"/>
    </row>
    <row r="967" spans="2:17" ht="14.25" customHeight="1" x14ac:dyDescent="0.3">
      <c r="B967" s="23"/>
      <c r="D967" s="25"/>
      <c r="E967" s="25"/>
      <c r="M967" s="12"/>
      <c r="N967" s="122"/>
      <c r="O967" s="122"/>
      <c r="P967" s="122"/>
      <c r="Q967" s="122"/>
    </row>
    <row r="968" spans="2:17" ht="14.25" customHeight="1" x14ac:dyDescent="0.3">
      <c r="B968" s="23"/>
      <c r="D968" s="25"/>
      <c r="E968" s="25"/>
      <c r="M968" s="12"/>
      <c r="N968" s="122"/>
      <c r="O968" s="122"/>
      <c r="P968" s="122"/>
      <c r="Q968" s="122"/>
    </row>
    <row r="969" spans="2:17" ht="14.25" customHeight="1" x14ac:dyDescent="0.3">
      <c r="B969" s="23"/>
      <c r="D969" s="25"/>
      <c r="E969" s="25"/>
      <c r="M969" s="12"/>
      <c r="N969" s="122"/>
      <c r="O969" s="122"/>
      <c r="P969" s="122"/>
      <c r="Q969" s="122"/>
    </row>
    <row r="970" spans="2:17" ht="14.25" customHeight="1" x14ac:dyDescent="0.3">
      <c r="B970" s="23"/>
      <c r="D970" s="25"/>
      <c r="E970" s="25"/>
      <c r="M970" s="12"/>
      <c r="N970" s="122"/>
      <c r="O970" s="122"/>
      <c r="P970" s="122"/>
      <c r="Q970" s="122"/>
    </row>
    <row r="971" spans="2:17" ht="14.25" customHeight="1" x14ac:dyDescent="0.3">
      <c r="B971" s="23"/>
      <c r="D971" s="25"/>
      <c r="E971" s="25"/>
      <c r="M971" s="12"/>
      <c r="N971" s="122"/>
      <c r="O971" s="122"/>
      <c r="P971" s="122"/>
      <c r="Q971" s="122"/>
    </row>
    <row r="972" spans="2:17" ht="14.25" customHeight="1" x14ac:dyDescent="0.3">
      <c r="B972" s="23"/>
      <c r="D972" s="25"/>
      <c r="E972" s="25"/>
      <c r="M972" s="12"/>
      <c r="N972" s="122"/>
      <c r="O972" s="122"/>
      <c r="P972" s="122"/>
      <c r="Q972" s="122"/>
    </row>
    <row r="973" spans="2:17" ht="14.25" customHeight="1" x14ac:dyDescent="0.3">
      <c r="B973" s="23"/>
      <c r="D973" s="25"/>
      <c r="E973" s="25"/>
      <c r="M973" s="12"/>
      <c r="N973" s="122"/>
      <c r="O973" s="122"/>
      <c r="P973" s="122"/>
      <c r="Q973" s="122"/>
    </row>
    <row r="974" spans="2:17" ht="14.25" customHeight="1" x14ac:dyDescent="0.3">
      <c r="B974" s="23"/>
      <c r="D974" s="25"/>
      <c r="E974" s="25"/>
      <c r="M974" s="12"/>
      <c r="N974" s="122"/>
      <c r="O974" s="122"/>
      <c r="P974" s="122"/>
      <c r="Q974" s="122"/>
    </row>
    <row r="975" spans="2:17" ht="14.25" customHeight="1" x14ac:dyDescent="0.3">
      <c r="B975" s="23"/>
      <c r="D975" s="25"/>
      <c r="E975" s="25"/>
      <c r="M975" s="12"/>
      <c r="N975" s="122"/>
      <c r="O975" s="122"/>
      <c r="P975" s="122"/>
      <c r="Q975" s="122"/>
    </row>
    <row r="976" spans="2:17" ht="14.25" customHeight="1" x14ac:dyDescent="0.3">
      <c r="B976" s="23"/>
      <c r="D976" s="25"/>
      <c r="E976" s="25"/>
      <c r="M976" s="12"/>
      <c r="N976" s="122"/>
      <c r="O976" s="122"/>
      <c r="P976" s="122"/>
      <c r="Q976" s="122"/>
    </row>
    <row r="977" spans="2:17" ht="14.25" customHeight="1" x14ac:dyDescent="0.3">
      <c r="B977" s="23"/>
      <c r="D977" s="25"/>
      <c r="E977" s="25"/>
      <c r="M977" s="12"/>
      <c r="N977" s="122"/>
      <c r="O977" s="122"/>
      <c r="P977" s="122"/>
      <c r="Q977" s="122"/>
    </row>
    <row r="978" spans="2:17" ht="14.25" customHeight="1" x14ac:dyDescent="0.3">
      <c r="B978" s="23"/>
      <c r="D978" s="25"/>
      <c r="E978" s="25"/>
      <c r="M978" s="12"/>
      <c r="N978" s="122"/>
      <c r="O978" s="122"/>
      <c r="P978" s="122"/>
      <c r="Q978" s="122"/>
    </row>
    <row r="979" spans="2:17" ht="14.25" customHeight="1" x14ac:dyDescent="0.3">
      <c r="B979" s="23"/>
      <c r="D979" s="25"/>
      <c r="E979" s="25"/>
      <c r="M979" s="12"/>
      <c r="N979" s="122"/>
      <c r="O979" s="122"/>
      <c r="P979" s="122"/>
      <c r="Q979" s="122"/>
    </row>
    <row r="980" spans="2:17" ht="14.25" customHeight="1" x14ac:dyDescent="0.3">
      <c r="B980" s="23"/>
      <c r="D980" s="25"/>
      <c r="E980" s="25"/>
      <c r="M980" s="12"/>
      <c r="N980" s="122"/>
      <c r="O980" s="122"/>
      <c r="P980" s="122"/>
      <c r="Q980" s="122"/>
    </row>
    <row r="981" spans="2:17" ht="14.25" customHeight="1" x14ac:dyDescent="0.3">
      <c r="B981" s="23"/>
      <c r="D981" s="25"/>
      <c r="E981" s="25"/>
      <c r="M981" s="12"/>
      <c r="N981" s="122"/>
      <c r="O981" s="122"/>
      <c r="P981" s="122"/>
      <c r="Q981" s="122"/>
    </row>
    <row r="982" spans="2:17" ht="14.25" customHeight="1" x14ac:dyDescent="0.3">
      <c r="B982" s="23"/>
      <c r="D982" s="25"/>
      <c r="E982" s="25"/>
      <c r="M982" s="12"/>
      <c r="N982" s="122"/>
      <c r="O982" s="122"/>
      <c r="P982" s="122"/>
      <c r="Q982" s="122"/>
    </row>
    <row r="983" spans="2:17" ht="14.25" customHeight="1" x14ac:dyDescent="0.3">
      <c r="B983" s="23"/>
      <c r="D983" s="25"/>
      <c r="E983" s="25"/>
      <c r="M983" s="12"/>
      <c r="N983" s="122"/>
      <c r="O983" s="122"/>
      <c r="P983" s="122"/>
      <c r="Q983" s="122"/>
    </row>
    <row r="984" spans="2:17" ht="14.25" customHeight="1" x14ac:dyDescent="0.3">
      <c r="B984" s="23"/>
      <c r="D984" s="25"/>
      <c r="E984" s="25"/>
      <c r="M984" s="12"/>
      <c r="N984" s="122"/>
      <c r="O984" s="122"/>
      <c r="P984" s="122"/>
      <c r="Q984" s="122"/>
    </row>
    <row r="985" spans="2:17" ht="14.25" customHeight="1" x14ac:dyDescent="0.3">
      <c r="B985" s="23"/>
      <c r="D985" s="25"/>
      <c r="E985" s="25"/>
      <c r="M985" s="12"/>
      <c r="N985" s="122"/>
      <c r="O985" s="122"/>
      <c r="P985" s="122"/>
      <c r="Q985" s="122"/>
    </row>
    <row r="986" spans="2:17" ht="14.25" customHeight="1" x14ac:dyDescent="0.3">
      <c r="B986" s="23"/>
      <c r="D986" s="25"/>
      <c r="E986" s="25"/>
      <c r="M986" s="12"/>
      <c r="N986" s="122"/>
      <c r="O986" s="122"/>
      <c r="P986" s="122"/>
      <c r="Q986" s="122"/>
    </row>
    <row r="987" spans="2:17" ht="14.25" customHeight="1" x14ac:dyDescent="0.3">
      <c r="B987" s="23"/>
      <c r="D987" s="25"/>
      <c r="E987" s="25"/>
      <c r="M987" s="12"/>
      <c r="N987" s="122"/>
      <c r="O987" s="122"/>
      <c r="P987" s="122"/>
      <c r="Q987" s="122"/>
    </row>
    <row r="988" spans="2:17" ht="14.25" customHeight="1" x14ac:dyDescent="0.3">
      <c r="B988" s="23"/>
      <c r="D988" s="25"/>
      <c r="E988" s="25"/>
      <c r="M988" s="12"/>
      <c r="N988" s="122"/>
      <c r="O988" s="122"/>
      <c r="P988" s="122"/>
      <c r="Q988" s="122"/>
    </row>
    <row r="989" spans="2:17" ht="14.25" customHeight="1" x14ac:dyDescent="0.3">
      <c r="B989" s="23"/>
      <c r="D989" s="25"/>
      <c r="E989" s="25"/>
      <c r="M989" s="12"/>
      <c r="N989" s="122"/>
      <c r="O989" s="122"/>
      <c r="P989" s="122"/>
      <c r="Q989" s="122"/>
    </row>
    <row r="990" spans="2:17" ht="14.25" customHeight="1" x14ac:dyDescent="0.3">
      <c r="B990" s="23"/>
      <c r="D990" s="25"/>
      <c r="E990" s="25"/>
      <c r="M990" s="12"/>
      <c r="N990" s="122"/>
      <c r="O990" s="122"/>
      <c r="P990" s="122"/>
      <c r="Q990" s="122"/>
    </row>
    <row r="991" spans="2:17" ht="14.25" customHeight="1" x14ac:dyDescent="0.3">
      <c r="B991" s="23"/>
      <c r="D991" s="25"/>
      <c r="E991" s="25"/>
      <c r="M991" s="12"/>
      <c r="N991" s="122"/>
      <c r="O991" s="122"/>
      <c r="P991" s="122"/>
      <c r="Q991" s="122"/>
    </row>
    <row r="992" spans="2:17" ht="14.25" customHeight="1" x14ac:dyDescent="0.3">
      <c r="B992" s="23"/>
      <c r="D992" s="25"/>
      <c r="E992" s="25"/>
      <c r="M992" s="12"/>
      <c r="N992" s="122"/>
      <c r="O992" s="122"/>
      <c r="P992" s="122"/>
      <c r="Q992" s="122"/>
    </row>
    <row r="993" spans="2:17" ht="14.25" customHeight="1" x14ac:dyDescent="0.3">
      <c r="B993" s="23"/>
      <c r="D993" s="25"/>
      <c r="E993" s="25"/>
      <c r="M993" s="12"/>
      <c r="N993" s="122"/>
      <c r="O993" s="122"/>
      <c r="P993" s="122"/>
      <c r="Q993" s="122"/>
    </row>
    <row r="994" spans="2:17" ht="14.25" customHeight="1" x14ac:dyDescent="0.3">
      <c r="B994" s="23"/>
      <c r="D994" s="25"/>
      <c r="E994" s="25"/>
      <c r="M994" s="12"/>
      <c r="N994" s="122"/>
      <c r="O994" s="122"/>
      <c r="P994" s="122"/>
      <c r="Q994" s="122"/>
    </row>
    <row r="995" spans="2:17" ht="14.25" customHeight="1" x14ac:dyDescent="0.3">
      <c r="B995" s="23"/>
      <c r="D995" s="25"/>
      <c r="E995" s="25"/>
      <c r="M995" s="12"/>
      <c r="N995" s="122"/>
      <c r="O995" s="122"/>
      <c r="P995" s="122"/>
      <c r="Q995" s="122"/>
    </row>
    <row r="996" spans="2:17" ht="14.25" customHeight="1" x14ac:dyDescent="0.3">
      <c r="B996" s="23"/>
      <c r="D996" s="25"/>
      <c r="E996" s="25"/>
      <c r="M996" s="12"/>
      <c r="N996" s="122"/>
      <c r="O996" s="122"/>
      <c r="P996" s="122"/>
      <c r="Q996" s="122"/>
    </row>
    <row r="997" spans="2:17" ht="14.25" customHeight="1" x14ac:dyDescent="0.3">
      <c r="B997" s="23"/>
      <c r="D997" s="25"/>
      <c r="E997" s="25"/>
      <c r="M997" s="12"/>
      <c r="N997" s="122"/>
      <c r="O997" s="122"/>
      <c r="P997" s="122"/>
      <c r="Q997" s="122"/>
    </row>
    <row r="998" spans="2:17" ht="14.25" customHeight="1" x14ac:dyDescent="0.3">
      <c r="B998" s="23"/>
      <c r="D998" s="25"/>
      <c r="E998" s="25"/>
      <c r="M998" s="12"/>
      <c r="N998" s="122"/>
      <c r="O998" s="122"/>
      <c r="P998" s="122"/>
      <c r="Q998" s="122"/>
    </row>
    <row r="999" spans="2:17" ht="14.25" customHeight="1" x14ac:dyDescent="0.3">
      <c r="B999" s="23"/>
      <c r="D999" s="25"/>
      <c r="E999" s="25"/>
      <c r="M999" s="12"/>
      <c r="N999" s="122"/>
      <c r="O999" s="122"/>
      <c r="P999" s="122"/>
      <c r="Q999" s="122"/>
    </row>
    <row r="1000" spans="2:17" ht="14.25" customHeight="1" x14ac:dyDescent="0.3">
      <c r="B1000" s="23"/>
      <c r="D1000" s="25"/>
      <c r="E1000" s="25"/>
      <c r="M1000" s="12"/>
      <c r="N1000" s="122"/>
      <c r="O1000" s="122"/>
      <c r="P1000" s="122"/>
      <c r="Q1000" s="1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B2" sqref="B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60" t="s">
        <v>562</v>
      </c>
      <c r="B1" s="361">
        <f>SUM(D1:D3)</f>
        <v>284749.59999999998</v>
      </c>
      <c r="C1" s="362" t="s">
        <v>563</v>
      </c>
      <c r="D1" s="363">
        <v>162500</v>
      </c>
      <c r="E1" s="364" t="s">
        <v>564</v>
      </c>
      <c r="F1" s="365" t="s">
        <v>565</v>
      </c>
      <c r="G1" s="365" t="s">
        <v>566</v>
      </c>
      <c r="H1" s="365" t="s">
        <v>567</v>
      </c>
      <c r="I1" s="361" t="s">
        <v>568</v>
      </c>
      <c r="J1" s="364" t="s">
        <v>569</v>
      </c>
      <c r="K1" s="365" t="s">
        <v>570</v>
      </c>
      <c r="L1" s="361" t="s">
        <v>254</v>
      </c>
      <c r="M1" s="571" t="s">
        <v>571</v>
      </c>
      <c r="N1" s="554"/>
      <c r="Q1" s="25"/>
      <c r="R1" s="25"/>
      <c r="S1" s="25"/>
    </row>
    <row r="2" spans="1:19" ht="14.4" x14ac:dyDescent="0.3">
      <c r="A2" s="366" t="s">
        <v>572</v>
      </c>
      <c r="B2" s="367">
        <v>0.65</v>
      </c>
      <c r="C2" s="368" t="s">
        <v>573</v>
      </c>
      <c r="D2" s="369">
        <v>104249.60000000001</v>
      </c>
      <c r="E2" s="370" t="s">
        <v>574</v>
      </c>
      <c r="F2" s="371">
        <v>2420</v>
      </c>
      <c r="G2" s="371">
        <v>3519</v>
      </c>
      <c r="H2" s="371">
        <v>4397</v>
      </c>
      <c r="I2" s="369">
        <v>3120</v>
      </c>
      <c r="J2" s="372" t="s">
        <v>575</v>
      </c>
      <c r="K2" s="373">
        <f>'Combined Retirement'!B22</f>
        <v>34444.46742778919</v>
      </c>
      <c r="L2" s="374">
        <f>'Combined Retirement'!B24</f>
        <v>2870.372285649099</v>
      </c>
      <c r="M2" s="370" t="s">
        <v>576</v>
      </c>
      <c r="N2" s="375">
        <f>'Combined Retirement'!N1</f>
        <v>0.21977797398773583</v>
      </c>
      <c r="Q2" s="25"/>
      <c r="R2" s="25"/>
      <c r="S2" s="25"/>
    </row>
    <row r="3" spans="1:19" ht="14.4" x14ac:dyDescent="0.3">
      <c r="A3" s="376" t="s">
        <v>577</v>
      </c>
      <c r="B3" s="377">
        <f>B1*(1+B2)</f>
        <v>469836.83999999991</v>
      </c>
      <c r="C3" s="378" t="s">
        <v>578</v>
      </c>
      <c r="D3" s="379">
        <v>18000</v>
      </c>
      <c r="E3" s="380" t="s">
        <v>579</v>
      </c>
      <c r="F3" s="381">
        <v>2192</v>
      </c>
      <c r="G3" s="381">
        <v>3197</v>
      </c>
      <c r="H3" s="381">
        <v>4019</v>
      </c>
      <c r="I3" s="379">
        <v>2765</v>
      </c>
      <c r="J3" s="382" t="s">
        <v>580</v>
      </c>
      <c r="K3" s="383">
        <f>'Combined Retirement'!C22</f>
        <v>42305.438109374998</v>
      </c>
      <c r="L3" s="377">
        <f>'Combined Retirement'!C24</f>
        <v>3525.4531757812501</v>
      </c>
      <c r="M3" s="380" t="s">
        <v>581</v>
      </c>
      <c r="N3" s="384">
        <f>'Combined Retirement'!R1</f>
        <v>103259.78879999998</v>
      </c>
      <c r="Q3" s="25"/>
      <c r="R3" s="25"/>
      <c r="S3" s="25"/>
    </row>
    <row r="4" spans="1:19" ht="14.4" x14ac:dyDescent="0.3">
      <c r="A4" s="385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60"/>
      <c r="B5" s="386" t="s">
        <v>582</v>
      </c>
      <c r="C5" s="386" t="s">
        <v>583</v>
      </c>
      <c r="D5" s="386" t="s">
        <v>584</v>
      </c>
      <c r="E5" s="361" t="s">
        <v>585</v>
      </c>
      <c r="F5" s="387" t="s">
        <v>586</v>
      </c>
      <c r="G5" s="388" t="s">
        <v>587</v>
      </c>
      <c r="H5" s="23"/>
      <c r="I5" s="23"/>
      <c r="J5" s="23"/>
      <c r="K5" s="23"/>
      <c r="L5" s="23"/>
      <c r="M5" s="389" t="s">
        <v>588</v>
      </c>
      <c r="N5" s="365">
        <f>N11</f>
        <v>39153.069999999992</v>
      </c>
      <c r="O5" s="390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66" t="s">
        <v>589</v>
      </c>
      <c r="B6" s="391">
        <v>58.5</v>
      </c>
      <c r="C6" s="392">
        <f t="array" ref="C6">INDEX(B11:B1171,MATCH(MIN(ABS(B11:B1171-B6)),ABS(B11:B1171-B6),0))</f>
        <v>58.540725530458587</v>
      </c>
      <c r="D6" s="393">
        <f t="array" ref="D6">INDEX(A11:A1171,MATCH(C6,B11:B1171,0),0)</f>
        <v>51288</v>
      </c>
      <c r="E6" s="394">
        <f ca="1">'Isaac 401k'!B4</f>
        <v>46.583333333333336</v>
      </c>
      <c r="F6" s="395">
        <f ca="1">'Isaac 401k'!D4</f>
        <v>68272</v>
      </c>
      <c r="G6" s="396">
        <f ca="1">(F6-B9)/365.25</f>
        <v>105.0403832991102</v>
      </c>
      <c r="H6" s="23"/>
      <c r="I6" s="23"/>
      <c r="J6" s="571" t="s">
        <v>590</v>
      </c>
      <c r="K6" s="554"/>
      <c r="L6" s="23"/>
      <c r="M6" s="397" t="s">
        <v>591</v>
      </c>
      <c r="N6" s="373">
        <f>N3/12</f>
        <v>8604.982399999999</v>
      </c>
      <c r="O6" s="398">
        <f t="shared" si="0"/>
        <v>103259.78879999998</v>
      </c>
      <c r="P6" s="25"/>
      <c r="Q6" s="25"/>
      <c r="R6" s="25"/>
      <c r="S6" s="25"/>
    </row>
    <row r="7" spans="1:19" ht="14.4" x14ac:dyDescent="0.3">
      <c r="A7" s="376" t="s">
        <v>592</v>
      </c>
      <c r="B7" s="399">
        <v>53.9</v>
      </c>
      <c r="C7" s="400">
        <f t="array" ref="C7">INDEX(C11:C1171,MATCH(MIN(ABS(C11:C1171-B7)),ABS(C11:C1171-B7),0))</f>
        <v>53.930184804928132</v>
      </c>
      <c r="D7" s="401">
        <f t="array" ref="D7">INDEX(A11:A1171,MATCH(C7,C11:C1171,0),0)</f>
        <v>51288</v>
      </c>
      <c r="E7" s="402">
        <f ca="1">'Lorri 401b'!B4</f>
        <v>46.916666666666664</v>
      </c>
      <c r="F7" s="403">
        <f ca="1">'Lorri 401b'!D4</f>
        <v>68393</v>
      </c>
      <c r="G7" s="404">
        <f ca="1">(F7-C9)/365.25</f>
        <v>100.76112251882273</v>
      </c>
      <c r="H7" s="23"/>
      <c r="I7" s="23"/>
      <c r="J7" s="405">
        <v>0.27938000000000002</v>
      </c>
      <c r="K7" s="406">
        <f>1-J7</f>
        <v>0.72062000000000004</v>
      </c>
      <c r="L7" s="23"/>
      <c r="M7" s="407" t="s">
        <v>593</v>
      </c>
      <c r="N7" s="383">
        <f>N5-N6</f>
        <v>30548.087599999992</v>
      </c>
      <c r="O7" s="408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6261826.1342525426</v>
      </c>
      <c r="K9" s="25">
        <f t="shared" si="1"/>
        <v>10801790.855273625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594</v>
      </c>
      <c r="C10" s="11" t="s">
        <v>595</v>
      </c>
      <c r="E10" s="25" t="s">
        <v>563</v>
      </c>
      <c r="F10" s="25" t="s">
        <v>575</v>
      </c>
      <c r="G10" s="25" t="s">
        <v>580</v>
      </c>
      <c r="H10" s="25" t="s">
        <v>596</v>
      </c>
      <c r="I10" s="25" t="s">
        <v>597</v>
      </c>
      <c r="J10" s="25" t="s">
        <v>598</v>
      </c>
      <c r="K10" s="25" t="s">
        <v>599</v>
      </c>
      <c r="L10" s="25"/>
      <c r="N10" s="25" t="s">
        <v>600</v>
      </c>
      <c r="O10" s="25" t="s">
        <v>601</v>
      </c>
      <c r="P10" s="25" t="s">
        <v>602</v>
      </c>
      <c r="Q10" s="25" t="s">
        <v>603</v>
      </c>
      <c r="R10" s="25" t="s">
        <v>604</v>
      </c>
      <c r="S10" s="25" t="s">
        <v>605</v>
      </c>
    </row>
    <row r="11" spans="1:19" ht="14.4" x14ac:dyDescent="0.3">
      <c r="A11" s="37">
        <v>51288</v>
      </c>
      <c r="B11" s="409">
        <f t="shared" ref="B11:C11" si="2">($A11-B$9)/365.25</f>
        <v>58.540725530458587</v>
      </c>
      <c r="C11" s="409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31188.244538569645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7964.8254614303487</v>
      </c>
      <c r="P11" s="25">
        <f t="shared" ref="P11:P265" si="6">N11-O11</f>
        <v>31188.244538569645</v>
      </c>
      <c r="Q11" s="25">
        <f t="array" aca="1" ref="Q11" ca="1">INDEX('Isaac 401k'!L:L,MATCH('Retirement Calculator'!A11,'Isaac 401k'!N:N,0),0)</f>
        <v>3059810.8844426549</v>
      </c>
      <c r="R11" s="25">
        <f t="array" aca="1" ref="R11" ca="1">INDEX('Lorri 401b'!L:L,MATCH('Retirement Calculator'!A11,'Lorri 401b'!N:N,0),0)</f>
        <v>3279705.9364510276</v>
      </c>
      <c r="S11" s="25">
        <f t="shared" ref="S11:S265" ca="1" si="7">SUM(Q11:R11)</f>
        <v>6339516.8208936825</v>
      </c>
    </row>
    <row r="12" spans="1:19" ht="14.4" x14ac:dyDescent="0.3">
      <c r="A12" s="37">
        <v>51318</v>
      </c>
      <c r="B12" s="409">
        <f t="shared" ref="B12:C12" si="8">($A12-B$9)/365.25</f>
        <v>58.622861054072551</v>
      </c>
      <c r="C12" s="409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31188.244538569645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7964.8254614303487</v>
      </c>
      <c r="P12" s="25">
        <f t="shared" si="6"/>
        <v>31188.244538569645</v>
      </c>
      <c r="Q12" s="25">
        <f t="array" aca="1" ref="Q12" ca="1">INDEX('Isaac 401k'!L:L,MATCH('Retirement Calculator'!A12,'Isaac 401k'!N:N,0),0)</f>
        <v>3041241.9009036855</v>
      </c>
      <c r="R12" s="25">
        <f t="array" aca="1" ref="R12" ca="1">INDEX('Lorri 401b'!L:L,MATCH('Retirement Calculator'!A12,'Lorri 401b'!N:N,0),0)</f>
        <v>3293371.3778529069</v>
      </c>
      <c r="S12" s="25">
        <f t="shared" ca="1" si="7"/>
        <v>6334613.2787565924</v>
      </c>
    </row>
    <row r="13" spans="1:19" ht="14.4" x14ac:dyDescent="0.3">
      <c r="A13" s="37">
        <v>51349</v>
      </c>
      <c r="B13" s="409">
        <f t="shared" ref="B13:C13" si="9">($A13-B$9)/365.25</f>
        <v>58.70773442847365</v>
      </c>
      <c r="C13" s="409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31188.244538569645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7964.8254614303487</v>
      </c>
      <c r="P13" s="25">
        <f t="shared" si="6"/>
        <v>31188.244538569645</v>
      </c>
      <c r="Q13" s="25">
        <f t="array" aca="1" ref="Q13" ca="1">INDEX('Isaac 401k'!L:L,MATCH('Retirement Calculator'!A13,'Isaac 401k'!N:N,0),0)</f>
        <v>3022595.5465999702</v>
      </c>
      <c r="R13" s="25">
        <f t="array" aca="1" ref="R13" ca="1">INDEX('Lorri 401b'!L:L,MATCH('Retirement Calculator'!A13,'Lorri 401b'!N:N,0),0)</f>
        <v>3307093.7585939607</v>
      </c>
      <c r="S13" s="25">
        <f t="shared" ca="1" si="7"/>
        <v>6329689.3051939309</v>
      </c>
    </row>
    <row r="14" spans="1:19" ht="14.4" x14ac:dyDescent="0.3">
      <c r="A14" s="37">
        <v>51380</v>
      </c>
      <c r="B14" s="409">
        <f t="shared" ref="B14:C14" si="10">($A14-B$9)/365.25</f>
        <v>58.792607802874741</v>
      </c>
      <c r="C14" s="409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31188.244538569645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7964.8254614303487</v>
      </c>
      <c r="P14" s="25">
        <f t="shared" si="6"/>
        <v>31188.244538569645</v>
      </c>
      <c r="Q14" s="25">
        <f t="array" aca="1" ref="Q14" ca="1">INDEX('Isaac 401k'!L:L,MATCH('Retirement Calculator'!A14,'Isaac 401k'!N:N,0),0)</f>
        <v>3003871.499153323</v>
      </c>
      <c r="R14" s="25">
        <f t="array" aca="1" ref="R14" ca="1">INDEX('Lorri 401b'!L:L,MATCH('Retirement Calculator'!A14,'Lorri 401b'!N:N,0),0)</f>
        <v>3320873.3159214356</v>
      </c>
      <c r="S14" s="25">
        <f t="shared" ca="1" si="7"/>
        <v>6324744.8150747586</v>
      </c>
    </row>
    <row r="15" spans="1:19" ht="14.4" x14ac:dyDescent="0.3">
      <c r="A15" s="37">
        <v>51410</v>
      </c>
      <c r="B15" s="409">
        <f t="shared" ref="B15:C15" si="11">($A15-B$9)/365.25</f>
        <v>58.874743326488705</v>
      </c>
      <c r="C15" s="409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31188.244538569645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7964.8254614303487</v>
      </c>
      <c r="P15" s="25">
        <f t="shared" si="6"/>
        <v>31188.244538569645</v>
      </c>
      <c r="Q15" s="25">
        <f t="array" aca="1" ref="Q15" ca="1">INDEX('Isaac 401k'!L:L,MATCH('Retirement Calculator'!A15,'Isaac 401k'!N:N,0),0)</f>
        <v>2985069.4348423146</v>
      </c>
      <c r="R15" s="25">
        <f t="array" aca="1" ref="R15" ca="1">INDEX('Lorri 401b'!L:L,MATCH('Retirement Calculator'!A15,'Lorri 401b'!N:N,0),0)</f>
        <v>3334710.2880711081</v>
      </c>
      <c r="S15" s="25">
        <f t="shared" ca="1" si="7"/>
        <v>6319779.7229134226</v>
      </c>
    </row>
    <row r="16" spans="1:19" ht="14.4" x14ac:dyDescent="0.3">
      <c r="A16" s="37">
        <v>51441</v>
      </c>
      <c r="B16" s="409">
        <f t="shared" ref="B16:C16" si="12">($A16-B$9)/365.25</f>
        <v>58.959616700889804</v>
      </c>
      <c r="C16" s="409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31188.244538569645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7964.8254614303487</v>
      </c>
      <c r="P16" s="25">
        <f t="shared" si="6"/>
        <v>31188.244538569645</v>
      </c>
      <c r="Q16" s="25">
        <f t="array" aca="1" ref="Q16" ca="1">INDEX('Isaac 401k'!L:L,MATCH('Retirement Calculator'!A16,'Isaac 401k'!N:N,0),0)</f>
        <v>2966189.0285966769</v>
      </c>
      <c r="R16" s="25">
        <f t="array" aca="1" ref="R16" ca="1">INDEX('Lorri 401b'!L:L,MATCH('Retirement Calculator'!A16,'Lorri 401b'!N:N,0),0)</f>
        <v>3348604.9142714045</v>
      </c>
      <c r="S16" s="25">
        <f t="shared" ca="1" si="7"/>
        <v>6314793.9428680819</v>
      </c>
    </row>
    <row r="17" spans="1:19" ht="14.4" x14ac:dyDescent="0.3">
      <c r="A17" s="37">
        <v>51471</v>
      </c>
      <c r="B17" s="409">
        <f t="shared" ref="B17:C17" si="13">($A17-B$9)/365.25</f>
        <v>59.041752224503767</v>
      </c>
      <c r="C17" s="409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31188.244538569645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7964.8254614303487</v>
      </c>
      <c r="P17" s="25">
        <f t="shared" si="6"/>
        <v>31188.244538569645</v>
      </c>
      <c r="Q17" s="25">
        <f t="array" aca="1" ref="Q17" ca="1">INDEX('Isaac 401k'!L:L,MATCH('Retirement Calculator'!A17,'Isaac 401k'!N:N,0),0)</f>
        <v>2947229.9539916827</v>
      </c>
      <c r="R17" s="25">
        <f t="array" aca="1" ref="R17" ca="1">INDEX('Lorri 401b'!L:L,MATCH('Retirement Calculator'!A17,'Lorri 401b'!N:N,0),0)</f>
        <v>3362557.4347475353</v>
      </c>
      <c r="S17" s="25">
        <f t="shared" ca="1" si="7"/>
        <v>6309787.388739218</v>
      </c>
    </row>
    <row r="18" spans="1:19" ht="14.4" x14ac:dyDescent="0.3">
      <c r="A18" s="37">
        <v>51502</v>
      </c>
      <c r="B18" s="409">
        <f t="shared" ref="B18:C18" si="14">($A18-B$9)/365.25</f>
        <v>59.126625598904859</v>
      </c>
      <c r="C18" s="409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31188.244538569645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7964.8254614303487</v>
      </c>
      <c r="P18" s="25">
        <f t="shared" si="6"/>
        <v>31188.244538569645</v>
      </c>
      <c r="Q18" s="25">
        <f t="array" aca="1" ref="Q18" ca="1">INDEX('Isaac 401k'!L:L,MATCH('Retirement Calculator'!A18,'Isaac 401k'!N:N,0),0)</f>
        <v>2928191.8832425009</v>
      </c>
      <c r="R18" s="25">
        <f t="array" aca="1" ref="R18" ca="1">INDEX('Lorri 401b'!L:L,MATCH('Retirement Calculator'!A18,'Lorri 401b'!N:N,0),0)</f>
        <v>3376568.0907256501</v>
      </c>
      <c r="S18" s="25">
        <f t="shared" ca="1" si="7"/>
        <v>6304759.973968151</v>
      </c>
    </row>
    <row r="19" spans="1:19" ht="14.4" x14ac:dyDescent="0.3">
      <c r="A19" s="37">
        <v>51533</v>
      </c>
      <c r="B19" s="409">
        <f t="shared" ref="B19:C19" si="15">($A19-B$9)/365.25</f>
        <v>59.211498973305957</v>
      </c>
      <c r="C19" s="409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31188.244538569645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7964.8254614303487</v>
      </c>
      <c r="P19" s="25">
        <f t="shared" si="6"/>
        <v>31188.244538569645</v>
      </c>
      <c r="Q19" s="25">
        <f t="array" aca="1" ref="Q19" ca="1">INDEX('Isaac 401k'!L:L,MATCH('Retirement Calculator'!A19,'Isaac 401k'!N:N,0),0)</f>
        <v>2909074.4871985307</v>
      </c>
      <c r="R19" s="25">
        <f t="array" aca="1" ref="R19" ca="1">INDEX('Lorri 401b'!L:L,MATCH('Retirement Calculator'!A19,'Lorri 401b'!N:N,0),0)</f>
        <v>3390637.1244370071</v>
      </c>
      <c r="S19" s="25">
        <f t="shared" ca="1" si="7"/>
        <v>6299711.6116355378</v>
      </c>
    </row>
    <row r="20" spans="1:19" ht="14.4" x14ac:dyDescent="0.3">
      <c r="A20" s="37">
        <v>51561</v>
      </c>
      <c r="B20" s="409">
        <f t="shared" ref="B20:C20" si="16">($A20-B$9)/365.25</f>
        <v>59.288158795345652</v>
      </c>
      <c r="C20" s="409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31188.244538569645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7964.8254614303487</v>
      </c>
      <c r="P20" s="25">
        <f t="shared" si="6"/>
        <v>31188.244538569645</v>
      </c>
      <c r="Q20" s="25">
        <f t="array" aca="1" ref="Q20" ca="1">INDEX('Isaac 401k'!L:L,MATCH('Retirement Calculator'!A20,'Isaac 401k'!N:N,0),0)</f>
        <v>2889877.4353377107</v>
      </c>
      <c r="R20" s="25">
        <f t="array" aca="1" ref="R20" ca="1">INDEX('Lorri 401b'!L:L,MATCH('Retirement Calculator'!A20,'Lorri 401b'!N:N,0),0)</f>
        <v>3404764.7791221612</v>
      </c>
      <c r="S20" s="25">
        <f t="shared" ca="1" si="7"/>
        <v>6294642.2144598719</v>
      </c>
    </row>
    <row r="21" spans="1:19" ht="15.75" customHeight="1" x14ac:dyDescent="0.3">
      <c r="A21" s="37">
        <v>51592</v>
      </c>
      <c r="B21" s="409">
        <f t="shared" ref="B21:C21" si="17">($A21-B$9)/365.25</f>
        <v>59.37303216974675</v>
      </c>
      <c r="C21" s="409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31188.244538569645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7964.8254614303487</v>
      </c>
      <c r="P21" s="25">
        <f t="shared" si="6"/>
        <v>31188.244538569645</v>
      </c>
      <c r="Q21" s="25">
        <f t="array" aca="1" ref="Q21" ca="1">INDEX('Isaac 401k'!L:L,MATCH('Retirement Calculator'!A21,'Isaac 401k'!N:N,0),0)</f>
        <v>2870600.3957608039</v>
      </c>
      <c r="R21" s="25">
        <f t="array" aca="1" ref="R21" ca="1">INDEX('Lorri 401b'!L:L,MATCH('Retirement Calculator'!A21,'Lorri 401b'!N:N,0),0)</f>
        <v>3418951.2990351701</v>
      </c>
      <c r="S21" s="25">
        <f t="shared" ca="1" si="7"/>
        <v>6289551.6947959736</v>
      </c>
    </row>
    <row r="22" spans="1:19" ht="15.75" customHeight="1" x14ac:dyDescent="0.3">
      <c r="A22" s="37">
        <v>51622</v>
      </c>
      <c r="B22" s="409">
        <f t="shared" ref="B22:C22" si="18">($A22-B$9)/365.25</f>
        <v>59.455167693360714</v>
      </c>
      <c r="C22" s="409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31188.244538569645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7964.8254614303487</v>
      </c>
      <c r="P22" s="25">
        <f t="shared" si="6"/>
        <v>31188.244538569645</v>
      </c>
      <c r="Q22" s="25">
        <f t="array" aca="1" ref="Q22" ca="1">INDEX('Isaac 401k'!L:L,MATCH('Retirement Calculator'!A22,'Isaac 401k'!N:N,0),0)</f>
        <v>2851243.0351856602</v>
      </c>
      <c r="R22" s="25">
        <f t="array" aca="1" ref="R22" ca="1">INDEX('Lorri 401b'!L:L,MATCH('Retirement Calculator'!A22,'Lorri 401b'!N:N,0),0)</f>
        <v>3433196.9294478167</v>
      </c>
      <c r="S22" s="25">
        <f t="shared" ca="1" si="7"/>
        <v>6284439.9646334769</v>
      </c>
    </row>
    <row r="23" spans="1:19" ht="15.75" customHeight="1" x14ac:dyDescent="0.3">
      <c r="A23" s="37">
        <v>51653</v>
      </c>
      <c r="B23" s="409">
        <f t="shared" ref="B23:C23" si="19">($A23-B$9)/365.25</f>
        <v>59.540041067761805</v>
      </c>
      <c r="C23" s="409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31188.244538569645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7964.8254614303487</v>
      </c>
      <c r="P23" s="25">
        <f t="shared" si="6"/>
        <v>31188.244538569645</v>
      </c>
      <c r="Q23" s="25">
        <f t="array" aca="1" ref="Q23" ca="1">INDEX('Isaac 401k'!L:L,MATCH('Retirement Calculator'!A23,'Isaac 401k'!N:N,0),0)</f>
        <v>2831805.0189414532</v>
      </c>
      <c r="R23" s="25">
        <f t="array" aca="1" ref="R23" ca="1">INDEX('Lorri 401b'!L:L,MATCH('Retirement Calculator'!A23,'Lorri 401b'!N:N,0),0)</f>
        <v>3447501.9166538492</v>
      </c>
      <c r="S23" s="25">
        <f t="shared" ca="1" si="7"/>
        <v>6279306.9355953019</v>
      </c>
    </row>
    <row r="24" spans="1:19" ht="15.75" customHeight="1" x14ac:dyDescent="0.3">
      <c r="A24" s="37">
        <v>51683</v>
      </c>
      <c r="B24" s="409">
        <f t="shared" ref="B24:C24" si="20">($A24-B$9)/365.25</f>
        <v>59.622176591375769</v>
      </c>
      <c r="C24" s="409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31188.244538569645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7964.8254614303487</v>
      </c>
      <c r="P24" s="25">
        <f t="shared" si="6"/>
        <v>31188.244538569645</v>
      </c>
      <c r="Q24" s="25">
        <f t="array" aca="1" ref="Q24" ca="1">INDEX('Isaac 401k'!L:L,MATCH('Retirement Calculator'!A24,'Isaac 401k'!N:N,0),0)</f>
        <v>2812286.0109628956</v>
      </c>
      <c r="R24" s="25">
        <f t="array" aca="1" ref="R24" ca="1">INDEX('Lorri 401b'!L:L,MATCH('Retirement Calculator'!A24,'Lorri 401b'!N:N,0),0)</f>
        <v>3461866.5079732402</v>
      </c>
      <c r="S24" s="25">
        <f t="shared" ca="1" si="7"/>
        <v>6274152.5189361358</v>
      </c>
    </row>
    <row r="25" spans="1:19" ht="15.75" customHeight="1" x14ac:dyDescent="0.3">
      <c r="A25" s="37">
        <v>51714</v>
      </c>
      <c r="B25" s="409">
        <f t="shared" ref="B25:C25" si="21">($A25-B$9)/365.25</f>
        <v>59.707049965776868</v>
      </c>
      <c r="C25" s="409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31188.244538569645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7964.8254614303487</v>
      </c>
      <c r="P25" s="25">
        <f t="shared" si="6"/>
        <v>31188.244538569645</v>
      </c>
      <c r="Q25" s="25">
        <f t="array" aca="1" ref="Q25" ca="1">INDEX('Isaac 401k'!L:L,MATCH('Retirement Calculator'!A25,'Isaac 401k'!N:N,0),0)</f>
        <v>2792685.6737844273</v>
      </c>
      <c r="R25" s="25">
        <f t="array" aca="1" ref="R25" ca="1">INDEX('Lorri 401b'!L:L,MATCH('Retirement Calculator'!A25,'Lorri 401b'!N:N,0),0)</f>
        <v>3476290.951756462</v>
      </c>
      <c r="S25" s="25">
        <f t="shared" ca="1" si="7"/>
        <v>6268976.6255408898</v>
      </c>
    </row>
    <row r="26" spans="1:19" ht="15.75" customHeight="1" x14ac:dyDescent="0.3">
      <c r="A26" s="37">
        <v>51745</v>
      </c>
      <c r="B26" s="409">
        <f t="shared" ref="B26:C26" si="22">($A26-B$9)/365.25</f>
        <v>59.791923340177959</v>
      </c>
      <c r="C26" s="409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31188.244538569645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7964.8254614303487</v>
      </c>
      <c r="P26" s="25">
        <f t="shared" si="6"/>
        <v>31188.244538569645</v>
      </c>
      <c r="Q26" s="25">
        <f t="array" aca="1" ref="Q26" ca="1">INDEX('Isaac 401k'!L:L,MATCH('Retirement Calculator'!A26,'Isaac 401k'!N:N,0),0)</f>
        <v>2773003.6685343818</v>
      </c>
      <c r="R26" s="25">
        <f t="array" aca="1" ref="R26" ca="1">INDEX('Lorri 401b'!L:L,MATCH('Retirement Calculator'!A26,'Lorri 401b'!N:N,0),0)</f>
        <v>3490775.4973887806</v>
      </c>
      <c r="S26" s="25">
        <f t="shared" ca="1" si="7"/>
        <v>6263779.1659231624</v>
      </c>
    </row>
    <row r="27" spans="1:19" ht="15.75" customHeight="1" x14ac:dyDescent="0.3">
      <c r="A27" s="37">
        <v>51775</v>
      </c>
      <c r="B27" s="409">
        <f t="shared" ref="B27:C27" si="23">($A27-B$9)/365.25</f>
        <v>59.874058863791923</v>
      </c>
      <c r="C27" s="409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31188.244538569645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7964.8254614303487</v>
      </c>
      <c r="P27" s="25">
        <f t="shared" si="6"/>
        <v>31188.244538569645</v>
      </c>
      <c r="Q27" s="25">
        <f t="array" aca="1" ref="Q27" ca="1">INDEX('Isaac 401k'!L:L,MATCH('Retirement Calculator'!A27,'Isaac 401k'!N:N,0),0)</f>
        <v>2753239.654929128</v>
      </c>
      <c r="R27" s="25">
        <f t="array" aca="1" ref="R27" ca="1">INDEX('Lorri 401b'!L:L,MATCH('Retirement Calculator'!A27,'Lorri 401b'!N:N,0),0)</f>
        <v>3505320.3952945671</v>
      </c>
      <c r="S27" s="25">
        <f t="shared" ca="1" si="7"/>
        <v>6258560.0502236951</v>
      </c>
    </row>
    <row r="28" spans="1:19" ht="15.75" customHeight="1" x14ac:dyDescent="0.3">
      <c r="A28" s="37">
        <v>51806</v>
      </c>
      <c r="B28" s="409">
        <f t="shared" ref="B28:C28" si="24">($A28-B$9)/365.25</f>
        <v>59.958932238193022</v>
      </c>
      <c r="C28" s="409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31188.244538569645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7964.8254614303487</v>
      </c>
      <c r="P28" s="25">
        <f t="shared" si="6"/>
        <v>31188.244538569645</v>
      </c>
      <c r="Q28" s="25">
        <f t="array" aca="1" ref="Q28" ca="1">INDEX('Isaac 401k'!L:L,MATCH('Retirement Calculator'!A28,'Isaac 401k'!N:N,0),0)</f>
        <v>2733393.2912671855</v>
      </c>
      <c r="R28" s="25">
        <f t="array" aca="1" ref="R28" ca="1">INDEX('Lorri 401b'!L:L,MATCH('Retirement Calculator'!A28,'Lorri 401b'!N:N,0),0)</f>
        <v>3519925.8969416278</v>
      </c>
      <c r="S28" s="25">
        <f t="shared" ca="1" si="7"/>
        <v>6253319.1882088128</v>
      </c>
    </row>
    <row r="29" spans="1:19" ht="15.75" customHeight="1" x14ac:dyDescent="0.3">
      <c r="A29" s="37">
        <v>51836</v>
      </c>
      <c r="B29" s="409">
        <f t="shared" ref="B29:C29" si="25">($A29-B$9)/365.25</f>
        <v>60.041067761806978</v>
      </c>
      <c r="C29" s="409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31188.244538569645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7964.8254614303487</v>
      </c>
      <c r="P29" s="25">
        <f t="shared" si="6"/>
        <v>31188.244538569645</v>
      </c>
      <c r="Q29" s="25">
        <f t="array" aca="1" ref="Q29" ca="1">INDEX('Isaac 401k'!L:L,MATCH('Retirement Calculator'!A29,'Isaac 401k'!N:N,0),0)</f>
        <v>2713464.2344233184</v>
      </c>
      <c r="R29" s="25">
        <f t="array" aca="1" ref="R29" ca="1">INDEX('Lorri 401b'!L:L,MATCH('Retirement Calculator'!A29,'Lorri 401b'!N:N,0),0)</f>
        <v>3534592.2548455512</v>
      </c>
      <c r="S29" s="25">
        <f t="shared" ca="1" si="7"/>
        <v>6248056.4892688692</v>
      </c>
    </row>
    <row r="30" spans="1:19" ht="15.75" customHeight="1" x14ac:dyDescent="0.3">
      <c r="A30" s="37">
        <v>51867</v>
      </c>
      <c r="B30" s="409">
        <f t="shared" ref="B30:C30" si="26">($A30-B$9)/365.25</f>
        <v>60.125941136208077</v>
      </c>
      <c r="C30" s="409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31188.244538569645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7964.8254614303487</v>
      </c>
      <c r="P30" s="25">
        <f t="shared" si="6"/>
        <v>31188.244538569645</v>
      </c>
      <c r="Q30" s="25">
        <f t="array" aca="1" ref="Q30" ca="1">INDEX('Isaac 401k'!L:L,MATCH('Retirement Calculator'!A30,'Isaac 401k'!N:N,0),0)</f>
        <v>2693452.1398426015</v>
      </c>
      <c r="R30" s="25">
        <f t="array" aca="1" ref="R30" ca="1">INDEX('Lorri 401b'!L:L,MATCH('Retirement Calculator'!A30,'Lorri 401b'!N:N,0),0)</f>
        <v>3549319.7225740743</v>
      </c>
      <c r="S30" s="25">
        <f t="shared" ca="1" si="7"/>
        <v>6242771.8624166753</v>
      </c>
    </row>
    <row r="31" spans="1:19" ht="15.75" customHeight="1" x14ac:dyDescent="0.3">
      <c r="A31" s="37">
        <v>51898</v>
      </c>
      <c r="B31" s="409">
        <f t="shared" ref="B31:C31" si="27">($A31-B$9)/365.25</f>
        <v>60.210814510609168</v>
      </c>
      <c r="C31" s="409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31188.244538569645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7964.8254614303487</v>
      </c>
      <c r="P31" s="25">
        <f t="shared" si="6"/>
        <v>31188.244538569645</v>
      </c>
      <c r="Q31" s="25">
        <f t="array" aca="1" ref="Q31" ca="1">INDEX('Isaac 401k'!L:L,MATCH('Retirement Calculator'!A31,'Isaac 401k'!N:N,0),0)</f>
        <v>2673356.6615344649</v>
      </c>
      <c r="R31" s="25">
        <f t="array" aca="1" ref="R31" ca="1">INDEX('Lorri 401b'!L:L,MATCH('Retirement Calculator'!A31,'Lorri 401b'!N:N,0),0)</f>
        <v>3564108.5547514665</v>
      </c>
      <c r="S31" s="25">
        <f t="shared" ca="1" si="7"/>
        <v>6237465.2162859309</v>
      </c>
    </row>
    <row r="32" spans="1:19" ht="15.75" customHeight="1" x14ac:dyDescent="0.3">
      <c r="A32" s="37">
        <v>51926</v>
      </c>
      <c r="B32" s="409">
        <f t="shared" ref="B32:C32" si="28">($A32-B$9)/365.25</f>
        <v>60.28747433264887</v>
      </c>
      <c r="C32" s="409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31188.244538569645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7964.8254614303487</v>
      </c>
      <c r="P32" s="25">
        <f t="shared" si="6"/>
        <v>31188.244538569645</v>
      </c>
      <c r="Q32" s="25">
        <f t="array" aca="1" ref="Q32" ca="1">INDEX('Isaac 401k'!L:L,MATCH('Retirement Calculator'!A32,'Isaac 401k'!N:N,0),0)</f>
        <v>2653177.4520667112</v>
      </c>
      <c r="R32" s="25">
        <f t="array" aca="1" ref="R32" ca="1">INDEX('Lorri 401b'!L:L,MATCH('Retirement Calculator'!A32,'Lorri 401b'!N:N,0),0)</f>
        <v>3578959.0070629311</v>
      </c>
      <c r="S32" s="25">
        <f t="shared" ca="1" si="7"/>
        <v>6232136.4591296427</v>
      </c>
    </row>
    <row r="33" spans="1:19" ht="15.75" customHeight="1" x14ac:dyDescent="0.3">
      <c r="A33" s="37">
        <v>51957</v>
      </c>
      <c r="B33" s="409">
        <f t="shared" ref="B33:C33" si="29">($A33-B$9)/365.25</f>
        <v>60.372347707049968</v>
      </c>
      <c r="C33" s="409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31188.244538569645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7964.8254614303487</v>
      </c>
      <c r="P33" s="25">
        <f t="shared" si="6"/>
        <v>31188.244538569645</v>
      </c>
      <c r="Q33" s="25">
        <f t="array" aca="1" ref="Q33" ca="1">INDEX('Isaac 401k'!L:L,MATCH('Retirement Calculator'!A33,'Isaac 401k'!N:N,0),0)</f>
        <v>2632914.1625595088</v>
      </c>
      <c r="R33" s="25">
        <f t="array" aca="1" ref="R33" ca="1">INDEX('Lorri 401b'!L:L,MATCH('Retirement Calculator'!A33,'Lorri 401b'!N:N,0),0)</f>
        <v>3593871.3362590265</v>
      </c>
      <c r="S33" s="25">
        <f t="shared" ca="1" si="7"/>
        <v>6226785.4988185354</v>
      </c>
    </row>
    <row r="34" spans="1:19" ht="15.75" customHeight="1" x14ac:dyDescent="0.3">
      <c r="A34" s="37">
        <v>51987</v>
      </c>
      <c r="B34" s="409">
        <f t="shared" ref="B34:C34" si="30">($A34-B$9)/365.25</f>
        <v>60.454483230663932</v>
      </c>
      <c r="C34" s="409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31188.244538569645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7964.8254614303487</v>
      </c>
      <c r="P34" s="25">
        <f t="shared" si="6"/>
        <v>31188.244538569645</v>
      </c>
      <c r="Q34" s="25">
        <f t="array" aca="1" ref="Q34" ca="1">INDEX('Isaac 401k'!L:L,MATCH('Retirement Calculator'!A34,'Isaac 401k'!N:N,0),0)</f>
        <v>2612566.4426793596</v>
      </c>
      <c r="R34" s="25">
        <f t="array" aca="1" ref="R34" ca="1">INDEX('Lorri 401b'!L:L,MATCH('Retirement Calculator'!A34,'Lorri 401b'!N:N,0),0)</f>
        <v>3608845.8001601058</v>
      </c>
      <c r="S34" s="25">
        <f t="shared" ca="1" si="7"/>
        <v>6221412.2428394649</v>
      </c>
    </row>
    <row r="35" spans="1:19" ht="15.75" customHeight="1" x14ac:dyDescent="0.3">
      <c r="A35" s="37">
        <v>52018</v>
      </c>
      <c r="B35" s="409">
        <f t="shared" ref="B35:C35" si="31">($A35-B$9)/365.25</f>
        <v>60.539356605065024</v>
      </c>
      <c r="C35" s="409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31188.244538569645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7964.8254614303487</v>
      </c>
      <c r="P35" s="25">
        <f t="shared" si="6"/>
        <v>31188.244538569645</v>
      </c>
      <c r="Q35" s="25">
        <f t="array" aca="1" ref="Q35" ca="1">INDEX('Isaac 401k'!L:L,MATCH('Retirement Calculator'!A35,'Isaac 401k'!N:N,0),0)</f>
        <v>2592133.9406330432</v>
      </c>
      <c r="R35" s="25">
        <f t="array" aca="1" ref="R35" ca="1">INDEX('Lorri 401b'!L:L,MATCH('Retirement Calculator'!A35,'Lorri 401b'!N:N,0),0)</f>
        <v>3623882.657660773</v>
      </c>
      <c r="S35" s="25">
        <f t="shared" ca="1" si="7"/>
        <v>6216016.5982938167</v>
      </c>
    </row>
    <row r="36" spans="1:19" ht="15.75" customHeight="1" x14ac:dyDescent="0.3">
      <c r="A36" s="37">
        <v>52048</v>
      </c>
      <c r="B36" s="409">
        <f t="shared" ref="B36:C36" si="32">($A36-B$9)/365.25</f>
        <v>60.621492128678987</v>
      </c>
      <c r="C36" s="409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31188.244538569645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7964.8254614303487</v>
      </c>
      <c r="P36" s="25">
        <f t="shared" si="6"/>
        <v>31188.244538569645</v>
      </c>
      <c r="Q36" s="25">
        <f t="array" aca="1" ref="Q36" ca="1">INDEX('Isaac 401k'!L:L,MATCH('Retirement Calculator'!A36,'Isaac 401k'!N:N,0),0)</f>
        <v>2571616.3031615335</v>
      </c>
      <c r="R36" s="25">
        <f t="array" aca="1" ref="R36" ca="1">INDEX('Lorri 401b'!L:L,MATCH('Retirement Calculator'!A36,'Lorri 401b'!N:N,0),0)</f>
        <v>3638982.1687343596</v>
      </c>
      <c r="S36" s="25">
        <f t="shared" ca="1" si="7"/>
        <v>6210598.4718958931</v>
      </c>
    </row>
    <row r="37" spans="1:19" ht="15.75" customHeight="1" x14ac:dyDescent="0.3">
      <c r="A37" s="37">
        <v>52079</v>
      </c>
      <c r="B37" s="409">
        <f t="shared" ref="B37:C37" si="33">($A37-B$9)/365.25</f>
        <v>60.706365503080079</v>
      </c>
      <c r="C37" s="409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31188.244538569645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7964.8254614303487</v>
      </c>
      <c r="P37" s="25">
        <f t="shared" si="6"/>
        <v>31188.244538569645</v>
      </c>
      <c r="Q37" s="25">
        <f t="array" aca="1" ref="Q37" ca="1">INDEX('Isaac 401k'!L:L,MATCH('Retirement Calculator'!A37,'Isaac 401k'!N:N,0),0)</f>
        <v>2551013.1755338926</v>
      </c>
      <c r="R37" s="25">
        <f t="array" aca="1" ref="R37" ca="1">INDEX('Lorri 401b'!L:L,MATCH('Retirement Calculator'!A37,'Lorri 401b'!N:N,0),0)</f>
        <v>3654144.5944374194</v>
      </c>
      <c r="S37" s="25">
        <f t="shared" ca="1" si="7"/>
        <v>6205157.769971312</v>
      </c>
    </row>
    <row r="38" spans="1:19" ht="15.75" customHeight="1" x14ac:dyDescent="0.3">
      <c r="A38" s="37">
        <v>52110</v>
      </c>
      <c r="B38" s="409">
        <f t="shared" ref="B38:C38" si="34">($A38-B$9)/365.25</f>
        <v>60.791238877481177</v>
      </c>
      <c r="C38" s="409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31188.244538569645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7964.8254614303487</v>
      </c>
      <c r="P38" s="25">
        <f t="shared" si="6"/>
        <v>31188.244538569645</v>
      </c>
      <c r="Q38" s="25">
        <f t="array" aca="1" ref="Q38" ca="1">INDEX('Isaac 401k'!L:L,MATCH('Retirement Calculator'!A38,'Isaac 401k'!N:N,0),0)</f>
        <v>2530324.2015411365</v>
      </c>
      <c r="R38" s="25">
        <f t="array" aca="1" ref="R38" ca="1">INDEX('Lorri 401b'!L:L,MATCH('Retirement Calculator'!A38,'Lorri 401b'!N:N,0),0)</f>
        <v>3669370.1969142421</v>
      </c>
      <c r="S38" s="25">
        <f t="shared" ca="1" si="7"/>
        <v>6199694.3984553786</v>
      </c>
    </row>
    <row r="39" spans="1:19" ht="15.75" customHeight="1" x14ac:dyDescent="0.3">
      <c r="A39" s="37">
        <v>52140</v>
      </c>
      <c r="B39" s="409">
        <f t="shared" ref="B39:C39" si="35">($A39-B$9)/365.25</f>
        <v>60.873374401095141</v>
      </c>
      <c r="C39" s="409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31188.244538569645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7964.8254614303487</v>
      </c>
      <c r="P39" s="25">
        <f t="shared" si="6"/>
        <v>31188.244538569645</v>
      </c>
      <c r="Q39" s="25">
        <f t="array" aca="1" ref="Q39" ca="1">INDEX('Isaac 401k'!L:L,MATCH('Retirement Calculator'!A39,'Isaac 401k'!N:N,0),0)</f>
        <v>2509549.0234900774</v>
      </c>
      <c r="R39" s="25">
        <f t="array" aca="1" ref="R39" ca="1">INDEX('Lorri 401b'!L:L,MATCH('Retirement Calculator'!A39,'Lorri 401b'!N:N,0),0)</f>
        <v>3684659.2394013847</v>
      </c>
      <c r="S39" s="25">
        <f t="shared" ca="1" si="7"/>
        <v>6194208.2628914621</v>
      </c>
    </row>
    <row r="40" spans="1:19" ht="15.75" customHeight="1" x14ac:dyDescent="0.3">
      <c r="A40" s="37">
        <v>52171</v>
      </c>
      <c r="B40" s="409">
        <f t="shared" ref="B40:C40" si="36">($A40-B$9)/365.25</f>
        <v>60.958247775496233</v>
      </c>
      <c r="C40" s="409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31188.244538569645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7964.8254614303487</v>
      </c>
      <c r="P40" s="25">
        <f t="shared" si="6"/>
        <v>31188.244538569645</v>
      </c>
      <c r="Q40" s="25">
        <f t="array" aca="1" ref="Q40" ca="1">INDEX('Isaac 401k'!L:L,MATCH('Retirement Calculator'!A40,'Isaac 401k'!N:N,0),0)</f>
        <v>2488687.2821971388</v>
      </c>
      <c r="R40" s="25">
        <f t="array" aca="1" ref="R40" ca="1">INDEX('Lorri 401b'!L:L,MATCH('Retirement Calculator'!A40,'Lorri 401b'!N:N,0),0)</f>
        <v>3700011.9862322239</v>
      </c>
      <c r="S40" s="25">
        <f t="shared" ca="1" si="7"/>
        <v>6188699.2684293631</v>
      </c>
    </row>
    <row r="41" spans="1:19" ht="15.75" customHeight="1" x14ac:dyDescent="0.3">
      <c r="A41" s="37">
        <v>52201</v>
      </c>
      <c r="B41" s="409">
        <f t="shared" ref="B41:C41" si="37">($A41-B$9)/365.25</f>
        <v>61.040383299110196</v>
      </c>
      <c r="C41" s="409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31188.244538569645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7964.8254614303487</v>
      </c>
      <c r="P41" s="25">
        <f t="shared" si="6"/>
        <v>31188.244538569645</v>
      </c>
      <c r="Q41" s="25">
        <f t="array" aca="1" ref="Q41" ca="1">INDEX('Isaac 401k'!L:L,MATCH('Retirement Calculator'!A41,'Isaac 401k'!N:N,0),0)</f>
        <v>2467738.6169821462</v>
      </c>
      <c r="R41" s="25">
        <f t="array" aca="1" ref="R41" ca="1">INDEX('Lorri 401b'!L:L,MATCH('Retirement Calculator'!A41,'Lorri 401b'!N:N,0),0)</f>
        <v>3715428.702841525</v>
      </c>
      <c r="S41" s="25">
        <f t="shared" ca="1" si="7"/>
        <v>6183167.3198236711</v>
      </c>
    </row>
    <row r="42" spans="1:19" ht="15.75" customHeight="1" x14ac:dyDescent="0.3">
      <c r="A42" s="37">
        <v>52232</v>
      </c>
      <c r="B42" s="409">
        <f t="shared" ref="B42:C42" si="38">($A42-B$9)/365.25</f>
        <v>61.125256673511295</v>
      </c>
      <c r="C42" s="409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31188.244538569645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7964.8254614303487</v>
      </c>
      <c r="P42" s="25">
        <f t="shared" si="6"/>
        <v>31188.244538569645</v>
      </c>
      <c r="Q42" s="25">
        <f t="array" aca="1" ref="Q42" ca="1">INDEX('Isaac 401k'!L:L,MATCH('Retirement Calculator'!A42,'Isaac 401k'!N:N,0),0)</f>
        <v>2446702.6656620912</v>
      </c>
      <c r="R42" s="25">
        <f t="array" aca="1" ref="R42" ca="1">INDEX('Lorri 401b'!L:L,MATCH('Retirement Calculator'!A42,'Lorri 401b'!N:N,0),0)</f>
        <v>3730909.6557700313</v>
      </c>
      <c r="S42" s="25">
        <f t="shared" ca="1" si="7"/>
        <v>6177612.321432123</v>
      </c>
    </row>
    <row r="43" spans="1:19" ht="15.75" customHeight="1" x14ac:dyDescent="0.3">
      <c r="A43" s="37">
        <v>52263</v>
      </c>
      <c r="B43" s="409">
        <f t="shared" ref="B43:C43" si="39">($A43-B$9)/365.25</f>
        <v>61.210130047912386</v>
      </c>
      <c r="C43" s="409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31188.244538569645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7964.8254614303487</v>
      </c>
      <c r="P43" s="25">
        <f t="shared" si="6"/>
        <v>31188.244538569645</v>
      </c>
      <c r="Q43" s="25">
        <f t="array" aca="1" ref="Q43" ca="1">INDEX('Isaac 401k'!L:L,MATCH('Retirement Calculator'!A43,'Isaac 401k'!N:N,0),0)</f>
        <v>2425579.0645448696</v>
      </c>
      <c r="R43" s="25">
        <f t="array" aca="1" ref="R43" ca="1">INDEX('Lorri 401b'!L:L,MATCH('Retirement Calculator'!A43,'Lorri 401b'!N:N,0),0)</f>
        <v>3746455.112669073</v>
      </c>
      <c r="S43" s="25">
        <f t="shared" ca="1" si="7"/>
        <v>6172034.1772139426</v>
      </c>
    </row>
    <row r="44" spans="1:19" ht="15.75" customHeight="1" x14ac:dyDescent="0.3">
      <c r="A44" s="37">
        <v>52291</v>
      </c>
      <c r="B44" s="409">
        <f t="shared" ref="B44:C44" si="40">($A44-B$9)/365.25</f>
        <v>61.286789869952088</v>
      </c>
      <c r="C44" s="409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31188.244538569645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7964.8254614303487</v>
      </c>
      <c r="P44" s="25">
        <f t="shared" si="6"/>
        <v>31188.244538569645</v>
      </c>
      <c r="Q44" s="25">
        <f t="array" aca="1" ref="Q44" ca="1">INDEX('Isaac 401k'!L:L,MATCH('Retirement Calculator'!A44,'Isaac 401k'!N:N,0),0)</f>
        <v>2404367.4484229926</v>
      </c>
      <c r="R44" s="25">
        <f t="array" aca="1" ref="R44" ca="1">INDEX('Lorri 401b'!L:L,MATCH('Retirement Calculator'!A44,'Lorri 401b'!N:N,0),0)</f>
        <v>3762065.3423051941</v>
      </c>
      <c r="S44" s="25">
        <f t="shared" ca="1" si="7"/>
        <v>6166432.7907281872</v>
      </c>
    </row>
    <row r="45" spans="1:19" ht="15.75" customHeight="1" x14ac:dyDescent="0.3">
      <c r="A45" s="37">
        <v>52322</v>
      </c>
      <c r="B45" s="409">
        <f t="shared" ref="B45:C45" si="41">($A45-B$9)/365.25</f>
        <v>61.371663244353179</v>
      </c>
      <c r="C45" s="409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31188.244538569645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7964.8254614303487</v>
      </c>
      <c r="P45" s="25">
        <f t="shared" si="6"/>
        <v>31188.244538569645</v>
      </c>
      <c r="Q45" s="25">
        <f t="array" aca="1" ref="Q45" ca="1">INDEX('Isaac 401k'!L:L,MATCH('Retirement Calculator'!A45,'Isaac 401k'!N:N,0),0)</f>
        <v>2383067.4505672744</v>
      </c>
      <c r="R45" s="25">
        <f t="array" aca="1" ref="R45" ca="1">INDEX('Lorri 401b'!L:L,MATCH('Retirement Calculator'!A45,'Lorri 401b'!N:N,0),0)</f>
        <v>3777740.6145647992</v>
      </c>
      <c r="S45" s="25">
        <f t="shared" ca="1" si="7"/>
        <v>6160808.0651320741</v>
      </c>
    </row>
    <row r="46" spans="1:19" ht="15.75" customHeight="1" x14ac:dyDescent="0.3">
      <c r="A46" s="37">
        <v>52352</v>
      </c>
      <c r="B46" s="409">
        <f t="shared" ref="B46:C46" si="42">($A46-B$9)/365.25</f>
        <v>61.453798767967143</v>
      </c>
      <c r="C46" s="409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31188.244538569645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7964.8254614303487</v>
      </c>
      <c r="P46" s="25">
        <f t="shared" si="6"/>
        <v>31188.244538569645</v>
      </c>
      <c r="Q46" s="25">
        <f t="array" aca="1" ref="Q46" ca="1">INDEX('Isaac 401k'!L:L,MATCH('Retirement Calculator'!A46,'Isaac 401k'!N:N,0),0)</f>
        <v>2361678.7027204907</v>
      </c>
      <c r="R46" s="25">
        <f t="array" aca="1" ref="R46" ca="1">INDEX('Lorri 401b'!L:L,MATCH('Retirement Calculator'!A46,'Lorri 401b'!N:N,0),0)</f>
        <v>3793481.200458819</v>
      </c>
      <c r="S46" s="25">
        <f t="shared" ca="1" si="7"/>
        <v>6155159.9031793103</v>
      </c>
    </row>
    <row r="47" spans="1:19" ht="15.75" customHeight="1" x14ac:dyDescent="0.3">
      <c r="A47" s="37">
        <v>52383</v>
      </c>
      <c r="B47" s="409">
        <f t="shared" ref="B47:C47" si="43">($A47-B$9)/365.25</f>
        <v>61.538672142368242</v>
      </c>
      <c r="C47" s="409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31188.244538569645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7964.8254614303487</v>
      </c>
      <c r="P47" s="25">
        <f t="shared" si="6"/>
        <v>31188.244538569645</v>
      </c>
      <c r="Q47" s="25">
        <f t="array" aca="1" ref="Q47" ca="1">INDEX('Isaac 401k'!L:L,MATCH('Retirement Calculator'!A47,'Isaac 401k'!N:N,0),0)</f>
        <v>2340200.8350910121</v>
      </c>
      <c r="R47" s="25">
        <f t="array" aca="1" ref="R47" ca="1">INDEX('Lorri 401b'!L:L,MATCH('Retirement Calculator'!A47,'Lorri 401b'!N:N,0),0)</f>
        <v>3809287.3721273975</v>
      </c>
      <c r="S47" s="25">
        <f t="shared" ca="1" si="7"/>
        <v>6149488.2072184095</v>
      </c>
    </row>
    <row r="48" spans="1:19" ht="15.75" customHeight="1" x14ac:dyDescent="0.3">
      <c r="A48" s="37">
        <v>52413</v>
      </c>
      <c r="B48" s="409">
        <f t="shared" ref="B48:C48" si="44">($A48-B$9)/365.25</f>
        <v>61.620807665982205</v>
      </c>
      <c r="C48" s="409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31188.244538569645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7964.8254614303487</v>
      </c>
      <c r="P48" s="25">
        <f t="shared" si="6"/>
        <v>31188.244538569645</v>
      </c>
      <c r="Q48" s="25">
        <f t="array" aca="1" ref="Q48" ca="1">INDEX('Isaac 401k'!L:L,MATCH('Retirement Calculator'!A48,'Isaac 401k'!N:N,0),0)</f>
        <v>2318633.4763464108</v>
      </c>
      <c r="R48" s="25">
        <f t="array" aca="1" ref="R48" ca="1">INDEX('Lorri 401b'!L:L,MATCH('Retirement Calculator'!A48,'Lorri 401b'!N:N,0),0)</f>
        <v>3825159.4028445948</v>
      </c>
      <c r="S48" s="25">
        <f t="shared" ca="1" si="7"/>
        <v>6143792.8791910056</v>
      </c>
    </row>
    <row r="49" spans="1:19" ht="15.75" customHeight="1" x14ac:dyDescent="0.3">
      <c r="A49" s="37">
        <v>52444</v>
      </c>
      <c r="B49" s="409">
        <f t="shared" ref="B49:C49" si="45">($A49-B$9)/365.25</f>
        <v>61.705681040383297</v>
      </c>
      <c r="C49" s="409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31188.244538569645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7964.8254614303487</v>
      </c>
      <c r="P49" s="25">
        <f t="shared" si="6"/>
        <v>31188.244538569645</v>
      </c>
      <c r="Q49" s="25">
        <f t="array" aca="1" ref="Q49" ca="1">INDEX('Isaac 401k'!L:L,MATCH('Retirement Calculator'!A49,'Isaac 401k'!N:N,0),0)</f>
        <v>2296976.2536070403</v>
      </c>
      <c r="R49" s="25">
        <f t="array" aca="1" ref="R49" ca="1">INDEX('Lorri 401b'!L:L,MATCH('Retirement Calculator'!A49,'Lorri 401b'!N:N,0),0)</f>
        <v>3841097.5670231138</v>
      </c>
      <c r="S49" s="25">
        <f t="shared" ca="1" si="7"/>
        <v>6138073.8206301536</v>
      </c>
    </row>
    <row r="50" spans="1:19" ht="15.75" customHeight="1" x14ac:dyDescent="0.3">
      <c r="A50" s="37">
        <v>52475</v>
      </c>
      <c r="B50" s="409">
        <f t="shared" ref="B50:C50" si="46">($A50-B$9)/365.25</f>
        <v>61.790554414784395</v>
      </c>
      <c r="C50" s="409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31188.244538569645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7964.8254614303487</v>
      </c>
      <c r="P50" s="25">
        <f t="shared" si="6"/>
        <v>31188.244538569645</v>
      </c>
      <c r="Q50" s="25">
        <f t="array" aca="1" ref="Q50" ca="1">INDEX('Isaac 401k'!L:L,MATCH('Retirement Calculator'!A50,'Isaac 401k'!N:N,0),0)</f>
        <v>2275228.7924395893</v>
      </c>
      <c r="R50" s="25">
        <f t="array" aca="1" ref="R50" ca="1">INDEX('Lorri 401b'!L:L,MATCH('Retirement Calculator'!A50,'Lorri 401b'!N:N,0),0)</f>
        <v>3857102.1402190435</v>
      </c>
      <c r="S50" s="25">
        <f t="shared" ca="1" si="7"/>
        <v>6132330.9326586332</v>
      </c>
    </row>
    <row r="51" spans="1:19" ht="15.75" customHeight="1" x14ac:dyDescent="0.3">
      <c r="A51" s="37">
        <v>52505</v>
      </c>
      <c r="B51" s="409">
        <f t="shared" ref="B51:C51" si="47">($A51-B$9)/365.25</f>
        <v>61.872689938398359</v>
      </c>
      <c r="C51" s="409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31188.244538569645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7964.8254614303487</v>
      </c>
      <c r="P51" s="25">
        <f t="shared" si="6"/>
        <v>31188.244538569645</v>
      </c>
      <c r="Q51" s="25">
        <f t="array" aca="1" ref="Q51" ca="1">INDEX('Isaac 401k'!L:L,MATCH('Retirement Calculator'!A51,'Isaac 401k'!N:N,0),0)</f>
        <v>2253390.7168506072</v>
      </c>
      <c r="R51" s="25">
        <f t="array" aca="1" ref="R51" ca="1">INDEX('Lorri 401b'!L:L,MATCH('Retirement Calculator'!A51,'Lorri 401b'!N:N,0),0)</f>
        <v>3873173.3991366229</v>
      </c>
      <c r="S51" s="25">
        <f t="shared" ca="1" si="7"/>
        <v>6126564.1159872301</v>
      </c>
    </row>
    <row r="52" spans="1:19" ht="15.75" customHeight="1" x14ac:dyDescent="0.3">
      <c r="A52" s="37">
        <v>52536</v>
      </c>
      <c r="B52" s="409">
        <f t="shared" ref="B52:C52" si="48">($A52-B$9)/365.25</f>
        <v>61.957563312799451</v>
      </c>
      <c r="C52" s="409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31188.244538569645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7964.8254614303487</v>
      </c>
      <c r="P52" s="25">
        <f t="shared" si="6"/>
        <v>31188.244538569645</v>
      </c>
      <c r="Q52" s="25">
        <f t="array" aca="1" ref="Q52" ca="1">INDEX('Isaac 401k'!L:L,MATCH('Retirement Calculator'!A52,'Isaac 401k'!N:N,0),0)</f>
        <v>2231461.6492800042</v>
      </c>
      <c r="R52" s="25">
        <f t="array" aca="1" ref="R52" ca="1">INDEX('Lorri 401b'!L:L,MATCH('Retirement Calculator'!A52,'Lorri 401b'!N:N,0),0)</f>
        <v>3889311.6216330254</v>
      </c>
      <c r="S52" s="25">
        <f t="shared" ca="1" si="7"/>
        <v>6120773.2709130291</v>
      </c>
    </row>
    <row r="53" spans="1:19" ht="15.75" customHeight="1" x14ac:dyDescent="0.3">
      <c r="A53" s="37">
        <v>52566</v>
      </c>
      <c r="B53" s="409">
        <f t="shared" ref="B53:C53" si="49">($A53-B$9)/365.25</f>
        <v>62.039698836413415</v>
      </c>
      <c r="C53" s="409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2192</v>
      </c>
      <c r="I53" s="25">
        <f>IF(C53&lt;62,0,'Combined Retirement'!$I$13)</f>
        <v>0</v>
      </c>
      <c r="J53" s="25">
        <f t="shared" si="3"/>
        <v>30565.244538569641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8587.8254614303496</v>
      </c>
      <c r="P53" s="25">
        <f t="shared" si="6"/>
        <v>30565.244538569641</v>
      </c>
      <c r="Q53" s="25">
        <f t="array" aca="1" ref="Q53" ca="1">INDEX('Isaac 401k'!L:L,MATCH('Retirement Calculator'!A53,'Isaac 401k'!N:N,0),0)</f>
        <v>2210066.8064278569</v>
      </c>
      <c r="R53" s="25">
        <f t="array" aca="1" ref="R53" ca="1">INDEX('Lorri 401b'!L:L,MATCH('Retirement Calculator'!A53,'Lorri 401b'!N:N,0),0)</f>
        <v>3905517.0867231628</v>
      </c>
      <c r="S53" s="25">
        <f t="shared" ca="1" si="7"/>
        <v>6115583.8931510197</v>
      </c>
    </row>
    <row r="54" spans="1:19" ht="15.75" customHeight="1" x14ac:dyDescent="0.3">
      <c r="A54" s="37">
        <v>52597</v>
      </c>
      <c r="B54" s="409">
        <f t="shared" ref="B54:C54" si="50">($A54-B$9)/365.25</f>
        <v>62.124572210814513</v>
      </c>
      <c r="C54" s="409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2192</v>
      </c>
      <c r="I54" s="25">
        <f>IF(C54&lt;62,0,'Combined Retirement'!$I$13)</f>
        <v>0</v>
      </c>
      <c r="J54" s="25">
        <f t="shared" si="3"/>
        <v>30565.244538569641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8587.8254614303496</v>
      </c>
      <c r="P54" s="25">
        <f t="shared" si="6"/>
        <v>30565.244538569641</v>
      </c>
      <c r="Q54" s="25">
        <f t="array" aca="1" ref="Q54" ca="1">INDEX('Isaac 401k'!L:L,MATCH('Retirement Calculator'!A54,'Isaac 401k'!N:N,0),0)</f>
        <v>2188582.8183971592</v>
      </c>
      <c r="R54" s="25">
        <f t="array" aca="1" ref="R54" ca="1">INDEX('Lorri 401b'!L:L,MATCH('Retirement Calculator'!A54,'Lorri 401b'!N:N,0),0)</f>
        <v>3921790.0745845092</v>
      </c>
      <c r="S54" s="25">
        <f t="shared" ca="1" si="7"/>
        <v>6110372.8929816689</v>
      </c>
    </row>
    <row r="55" spans="1:19" ht="15.75" customHeight="1" x14ac:dyDescent="0.3">
      <c r="A55" s="37">
        <v>52628</v>
      </c>
      <c r="B55" s="409">
        <f t="shared" ref="B55:C55" si="51">($A55-B$9)/365.25</f>
        <v>62.209445585215605</v>
      </c>
      <c r="C55" s="409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2192</v>
      </c>
      <c r="I55" s="25">
        <f>IF(C55&lt;62,0,'Combined Retirement'!$I$13)</f>
        <v>0</v>
      </c>
      <c r="J55" s="25">
        <f t="shared" si="3"/>
        <v>30565.244538569641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8587.8254614303496</v>
      </c>
      <c r="P55" s="25">
        <f t="shared" si="6"/>
        <v>30565.244538569641</v>
      </c>
      <c r="Q55" s="25">
        <f t="array" aca="1" ref="Q55" ca="1">INDEX('Isaac 401k'!L:L,MATCH('Retirement Calculator'!A55,'Isaac 401k'!N:N,0),0)</f>
        <v>2167009.3137496668</v>
      </c>
      <c r="R55" s="25">
        <f t="array" aca="1" ref="R55" ca="1">INDEX('Lorri 401b'!L:L,MATCH('Retirement Calculator'!A55,'Lorri 401b'!N:N,0),0)</f>
        <v>3938130.8665619446</v>
      </c>
      <c r="S55" s="25">
        <f t="shared" ca="1" si="7"/>
        <v>6105140.1803116109</v>
      </c>
    </row>
    <row r="56" spans="1:19" ht="15.75" customHeight="1" x14ac:dyDescent="0.3">
      <c r="A56" s="37">
        <v>52657</v>
      </c>
      <c r="B56" s="409">
        <f t="shared" ref="B56:C56" si="52">($A56-B$9)/365.25</f>
        <v>62.288843258042434</v>
      </c>
      <c r="C56" s="409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2192</v>
      </c>
      <c r="I56" s="25">
        <f>IF(C56&lt;62,0,'Combined Retirement'!$I$13)</f>
        <v>0</v>
      </c>
      <c r="J56" s="25">
        <f t="shared" si="3"/>
        <v>30565.244538569641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8587.8254614303496</v>
      </c>
      <c r="P56" s="25">
        <f t="shared" si="6"/>
        <v>30565.244538569641</v>
      </c>
      <c r="Q56" s="25">
        <f t="array" aca="1" ref="Q56" ca="1">INDEX('Isaac 401k'!L:L,MATCH('Retirement Calculator'!A56,'Isaac 401k'!N:N,0),0)</f>
        <v>2145345.9194994764</v>
      </c>
      <c r="R56" s="25">
        <f t="array" aca="1" ref="R56" ca="1">INDEX('Lorri 401b'!L:L,MATCH('Retirement Calculator'!A56,'Lorri 401b'!N:N,0),0)</f>
        <v>3954539.7451726194</v>
      </c>
      <c r="S56" s="25">
        <f t="shared" ca="1" si="7"/>
        <v>6099885.6646720953</v>
      </c>
    </row>
    <row r="57" spans="1:19" ht="15.75" customHeight="1" x14ac:dyDescent="0.3">
      <c r="A57" s="37">
        <v>52688</v>
      </c>
      <c r="B57" s="409">
        <f t="shared" ref="B57:C57" si="53">($A57-B$9)/365.25</f>
        <v>62.373716632443532</v>
      </c>
      <c r="C57" s="409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2192</v>
      </c>
      <c r="I57" s="25">
        <f>IF(C57&lt;62,0,'Combined Retirement'!$I$13)</f>
        <v>0</v>
      </c>
      <c r="J57" s="25">
        <f t="shared" si="3"/>
        <v>30565.244538569641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8587.8254614303496</v>
      </c>
      <c r="P57" s="25">
        <f t="shared" si="6"/>
        <v>30565.244538569641</v>
      </c>
      <c r="Q57" s="25">
        <f t="array" aca="1" ref="Q57" ca="1">INDEX('Isaac 401k'!L:L,MATCH('Retirement Calculator'!A57,'Isaac 401k'!N:N,0),0)</f>
        <v>2123592.2611065772</v>
      </c>
      <c r="R57" s="25">
        <f t="array" aca="1" ref="R57" ca="1">INDEX('Lorri 401b'!L:L,MATCH('Retirement Calculator'!A57,'Lorri 401b'!N:N,0),0)</f>
        <v>3971016.9941108385</v>
      </c>
      <c r="S57" s="25">
        <f t="shared" ca="1" si="7"/>
        <v>6094609.2552174162</v>
      </c>
    </row>
    <row r="58" spans="1:19" ht="15.75" customHeight="1" x14ac:dyDescent="0.3">
      <c r="A58" s="37">
        <v>52718</v>
      </c>
      <c r="B58" s="409">
        <f t="shared" ref="B58:C58" si="54">($A58-B$9)/365.25</f>
        <v>62.455852156057496</v>
      </c>
      <c r="C58" s="409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2192</v>
      </c>
      <c r="I58" s="25">
        <f>IF(C58&lt;62,0,'Combined Retirement'!$I$13)</f>
        <v>0</v>
      </c>
      <c r="J58" s="25">
        <f t="shared" si="3"/>
        <v>30565.244538569641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8587.8254614303496</v>
      </c>
      <c r="P58" s="25">
        <f t="shared" si="6"/>
        <v>30565.244538569641</v>
      </c>
      <c r="Q58" s="25">
        <f t="array" aca="1" ref="Q58" ca="1">INDEX('Isaac 401k'!L:L,MATCH('Retirement Calculator'!A58,'Isaac 401k'!N:N,0),0)</f>
        <v>2101747.9624703745</v>
      </c>
      <c r="R58" s="25">
        <f t="array" aca="1" ref="R58" ca="1">INDEX('Lorri 401b'!L:L,MATCH('Retirement Calculator'!A58,'Lorri 401b'!N:N,0),0)</f>
        <v>3987562.8982529668</v>
      </c>
      <c r="S58" s="25">
        <f t="shared" ca="1" si="7"/>
        <v>6089310.8607233409</v>
      </c>
    </row>
    <row r="59" spans="1:19" ht="15.75" customHeight="1" x14ac:dyDescent="0.3">
      <c r="A59" s="37">
        <v>52749</v>
      </c>
      <c r="B59" s="409">
        <f t="shared" ref="B59:C59" si="55">($A59-B$9)/365.25</f>
        <v>62.540725530458587</v>
      </c>
      <c r="C59" s="409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2192</v>
      </c>
      <c r="I59" s="25">
        <f>IF(C59&lt;62,0,'Combined Retirement'!$I$13)</f>
        <v>0</v>
      </c>
      <c r="J59" s="25">
        <f t="shared" si="3"/>
        <v>30565.244538569641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8587.8254614303496</v>
      </c>
      <c r="P59" s="25">
        <f t="shared" si="6"/>
        <v>30565.244538569641</v>
      </c>
      <c r="Q59" s="25">
        <f t="array" aca="1" ref="Q59" ca="1">INDEX('Isaac 401k'!L:L,MATCH('Retirement Calculator'!A59,'Isaac 401k'!N:N,0),0)</f>
        <v>2079812.6459231875</v>
      </c>
      <c r="R59" s="25">
        <f t="array" aca="1" ref="R59" ca="1">INDEX('Lorri 401b'!L:L,MATCH('Retirement Calculator'!A59,'Lorri 401b'!N:N,0),0)</f>
        <v>4004177.7436623541</v>
      </c>
      <c r="S59" s="25">
        <f t="shared" ca="1" si="7"/>
        <v>6083990.3895855416</v>
      </c>
    </row>
    <row r="60" spans="1:19" ht="15.75" customHeight="1" x14ac:dyDescent="0.3">
      <c r="A60" s="37">
        <v>52779</v>
      </c>
      <c r="B60" s="409">
        <f t="shared" ref="B60:C60" si="56">($A60-B$9)/365.25</f>
        <v>62.622861054072551</v>
      </c>
      <c r="C60" s="409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2192</v>
      </c>
      <c r="I60" s="25">
        <f>IF(C60&lt;62,0,'Combined Retirement'!$I$13)</f>
        <v>0</v>
      </c>
      <c r="J60" s="25">
        <f t="shared" si="3"/>
        <v>30565.244538569641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8587.8254614303496</v>
      </c>
      <c r="P60" s="25">
        <f t="shared" si="6"/>
        <v>30565.244538569641</v>
      </c>
      <c r="Q60" s="25">
        <f t="array" aca="1" ref="Q60" ca="1">INDEX('Isaac 401k'!L:L,MATCH('Retirement Calculator'!A60,'Isaac 401k'!N:N,0),0)</f>
        <v>2057785.9322237205</v>
      </c>
      <c r="R60" s="25">
        <f t="array" aca="1" ref="R60" ca="1">INDEX('Lorri 401b'!L:L,MATCH('Retirement Calculator'!A60,'Lorri 401b'!N:N,0),0)</f>
        <v>4020861.8175942805</v>
      </c>
      <c r="S60" s="25">
        <f t="shared" ca="1" si="7"/>
        <v>6078647.7498180009</v>
      </c>
    </row>
    <row r="61" spans="1:19" ht="15.75" customHeight="1" x14ac:dyDescent="0.3">
      <c r="A61" s="37">
        <v>52810</v>
      </c>
      <c r="B61" s="409">
        <f t="shared" ref="B61:C61" si="57">($A61-B$9)/365.25</f>
        <v>62.70773442847365</v>
      </c>
      <c r="C61" s="409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2192</v>
      </c>
      <c r="I61" s="25">
        <f>IF(C61&lt;62,0,'Combined Retirement'!$I$13)</f>
        <v>0</v>
      </c>
      <c r="J61" s="25">
        <f t="shared" si="3"/>
        <v>30565.244538569641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8587.8254614303496</v>
      </c>
      <c r="P61" s="25">
        <f t="shared" si="6"/>
        <v>30565.244538569641</v>
      </c>
      <c r="Q61" s="25">
        <f t="array" aca="1" ref="Q61" ca="1">INDEX('Isaac 401k'!L:L,MATCH('Retirement Calculator'!A61,'Isaac 401k'!N:N,0),0)</f>
        <v>2035667.4405505056</v>
      </c>
      <c r="R61" s="25">
        <f t="array" aca="1" ref="R61" ca="1">INDEX('Lorri 401b'!L:L,MATCH('Retirement Calculator'!A61,'Lorri 401b'!N:N,0),0)</f>
        <v>4037615.4085009233</v>
      </c>
      <c r="S61" s="25">
        <f t="shared" ca="1" si="7"/>
        <v>6073282.849051429</v>
      </c>
    </row>
    <row r="62" spans="1:19" ht="15.75" customHeight="1" x14ac:dyDescent="0.3">
      <c r="A62" s="37">
        <v>52841</v>
      </c>
      <c r="B62" s="409">
        <f t="shared" ref="B62:C62" si="58">($A62-B$9)/365.25</f>
        <v>62.792607802874741</v>
      </c>
      <c r="C62" s="409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2192</v>
      </c>
      <c r="I62" s="25">
        <f>IF(C62&lt;62,0,'Combined Retirement'!$I$13)</f>
        <v>0</v>
      </c>
      <c r="J62" s="25">
        <f t="shared" si="3"/>
        <v>30565.244538569641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8587.8254614303496</v>
      </c>
      <c r="P62" s="25">
        <f t="shared" si="6"/>
        <v>30565.244538569641</v>
      </c>
      <c r="Q62" s="25">
        <f t="array" aca="1" ref="Q62" ca="1">INDEX('Isaac 401k'!L:L,MATCH('Retirement Calculator'!A62,'Isaac 401k'!N:N,0),0)</f>
        <v>2013456.7884953192</v>
      </c>
      <c r="R62" s="25">
        <f t="array" aca="1" ref="R62" ca="1">INDEX('Lorri 401b'!L:L,MATCH('Retirement Calculator'!A62,'Lorri 401b'!N:N,0),0)</f>
        <v>4054438.8060363438</v>
      </c>
      <c r="S62" s="25">
        <f t="shared" ca="1" si="7"/>
        <v>6067895.5945316628</v>
      </c>
    </row>
    <row r="63" spans="1:19" ht="15.75" customHeight="1" x14ac:dyDescent="0.3">
      <c r="A63" s="37">
        <v>52871</v>
      </c>
      <c r="B63" s="409">
        <f t="shared" ref="B63:C63" si="59">($A63-B$9)/365.25</f>
        <v>62.874743326488705</v>
      </c>
      <c r="C63" s="409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2192</v>
      </c>
      <c r="I63" s="25">
        <f>IF(C63&lt;62,0,'Combined Retirement'!$I$13)</f>
        <v>0</v>
      </c>
      <c r="J63" s="25">
        <f t="shared" si="3"/>
        <v>30565.244538569641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8587.8254614303496</v>
      </c>
      <c r="P63" s="25">
        <f t="shared" si="6"/>
        <v>30565.244538569641</v>
      </c>
      <c r="Q63" s="25">
        <f t="array" aca="1" ref="Q63" ca="1">INDEX('Isaac 401k'!L:L,MATCH('Retirement Calculator'!A63,'Isaac 401k'!N:N,0),0)</f>
        <v>1991153.5920565694</v>
      </c>
      <c r="R63" s="25">
        <f t="array" aca="1" ref="R63" ca="1">INDEX('Lorri 401b'!L:L,MATCH('Retirement Calculator'!A63,'Lorri 401b'!N:N,0),0)</f>
        <v>4071332.3010614952</v>
      </c>
      <c r="S63" s="25">
        <f t="shared" ca="1" si="7"/>
        <v>6062485.8931180649</v>
      </c>
    </row>
    <row r="64" spans="1:19" ht="15.75" customHeight="1" x14ac:dyDescent="0.3">
      <c r="A64" s="37">
        <v>52902</v>
      </c>
      <c r="B64" s="409">
        <f t="shared" ref="B64:C64" si="60">($A64-B$9)/365.25</f>
        <v>62.959616700889804</v>
      </c>
      <c r="C64" s="409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2192</v>
      </c>
      <c r="I64" s="25">
        <f>IF(C64&lt;62,0,'Combined Retirement'!$I$13)</f>
        <v>0</v>
      </c>
      <c r="J64" s="25">
        <f t="shared" si="3"/>
        <v>30565.244538569641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8587.8254614303496</v>
      </c>
      <c r="P64" s="25">
        <f t="shared" si="6"/>
        <v>30565.244538569641</v>
      </c>
      <c r="Q64" s="25">
        <f t="array" aca="1" ref="Q64" ca="1">INDEX('Isaac 401k'!L:L,MATCH('Retirement Calculator'!A64,'Isaac 401k'!N:N,0),0)</f>
        <v>1968757.4656326582</v>
      </c>
      <c r="R64" s="25">
        <f t="array" aca="1" ref="R64" ca="1">INDEX('Lorri 401b'!L:L,MATCH('Retirement Calculator'!A64,'Lorri 401b'!N:N,0),0)</f>
        <v>4088296.1856492516</v>
      </c>
      <c r="S64" s="25">
        <f t="shared" ca="1" si="7"/>
        <v>6057053.65128191</v>
      </c>
    </row>
    <row r="65" spans="1:19" ht="15.75" customHeight="1" x14ac:dyDescent="0.3">
      <c r="A65" s="37">
        <v>52932</v>
      </c>
      <c r="B65" s="409">
        <f t="shared" ref="B65:C65" si="61">($A65-B$9)/365.25</f>
        <v>63.041752224503767</v>
      </c>
      <c r="C65" s="409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2192</v>
      </c>
      <c r="I65" s="25">
        <f>IF(C65&lt;62,0,'Combined Retirement'!$I$13)</f>
        <v>0</v>
      </c>
      <c r="J65" s="25">
        <f t="shared" si="3"/>
        <v>30565.244538569641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8587.8254614303496</v>
      </c>
      <c r="P65" s="25">
        <f t="shared" si="6"/>
        <v>30565.244538569641</v>
      </c>
      <c r="Q65" s="25">
        <f t="array" aca="1" ref="Q65" ca="1">INDEX('Isaac 401k'!L:L,MATCH('Retirement Calculator'!A65,'Isaac 401k'!N:N,0),0)</f>
        <v>1946268.0220153141</v>
      </c>
      <c r="R65" s="25">
        <f t="array" aca="1" ref="R65" ca="1">INDEX('Lorri 401b'!L:L,MATCH('Retirement Calculator'!A65,'Lorri 401b'!N:N,0),0)</f>
        <v>4105330.7530894568</v>
      </c>
      <c r="S65" s="25">
        <f t="shared" ca="1" si="7"/>
        <v>6051598.7751047704</v>
      </c>
    </row>
    <row r="66" spans="1:19" ht="15.75" customHeight="1" x14ac:dyDescent="0.3">
      <c r="A66" s="37">
        <v>52963</v>
      </c>
      <c r="B66" s="409">
        <f t="shared" ref="B66:C66" si="62">($A66-B$9)/365.25</f>
        <v>63.126625598904859</v>
      </c>
      <c r="C66" s="409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2192</v>
      </c>
      <c r="I66" s="25">
        <f>IF(C66&lt;62,0,'Combined Retirement'!$I$13)</f>
        <v>0</v>
      </c>
      <c r="J66" s="25">
        <f t="shared" si="3"/>
        <v>30565.244538569641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8587.8254614303496</v>
      </c>
      <c r="P66" s="25">
        <f t="shared" si="6"/>
        <v>30565.244538569641</v>
      </c>
      <c r="Q66" s="25">
        <f t="array" aca="1" ref="Q66" ca="1">INDEX('Isaac 401k'!L:L,MATCH('Retirement Calculator'!A66,'Isaac 401k'!N:N,0),0)</f>
        <v>1923684.8723828977</v>
      </c>
      <c r="R66" s="25">
        <f t="array" aca="1" ref="R66" ca="1">INDEX('Lorri 401b'!L:L,MATCH('Retirement Calculator'!A66,'Lorri 401b'!N:N,0),0)</f>
        <v>4122436.2978939964</v>
      </c>
      <c r="S66" s="25">
        <f t="shared" ca="1" si="7"/>
        <v>6046121.1702768942</v>
      </c>
    </row>
    <row r="67" spans="1:19" ht="15.75" customHeight="1" x14ac:dyDescent="0.3">
      <c r="A67" s="37">
        <v>52994</v>
      </c>
      <c r="B67" s="409">
        <f t="shared" ref="B67:C67" si="63">($A67-B$9)/365.25</f>
        <v>63.211498973305957</v>
      </c>
      <c r="C67" s="409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2192</v>
      </c>
      <c r="I67" s="25">
        <f>IF(C67&lt;62,0,'Combined Retirement'!$I$13)</f>
        <v>0</v>
      </c>
      <c r="J67" s="25">
        <f t="shared" si="3"/>
        <v>30565.244538569641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8587.8254614303496</v>
      </c>
      <c r="P67" s="25">
        <f t="shared" si="6"/>
        <v>30565.244538569641</v>
      </c>
      <c r="Q67" s="25">
        <f t="array" aca="1" ref="Q67" ca="1">INDEX('Isaac 401k'!L:L,MATCH('Retirement Calculator'!A67,'Isaac 401k'!N:N,0),0)</f>
        <v>1901007.6262936795</v>
      </c>
      <c r="R67" s="25">
        <f t="array" aca="1" ref="R67" ca="1">INDEX('Lorri 401b'!L:L,MATCH('Retirement Calculator'!A67,'Lorri 401b'!N:N,0),0)</f>
        <v>4139613.1158018881</v>
      </c>
      <c r="S67" s="25">
        <f t="shared" ca="1" si="7"/>
        <v>6040620.7420955673</v>
      </c>
    </row>
    <row r="68" spans="1:19" ht="15.75" customHeight="1" x14ac:dyDescent="0.3">
      <c r="A68" s="37">
        <v>53022</v>
      </c>
      <c r="B68" s="409">
        <f t="shared" ref="B68:C68" si="64">($A68-B$9)/365.25</f>
        <v>63.288158795345652</v>
      </c>
      <c r="C68" s="409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2192</v>
      </c>
      <c r="I68" s="25">
        <f>IF(C68&lt;62,0,'Combined Retirement'!$I$13)</f>
        <v>0</v>
      </c>
      <c r="J68" s="25">
        <f t="shared" si="3"/>
        <v>30565.244538569641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8587.8254614303496</v>
      </c>
      <c r="P68" s="25">
        <f t="shared" si="6"/>
        <v>30565.244538569641</v>
      </c>
      <c r="Q68" s="25">
        <f t="array" aca="1" ref="Q68" ca="1">INDEX('Isaac 401k'!L:L,MATCH('Retirement Calculator'!A68,'Isaac 401k'!N:N,0),0)</f>
        <v>1878235.8916790895</v>
      </c>
      <c r="R68" s="25">
        <f t="array" aca="1" ref="R68" ca="1">INDEX('Lorri 401b'!L:L,MATCH('Retirement Calculator'!A68,'Lorri 401b'!N:N,0),0)</f>
        <v>4156861.5037843958</v>
      </c>
      <c r="S68" s="25">
        <f t="shared" ca="1" si="7"/>
        <v>6035097.3954634853</v>
      </c>
    </row>
    <row r="69" spans="1:19" ht="15.75" customHeight="1" x14ac:dyDescent="0.3">
      <c r="A69" s="37">
        <v>53053</v>
      </c>
      <c r="B69" s="409">
        <f t="shared" ref="B69:C69" si="65">($A69-B$9)/365.25</f>
        <v>63.37303216974675</v>
      </c>
      <c r="C69" s="409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2192</v>
      </c>
      <c r="I69" s="25">
        <f>IF(C69&lt;62,0,'Combined Retirement'!$I$13)</f>
        <v>0</v>
      </c>
      <c r="J69" s="25">
        <f t="shared" si="3"/>
        <v>30565.244538569641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8587.8254614303496</v>
      </c>
      <c r="P69" s="25">
        <f t="shared" si="6"/>
        <v>30565.244538569641</v>
      </c>
      <c r="Q69" s="25">
        <f t="array" aca="1" ref="Q69" ca="1">INDEX('Isaac 401k'!L:L,MATCH('Retirement Calculator'!A69,'Isaac 401k'!N:N,0),0)</f>
        <v>1855369.2748369388</v>
      </c>
      <c r="R69" s="25">
        <f t="array" aca="1" ref="R69" ca="1">INDEX('Lorri 401b'!L:L,MATCH('Retirement Calculator'!A69,'Lorri 401b'!N:N,0),0)</f>
        <v>4174181.7600501641</v>
      </c>
      <c r="S69" s="25">
        <f t="shared" ca="1" si="7"/>
        <v>6029551.0348871034</v>
      </c>
    </row>
    <row r="70" spans="1:19" ht="15.75" customHeight="1" x14ac:dyDescent="0.3">
      <c r="A70" s="37">
        <v>53083</v>
      </c>
      <c r="B70" s="409">
        <f t="shared" ref="B70:C70" si="66">($A70-B$9)/365.25</f>
        <v>63.455167693360714</v>
      </c>
      <c r="C70" s="409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2192</v>
      </c>
      <c r="I70" s="25">
        <f>IF(C70&lt;62,0,'Combined Retirement'!$I$13)</f>
        <v>0</v>
      </c>
      <c r="J70" s="25">
        <f t="shared" si="3"/>
        <v>30565.244538569641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8587.8254614303496</v>
      </c>
      <c r="P70" s="25">
        <f t="shared" si="6"/>
        <v>30565.244538569641</v>
      </c>
      <c r="Q70" s="25">
        <f t="array" aca="1" ref="Q70" ca="1">INDEX('Isaac 401k'!L:L,MATCH('Retirement Calculator'!A70,'Isaac 401k'!N:N,0),0)</f>
        <v>1832407.3804246124</v>
      </c>
      <c r="R70" s="25">
        <f t="array" aca="1" ref="R70" ca="1">INDEX('Lorri 401b'!L:L,MATCH('Retirement Calculator'!A70,'Lorri 401b'!N:N,0),0)</f>
        <v>4191574.1840503733</v>
      </c>
      <c r="S70" s="25">
        <f t="shared" ca="1" si="7"/>
        <v>6023981.5644749859</v>
      </c>
    </row>
    <row r="71" spans="1:19" ht="15.75" customHeight="1" x14ac:dyDescent="0.3">
      <c r="A71" s="37">
        <v>53114</v>
      </c>
      <c r="B71" s="409">
        <f t="shared" ref="B71:C71" si="67">($A71-B$9)/365.25</f>
        <v>63.540041067761805</v>
      </c>
      <c r="C71" s="409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2192</v>
      </c>
      <c r="I71" s="25">
        <f>IF(C71&lt;62,0,'Combined Retirement'!$I$13)</f>
        <v>0</v>
      </c>
      <c r="J71" s="25">
        <f t="shared" si="3"/>
        <v>30565.244538569641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8587.8254614303496</v>
      </c>
      <c r="P71" s="25">
        <f t="shared" si="6"/>
        <v>30565.244538569641</v>
      </c>
      <c r="Q71" s="25">
        <f t="array" aca="1" ref="Q71" ca="1">INDEX('Isaac 401k'!L:L,MATCH('Retirement Calculator'!A71,'Isaac 401k'!N:N,0),0)</f>
        <v>1809349.8114522346</v>
      </c>
      <c r="R71" s="25">
        <f t="array" aca="1" ref="R71" ca="1">INDEX('Lorri 401b'!L:L,MATCH('Retirement Calculator'!A71,'Lorri 401b'!N:N,0),0)</f>
        <v>4209039.0764839165</v>
      </c>
      <c r="S71" s="25">
        <f t="shared" ca="1" si="7"/>
        <v>6018388.8879361507</v>
      </c>
    </row>
    <row r="72" spans="1:19" ht="15.75" customHeight="1" x14ac:dyDescent="0.3">
      <c r="A72" s="37">
        <v>53144</v>
      </c>
      <c r="B72" s="409">
        <f t="shared" ref="B72:C72" si="68">($A72-B$9)/365.25</f>
        <v>63.622176591375769</v>
      </c>
      <c r="C72" s="409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2192</v>
      </c>
      <c r="I72" s="25">
        <f>IF(C72&lt;62,0,'Combined Retirement'!$I$13)</f>
        <v>0</v>
      </c>
      <c r="J72" s="25">
        <f t="shared" si="3"/>
        <v>30565.244538569641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8587.8254614303496</v>
      </c>
      <c r="P72" s="25">
        <f t="shared" si="6"/>
        <v>30565.244538569641</v>
      </c>
      <c r="Q72" s="25">
        <f t="array" aca="1" ref="Q72" ca="1">INDEX('Isaac 401k'!L:L,MATCH('Retirement Calculator'!A72,'Isaac 401k'!N:N,0),0)</f>
        <v>1786196.1692758054</v>
      </c>
      <c r="R72" s="25">
        <f t="array" aca="1" ref="R72" ca="1">INDEX('Lorri 401b'!L:L,MATCH('Retirement Calculator'!A72,'Lorri 401b'!N:N,0),0)</f>
        <v>4226576.7393025998</v>
      </c>
      <c r="S72" s="25">
        <f t="shared" ca="1" si="7"/>
        <v>6012772.9085784052</v>
      </c>
    </row>
    <row r="73" spans="1:19" ht="15.75" customHeight="1" x14ac:dyDescent="0.3">
      <c r="A73" s="37">
        <v>53175</v>
      </c>
      <c r="B73" s="409">
        <f t="shared" ref="B73:C73" si="69">($A73-B$9)/365.25</f>
        <v>63.707049965776868</v>
      </c>
      <c r="C73" s="409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2192</v>
      </c>
      <c r="I73" s="25">
        <f>IF(C73&lt;62,0,'Combined Retirement'!$I$13)</f>
        <v>0</v>
      </c>
      <c r="J73" s="25">
        <f t="shared" si="3"/>
        <v>30565.244538569641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8587.8254614303496</v>
      </c>
      <c r="P73" s="25">
        <f t="shared" si="6"/>
        <v>30565.244538569641</v>
      </c>
      <c r="Q73" s="25">
        <f t="array" aca="1" ref="Q73" ca="1">INDEX('Isaac 401k'!L:L,MATCH('Retirement Calculator'!A73,'Isaac 401k'!N:N,0),0)</f>
        <v>1762946.0535903075</v>
      </c>
      <c r="R73" s="25">
        <f t="array" aca="1" ref="R73" ca="1">INDEX('Lorri 401b'!L:L,MATCH('Retirement Calculator'!A73,'Lorri 401b'!N:N,0),0)</f>
        <v>4244187.4757163608</v>
      </c>
      <c r="S73" s="25">
        <f t="shared" ca="1" si="7"/>
        <v>6007133.5293066688</v>
      </c>
    </row>
    <row r="74" spans="1:19" ht="15.75" customHeight="1" x14ac:dyDescent="0.3">
      <c r="A74" s="37">
        <v>53206</v>
      </c>
      <c r="B74" s="409">
        <f t="shared" ref="B74:C74" si="70">($A74-B$9)/365.25</f>
        <v>63.791923340177959</v>
      </c>
      <c r="C74" s="409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2192</v>
      </c>
      <c r="I74" s="25">
        <f>IF(C74&lt;62,0,'Combined Retirement'!$I$13)</f>
        <v>0</v>
      </c>
      <c r="J74" s="25">
        <f t="shared" si="3"/>
        <v>30565.244538569641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8587.8254614303496</v>
      </c>
      <c r="P74" s="25">
        <f t="shared" si="6"/>
        <v>30565.244538569641</v>
      </c>
      <c r="Q74" s="25">
        <f t="array" aca="1" ref="Q74" ca="1">INDEX('Isaac 401k'!L:L,MATCH('Retirement Calculator'!A74,'Isaac 401k'!N:N,0),0)</f>
        <v>1739599.0624227868</v>
      </c>
      <c r="R74" s="25">
        <f t="array" aca="1" ref="R74" ca="1">INDEX('Lorri 401b'!L:L,MATCH('Retirement Calculator'!A74,'Lorri 401b'!N:N,0),0)</f>
        <v>4261871.5901985122</v>
      </c>
      <c r="S74" s="25">
        <f t="shared" ca="1" si="7"/>
        <v>6001470.652621299</v>
      </c>
    </row>
    <row r="75" spans="1:19" ht="15.75" customHeight="1" x14ac:dyDescent="0.3">
      <c r="A75" s="37">
        <v>53236</v>
      </c>
      <c r="B75" s="409">
        <f t="shared" ref="B75:C75" si="71">($A75-B$9)/365.25</f>
        <v>63.874058863791923</v>
      </c>
      <c r="C75" s="409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2192</v>
      </c>
      <c r="I75" s="25">
        <f>IF(C75&lt;62,0,'Combined Retirement'!$I$13)</f>
        <v>0</v>
      </c>
      <c r="J75" s="25">
        <f t="shared" si="3"/>
        <v>30565.244538569641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8587.8254614303496</v>
      </c>
      <c r="P75" s="25">
        <f t="shared" si="6"/>
        <v>30565.244538569641</v>
      </c>
      <c r="Q75" s="25">
        <f t="array" aca="1" ref="Q75" ca="1">INDEX('Isaac 401k'!L:L,MATCH('Retirement Calculator'!A75,'Isaac 401k'!N:N,0),0)</f>
        <v>1716154.7921254016</v>
      </c>
      <c r="R75" s="25">
        <f t="array" aca="1" ref="R75" ca="1">INDEX('Lorri 401b'!L:L,MATCH('Retirement Calculator'!A75,'Lorri 401b'!N:N,0),0)</f>
        <v>4279629.3884910056</v>
      </c>
      <c r="S75" s="25">
        <f t="shared" ca="1" si="7"/>
        <v>5995784.1806164067</v>
      </c>
    </row>
    <row r="76" spans="1:19" ht="15.75" customHeight="1" x14ac:dyDescent="0.3">
      <c r="A76" s="37">
        <v>53267</v>
      </c>
      <c r="B76" s="409">
        <f t="shared" ref="B76:C76" si="72">($A76-B$9)/365.25</f>
        <v>63.958932238193022</v>
      </c>
      <c r="C76" s="409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2192</v>
      </c>
      <c r="I76" s="25">
        <f>IF(C76&lt;62,0,'Combined Retirement'!$I$13)</f>
        <v>0</v>
      </c>
      <c r="J76" s="25">
        <f t="shared" si="3"/>
        <v>30565.244538569641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8587.8254614303496</v>
      </c>
      <c r="P76" s="25">
        <f t="shared" si="6"/>
        <v>30565.244538569641</v>
      </c>
      <c r="Q76" s="25">
        <f t="array" aca="1" ref="Q76" ca="1">INDEX('Isaac 401k'!L:L,MATCH('Retirement Calculator'!A76,'Isaac 401k'!N:N,0),0)</f>
        <v>1692612.8373684438</v>
      </c>
      <c r="R76" s="25">
        <f t="array" aca="1" ref="R76" ca="1">INDEX('Lorri 401b'!L:L,MATCH('Retirement Calculator'!A76,'Lorri 401b'!N:N,0),0)</f>
        <v>4297461.1776097184</v>
      </c>
      <c r="S76" s="25">
        <f t="shared" ca="1" si="7"/>
        <v>5990074.014978162</v>
      </c>
    </row>
    <row r="77" spans="1:19" ht="15.75" customHeight="1" x14ac:dyDescent="0.3">
      <c r="A77" s="37">
        <v>53297</v>
      </c>
      <c r="B77" s="409">
        <f t="shared" ref="B77:C77" si="73">($A77-B$9)/365.25</f>
        <v>64.041067761806985</v>
      </c>
      <c r="C77" s="409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2192</v>
      </c>
      <c r="I77" s="25">
        <f>IF(C77&lt;62,0,'Combined Retirement'!$I$13)</f>
        <v>0</v>
      </c>
      <c r="J77" s="25">
        <f t="shared" si="3"/>
        <v>30565.244538569641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8587.8254614303496</v>
      </c>
      <c r="P77" s="25">
        <f t="shared" si="6"/>
        <v>30565.244538569641</v>
      </c>
      <c r="Q77" s="25">
        <f t="array" aca="1" ref="Q77" ca="1">INDEX('Isaac 401k'!L:L,MATCH('Retirement Calculator'!A77,'Isaac 401k'!N:N,0),0)</f>
        <v>1668972.7911333321</v>
      </c>
      <c r="R77" s="25">
        <f t="array" aca="1" ref="R77" ca="1">INDEX('Lorri 401b'!L:L,MATCH('Retirement Calculator'!A77,'Lorri 401b'!N:N,0),0)</f>
        <v>4315367.2658497589</v>
      </c>
      <c r="S77" s="25">
        <f t="shared" ca="1" si="7"/>
        <v>5984340.0569830909</v>
      </c>
    </row>
    <row r="78" spans="1:19" ht="15.75" customHeight="1" x14ac:dyDescent="0.3">
      <c r="A78" s="37">
        <v>53328</v>
      </c>
      <c r="B78" s="409">
        <f t="shared" ref="B78:C78" si="74">($A78-B$9)/365.25</f>
        <v>64.12594113620807</v>
      </c>
      <c r="C78" s="409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2192</v>
      </c>
      <c r="I78" s="25">
        <f>IF(C78&lt;62,0,'Combined Retirement'!$I$13)</f>
        <v>0</v>
      </c>
      <c r="J78" s="25">
        <f t="shared" si="3"/>
        <v>8539.3180191855863</v>
      </c>
      <c r="K78" s="25">
        <f t="shared" si="4"/>
        <v>22025.926519384055</v>
      </c>
      <c r="L78" s="25"/>
      <c r="N78" s="25">
        <f>'Combined Retirement'!$C$18/12</f>
        <v>39153.069999999992</v>
      </c>
      <c r="O78" s="25">
        <f t="shared" si="5"/>
        <v>8587.8254614303496</v>
      </c>
      <c r="P78" s="25">
        <f t="shared" si="6"/>
        <v>30565.244538569641</v>
      </c>
      <c r="Q78" s="25">
        <f t="array" aca="1" ref="Q78" ca="1">INDEX('Isaac 401k'!L:L,MATCH('Retirement Calculator'!A78,'Isaac 401k'!N:N,0),0)</f>
        <v>1667351.9459187887</v>
      </c>
      <c r="R78" s="25">
        <f t="array" aca="1" ref="R78" ca="1">INDEX('Lorri 401b'!L:L,MATCH('Retirement Calculator'!A78,'Lorri 401b'!N:N,0),0)</f>
        <v>4311230.2615775848</v>
      </c>
      <c r="S78" s="25">
        <f t="shared" ca="1" si="7"/>
        <v>5978582.207496373</v>
      </c>
    </row>
    <row r="79" spans="1:19" ht="15.75" customHeight="1" x14ac:dyDescent="0.3">
      <c r="A79" s="37">
        <v>53359</v>
      </c>
      <c r="B79" s="409">
        <f t="shared" ref="B79:C79" si="75">($A79-B$9)/365.25</f>
        <v>64.210814510609168</v>
      </c>
      <c r="C79" s="409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2192</v>
      </c>
      <c r="I79" s="25">
        <f>IF(C79&lt;62,0,'Combined Retirement'!$I$13)</f>
        <v>0</v>
      </c>
      <c r="J79" s="25">
        <f t="shared" si="3"/>
        <v>8539.3180191855863</v>
      </c>
      <c r="K79" s="25">
        <f t="shared" si="4"/>
        <v>22025.926519384055</v>
      </c>
      <c r="L79" s="25"/>
      <c r="N79" s="25">
        <f>'Combined Retirement'!$C$18/12</f>
        <v>39153.069999999992</v>
      </c>
      <c r="O79" s="25">
        <f t="shared" si="5"/>
        <v>8587.8254614303496</v>
      </c>
      <c r="P79" s="25">
        <f t="shared" si="6"/>
        <v>30565.244538569641</v>
      </c>
      <c r="Q79" s="25">
        <f t="array" aca="1" ref="Q79" ca="1">INDEX('Isaac 401k'!L:L,MATCH('Retirement Calculator'!A79,'Isaac 401k'!N:N,0),0)</f>
        <v>1665724.3471825181</v>
      </c>
      <c r="R79" s="25">
        <f t="array" aca="1" ref="R79" ca="1">INDEX('Lorri 401b'!L:L,MATCH('Retirement Calculator'!A79,'Lorri 401b'!N:N,0),0)</f>
        <v>4307076.0197876105</v>
      </c>
      <c r="S79" s="25">
        <f t="shared" ca="1" si="7"/>
        <v>5972800.3669701284</v>
      </c>
    </row>
    <row r="80" spans="1:19" ht="15.75" customHeight="1" x14ac:dyDescent="0.3">
      <c r="A80" s="37">
        <v>53387</v>
      </c>
      <c r="B80" s="409">
        <f t="shared" ref="B80:C80" si="76">($A80-B$9)/365.25</f>
        <v>64.28747433264887</v>
      </c>
      <c r="C80" s="409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2192</v>
      </c>
      <c r="I80" s="25">
        <f>IF(C80&lt;62,0,'Combined Retirement'!$I$13)</f>
        <v>0</v>
      </c>
      <c r="J80" s="25">
        <f t="shared" si="3"/>
        <v>8539.3180191855863</v>
      </c>
      <c r="K80" s="25">
        <f t="shared" si="4"/>
        <v>22025.926519384055</v>
      </c>
      <c r="L80" s="25"/>
      <c r="N80" s="25">
        <f>'Combined Retirement'!$C$18/12</f>
        <v>39153.069999999992</v>
      </c>
      <c r="O80" s="25">
        <f t="shared" si="5"/>
        <v>8587.8254614303496</v>
      </c>
      <c r="P80" s="25">
        <f t="shared" si="6"/>
        <v>30565.244538569641</v>
      </c>
      <c r="Q80" s="25">
        <f t="array" aca="1" ref="Q80" ca="1">INDEX('Isaac 401k'!L:L,MATCH('Retirement Calculator'!A80,'Isaac 401k'!N:N,0),0)</f>
        <v>1664089.9667848463</v>
      </c>
      <c r="R80" s="25">
        <f t="array" aca="1" ref="R80" ca="1">INDEX('Lorri 401b'!L:L,MATCH('Retirement Calculator'!A80,'Lorri 401b'!N:N,0),0)</f>
        <v>4302904.4686568445</v>
      </c>
      <c r="S80" s="25">
        <f t="shared" ca="1" si="7"/>
        <v>5966994.4354416905</v>
      </c>
    </row>
    <row r="81" spans="1:19" ht="15.75" customHeight="1" x14ac:dyDescent="0.3">
      <c r="A81" s="37">
        <v>53418</v>
      </c>
      <c r="B81" s="409">
        <f t="shared" ref="B81:C81" si="77">($A81-B$9)/365.25</f>
        <v>64.372347707049968</v>
      </c>
      <c r="C81" s="409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2192</v>
      </c>
      <c r="I81" s="25">
        <f>IF(C81&lt;62,0,'Combined Retirement'!$I$13)</f>
        <v>0</v>
      </c>
      <c r="J81" s="25">
        <f t="shared" si="3"/>
        <v>8539.3180191855863</v>
      </c>
      <c r="K81" s="25">
        <f t="shared" si="4"/>
        <v>22025.926519384055</v>
      </c>
      <c r="L81" s="25"/>
      <c r="N81" s="25">
        <f>'Combined Retirement'!$C$18/12</f>
        <v>39153.069999999992</v>
      </c>
      <c r="O81" s="25">
        <f t="shared" si="5"/>
        <v>8587.8254614303496</v>
      </c>
      <c r="P81" s="25">
        <f t="shared" si="6"/>
        <v>30565.244538569641</v>
      </c>
      <c r="Q81" s="25">
        <f t="array" aca="1" ref="Q81" ca="1">INDEX('Isaac 401k'!L:L,MATCH('Retirement Calculator'!A81,'Isaac 401k'!N:N,0),0)</f>
        <v>1662448.7764688509</v>
      </c>
      <c r="R81" s="25">
        <f t="array" aca="1" ref="R81" ca="1">INDEX('Lorri 401b'!L:L,MATCH('Retirement Calculator'!A81,'Lorri 401b'!N:N,0),0)</f>
        <v>4298715.5360630332</v>
      </c>
      <c r="S81" s="25">
        <f t="shared" ca="1" si="7"/>
        <v>5961164.3125318838</v>
      </c>
    </row>
    <row r="82" spans="1:19" ht="15.75" customHeight="1" x14ac:dyDescent="0.3">
      <c r="A82" s="37">
        <v>53448</v>
      </c>
      <c r="B82" s="409">
        <f t="shared" ref="B82:C82" si="78">($A82-B$9)/365.25</f>
        <v>64.454483230663925</v>
      </c>
      <c r="C82" s="409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2192</v>
      </c>
      <c r="I82" s="25">
        <f>IF(C82&lt;62,0,'Combined Retirement'!$I$13)</f>
        <v>0</v>
      </c>
      <c r="J82" s="25">
        <f t="shared" si="3"/>
        <v>8539.3180191855863</v>
      </c>
      <c r="K82" s="25">
        <f t="shared" si="4"/>
        <v>22025.926519384055</v>
      </c>
      <c r="L82" s="25"/>
      <c r="N82" s="25">
        <f>'Combined Retirement'!$C$18/12</f>
        <v>39153.069999999992</v>
      </c>
      <c r="O82" s="25">
        <f t="shared" si="5"/>
        <v>8587.8254614303496</v>
      </c>
      <c r="P82" s="25">
        <f t="shared" si="6"/>
        <v>30565.244538569641</v>
      </c>
      <c r="Q82" s="25">
        <f t="array" aca="1" ref="Q82" ca="1">INDEX('Isaac 401k'!L:L,MATCH('Retirement Calculator'!A82,'Isaac 401k'!N:N,0),0)</f>
        <v>1660800.7478598722</v>
      </c>
      <c r="R82" s="25">
        <f t="array" aca="1" ref="R82" ca="1">INDEX('Lorri 401b'!L:L,MATCH('Retirement Calculator'!A82,'Lorri 401b'!N:N,0),0)</f>
        <v>4294509.1495834151</v>
      </c>
      <c r="S82" s="25">
        <f t="shared" ca="1" si="7"/>
        <v>5955309.8974432871</v>
      </c>
    </row>
    <row r="83" spans="1:19" ht="15.75" customHeight="1" x14ac:dyDescent="0.3">
      <c r="A83" s="37">
        <v>53479</v>
      </c>
      <c r="B83" s="409">
        <f t="shared" ref="B83:C83" si="79">($A83-B$9)/365.25</f>
        <v>64.539356605065024</v>
      </c>
      <c r="C83" s="409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2192</v>
      </c>
      <c r="I83" s="25">
        <f>IF(C83&lt;62,0,'Combined Retirement'!$I$13)</f>
        <v>0</v>
      </c>
      <c r="J83" s="25">
        <f t="shared" si="3"/>
        <v>8539.3180191855863</v>
      </c>
      <c r="K83" s="25">
        <f t="shared" si="4"/>
        <v>22025.926519384055</v>
      </c>
      <c r="L83" s="25"/>
      <c r="N83" s="25">
        <f>'Combined Retirement'!$C$18/12</f>
        <v>39153.069999999992</v>
      </c>
      <c r="O83" s="25">
        <f t="shared" si="5"/>
        <v>8587.8254614303496</v>
      </c>
      <c r="P83" s="25">
        <f t="shared" si="6"/>
        <v>30565.244538569641</v>
      </c>
      <c r="Q83" s="25">
        <f t="array" aca="1" ref="Q83" ca="1">INDEX('Isaac 401k'!L:L,MATCH('Retirement Calculator'!A83,'Isaac 401k'!N:N,0),0)</f>
        <v>1659145.8524650226</v>
      </c>
      <c r="R83" s="25">
        <f t="array" aca="1" ref="R83" ca="1">INDEX('Lorri 401b'!L:L,MATCH('Retirement Calculator'!A83,'Lorri 401b'!N:N,0),0)</f>
        <v>4290285.2364934646</v>
      </c>
      <c r="S83" s="25">
        <f t="shared" ca="1" si="7"/>
        <v>5949431.0889584869</v>
      </c>
    </row>
    <row r="84" spans="1:19" ht="15.75" customHeight="1" x14ac:dyDescent="0.3">
      <c r="A84" s="37">
        <v>53509</v>
      </c>
      <c r="B84" s="409">
        <f t="shared" ref="B84:C84" si="80">($A84-B$9)/365.25</f>
        <v>64.62149212867898</v>
      </c>
      <c r="C84" s="409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2192</v>
      </c>
      <c r="I84" s="25">
        <f>IF(C84&lt;62,0,'Combined Retirement'!$I$13)</f>
        <v>0</v>
      </c>
      <c r="J84" s="25">
        <f t="shared" si="3"/>
        <v>8539.3180191855863</v>
      </c>
      <c r="K84" s="25">
        <f t="shared" si="4"/>
        <v>22025.926519384055</v>
      </c>
      <c r="L84" s="25"/>
      <c r="N84" s="25">
        <f>'Combined Retirement'!$C$18/12</f>
        <v>39153.069999999992</v>
      </c>
      <c r="O84" s="25">
        <f t="shared" si="5"/>
        <v>8587.8254614303496</v>
      </c>
      <c r="P84" s="25">
        <f t="shared" si="6"/>
        <v>30565.244538569641</v>
      </c>
      <c r="Q84" s="25">
        <f t="array" aca="1" ref="Q84" ca="1">INDEX('Isaac 401k'!L:L,MATCH('Retirement Calculator'!A84,'Isaac 401k'!N:N,0),0)</f>
        <v>1657484.0616726945</v>
      </c>
      <c r="R84" s="25">
        <f t="array" aca="1" ref="R84" ca="1">INDEX('Lorri 401b'!L:L,MATCH('Retirement Calculator'!A84,'Lorri 401b'!N:N,0),0)</f>
        <v>4286043.7237656396</v>
      </c>
      <c r="S84" s="25">
        <f t="shared" ca="1" si="7"/>
        <v>5943527.7854383346</v>
      </c>
    </row>
    <row r="85" spans="1:19" ht="15.75" customHeight="1" x14ac:dyDescent="0.3">
      <c r="A85" s="37">
        <v>53540</v>
      </c>
      <c r="B85" s="409">
        <f t="shared" ref="B85:C85" si="81">($A85-B$9)/365.25</f>
        <v>64.706365503080079</v>
      </c>
      <c r="C85" s="409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2192</v>
      </c>
      <c r="I85" s="25">
        <f>IF(C85&lt;62,0,'Combined Retirement'!$I$13)</f>
        <v>0</v>
      </c>
      <c r="J85" s="25">
        <f t="shared" si="3"/>
        <v>8539.3180191855863</v>
      </c>
      <c r="K85" s="25">
        <f t="shared" si="4"/>
        <v>22025.926519384055</v>
      </c>
      <c r="L85" s="25"/>
      <c r="N85" s="25">
        <f>'Combined Retirement'!$C$18/12</f>
        <v>39153.069999999992</v>
      </c>
      <c r="O85" s="25">
        <f t="shared" si="5"/>
        <v>8587.8254614303496</v>
      </c>
      <c r="P85" s="25">
        <f t="shared" si="6"/>
        <v>30565.244538569641</v>
      </c>
      <c r="Q85" s="25">
        <f t="array" aca="1" ref="Q85" ca="1">INDEX('Isaac 401k'!L:L,MATCH('Retirement Calculator'!A85,'Isaac 401k'!N:N,0),0)</f>
        <v>1655815.3467520652</v>
      </c>
      <c r="R85" s="25">
        <f t="array" aca="1" ref="R85" ca="1">INDEX('Lorri 401b'!L:L,MATCH('Retirement Calculator'!A85,'Lorri 401b'!N:N,0),0)</f>
        <v>4281784.5380681157</v>
      </c>
      <c r="S85" s="25">
        <f t="shared" ca="1" si="7"/>
        <v>5937599.8848201809</v>
      </c>
    </row>
    <row r="86" spans="1:19" ht="15.75" customHeight="1" x14ac:dyDescent="0.3">
      <c r="A86" s="37">
        <v>53571</v>
      </c>
      <c r="B86" s="409">
        <f t="shared" ref="B86:C86" si="82">($A86-B$9)/365.25</f>
        <v>64.791238877481177</v>
      </c>
      <c r="C86" s="409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2192</v>
      </c>
      <c r="I86" s="25">
        <f>IF(C86&lt;62,0,'Combined Retirement'!$I$13)</f>
        <v>0</v>
      </c>
      <c r="J86" s="25">
        <f t="shared" si="3"/>
        <v>8539.3180191855863</v>
      </c>
      <c r="K86" s="25">
        <f t="shared" si="4"/>
        <v>22025.926519384055</v>
      </c>
      <c r="L86" s="25"/>
      <c r="N86" s="25">
        <f>'Combined Retirement'!$C$18/12</f>
        <v>39153.069999999992</v>
      </c>
      <c r="O86" s="25">
        <f t="shared" si="5"/>
        <v>8587.8254614303496</v>
      </c>
      <c r="P86" s="25">
        <f t="shared" si="6"/>
        <v>30565.244538569641</v>
      </c>
      <c r="Q86" s="25">
        <f t="array" aca="1" ref="Q86" ca="1">INDEX('Isaac 401k'!L:L,MATCH('Retirement Calculator'!A86,'Isaac 401k'!N:N,0),0)</f>
        <v>1654139.6788525998</v>
      </c>
      <c r="R86" s="25">
        <f t="array" aca="1" ref="R86" ca="1">INDEX('Lorri 401b'!L:L,MATCH('Retirement Calculator'!A86,'Lorri 401b'!N:N,0),0)</f>
        <v>4277507.6057635183</v>
      </c>
      <c r="S86" s="25">
        <f t="shared" ca="1" si="7"/>
        <v>5931647.2846161183</v>
      </c>
    </row>
    <row r="87" spans="1:19" ht="15.75" customHeight="1" x14ac:dyDescent="0.3">
      <c r="A87" s="37">
        <v>53601</v>
      </c>
      <c r="B87" s="409">
        <f t="shared" ref="B87:C87" si="83">($A87-B$9)/365.25</f>
        <v>64.873374401095134</v>
      </c>
      <c r="C87" s="409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2192</v>
      </c>
      <c r="I87" s="25">
        <f>IF(C87&lt;62,0,'Combined Retirement'!$I$13)</f>
        <v>0</v>
      </c>
      <c r="J87" s="25">
        <f t="shared" si="3"/>
        <v>8539.3180191855863</v>
      </c>
      <c r="K87" s="25">
        <f t="shared" si="4"/>
        <v>22025.926519384055</v>
      </c>
      <c r="L87" s="25"/>
      <c r="N87" s="25">
        <f>'Combined Retirement'!$C$18/12</f>
        <v>39153.069999999992</v>
      </c>
      <c r="O87" s="25">
        <f t="shared" si="5"/>
        <v>8587.8254614303496</v>
      </c>
      <c r="P87" s="25">
        <f t="shared" si="6"/>
        <v>30565.244538569641</v>
      </c>
      <c r="Q87" s="25">
        <f t="array" aca="1" ref="Q87" ca="1">INDEX('Isaac 401k'!L:L,MATCH('Retirement Calculator'!A87,'Isaac 401k'!N:N,0),0)</f>
        <v>1652457.0290035533</v>
      </c>
      <c r="R87" s="25">
        <f t="array" aca="1" ref="R87" ca="1">INDEX('Lorri 401b'!L:L,MATCH('Retirement Calculator'!A87,'Lorri 401b'!N:N,0),0)</f>
        <v>4273212.852907652</v>
      </c>
      <c r="S87" s="25">
        <f t="shared" ca="1" si="7"/>
        <v>5925669.8819112051</v>
      </c>
    </row>
    <row r="88" spans="1:19" ht="15.75" customHeight="1" x14ac:dyDescent="0.3">
      <c r="A88" s="37">
        <v>53632</v>
      </c>
      <c r="B88" s="409">
        <f t="shared" ref="B88:C88" si="84">($A88-B$9)/365.25</f>
        <v>64.958247775496233</v>
      </c>
      <c r="C88" s="409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2192</v>
      </c>
      <c r="I88" s="25">
        <f>IF(C88&lt;62,0,'Combined Retirement'!$I$13)</f>
        <v>0</v>
      </c>
      <c r="J88" s="25">
        <f t="shared" si="3"/>
        <v>8539.3180191855863</v>
      </c>
      <c r="K88" s="25">
        <f t="shared" si="4"/>
        <v>22025.926519384055</v>
      </c>
      <c r="L88" s="25"/>
      <c r="N88" s="25">
        <f>'Combined Retirement'!$C$18/12</f>
        <v>39153.069999999992</v>
      </c>
      <c r="O88" s="25">
        <f t="shared" si="5"/>
        <v>8587.8254614303496</v>
      </c>
      <c r="P88" s="25">
        <f t="shared" si="6"/>
        <v>30565.244538569641</v>
      </c>
      <c r="Q88" s="25">
        <f t="array" aca="1" ref="Q88" ca="1">INDEX('Isaac 401k'!L:L,MATCH('Retirement Calculator'!A88,'Isaac 401k'!N:N,0),0)</f>
        <v>1650767.3681134691</v>
      </c>
      <c r="R88" s="25">
        <f t="array" aca="1" ref="R88" ca="1">INDEX('Lorri 401b'!L:L,MATCH('Retirement Calculator'!A88,'Lorri 401b'!N:N,0),0)</f>
        <v>4268900.2052482199</v>
      </c>
      <c r="S88" s="25">
        <f t="shared" ca="1" si="7"/>
        <v>5919667.5733616892</v>
      </c>
    </row>
    <row r="89" spans="1:19" ht="15.75" customHeight="1" x14ac:dyDescent="0.3">
      <c r="A89" s="37">
        <v>53662</v>
      </c>
      <c r="B89" s="409">
        <f t="shared" ref="B89:C89" si="85">($A89-B$9)/365.25</f>
        <v>65.040383299110204</v>
      </c>
      <c r="C89" s="409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2192</v>
      </c>
      <c r="I89" s="25">
        <f>IF(C89&lt;62,0,'Combined Retirement'!$I$13)</f>
        <v>0</v>
      </c>
      <c r="J89" s="25">
        <f t="shared" si="3"/>
        <v>8539.3180191855863</v>
      </c>
      <c r="K89" s="25">
        <f t="shared" si="4"/>
        <v>22025.926519384055</v>
      </c>
      <c r="L89" s="25"/>
      <c r="N89" s="25">
        <f>'Combined Retirement'!$C$18/12</f>
        <v>39153.069999999992</v>
      </c>
      <c r="O89" s="25">
        <f t="shared" si="5"/>
        <v>8587.8254614303496</v>
      </c>
      <c r="P89" s="25">
        <f t="shared" si="6"/>
        <v>30565.244538569641</v>
      </c>
      <c r="Q89" s="25">
        <f t="array" aca="1" ref="Q89" ca="1">INDEX('Isaac 401k'!L:L,MATCH('Retirement Calculator'!A89,'Isaac 401k'!N:N,0),0)</f>
        <v>1649070.6669696763</v>
      </c>
      <c r="R89" s="25">
        <f t="array" aca="1" ref="R89" ca="1">INDEX('Lorri 401b'!L:L,MATCH('Retirement Calculator'!A89,'Lorri 401b'!N:N,0),0)</f>
        <v>4264569.5882235393</v>
      </c>
      <c r="S89" s="25">
        <f t="shared" ca="1" si="7"/>
        <v>5913640.2551932158</v>
      </c>
    </row>
    <row r="90" spans="1:19" ht="15.75" customHeight="1" x14ac:dyDescent="0.3">
      <c r="A90" s="37">
        <v>53693</v>
      </c>
      <c r="B90" s="409">
        <f t="shared" ref="B90:C90" si="86">($A90-B$9)/365.25</f>
        <v>65.125256673511288</v>
      </c>
      <c r="C90" s="409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2192</v>
      </c>
      <c r="I90" s="25">
        <f>IF(C90&lt;62,0,'Combined Retirement'!$I$13)</f>
        <v>0</v>
      </c>
      <c r="J90" s="25">
        <f t="shared" si="3"/>
        <v>8539.3180191855863</v>
      </c>
      <c r="K90" s="25">
        <f t="shared" si="4"/>
        <v>22025.926519384055</v>
      </c>
      <c r="L90" s="25"/>
      <c r="N90" s="25">
        <f>'Combined Retirement'!$C$18/12</f>
        <v>39153.069999999992</v>
      </c>
      <c r="O90" s="25">
        <f t="shared" si="5"/>
        <v>8587.8254614303496</v>
      </c>
      <c r="P90" s="25">
        <f t="shared" si="6"/>
        <v>30565.244538569641</v>
      </c>
      <c r="Q90" s="25">
        <f t="array" aca="1" ref="Q90" ca="1">INDEX('Isaac 401k'!L:L,MATCH('Retirement Calculator'!A90,'Isaac 401k'!N:N,0),0)</f>
        <v>1647366.8962377843</v>
      </c>
      <c r="R90" s="25">
        <f t="array" aca="1" ref="R90" ca="1">INDEX('Lorri 401b'!L:L,MATCH('Retirement Calculator'!A90,'Lorri 401b'!N:N,0),0)</f>
        <v>4260220.9269612562</v>
      </c>
      <c r="S90" s="25">
        <f t="shared" ca="1" si="7"/>
        <v>5907587.8231990403</v>
      </c>
    </row>
    <row r="91" spans="1:19" ht="15.75" customHeight="1" x14ac:dyDescent="0.3">
      <c r="A91" s="37">
        <v>53724</v>
      </c>
      <c r="B91" s="409">
        <f t="shared" ref="B91:C91" si="87">($A91-B$9)/365.25</f>
        <v>65.210130047912386</v>
      </c>
      <c r="C91" s="409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2192</v>
      </c>
      <c r="I91" s="25">
        <f>IF(C91&lt;62,0,'Combined Retirement'!$I$13)</f>
        <v>0</v>
      </c>
      <c r="J91" s="25">
        <f t="shared" si="3"/>
        <v>8539.3180191855863</v>
      </c>
      <c r="K91" s="25">
        <f t="shared" si="4"/>
        <v>22025.926519384055</v>
      </c>
      <c r="L91" s="25"/>
      <c r="N91" s="25">
        <f>'Combined Retirement'!$C$18/12</f>
        <v>39153.069999999992</v>
      </c>
      <c r="O91" s="25">
        <f t="shared" si="5"/>
        <v>8587.8254614303496</v>
      </c>
      <c r="P91" s="25">
        <f t="shared" si="6"/>
        <v>30565.244538569641</v>
      </c>
      <c r="Q91" s="25">
        <f t="array" aca="1" ref="Q91" ca="1">INDEX('Isaac 401k'!L:L,MATCH('Retirement Calculator'!A91,'Isaac 401k'!N:N,0),0)</f>
        <v>1645656.0264611761</v>
      </c>
      <c r="R91" s="25">
        <f t="array" aca="1" ref="R91" ca="1">INDEX('Lorri 401b'!L:L,MATCH('Retirement Calculator'!A91,'Lorri 401b'!N:N,0),0)</f>
        <v>4255854.1462770468</v>
      </c>
      <c r="S91" s="25">
        <f t="shared" ca="1" si="7"/>
        <v>5901510.1727382224</v>
      </c>
    </row>
    <row r="92" spans="1:19" ht="15.75" customHeight="1" x14ac:dyDescent="0.3">
      <c r="A92" s="37">
        <v>53752</v>
      </c>
      <c r="B92" s="409">
        <f t="shared" ref="B92:C92" si="88">($A92-B$9)/365.25</f>
        <v>65.286789869952088</v>
      </c>
      <c r="C92" s="409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2192</v>
      </c>
      <c r="I92" s="25">
        <f>IF(C92&lt;62,0,'Combined Retirement'!$I$13)</f>
        <v>0</v>
      </c>
      <c r="J92" s="25">
        <f t="shared" si="3"/>
        <v>8539.3180191855863</v>
      </c>
      <c r="K92" s="25">
        <f t="shared" si="4"/>
        <v>22025.926519384055</v>
      </c>
      <c r="L92" s="25"/>
      <c r="N92" s="25">
        <f>'Combined Retirement'!$C$18/12</f>
        <v>39153.069999999992</v>
      </c>
      <c r="O92" s="25">
        <f t="shared" si="5"/>
        <v>8587.8254614303496</v>
      </c>
      <c r="P92" s="25">
        <f t="shared" si="6"/>
        <v>30565.244538569641</v>
      </c>
      <c r="Q92" s="25">
        <f t="array" aca="1" ref="Q92" ca="1">INDEX('Isaac 401k'!L:L,MATCH('Retirement Calculator'!A92,'Isaac 401k'!N:N,0),0)</f>
        <v>1643938.0280604986</v>
      </c>
      <c r="R92" s="25">
        <f t="array" aca="1" ref="R92" ca="1">INDEX('Lorri 401b'!L:L,MATCH('Retirement Calculator'!A92,'Lorri 401b'!N:N,0),0)</f>
        <v>4251469.1706733201</v>
      </c>
      <c r="S92" s="25">
        <f t="shared" ca="1" si="7"/>
        <v>5895407.1987338187</v>
      </c>
    </row>
    <row r="93" spans="1:19" ht="15.75" customHeight="1" x14ac:dyDescent="0.3">
      <c r="A93" s="37">
        <v>53783</v>
      </c>
      <c r="B93" s="409">
        <f t="shared" ref="B93:C93" si="89">($A93-B$9)/365.25</f>
        <v>65.371663244353186</v>
      </c>
      <c r="C93" s="409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2192</v>
      </c>
      <c r="I93" s="25">
        <f>IF(C93&lt;62,0,'Combined Retirement'!$I$13)</f>
        <v>0</v>
      </c>
      <c r="J93" s="25">
        <f t="shared" si="3"/>
        <v>8539.3180191855863</v>
      </c>
      <c r="K93" s="25">
        <f t="shared" si="4"/>
        <v>22025.926519384055</v>
      </c>
      <c r="L93" s="25"/>
      <c r="N93" s="25">
        <f>'Combined Retirement'!$C$18/12</f>
        <v>39153.069999999992</v>
      </c>
      <c r="O93" s="25">
        <f t="shared" si="5"/>
        <v>8587.8254614303496</v>
      </c>
      <c r="P93" s="25">
        <f t="shared" si="6"/>
        <v>30565.244538569641</v>
      </c>
      <c r="Q93" s="25">
        <f t="array" aca="1" ref="Q93" ca="1">INDEX('Isaac 401k'!L:L,MATCH('Retirement Calculator'!A93,'Isaac 401k'!N:N,0),0)</f>
        <v>1642212.8713331518</v>
      </c>
      <c r="R93" s="25">
        <f t="array" aca="1" ref="R93" ca="1">INDEX('Lorri 401b'!L:L,MATCH('Retirement Calculator'!A93,'Lorri 401b'!N:N,0),0)</f>
        <v>4247065.9243379114</v>
      </c>
      <c r="S93" s="25">
        <f t="shared" ca="1" si="7"/>
        <v>5889278.7956710635</v>
      </c>
    </row>
    <row r="94" spans="1:19" ht="15.75" customHeight="1" x14ac:dyDescent="0.3">
      <c r="A94" s="37">
        <v>53813</v>
      </c>
      <c r="B94" s="409">
        <f t="shared" ref="B94:C94" si="90">($A94-B$9)/365.25</f>
        <v>65.453798767967143</v>
      </c>
      <c r="C94" s="409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2192</v>
      </c>
      <c r="I94" s="25">
        <f>IF(C94&lt;62,0,'Combined Retirement'!$I$13)</f>
        <v>0</v>
      </c>
      <c r="J94" s="25">
        <f t="shared" si="3"/>
        <v>8539.3180191855863</v>
      </c>
      <c r="K94" s="25">
        <f t="shared" si="4"/>
        <v>22025.926519384055</v>
      </c>
      <c r="L94" s="25"/>
      <c r="N94" s="25">
        <f>'Combined Retirement'!$C$18/12</f>
        <v>39153.069999999992</v>
      </c>
      <c r="O94" s="25">
        <f t="shared" si="5"/>
        <v>8587.8254614303496</v>
      </c>
      <c r="P94" s="25">
        <f t="shared" si="6"/>
        <v>30565.244538569641</v>
      </c>
      <c r="Q94" s="25">
        <f t="array" aca="1" ref="Q94" ca="1">INDEX('Isaac 401k'!L:L,MATCH('Retirement Calculator'!A94,'Isaac 401k'!N:N,0),0)</f>
        <v>1640480.5264527744</v>
      </c>
      <c r="R94" s="25">
        <f t="array" aca="1" ref="R94" ca="1">INDEX('Lorri 401b'!L:L,MATCH('Retirement Calculator'!A94,'Lorri 401b'!N:N,0),0)</f>
        <v>4242644.331142772</v>
      </c>
      <c r="S94" s="25">
        <f t="shared" ca="1" si="7"/>
        <v>5883124.8575955462</v>
      </c>
    </row>
    <row r="95" spans="1:19" ht="15.75" customHeight="1" x14ac:dyDescent="0.3">
      <c r="A95" s="37">
        <v>53844</v>
      </c>
      <c r="B95" s="409">
        <f t="shared" ref="B95:C95" si="91">($A95-B$9)/365.25</f>
        <v>65.538672142368242</v>
      </c>
      <c r="C95" s="409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2192</v>
      </c>
      <c r="I95" s="25">
        <f>IF(C95&lt;62,0,'Combined Retirement'!$I$13)</f>
        <v>0</v>
      </c>
      <c r="J95" s="25">
        <f t="shared" si="3"/>
        <v>8539.3180191855863</v>
      </c>
      <c r="K95" s="25">
        <f t="shared" si="4"/>
        <v>22025.926519384055</v>
      </c>
      <c r="L95" s="25"/>
      <c r="N95" s="25">
        <f>'Combined Retirement'!$C$18/12</f>
        <v>39153.069999999992</v>
      </c>
      <c r="O95" s="25">
        <f t="shared" si="5"/>
        <v>8587.8254614303496</v>
      </c>
      <c r="P95" s="25">
        <f t="shared" si="6"/>
        <v>30565.244538569641</v>
      </c>
      <c r="Q95" s="25">
        <f t="array" aca="1" ref="Q95" ca="1">INDEX('Isaac 401k'!L:L,MATCH('Retirement Calculator'!A95,'Isaac 401k'!N:N,0),0)</f>
        <v>1638740.9634687286</v>
      </c>
      <c r="R95" s="25">
        <f t="array" aca="1" ref="R95" ca="1">INDEX('Lorri 401b'!L:L,MATCH('Retirement Calculator'!A95,'Lorri 401b'!N:N,0),0)</f>
        <v>4238204.3146426529</v>
      </c>
      <c r="S95" s="25">
        <f t="shared" ca="1" si="7"/>
        <v>5876945.2781113815</v>
      </c>
    </row>
    <row r="96" spans="1:19" ht="15.75" customHeight="1" x14ac:dyDescent="0.3">
      <c r="A96" s="37">
        <v>53874</v>
      </c>
      <c r="B96" s="409">
        <f t="shared" ref="B96:C96" si="92">($A96-B$9)/365.25</f>
        <v>65.620807665982198</v>
      </c>
      <c r="C96" s="409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2192</v>
      </c>
      <c r="I96" s="25">
        <f>IF(C96&lt;62,0,'Combined Retirement'!$I$13)</f>
        <v>0</v>
      </c>
      <c r="J96" s="25">
        <f t="shared" si="3"/>
        <v>8539.3180191855863</v>
      </c>
      <c r="K96" s="25">
        <f t="shared" si="4"/>
        <v>22025.926519384055</v>
      </c>
      <c r="L96" s="25"/>
      <c r="N96" s="25">
        <f>'Combined Retirement'!$C$18/12</f>
        <v>39153.069999999992</v>
      </c>
      <c r="O96" s="25">
        <f t="shared" si="5"/>
        <v>8587.8254614303496</v>
      </c>
      <c r="P96" s="25">
        <f t="shared" si="6"/>
        <v>30565.244538569641</v>
      </c>
      <c r="Q96" s="25">
        <f t="array" aca="1" ref="Q96" ca="1">INDEX('Isaac 401k'!L:L,MATCH('Retirement Calculator'!A96,'Isaac 401k'!N:N,0),0)</f>
        <v>1636994.1523055828</v>
      </c>
      <c r="R96" s="25">
        <f t="array" aca="1" ref="R96" ca="1">INDEX('Lorri 401b'!L:L,MATCH('Retirement Calculator'!A96,'Lorri 401b'!N:N,0),0)</f>
        <v>4233745.7980737826</v>
      </c>
      <c r="S96" s="25">
        <f t="shared" ca="1" si="7"/>
        <v>5870739.9503793651</v>
      </c>
    </row>
    <row r="97" spans="1:19" ht="15.75" customHeight="1" x14ac:dyDescent="0.3">
      <c r="A97" s="37">
        <v>53905</v>
      </c>
      <c r="B97" s="409">
        <f t="shared" ref="B97:C97" si="93">($A97-B$9)/365.25</f>
        <v>65.705681040383297</v>
      </c>
      <c r="C97" s="409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2192</v>
      </c>
      <c r="I97" s="25">
        <f>IF(C97&lt;62,0,'Combined Retirement'!$I$13)</f>
        <v>0</v>
      </c>
      <c r="J97" s="25">
        <f t="shared" si="3"/>
        <v>8539.3180191855863</v>
      </c>
      <c r="K97" s="25">
        <f t="shared" si="4"/>
        <v>22025.926519384055</v>
      </c>
      <c r="L97" s="25"/>
      <c r="N97" s="25">
        <f>'Combined Retirement'!$C$18/12</f>
        <v>39153.069999999992</v>
      </c>
      <c r="O97" s="25">
        <f t="shared" si="5"/>
        <v>8587.8254614303496</v>
      </c>
      <c r="P97" s="25">
        <f t="shared" si="6"/>
        <v>30565.244538569641</v>
      </c>
      <c r="Q97" s="25">
        <f t="array" aca="1" ref="Q97" ca="1">INDEX('Isaac 401k'!L:L,MATCH('Retirement Calculator'!A97,'Isaac 401k'!N:N,0),0)</f>
        <v>1635240.0627625904</v>
      </c>
      <c r="R97" s="25">
        <f t="array" aca="1" ref="R97" ca="1">INDEX('Lorri 401b'!L:L,MATCH('Retirement Calculator'!A97,'Lorri 401b'!N:N,0),0)</f>
        <v>4229268.7043525418</v>
      </c>
      <c r="S97" s="25">
        <f t="shared" ca="1" si="7"/>
        <v>5864508.767115132</v>
      </c>
    </row>
    <row r="98" spans="1:19" ht="15.75" customHeight="1" x14ac:dyDescent="0.3">
      <c r="A98" s="37">
        <v>53936</v>
      </c>
      <c r="B98" s="409">
        <f t="shared" ref="B98:C98" si="94">($A98-B$9)/365.25</f>
        <v>65.790554414784395</v>
      </c>
      <c r="C98" s="409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2192</v>
      </c>
      <c r="I98" s="25">
        <f>IF(C98&lt;62,0,'Combined Retirement'!$I$13)</f>
        <v>0</v>
      </c>
      <c r="J98" s="25">
        <f t="shared" si="3"/>
        <v>8539.3180191855863</v>
      </c>
      <c r="K98" s="25">
        <f t="shared" si="4"/>
        <v>22025.926519384055</v>
      </c>
      <c r="L98" s="25"/>
      <c r="N98" s="25">
        <f>'Combined Retirement'!$C$18/12</f>
        <v>39153.069999999992</v>
      </c>
      <c r="O98" s="25">
        <f t="shared" si="5"/>
        <v>8587.8254614303496</v>
      </c>
      <c r="P98" s="25">
        <f t="shared" si="6"/>
        <v>30565.244538569641</v>
      </c>
      <c r="Q98" s="25">
        <f t="array" aca="1" ref="Q98" ca="1">INDEX('Isaac 401k'!L:L,MATCH('Retirement Calculator'!A98,'Isaac 401k'!N:N,0),0)</f>
        <v>1633478.6645131689</v>
      </c>
      <c r="R98" s="25">
        <f t="array" aca="1" ref="R98" ca="1">INDEX('Lorri 401b'!L:L,MATCH('Retirement Calculator'!A98,'Lorri 401b'!N:N,0),0)</f>
        <v>4224772.9560741298</v>
      </c>
      <c r="S98" s="25">
        <f t="shared" ca="1" si="7"/>
        <v>5858251.6205872986</v>
      </c>
    </row>
    <row r="99" spans="1:19" ht="15.75" customHeight="1" x14ac:dyDescent="0.3">
      <c r="A99" s="37">
        <v>53966</v>
      </c>
      <c r="B99" s="409">
        <f t="shared" ref="B99:C99" si="95">($A99-B$9)/365.25</f>
        <v>65.872689938398352</v>
      </c>
      <c r="C99" s="409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2192</v>
      </c>
      <c r="I99" s="25">
        <f>IF(C99&lt;62,0,'Combined Retirement'!$I$13)</f>
        <v>0</v>
      </c>
      <c r="J99" s="25">
        <f t="shared" si="3"/>
        <v>8539.3180191855863</v>
      </c>
      <c r="K99" s="25">
        <f t="shared" si="4"/>
        <v>22025.926519384055</v>
      </c>
      <c r="L99" s="25"/>
      <c r="N99" s="25">
        <f>'Combined Retirement'!$C$18/12</f>
        <v>39153.069999999992</v>
      </c>
      <c r="O99" s="25">
        <f t="shared" si="5"/>
        <v>8587.8254614303496</v>
      </c>
      <c r="P99" s="25">
        <f t="shared" si="6"/>
        <v>30565.244538569641</v>
      </c>
      <c r="Q99" s="25">
        <f t="array" aca="1" ref="Q99" ca="1">INDEX('Isaac 401k'!L:L,MATCH('Retirement Calculator'!A99,'Isaac 401k'!N:N,0),0)</f>
        <v>1631709.9271043749</v>
      </c>
      <c r="R99" s="25">
        <f t="array" aca="1" ref="R99" ca="1">INDEX('Lorri 401b'!L:L,MATCH('Retirement Calculator'!A99,'Lorri 401b'!N:N,0),0)</f>
        <v>4220258.475511224</v>
      </c>
      <c r="S99" s="25">
        <f t="shared" ca="1" si="7"/>
        <v>5851968.4026155993</v>
      </c>
    </row>
    <row r="100" spans="1:19" ht="15.75" customHeight="1" x14ac:dyDescent="0.3">
      <c r="A100" s="37">
        <v>53997</v>
      </c>
      <c r="B100" s="409">
        <f t="shared" ref="B100:C100" si="96">($A100-B$9)/365.25</f>
        <v>65.957563312799451</v>
      </c>
      <c r="C100" s="409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2192</v>
      </c>
      <c r="I100" s="25">
        <f>IF(C100&lt;62,0,'Combined Retirement'!$I$13)</f>
        <v>0</v>
      </c>
      <c r="J100" s="25">
        <f t="shared" si="3"/>
        <v>8539.3180191855863</v>
      </c>
      <c r="K100" s="25">
        <f t="shared" si="4"/>
        <v>22025.926519384055</v>
      </c>
      <c r="L100" s="25"/>
      <c r="N100" s="25">
        <f>'Combined Retirement'!$C$18/12</f>
        <v>39153.069999999992</v>
      </c>
      <c r="O100" s="25">
        <f t="shared" si="5"/>
        <v>8587.8254614303496</v>
      </c>
      <c r="P100" s="25">
        <f t="shared" si="6"/>
        <v>30565.244538569641</v>
      </c>
      <c r="Q100" s="25">
        <f t="array" aca="1" ref="Q100" ca="1">INDEX('Isaac 401k'!L:L,MATCH('Retirement Calculator'!A100,'Isaac 401k'!N:N,0),0)</f>
        <v>1629933.8199563774</v>
      </c>
      <c r="R100" s="25">
        <f t="array" aca="1" ref="R100" ca="1">INDEX('Lorri 401b'!L:L,MATCH('Retirement Calculator'!A100,'Lorri 401b'!N:N,0),0)</f>
        <v>4215725.1846126392</v>
      </c>
      <c r="S100" s="25">
        <f t="shared" ca="1" si="7"/>
        <v>5845659.0045690164</v>
      </c>
    </row>
    <row r="101" spans="1:19" ht="15.75" customHeight="1" x14ac:dyDescent="0.3">
      <c r="A101" s="37">
        <v>54027</v>
      </c>
      <c r="B101" s="409">
        <f t="shared" ref="B101:C101" si="97">($A101-B$9)/365.25</f>
        <v>66.039698836413422</v>
      </c>
      <c r="C101" s="409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2192</v>
      </c>
      <c r="I101" s="25">
        <f>IF(C101&lt;62,0,'Combined Retirement'!$I$13)</f>
        <v>0</v>
      </c>
      <c r="J101" s="25">
        <f t="shared" si="3"/>
        <v>8539.3180191855863</v>
      </c>
      <c r="K101" s="25">
        <f t="shared" si="4"/>
        <v>22025.926519384055</v>
      </c>
      <c r="L101" s="25"/>
      <c r="N101" s="25">
        <f>'Combined Retirement'!$C$18/12</f>
        <v>39153.069999999992</v>
      </c>
      <c r="O101" s="25">
        <f t="shared" si="5"/>
        <v>8587.8254614303496</v>
      </c>
      <c r="P101" s="25">
        <f t="shared" si="6"/>
        <v>30565.244538569641</v>
      </c>
      <c r="Q101" s="25">
        <f t="array" aca="1" ref="Q101" ca="1">INDEX('Isaac 401k'!L:L,MATCH('Retirement Calculator'!A101,'Isaac 401k'!N:N,0),0)</f>
        <v>1628150.31236193</v>
      </c>
      <c r="R101" s="25">
        <f t="array" aca="1" ref="R101" ca="1">INDEX('Lorri 401b'!L:L,MATCH('Retirement Calculator'!A101,'Lorri 401b'!N:N,0),0)</f>
        <v>4211173.0050019771</v>
      </c>
      <c r="S101" s="25">
        <f t="shared" ca="1" si="7"/>
        <v>5839323.3173639067</v>
      </c>
    </row>
    <row r="102" spans="1:19" ht="15.75" customHeight="1" x14ac:dyDescent="0.3">
      <c r="A102" s="37">
        <v>54058</v>
      </c>
      <c r="B102" s="409">
        <f t="shared" ref="B102:C102" si="98">($A102-B$9)/365.25</f>
        <v>66.124572210814506</v>
      </c>
      <c r="C102" s="409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2192</v>
      </c>
      <c r="I102" s="25">
        <f>IF(C102&lt;62,0,'Combined Retirement'!$I$13)</f>
        <v>0</v>
      </c>
      <c r="J102" s="25">
        <f t="shared" si="3"/>
        <v>8539.3180191855863</v>
      </c>
      <c r="K102" s="25">
        <f t="shared" si="4"/>
        <v>22025.926519384055</v>
      </c>
      <c r="L102" s="25"/>
      <c r="N102" s="25">
        <f>'Combined Retirement'!$C$18/12</f>
        <v>39153.069999999992</v>
      </c>
      <c r="O102" s="25">
        <f t="shared" si="5"/>
        <v>8587.8254614303496</v>
      </c>
      <c r="P102" s="25">
        <f t="shared" si="6"/>
        <v>30565.244538569641</v>
      </c>
      <c r="Q102" s="25">
        <f t="array" aca="1" ref="Q102" ca="1">INDEX('Isaac 401k'!L:L,MATCH('Retirement Calculator'!A102,'Isaac 401k'!N:N,0),0)</f>
        <v>1626359.3734858392</v>
      </c>
      <c r="R102" s="25">
        <f t="array" aca="1" ref="R102" ca="1">INDEX('Lorri 401b'!L:L,MATCH('Retirement Calculator'!A102,'Lorri 401b'!N:N,0),0)</f>
        <v>4206601.8579762708</v>
      </c>
      <c r="S102" s="25">
        <f t="shared" ca="1" si="7"/>
        <v>5832961.2314621098</v>
      </c>
    </row>
    <row r="103" spans="1:19" ht="15.75" customHeight="1" x14ac:dyDescent="0.3">
      <c r="A103" s="37">
        <v>54089</v>
      </c>
      <c r="B103" s="409">
        <f t="shared" ref="B103:C103" si="99">($A103-B$9)/365.25</f>
        <v>66.209445585215605</v>
      </c>
      <c r="C103" s="409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2192</v>
      </c>
      <c r="I103" s="25">
        <f>IF(C103&lt;62,0,'Combined Retirement'!$I$13)</f>
        <v>0</v>
      </c>
      <c r="J103" s="25">
        <f t="shared" si="3"/>
        <v>8539.3180191855863</v>
      </c>
      <c r="K103" s="25">
        <f t="shared" si="4"/>
        <v>22025.926519384055</v>
      </c>
      <c r="L103" s="25"/>
      <c r="N103" s="25">
        <f>'Combined Retirement'!$C$18/12</f>
        <v>39153.069999999992</v>
      </c>
      <c r="O103" s="25">
        <f t="shared" si="5"/>
        <v>8587.8254614303496</v>
      </c>
      <c r="P103" s="25">
        <f t="shared" si="6"/>
        <v>30565.244538569641</v>
      </c>
      <c r="Q103" s="25">
        <f t="array" aca="1" ref="Q103" ca="1">INDEX('Isaac 401k'!L:L,MATCH('Retirement Calculator'!A103,'Isaac 401k'!N:N,0),0)</f>
        <v>1624560.9723644312</v>
      </c>
      <c r="R103" s="25">
        <f t="array" aca="1" ref="R103" ca="1">INDEX('Lorri 401b'!L:L,MATCH('Retirement Calculator'!A103,'Lorri 401b'!N:N,0),0)</f>
        <v>4202011.664504624</v>
      </c>
      <c r="S103" s="25">
        <f t="shared" ca="1" si="7"/>
        <v>5826572.6368690552</v>
      </c>
    </row>
    <row r="104" spans="1:19" ht="15.75" customHeight="1" x14ac:dyDescent="0.3">
      <c r="A104" s="37">
        <v>54118</v>
      </c>
      <c r="B104" s="409">
        <f t="shared" ref="B104:C104" si="100">($A104-B$9)/365.25</f>
        <v>66.288843258042434</v>
      </c>
      <c r="C104" s="409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2192</v>
      </c>
      <c r="I104" s="25">
        <f>IF(C104&lt;62,0,'Combined Retirement'!$I$13)</f>
        <v>0</v>
      </c>
      <c r="J104" s="25">
        <f t="shared" si="3"/>
        <v>8539.3180191855863</v>
      </c>
      <c r="K104" s="25">
        <f t="shared" si="4"/>
        <v>22025.926519384055</v>
      </c>
      <c r="L104" s="25"/>
      <c r="N104" s="25">
        <f>'Combined Retirement'!$C$18/12</f>
        <v>39153.069999999992</v>
      </c>
      <c r="O104" s="25">
        <f t="shared" si="5"/>
        <v>8587.8254614303496</v>
      </c>
      <c r="P104" s="25">
        <f t="shared" si="6"/>
        <v>30565.244538569641</v>
      </c>
      <c r="Q104" s="25">
        <f t="array" aca="1" ref="Q104" ca="1">INDEX('Isaac 401k'!L:L,MATCH('Retirement Calculator'!A104,'Isaac 401k'!N:N,0),0)</f>
        <v>1622755.0779050174</v>
      </c>
      <c r="R104" s="25">
        <f t="array" aca="1" ref="R104" ca="1">INDEX('Lorri 401b'!L:L,MATCH('Retirement Calculator'!A104,'Lorri 401b'!N:N,0),0)</f>
        <v>4197402.3452268448</v>
      </c>
      <c r="S104" s="25">
        <f t="shared" ca="1" si="7"/>
        <v>5820157.4231318627</v>
      </c>
    </row>
    <row r="105" spans="1:19" ht="15.75" customHeight="1" x14ac:dyDescent="0.3">
      <c r="A105" s="37">
        <v>54149</v>
      </c>
      <c r="B105" s="409">
        <f t="shared" ref="B105:C105" si="101">($A105-B$9)/365.25</f>
        <v>66.373716632443532</v>
      </c>
      <c r="C105" s="409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2192</v>
      </c>
      <c r="I105" s="25">
        <f>IF(C105&lt;62,0,'Combined Retirement'!$I$13)</f>
        <v>0</v>
      </c>
      <c r="J105" s="25">
        <f t="shared" si="3"/>
        <v>8539.3180191855863</v>
      </c>
      <c r="K105" s="25">
        <f t="shared" si="4"/>
        <v>22025.926519384055</v>
      </c>
      <c r="L105" s="25"/>
      <c r="N105" s="25">
        <f>'Combined Retirement'!$C$18/12</f>
        <v>39153.069999999992</v>
      </c>
      <c r="O105" s="25">
        <f t="shared" si="5"/>
        <v>8587.8254614303496</v>
      </c>
      <c r="P105" s="25">
        <f t="shared" si="6"/>
        <v>30565.244538569641</v>
      </c>
      <c r="Q105" s="25">
        <f t="array" aca="1" ref="Q105" ca="1">INDEX('Isaac 401k'!L:L,MATCH('Retirement Calculator'!A105,'Isaac 401k'!N:N,0),0)</f>
        <v>1620941.658885356</v>
      </c>
      <c r="R105" s="25">
        <f t="array" aca="1" ref="R105" ca="1">INDEX('Lorri 401b'!L:L,MATCH('Retirement Calculator'!A105,'Lorri 401b'!N:N,0),0)</f>
        <v>4192773.820452075</v>
      </c>
      <c r="S105" s="25">
        <f t="shared" ca="1" si="7"/>
        <v>5813715.4793374315</v>
      </c>
    </row>
    <row r="106" spans="1:19" ht="15.75" customHeight="1" x14ac:dyDescent="0.3">
      <c r="A106" s="37">
        <v>54179</v>
      </c>
      <c r="B106" s="409">
        <f t="shared" ref="B106:C106" si="102">($A106-B$9)/365.25</f>
        <v>66.455852156057489</v>
      </c>
      <c r="C106" s="409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2192</v>
      </c>
      <c r="I106" s="25">
        <f>IF(C106&lt;62,0,'Combined Retirement'!$I$13)</f>
        <v>0</v>
      </c>
      <c r="J106" s="25">
        <f t="shared" si="3"/>
        <v>8539.3180191855863</v>
      </c>
      <c r="K106" s="25">
        <f t="shared" si="4"/>
        <v>22025.926519384055</v>
      </c>
      <c r="L106" s="25"/>
      <c r="N106" s="25">
        <f>'Combined Retirement'!$C$18/12</f>
        <v>39153.069999999992</v>
      </c>
      <c r="O106" s="25">
        <f t="shared" si="5"/>
        <v>8587.8254614303496</v>
      </c>
      <c r="P106" s="25">
        <f t="shared" si="6"/>
        <v>30565.244538569641</v>
      </c>
      <c r="Q106" s="25">
        <f t="array" aca="1" ref="Q106" ca="1">INDEX('Isaac 401k'!L:L,MATCH('Retirement Calculator'!A106,'Isaac 401k'!N:N,0),0)</f>
        <v>1619120.6839531127</v>
      </c>
      <c r="R106" s="25">
        <f t="array" aca="1" ref="R106" ca="1">INDEX('Lorri 401b'!L:L,MATCH('Retirement Calculator'!A106,'Lorri 401b'!N:N,0),0)</f>
        <v>4188126.0101574105</v>
      </c>
      <c r="S106" s="25">
        <f t="shared" ca="1" si="7"/>
        <v>5807246.694110523</v>
      </c>
    </row>
    <row r="107" spans="1:19" ht="15.75" customHeight="1" x14ac:dyDescent="0.3">
      <c r="A107" s="37">
        <v>54210</v>
      </c>
      <c r="B107" s="409">
        <f t="shared" ref="B107:C107" si="103">($A107-B$9)/365.25</f>
        <v>66.540725530458587</v>
      </c>
      <c r="C107" s="409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2192</v>
      </c>
      <c r="I107" s="25">
        <f>IF(C107&lt;62,0,'Combined Retirement'!$I$13)</f>
        <v>0</v>
      </c>
      <c r="J107" s="25">
        <f t="shared" si="3"/>
        <v>8539.3180191855863</v>
      </c>
      <c r="K107" s="25">
        <f t="shared" si="4"/>
        <v>22025.926519384055</v>
      </c>
      <c r="L107" s="25"/>
      <c r="N107" s="25">
        <f>'Combined Retirement'!$C$18/12</f>
        <v>39153.069999999992</v>
      </c>
      <c r="O107" s="25">
        <f t="shared" si="5"/>
        <v>8587.8254614303496</v>
      </c>
      <c r="P107" s="25">
        <f t="shared" si="6"/>
        <v>30565.244538569641</v>
      </c>
      <c r="Q107" s="25">
        <f t="array" aca="1" ref="Q107" ca="1">INDEX('Isaac 401k'!L:L,MATCH('Retirement Calculator'!A107,'Isaac 401k'!N:N,0),0)</f>
        <v>1617292.1216253184</v>
      </c>
      <c r="R107" s="25">
        <f t="array" aca="1" ref="R107" ca="1">INDEX('Lorri 401b'!L:L,MATCH('Retirement Calculator'!A107,'Lorri 401b'!N:N,0),0)</f>
        <v>4183458.833986518</v>
      </c>
      <c r="S107" s="25">
        <f t="shared" ca="1" si="7"/>
        <v>5800750.9556118362</v>
      </c>
    </row>
    <row r="108" spans="1:19" ht="15.75" customHeight="1" x14ac:dyDescent="0.3">
      <c r="A108" s="37">
        <v>54240</v>
      </c>
      <c r="B108" s="409">
        <f t="shared" ref="B108:C108" si="104">($A108-B$9)/365.25</f>
        <v>66.622861054072558</v>
      </c>
      <c r="C108" s="409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2192</v>
      </c>
      <c r="I108" s="25">
        <f>IF(C108&lt;62,0,'Combined Retirement'!$I$13)</f>
        <v>2420</v>
      </c>
      <c r="J108" s="25">
        <f t="shared" si="3"/>
        <v>7863.2184191855868</v>
      </c>
      <c r="K108" s="25">
        <f t="shared" si="4"/>
        <v>20282.026119384056</v>
      </c>
      <c r="L108" s="25"/>
      <c r="N108" s="25">
        <f>'Combined Retirement'!$C$18/12</f>
        <v>39153.069999999992</v>
      </c>
      <c r="O108" s="25">
        <f t="shared" si="5"/>
        <v>11007.82546143035</v>
      </c>
      <c r="P108" s="25">
        <f t="shared" si="6"/>
        <v>28145.244538569641</v>
      </c>
      <c r="Q108" s="25">
        <f t="array" aca="1" ref="Q108" ca="1">INDEX('Isaac 401k'!L:L,MATCH('Retirement Calculator'!A108,'Isaac 401k'!N:N,0),0)</f>
        <v>1616134.8569694918</v>
      </c>
      <c r="R108" s="25">
        <f t="array" aca="1" ref="R108" ca="1">INDEX('Lorri 401b'!L:L,MATCH('Retirement Calculator'!A108,'Lorri 401b'!N:N,0),0)</f>
        <v>4180523.3778999136</v>
      </c>
      <c r="S108" s="25">
        <f t="shared" ca="1" si="7"/>
        <v>5796658.2348694056</v>
      </c>
    </row>
    <row r="109" spans="1:19" ht="15.75" customHeight="1" x14ac:dyDescent="0.3">
      <c r="A109" s="37">
        <v>54271</v>
      </c>
      <c r="B109" s="409">
        <f t="shared" ref="B109:C109" si="105">($A109-B$9)/365.25</f>
        <v>66.707734428473643</v>
      </c>
      <c r="C109" s="409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2192</v>
      </c>
      <c r="I109" s="25">
        <f>IF(C109&lt;62,0,'Combined Retirement'!$I$13)</f>
        <v>2420</v>
      </c>
      <c r="J109" s="25">
        <f t="shared" si="3"/>
        <v>7863.2184191855868</v>
      </c>
      <c r="K109" s="25">
        <f t="shared" si="4"/>
        <v>20282.026119384056</v>
      </c>
      <c r="L109" s="25"/>
      <c r="N109" s="25">
        <f>'Combined Retirement'!$C$18/12</f>
        <v>39153.069999999992</v>
      </c>
      <c r="O109" s="25">
        <f t="shared" si="5"/>
        <v>11007.82546143035</v>
      </c>
      <c r="P109" s="25">
        <f t="shared" si="6"/>
        <v>28145.244538569641</v>
      </c>
      <c r="Q109" s="25">
        <f t="array" aca="1" ref="Q109" ca="1">INDEX('Isaac 401k'!L:L,MATCH('Retirement Calculator'!A109,'Isaac 401k'!N:N,0),0)</f>
        <v>1614972.7703775992</v>
      </c>
      <c r="R109" s="25">
        <f t="array" aca="1" ref="R109" ca="1">INDEX('Lorri 401b'!L:L,MATCH('Retirement Calculator'!A109,'Lorri 401b'!N:N,0),0)</f>
        <v>4177575.6907462818</v>
      </c>
      <c r="S109" s="25">
        <f t="shared" ca="1" si="7"/>
        <v>5792548.4611238809</v>
      </c>
    </row>
    <row r="110" spans="1:19" ht="15.75" customHeight="1" x14ac:dyDescent="0.3">
      <c r="A110" s="37">
        <v>54302</v>
      </c>
      <c r="B110" s="409">
        <f t="shared" ref="B110:C110" si="106">($A110-B$9)/365.25</f>
        <v>66.792607802874741</v>
      </c>
      <c r="C110" s="409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2192</v>
      </c>
      <c r="I110" s="25">
        <f>IF(C110&lt;62,0,'Combined Retirement'!$I$13)</f>
        <v>2420</v>
      </c>
      <c r="J110" s="25">
        <f t="shared" si="3"/>
        <v>7863.2184191855868</v>
      </c>
      <c r="K110" s="25">
        <f t="shared" si="4"/>
        <v>20282.026119384056</v>
      </c>
      <c r="L110" s="25"/>
      <c r="N110" s="25">
        <f>'Combined Retirement'!$C$18/12</f>
        <v>39153.069999999992</v>
      </c>
      <c r="O110" s="25">
        <f t="shared" si="5"/>
        <v>11007.82546143035</v>
      </c>
      <c r="P110" s="25">
        <f t="shared" si="6"/>
        <v>28145.244538569641</v>
      </c>
      <c r="Q110" s="25">
        <f t="array" aca="1" ref="Q110" ca="1">INDEX('Isaac 401k'!L:L,MATCH('Retirement Calculator'!A110,'Isaac 401k'!N:N,0),0)</f>
        <v>1613805.8417582402</v>
      </c>
      <c r="R110" s="25">
        <f t="array" aca="1" ref="R110" ca="1">INDEX('Lorri 401b'!L:L,MATCH('Retirement Calculator'!A110,'Lorri 401b'!N:N,0),0)</f>
        <v>4174615.7215628433</v>
      </c>
      <c r="S110" s="25">
        <f t="shared" ca="1" si="7"/>
        <v>5788421.5633210838</v>
      </c>
    </row>
    <row r="111" spans="1:19" ht="15.75" customHeight="1" x14ac:dyDescent="0.3">
      <c r="A111" s="37">
        <v>54332</v>
      </c>
      <c r="B111" s="409">
        <f t="shared" ref="B111:C111" si="107">($A111-B$9)/365.25</f>
        <v>66.874743326488712</v>
      </c>
      <c r="C111" s="409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2192</v>
      </c>
      <c r="I111" s="25">
        <f>IF(C111&lt;62,0,'Combined Retirement'!$I$13)</f>
        <v>2420</v>
      </c>
      <c r="J111" s="25">
        <f t="shared" si="3"/>
        <v>7863.2184191855868</v>
      </c>
      <c r="K111" s="25">
        <f t="shared" si="4"/>
        <v>20282.026119384056</v>
      </c>
      <c r="L111" s="25"/>
      <c r="N111" s="25">
        <f>'Combined Retirement'!$C$18/12</f>
        <v>39153.069999999992</v>
      </c>
      <c r="O111" s="25">
        <f t="shared" si="5"/>
        <v>11007.82546143035</v>
      </c>
      <c r="P111" s="25">
        <f t="shared" si="6"/>
        <v>28145.244538569641</v>
      </c>
      <c r="Q111" s="25">
        <f t="array" aca="1" ref="Q111" ca="1">INDEX('Isaac 401k'!L:L,MATCH('Retirement Calculator'!A111,'Isaac 401k'!N:N,0),0)</f>
        <v>1612634.0509363008</v>
      </c>
      <c r="R111" s="25">
        <f t="array" aca="1" ref="R111" ca="1">INDEX('Lorri 401b'!L:L,MATCH('Retirement Calculator'!A111,'Lorri 401b'!N:N,0),0)</f>
        <v>4171643.4191744737</v>
      </c>
      <c r="S111" s="25">
        <f t="shared" ca="1" si="7"/>
        <v>5784277.470110774</v>
      </c>
    </row>
    <row r="112" spans="1:19" ht="15.75" customHeight="1" x14ac:dyDescent="0.3">
      <c r="A112" s="37">
        <v>54363</v>
      </c>
      <c r="B112" s="409">
        <f t="shared" ref="B112:C112" si="108">($A112-B$9)/365.25</f>
        <v>66.959616700889796</v>
      </c>
      <c r="C112" s="409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2192</v>
      </c>
      <c r="I112" s="25">
        <f>IF(C112&lt;62,0,'Combined Retirement'!$I$13)</f>
        <v>2420</v>
      </c>
      <c r="J112" s="25">
        <f t="shared" si="3"/>
        <v>7863.2184191855868</v>
      </c>
      <c r="K112" s="25">
        <f t="shared" si="4"/>
        <v>20282.026119384056</v>
      </c>
      <c r="L112" s="25"/>
      <c r="N112" s="25">
        <f>'Combined Retirement'!$C$18/12</f>
        <v>39153.069999999992</v>
      </c>
      <c r="O112" s="25">
        <f t="shared" si="5"/>
        <v>11007.82546143035</v>
      </c>
      <c r="P112" s="25">
        <f t="shared" si="6"/>
        <v>28145.244538569641</v>
      </c>
      <c r="Q112" s="25">
        <f t="array" aca="1" ref="Q112" ca="1">INDEX('Isaac 401k'!L:L,MATCH('Retirement Calculator'!A112,'Isaac 401k'!N:N,0),0)</f>
        <v>1611457.3776526032</v>
      </c>
      <c r="R112" s="25">
        <f t="array" aca="1" ref="R112" ca="1">INDEX('Lorri 401b'!L:L,MATCH('Retirement Calculator'!A112,'Lorri 401b'!N:N,0),0)</f>
        <v>4168658.7321928195</v>
      </c>
      <c r="S112" s="25">
        <f t="shared" ca="1" si="7"/>
        <v>5780116.1098454222</v>
      </c>
    </row>
    <row r="113" spans="1:19" ht="15.75" customHeight="1" x14ac:dyDescent="0.3">
      <c r="A113" s="37">
        <v>54393</v>
      </c>
      <c r="B113" s="409">
        <f t="shared" ref="B113:C113" si="109">($A113-B$9)/365.25</f>
        <v>67.041752224503767</v>
      </c>
      <c r="C113" s="409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2192</v>
      </c>
      <c r="I113" s="25">
        <f>IF(C113&lt;62,0,'Combined Retirement'!$I$13)</f>
        <v>2420</v>
      </c>
      <c r="J113" s="25">
        <f t="shared" si="3"/>
        <v>7863.2184191855868</v>
      </c>
      <c r="K113" s="25">
        <f t="shared" si="4"/>
        <v>20282.026119384056</v>
      </c>
      <c r="L113" s="25"/>
      <c r="N113" s="25">
        <f>'Combined Retirement'!$C$18/12</f>
        <v>39153.069999999992</v>
      </c>
      <c r="O113" s="25">
        <f t="shared" si="5"/>
        <v>11007.82546143035</v>
      </c>
      <c r="P113" s="25">
        <f t="shared" si="6"/>
        <v>28145.244538569641</v>
      </c>
      <c r="Q113" s="25">
        <f t="array" aca="1" ref="Q113" ca="1">INDEX('Isaac 401k'!L:L,MATCH('Retirement Calculator'!A113,'Isaac 401k'!N:N,0),0)</f>
        <v>1610275.8015635568</v>
      </c>
      <c r="R113" s="25">
        <f t="array" aca="1" ref="R113" ca="1">INDEX('Lorri 401b'!L:L,MATCH('Retirement Calculator'!A113,'Lorri 401b'!N:N,0),0)</f>
        <v>4165661.609015408</v>
      </c>
      <c r="S113" s="25">
        <f t="shared" ca="1" si="7"/>
        <v>5775937.4105789643</v>
      </c>
    </row>
    <row r="114" spans="1:19" ht="15.75" customHeight="1" x14ac:dyDescent="0.3">
      <c r="A114" s="37">
        <v>54424</v>
      </c>
      <c r="B114" s="409">
        <f t="shared" ref="B114:C114" si="110">($A114-B$9)/365.25</f>
        <v>67.126625598904866</v>
      </c>
      <c r="C114" s="409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2192</v>
      </c>
      <c r="I114" s="25">
        <f>IF(C114&lt;62,0,'Combined Retirement'!$I$13)</f>
        <v>2420</v>
      </c>
      <c r="J114" s="25">
        <f t="shared" si="3"/>
        <v>7863.2184191855868</v>
      </c>
      <c r="K114" s="25">
        <f t="shared" si="4"/>
        <v>20282.026119384056</v>
      </c>
      <c r="L114" s="25"/>
      <c r="N114" s="25">
        <f>'Combined Retirement'!$C$18/12</f>
        <v>39153.069999999992</v>
      </c>
      <c r="O114" s="25">
        <f t="shared" si="5"/>
        <v>11007.82546143035</v>
      </c>
      <c r="P114" s="25">
        <f t="shared" si="6"/>
        <v>28145.244538569641</v>
      </c>
      <c r="Q114" s="25">
        <f t="array" aca="1" ref="Q114" ca="1">INDEX('Isaac 401k'!L:L,MATCH('Retirement Calculator'!A114,'Isaac 401k'!N:N,0),0)</f>
        <v>1609089.3022408059</v>
      </c>
      <c r="R114" s="25">
        <f t="array" aca="1" ref="R114" ca="1">INDEX('Lorri 401b'!L:L,MATCH('Retirement Calculator'!A114,'Lorri 401b'!N:N,0),0)</f>
        <v>4162651.9978247574</v>
      </c>
      <c r="S114" s="25">
        <f t="shared" ca="1" si="7"/>
        <v>5771741.3000655631</v>
      </c>
    </row>
    <row r="115" spans="1:19" ht="15.75" customHeight="1" x14ac:dyDescent="0.3">
      <c r="A115" s="37">
        <v>54455</v>
      </c>
      <c r="B115" s="409">
        <f t="shared" ref="B115:C115" si="111">($A115-B$9)/365.25</f>
        <v>67.21149897330595</v>
      </c>
      <c r="C115" s="409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2192</v>
      </c>
      <c r="I115" s="25">
        <f>IF(C115&lt;62,0,'Combined Retirement'!$I$13)</f>
        <v>2420</v>
      </c>
      <c r="J115" s="25">
        <f t="shared" si="3"/>
        <v>7863.2184191855868</v>
      </c>
      <c r="K115" s="25">
        <f t="shared" si="4"/>
        <v>20282.026119384056</v>
      </c>
      <c r="L115" s="25"/>
      <c r="N115" s="25">
        <f>'Combined Retirement'!$C$18/12</f>
        <v>39153.069999999992</v>
      </c>
      <c r="O115" s="25">
        <f t="shared" si="5"/>
        <v>11007.82546143035</v>
      </c>
      <c r="P115" s="25">
        <f t="shared" si="6"/>
        <v>28145.244538569641</v>
      </c>
      <c r="Q115" s="25">
        <f t="array" aca="1" ref="Q115" ca="1">INDEX('Isaac 401k'!L:L,MATCH('Retirement Calculator'!A115,'Isaac 401k'!N:N,0),0)</f>
        <v>1607897.8591708771</v>
      </c>
      <c r="R115" s="25">
        <f t="array" aca="1" ref="R115" ca="1">INDEX('Lorri 401b'!L:L,MATCH('Retirement Calculator'!A115,'Lorri 401b'!N:N,0),0)</f>
        <v>4159629.8465874791</v>
      </c>
      <c r="S115" s="25">
        <f t="shared" ca="1" si="7"/>
        <v>5767527.7057583565</v>
      </c>
    </row>
    <row r="116" spans="1:19" ht="15.75" customHeight="1" x14ac:dyDescent="0.3">
      <c r="A116" s="37">
        <v>54483</v>
      </c>
      <c r="B116" s="409">
        <f t="shared" ref="B116:C116" si="112">($A116-B$9)/365.25</f>
        <v>67.288158795345652</v>
      </c>
      <c r="C116" s="409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2192</v>
      </c>
      <c r="I116" s="25">
        <f>IF(C116&lt;62,0,'Combined Retirement'!$I$13)</f>
        <v>2420</v>
      </c>
      <c r="J116" s="25">
        <f t="shared" si="3"/>
        <v>7863.2184191855868</v>
      </c>
      <c r="K116" s="25">
        <f t="shared" si="4"/>
        <v>20282.026119384056</v>
      </c>
      <c r="L116" s="25"/>
      <c r="N116" s="25">
        <f>'Combined Retirement'!$C$18/12</f>
        <v>39153.069999999992</v>
      </c>
      <c r="O116" s="25">
        <f t="shared" si="5"/>
        <v>11007.82546143035</v>
      </c>
      <c r="P116" s="25">
        <f t="shared" si="6"/>
        <v>28145.244538569641</v>
      </c>
      <c r="Q116" s="25">
        <f t="array" aca="1" ref="Q116" ca="1">INDEX('Isaac 401k'!L:L,MATCH('Retirement Calculator'!A116,'Isaac 401k'!N:N,0),0)</f>
        <v>1606701.4517548236</v>
      </c>
      <c r="R116" s="25">
        <f t="array" aca="1" ref="R116" ca="1">INDEX('Lorri 401b'!L:L,MATCH('Retirement Calculator'!A116,'Lorri 401b'!N:N,0),0)</f>
        <v>4156595.1030533789</v>
      </c>
      <c r="S116" s="25">
        <f t="shared" ca="1" si="7"/>
        <v>5763296.5548082022</v>
      </c>
    </row>
    <row r="117" spans="1:19" ht="15.75" customHeight="1" x14ac:dyDescent="0.3">
      <c r="A117" s="37">
        <v>54514</v>
      </c>
      <c r="B117" s="409">
        <f t="shared" ref="B117:C117" si="113">($A117-B$9)/365.25</f>
        <v>67.37303216974675</v>
      </c>
      <c r="C117" s="409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2192</v>
      </c>
      <c r="I117" s="25">
        <f>IF(C117&lt;62,0,'Combined Retirement'!$I$13)</f>
        <v>2420</v>
      </c>
      <c r="J117" s="25">
        <f t="shared" si="3"/>
        <v>7863.2184191855868</v>
      </c>
      <c r="K117" s="25">
        <f t="shared" si="4"/>
        <v>20282.026119384056</v>
      </c>
      <c r="L117" s="25"/>
      <c r="N117" s="25">
        <f>'Combined Retirement'!$C$18/12</f>
        <v>39153.069999999992</v>
      </c>
      <c r="O117" s="25">
        <f t="shared" si="5"/>
        <v>11007.82546143035</v>
      </c>
      <c r="P117" s="25">
        <f t="shared" si="6"/>
        <v>28145.244538569641</v>
      </c>
      <c r="Q117" s="25">
        <f t="array" aca="1" ref="Q117" ca="1">INDEX('Isaac 401k'!L:L,MATCH('Retirement Calculator'!A117,'Isaac 401k'!N:N,0),0)</f>
        <v>1605500.0593078698</v>
      </c>
      <c r="R117" s="25">
        <f t="array" aca="1" ref="R117" ca="1">INDEX('Lorri 401b'!L:L,MATCH('Retirement Calculator'!A117,'Lorri 401b'!N:N,0),0)</f>
        <v>4153547.714754553</v>
      </c>
      <c r="S117" s="25">
        <f t="shared" ca="1" si="7"/>
        <v>5759047.774062423</v>
      </c>
    </row>
    <row r="118" spans="1:19" ht="15.75" customHeight="1" x14ac:dyDescent="0.3">
      <c r="A118" s="37">
        <v>54544</v>
      </c>
      <c r="B118" s="409">
        <f t="shared" ref="B118:C118" si="114">($A118-B$9)/365.25</f>
        <v>67.455167693360707</v>
      </c>
      <c r="C118" s="409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2192</v>
      </c>
      <c r="I118" s="25">
        <f>IF(C118&lt;62,0,'Combined Retirement'!$I$13)</f>
        <v>2420</v>
      </c>
      <c r="J118" s="25">
        <f t="shared" si="3"/>
        <v>7863.2184191855868</v>
      </c>
      <c r="K118" s="25">
        <f t="shared" si="4"/>
        <v>20282.026119384056</v>
      </c>
      <c r="L118" s="25"/>
      <c r="N118" s="25">
        <f>'Combined Retirement'!$C$18/12</f>
        <v>39153.069999999992</v>
      </c>
      <c r="O118" s="25">
        <f t="shared" si="5"/>
        <v>11007.82546143035</v>
      </c>
      <c r="P118" s="25">
        <f t="shared" si="6"/>
        <v>28145.244538569641</v>
      </c>
      <c r="Q118" s="25">
        <f t="array" aca="1" ref="Q118" ca="1">INDEX('Isaac 401k'!L:L,MATCH('Retirement Calculator'!A118,'Isaac 401k'!N:N,0),0)</f>
        <v>1604293.6610590536</v>
      </c>
      <c r="R118" s="25">
        <f t="array" aca="1" ref="R118" ca="1">INDEX('Lorri 401b'!L:L,MATCH('Retirement Calculator'!A118,'Lorri 401b'!N:N,0),0)</f>
        <v>4150487.6290044822</v>
      </c>
      <c r="S118" s="25">
        <f t="shared" ca="1" si="7"/>
        <v>5754781.2900635358</v>
      </c>
    </row>
    <row r="119" spans="1:19" ht="15.75" customHeight="1" x14ac:dyDescent="0.3">
      <c r="A119" s="37">
        <v>54575</v>
      </c>
      <c r="B119" s="409">
        <f t="shared" ref="B119:C119" si="115">($A119-B$9)/365.25</f>
        <v>67.540041067761805</v>
      </c>
      <c r="C119" s="409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2192</v>
      </c>
      <c r="I119" s="25">
        <f>IF(C119&lt;62,0,'Combined Retirement'!$I$13)</f>
        <v>2420</v>
      </c>
      <c r="J119" s="25">
        <f t="shared" si="3"/>
        <v>7863.2184191855868</v>
      </c>
      <c r="K119" s="25">
        <f t="shared" si="4"/>
        <v>20282.026119384056</v>
      </c>
      <c r="L119" s="25"/>
      <c r="N119" s="25">
        <f>'Combined Retirement'!$C$18/12</f>
        <v>39153.069999999992</v>
      </c>
      <c r="O119" s="25">
        <f t="shared" si="5"/>
        <v>11007.82546143035</v>
      </c>
      <c r="P119" s="25">
        <f t="shared" si="6"/>
        <v>28145.244538569641</v>
      </c>
      <c r="Q119" s="25">
        <f t="array" aca="1" ref="Q119" ca="1">INDEX('Isaac 401k'!L:L,MATCH('Retirement Calculator'!A119,'Isaac 401k'!N:N,0),0)</f>
        <v>1603082.2361508675</v>
      </c>
      <c r="R119" s="25">
        <f t="array" aca="1" ref="R119" ca="1">INDEX('Lorri 401b'!L:L,MATCH('Retirement Calculator'!A119,'Lorri 401b'!N:N,0),0)</f>
        <v>4147414.7928971197</v>
      </c>
      <c r="S119" s="25">
        <f t="shared" ca="1" si="7"/>
        <v>5750497.0290479874</v>
      </c>
    </row>
    <row r="120" spans="1:19" ht="15.75" customHeight="1" x14ac:dyDescent="0.3">
      <c r="A120" s="37">
        <v>54605</v>
      </c>
      <c r="B120" s="409">
        <f t="shared" ref="B120:C120" si="116">($A120-B$9)/365.25</f>
        <v>67.622176591375776</v>
      </c>
      <c r="C120" s="409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2192</v>
      </c>
      <c r="I120" s="25">
        <f>IF(C120&lt;62,0,'Combined Retirement'!$I$13)</f>
        <v>2420</v>
      </c>
      <c r="J120" s="25">
        <f t="shared" si="3"/>
        <v>7863.2184191855868</v>
      </c>
      <c r="K120" s="25">
        <f t="shared" si="4"/>
        <v>20282.026119384056</v>
      </c>
      <c r="L120" s="25"/>
      <c r="N120" s="25">
        <f>'Combined Retirement'!$C$18/12</f>
        <v>39153.069999999992</v>
      </c>
      <c r="O120" s="25">
        <f t="shared" si="5"/>
        <v>11007.82546143035</v>
      </c>
      <c r="P120" s="25">
        <f t="shared" si="6"/>
        <v>28145.244538569641</v>
      </c>
      <c r="Q120" s="25">
        <f t="array" aca="1" ref="Q120" ca="1">INDEX('Isaac 401k'!L:L,MATCH('Retirement Calculator'!A120,'Isaac 401k'!N:N,0),0)</f>
        <v>1601865.7636388973</v>
      </c>
      <c r="R120" s="25">
        <f t="array" aca="1" ref="R120" ca="1">INDEX('Lorri 401b'!L:L,MATCH('Retirement Calculator'!A120,'Lorri 401b'!N:N,0),0)</f>
        <v>4144329.1533059762</v>
      </c>
      <c r="S120" s="25">
        <f t="shared" ca="1" si="7"/>
        <v>5746194.9169448735</v>
      </c>
    </row>
    <row r="121" spans="1:19" ht="15.75" customHeight="1" x14ac:dyDescent="0.3">
      <c r="A121" s="37">
        <v>54636</v>
      </c>
      <c r="B121" s="409">
        <f t="shared" ref="B121:C121" si="117">($A121-B$9)/365.25</f>
        <v>67.707049965776861</v>
      </c>
      <c r="C121" s="409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2192</v>
      </c>
      <c r="I121" s="25">
        <f>IF(C121&lt;62,0,'Combined Retirement'!$I$13)</f>
        <v>2420</v>
      </c>
      <c r="J121" s="25">
        <f t="shared" si="3"/>
        <v>7863.2184191855868</v>
      </c>
      <c r="K121" s="25">
        <f t="shared" si="4"/>
        <v>20282.026119384056</v>
      </c>
      <c r="L121" s="25"/>
      <c r="N121" s="25">
        <f>'Combined Retirement'!$C$18/12</f>
        <v>39153.069999999992</v>
      </c>
      <c r="O121" s="25">
        <f t="shared" si="5"/>
        <v>11007.82546143035</v>
      </c>
      <c r="P121" s="25">
        <f t="shared" si="6"/>
        <v>28145.244538569641</v>
      </c>
      <c r="Q121" s="25">
        <f t="array" aca="1" ref="Q121" ca="1">INDEX('Isaac 401k'!L:L,MATCH('Retirement Calculator'!A121,'Isaac 401k'!N:N,0),0)</f>
        <v>1600644.2224914606</v>
      </c>
      <c r="R121" s="25">
        <f t="array" aca="1" ref="R121" ca="1">INDEX('Lorri 401b'!L:L,MATCH('Retirement Calculator'!A121,'Lorri 401b'!N:N,0),0)</f>
        <v>4141230.656883203</v>
      </c>
      <c r="S121" s="25">
        <f t="shared" ca="1" si="7"/>
        <v>5741874.8793746633</v>
      </c>
    </row>
    <row r="122" spans="1:19" ht="15.75" customHeight="1" x14ac:dyDescent="0.3">
      <c r="A122" s="37">
        <v>54667</v>
      </c>
      <c r="B122" s="409">
        <f t="shared" ref="B122:C122" si="118">($A122-B$9)/365.25</f>
        <v>67.791923340177959</v>
      </c>
      <c r="C122" s="409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2192</v>
      </c>
      <c r="I122" s="25">
        <f>IF(C122&lt;62,0,'Combined Retirement'!$I$13)</f>
        <v>2420</v>
      </c>
      <c r="J122" s="25">
        <f t="shared" si="3"/>
        <v>7863.2184191855868</v>
      </c>
      <c r="K122" s="25">
        <f t="shared" si="4"/>
        <v>20282.026119384056</v>
      </c>
      <c r="L122" s="25"/>
      <c r="N122" s="25">
        <f>'Combined Retirement'!$C$18/12</f>
        <v>39153.069999999992</v>
      </c>
      <c r="O122" s="25">
        <f t="shared" si="5"/>
        <v>11007.82546143035</v>
      </c>
      <c r="P122" s="25">
        <f t="shared" si="6"/>
        <v>28145.244538569641</v>
      </c>
      <c r="Q122" s="25">
        <f t="array" aca="1" ref="Q122" ca="1">INDEX('Isaac 401k'!L:L,MATCH('Retirement Calculator'!A122,'Isaac 401k'!N:N,0),0)</f>
        <v>1599417.5915892429</v>
      </c>
      <c r="R122" s="25">
        <f t="array" aca="1" ref="R122" ca="1">INDEX('Lorri 401b'!L:L,MATCH('Retirement Calculator'!A122,'Lorri 401b'!N:N,0),0)</f>
        <v>4138119.2500586682</v>
      </c>
      <c r="S122" s="25">
        <f t="shared" ca="1" si="7"/>
        <v>5737536.8416479109</v>
      </c>
    </row>
    <row r="123" spans="1:19" ht="15.75" customHeight="1" x14ac:dyDescent="0.3">
      <c r="A123" s="37">
        <v>54697</v>
      </c>
      <c r="B123" s="409">
        <f t="shared" ref="B123:C123" si="119">($A123-B$9)/365.25</f>
        <v>67.87405886379193</v>
      </c>
      <c r="C123" s="409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2192</v>
      </c>
      <c r="I123" s="25">
        <f>IF(C123&lt;62,0,'Combined Retirement'!$I$13)</f>
        <v>2420</v>
      </c>
      <c r="J123" s="25">
        <f t="shared" si="3"/>
        <v>7863.2184191855868</v>
      </c>
      <c r="K123" s="25">
        <f t="shared" si="4"/>
        <v>20282.026119384056</v>
      </c>
      <c r="L123" s="25"/>
      <c r="N123" s="25">
        <f>'Combined Retirement'!$C$18/12</f>
        <v>39153.069999999992</v>
      </c>
      <c r="O123" s="25">
        <f t="shared" si="5"/>
        <v>11007.82546143035</v>
      </c>
      <c r="P123" s="25">
        <f t="shared" si="6"/>
        <v>28145.244538569641</v>
      </c>
      <c r="Q123" s="25">
        <f t="array" aca="1" ref="Q123" ca="1">INDEX('Isaac 401k'!L:L,MATCH('Retirement Calculator'!A123,'Isaac 401k'!N:N,0),0)</f>
        <v>1598185.8497249326</v>
      </c>
      <c r="R123" s="25">
        <f t="array" aca="1" ref="R123" ca="1">INDEX('Lorri 401b'!L:L,MATCH('Retirement Calculator'!A123,'Lorri 401b'!N:N,0),0)</f>
        <v>4134994.8790390315</v>
      </c>
      <c r="S123" s="25">
        <f t="shared" ca="1" si="7"/>
        <v>5733180.728763964</v>
      </c>
    </row>
    <row r="124" spans="1:19" ht="15.75" customHeight="1" x14ac:dyDescent="0.3">
      <c r="A124" s="37">
        <v>54728</v>
      </c>
      <c r="B124" s="409">
        <f t="shared" ref="B124:C124" si="120">($A124-B$9)/365.25</f>
        <v>67.958932238193015</v>
      </c>
      <c r="C124" s="409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2192</v>
      </c>
      <c r="I124" s="25">
        <f>IF(C124&lt;62,0,'Combined Retirement'!$I$13)</f>
        <v>2420</v>
      </c>
      <c r="J124" s="25">
        <f t="shared" si="3"/>
        <v>7863.2184191855868</v>
      </c>
      <c r="K124" s="25">
        <f t="shared" si="4"/>
        <v>20282.026119384056</v>
      </c>
      <c r="L124" s="25"/>
      <c r="N124" s="25">
        <f>'Combined Retirement'!$C$18/12</f>
        <v>39153.069999999992</v>
      </c>
      <c r="O124" s="25">
        <f t="shared" si="5"/>
        <v>11007.82546143035</v>
      </c>
      <c r="P124" s="25">
        <f t="shared" si="6"/>
        <v>28145.244538569641</v>
      </c>
      <c r="Q124" s="25">
        <f t="array" aca="1" ref="Q124" ca="1">INDEX('Isaac 401k'!L:L,MATCH('Retirement Calculator'!A124,'Isaac 401k'!N:N,0),0)</f>
        <v>1596948.9756028543</v>
      </c>
      <c r="R124" s="25">
        <f t="array" aca="1" ref="R124" ca="1">INDEX('Lorri 401b'!L:L,MATCH('Retirement Calculator'!A124,'Lorri 401b'!N:N,0),0)</f>
        <v>4131857.4898068127</v>
      </c>
      <c r="S124" s="25">
        <f t="shared" ca="1" si="7"/>
        <v>5728806.4654096672</v>
      </c>
    </row>
    <row r="125" spans="1:19" ht="15.75" customHeight="1" x14ac:dyDescent="0.3">
      <c r="A125" s="37">
        <v>54758</v>
      </c>
      <c r="B125" s="409">
        <f t="shared" ref="B125:C125" si="121">($A125-B$9)/365.25</f>
        <v>68.041067761806985</v>
      </c>
      <c r="C125" s="409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2192</v>
      </c>
      <c r="I125" s="25">
        <f>IF(C125&lt;62,0,'Combined Retirement'!$I$13)</f>
        <v>2420</v>
      </c>
      <c r="J125" s="25">
        <f t="shared" si="3"/>
        <v>7863.2184191855868</v>
      </c>
      <c r="K125" s="25">
        <f t="shared" si="4"/>
        <v>20282.026119384056</v>
      </c>
      <c r="L125" s="25"/>
      <c r="N125" s="25">
        <f>'Combined Retirement'!$C$18/12</f>
        <v>39153.069999999992</v>
      </c>
      <c r="O125" s="25">
        <f t="shared" si="5"/>
        <v>11007.82546143035</v>
      </c>
      <c r="P125" s="25">
        <f t="shared" si="6"/>
        <v>28145.244538569641</v>
      </c>
      <c r="Q125" s="25">
        <f t="array" aca="1" ref="Q125" ca="1">INDEX('Isaac 401k'!L:L,MATCH('Retirement Calculator'!A125,'Isaac 401k'!N:N,0),0)</f>
        <v>1595706.9478386007</v>
      </c>
      <c r="R125" s="25">
        <f t="array" aca="1" ref="R125" ca="1">INDEX('Lorri 401b'!L:L,MATCH('Retirement Calculator'!A125,'Lorri 401b'!N:N,0),0)</f>
        <v>4128707.0281194597</v>
      </c>
      <c r="S125" s="25">
        <f t="shared" ca="1" si="7"/>
        <v>5724413.9759580605</v>
      </c>
    </row>
    <row r="126" spans="1:19" ht="15.75" customHeight="1" x14ac:dyDescent="0.3">
      <c r="A126" s="37">
        <v>54789</v>
      </c>
      <c r="B126" s="409">
        <f t="shared" ref="B126:C126" si="122">($A126-B$9)/365.25</f>
        <v>68.12594113620807</v>
      </c>
      <c r="C126" s="409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2192</v>
      </c>
      <c r="I126" s="25">
        <f>IF(C126&lt;62,0,'Combined Retirement'!$I$13)</f>
        <v>2420</v>
      </c>
      <c r="J126" s="25">
        <f t="shared" si="3"/>
        <v>7863.2184191855868</v>
      </c>
      <c r="K126" s="25">
        <f t="shared" si="4"/>
        <v>20282.026119384056</v>
      </c>
      <c r="L126" s="25"/>
      <c r="N126" s="25">
        <f>'Combined Retirement'!$C$18/12</f>
        <v>39153.069999999992</v>
      </c>
      <c r="O126" s="25">
        <f t="shared" si="5"/>
        <v>11007.82546143035</v>
      </c>
      <c r="P126" s="25">
        <f t="shared" si="6"/>
        <v>28145.244538569641</v>
      </c>
      <c r="Q126" s="25">
        <f t="array" aca="1" ref="Q126" ca="1">INDEX('Isaac 401k'!L:L,MATCH('Retirement Calculator'!A126,'Isaac 401k'!N:N,0),0)</f>
        <v>1594459.7449586627</v>
      </c>
      <c r="R126" s="25">
        <f t="array" aca="1" ref="R126" ca="1">INDEX('Lorri 401b'!L:L,MATCH('Retirement Calculator'!A126,'Lorri 401b'!N:N,0),0)</f>
        <v>4125543.4395084092</v>
      </c>
      <c r="S126" s="25">
        <f t="shared" ca="1" si="7"/>
        <v>5720003.1844670717</v>
      </c>
    </row>
    <row r="127" spans="1:19" ht="15.75" customHeight="1" x14ac:dyDescent="0.3">
      <c r="A127" s="37">
        <v>54820</v>
      </c>
      <c r="B127" s="409">
        <f t="shared" ref="B127:C127" si="123">($A127-B$9)/365.25</f>
        <v>68.210814510609168</v>
      </c>
      <c r="C127" s="409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2192</v>
      </c>
      <c r="I127" s="25">
        <f>IF(C127&lt;62,0,'Combined Retirement'!$I$13)</f>
        <v>2420</v>
      </c>
      <c r="J127" s="25">
        <f t="shared" si="3"/>
        <v>7863.2184191855868</v>
      </c>
      <c r="K127" s="25">
        <f t="shared" si="4"/>
        <v>20282.026119384056</v>
      </c>
      <c r="L127" s="25"/>
      <c r="N127" s="25">
        <f>'Combined Retirement'!$C$18/12</f>
        <v>39153.069999999992</v>
      </c>
      <c r="O127" s="25">
        <f t="shared" si="5"/>
        <v>11007.82546143035</v>
      </c>
      <c r="P127" s="25">
        <f t="shared" si="6"/>
        <v>28145.244538569641</v>
      </c>
      <c r="Q127" s="25">
        <f t="array" aca="1" ref="Q127" ca="1">INDEX('Isaac 401k'!L:L,MATCH('Retirement Calculator'!A127,'Isaac 401k'!N:N,0),0)</f>
        <v>1593207.3454000582</v>
      </c>
      <c r="R127" s="25">
        <f t="array" aca="1" ref="R127" ca="1">INDEX('Lorri 401b'!L:L,MATCH('Retirement Calculator'!A127,'Lorri 401b'!N:N,0),0)</f>
        <v>4122366.6692781462</v>
      </c>
      <c r="S127" s="25">
        <f t="shared" ca="1" si="7"/>
        <v>5715574.0146782044</v>
      </c>
    </row>
    <row r="128" spans="1:19" ht="15.75" customHeight="1" x14ac:dyDescent="0.3">
      <c r="A128" s="37">
        <v>54848</v>
      </c>
      <c r="B128" s="409">
        <f t="shared" ref="B128:C128" si="124">($A128-B$9)/365.25</f>
        <v>68.28747433264887</v>
      </c>
      <c r="C128" s="409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2192</v>
      </c>
      <c r="I128" s="25">
        <f>IF(C128&lt;62,0,'Combined Retirement'!$I$13)</f>
        <v>2420</v>
      </c>
      <c r="J128" s="25">
        <f t="shared" si="3"/>
        <v>7863.2184191855868</v>
      </c>
      <c r="K128" s="25">
        <f t="shared" si="4"/>
        <v>20282.026119384056</v>
      </c>
      <c r="L128" s="25"/>
      <c r="N128" s="25">
        <f>'Combined Retirement'!$C$18/12</f>
        <v>39153.069999999992</v>
      </c>
      <c r="O128" s="25">
        <f t="shared" si="5"/>
        <v>11007.82546143035</v>
      </c>
      <c r="P128" s="25">
        <f t="shared" si="6"/>
        <v>28145.244538569641</v>
      </c>
      <c r="Q128" s="25">
        <f t="array" aca="1" ref="Q128" ca="1">INDEX('Isaac 401k'!L:L,MATCH('Retirement Calculator'!A128,'Isaac 401k'!N:N,0),0)</f>
        <v>1591949.7275099596</v>
      </c>
      <c r="R128" s="25">
        <f t="array" aca="1" ref="R128" ca="1">INDEX('Lorri 401b'!L:L,MATCH('Retirement Calculator'!A128,'Lorri 401b'!N:N,0),0)</f>
        <v>4119176.6625052569</v>
      </c>
      <c r="S128" s="25">
        <f t="shared" ca="1" si="7"/>
        <v>5711126.3900152165</v>
      </c>
    </row>
    <row r="129" spans="1:19" ht="15.75" customHeight="1" x14ac:dyDescent="0.3">
      <c r="A129" s="37">
        <v>54879</v>
      </c>
      <c r="B129" s="409">
        <f t="shared" ref="B129:C129" si="125">($A129-B$9)/365.25</f>
        <v>68.372347707049968</v>
      </c>
      <c r="C129" s="409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2192</v>
      </c>
      <c r="I129" s="25">
        <f>IF(C129&lt;62,0,'Combined Retirement'!$I$13)</f>
        <v>2420</v>
      </c>
      <c r="J129" s="25">
        <f t="shared" si="3"/>
        <v>7863.2184191855868</v>
      </c>
      <c r="K129" s="25">
        <f t="shared" si="4"/>
        <v>20282.026119384056</v>
      </c>
      <c r="L129" s="25"/>
      <c r="N129" s="25">
        <f>'Combined Retirement'!$C$18/12</f>
        <v>39153.069999999992</v>
      </c>
      <c r="O129" s="25">
        <f t="shared" si="5"/>
        <v>11007.82546143035</v>
      </c>
      <c r="P129" s="25">
        <f t="shared" si="6"/>
        <v>28145.244538569641</v>
      </c>
      <c r="Q129" s="25">
        <f t="array" aca="1" ref="Q129" ca="1">INDEX('Isaac 401k'!L:L,MATCH('Retirement Calculator'!A129,'Isaac 401k'!N:N,0),0)</f>
        <v>1590686.8695453189</v>
      </c>
      <c r="R129" s="25">
        <f t="array" aca="1" ref="R129" ca="1">INDEX('Lorri 401b'!L:L,MATCH('Retirement Calculator'!A129,'Lorri 401b'!N:N,0),0)</f>
        <v>4115973.3640374807</v>
      </c>
      <c r="S129" s="25">
        <f t="shared" ca="1" si="7"/>
        <v>5706660.2335827993</v>
      </c>
    </row>
    <row r="130" spans="1:19" ht="15.75" customHeight="1" x14ac:dyDescent="0.3">
      <c r="A130" s="37">
        <v>54909</v>
      </c>
      <c r="B130" s="409">
        <f t="shared" ref="B130:C130" si="126">($A130-B$9)/365.25</f>
        <v>68.454483230663925</v>
      </c>
      <c r="C130" s="409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2192</v>
      </c>
      <c r="I130" s="25">
        <f>IF(C130&lt;62,0,'Combined Retirement'!$I$13)</f>
        <v>2420</v>
      </c>
      <c r="J130" s="25">
        <f t="shared" si="3"/>
        <v>7863.2184191855868</v>
      </c>
      <c r="K130" s="25">
        <f t="shared" si="4"/>
        <v>20282.026119384056</v>
      </c>
      <c r="L130" s="25"/>
      <c r="N130" s="25">
        <f>'Combined Retirement'!$C$18/12</f>
        <v>39153.069999999992</v>
      </c>
      <c r="O130" s="25">
        <f t="shared" si="5"/>
        <v>11007.82546143035</v>
      </c>
      <c r="P130" s="25">
        <f t="shared" si="6"/>
        <v>28145.244538569641</v>
      </c>
      <c r="Q130" s="25">
        <f t="array" aca="1" ref="Q130" ca="1">INDEX('Isaac 401k'!L:L,MATCH('Retirement Calculator'!A130,'Isaac 401k'!N:N,0),0)</f>
        <v>1589418.7496724923</v>
      </c>
      <c r="R130" s="25">
        <f t="array" aca="1" ref="R130" ca="1">INDEX('Lorri 401b'!L:L,MATCH('Retirement Calculator'!A130,'Lorri 401b'!N:N,0),0)</f>
        <v>4112756.7184927552</v>
      </c>
      <c r="S130" s="25">
        <f t="shared" ca="1" si="7"/>
        <v>5702175.4681652477</v>
      </c>
    </row>
    <row r="131" spans="1:19" ht="15.75" customHeight="1" x14ac:dyDescent="0.3">
      <c r="A131" s="37">
        <v>54940</v>
      </c>
      <c r="B131" s="409">
        <f t="shared" ref="B131:C131" si="127">($A131-B$9)/365.25</f>
        <v>68.539356605065024</v>
      </c>
      <c r="C131" s="409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2192</v>
      </c>
      <c r="I131" s="25">
        <f>IF(C131&lt;62,0,'Combined Retirement'!$I$13)</f>
        <v>2420</v>
      </c>
      <c r="J131" s="25">
        <f t="shared" si="3"/>
        <v>7863.2184191855868</v>
      </c>
      <c r="K131" s="25">
        <f t="shared" si="4"/>
        <v>20282.026119384056</v>
      </c>
      <c r="L131" s="25"/>
      <c r="N131" s="25">
        <f>'Combined Retirement'!$C$18/12</f>
        <v>39153.069999999992</v>
      </c>
      <c r="O131" s="25">
        <f t="shared" si="5"/>
        <v>11007.82546143035</v>
      </c>
      <c r="P131" s="25">
        <f t="shared" si="6"/>
        <v>28145.244538569641</v>
      </c>
      <c r="Q131" s="25">
        <f t="array" aca="1" ref="Q131" ca="1">INDEX('Isaac 401k'!L:L,MATCH('Retirement Calculator'!A131,'Isaac 401k'!N:N,0),0)</f>
        <v>1588145.345966862</v>
      </c>
      <c r="R131" s="25">
        <f t="array" aca="1" ref="R131" ca="1">INDEX('Lorri 401b'!L:L,MATCH('Retirement Calculator'!A131,'Lorri 401b'!N:N,0),0)</f>
        <v>4109526.6702582603</v>
      </c>
      <c r="S131" s="25">
        <f t="shared" ca="1" si="7"/>
        <v>5697672.0162251219</v>
      </c>
    </row>
    <row r="132" spans="1:19" ht="15.75" customHeight="1" x14ac:dyDescent="0.3">
      <c r="A132" s="37">
        <v>54970</v>
      </c>
      <c r="B132" s="409">
        <f t="shared" ref="B132:C132" si="128">($A132-B$9)/365.25</f>
        <v>68.62149212867898</v>
      </c>
      <c r="C132" s="409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2192</v>
      </c>
      <c r="I132" s="25">
        <f>IF(C132&lt;62,0,'Combined Retirement'!$I$13)</f>
        <v>2420</v>
      </c>
      <c r="J132" s="25">
        <f t="shared" si="3"/>
        <v>7863.2184191855868</v>
      </c>
      <c r="K132" s="25">
        <f t="shared" si="4"/>
        <v>20282.026119384056</v>
      </c>
      <c r="L132" s="25"/>
      <c r="N132" s="25">
        <f>'Combined Retirement'!$C$18/12</f>
        <v>39153.069999999992</v>
      </c>
      <c r="O132" s="25">
        <f t="shared" si="5"/>
        <v>11007.82546143035</v>
      </c>
      <c r="P132" s="25">
        <f t="shared" si="6"/>
        <v>28145.244538569641</v>
      </c>
      <c r="Q132" s="25">
        <f t="array" aca="1" ref="Q132" ca="1">INDEX('Isaac 401k'!L:L,MATCH('Retirement Calculator'!A132,'Isaac 401k'!N:N,0),0)</f>
        <v>1586866.6364124585</v>
      </c>
      <c r="R132" s="25">
        <f t="array" aca="1" ref="R132" ca="1">INDEX('Lorri 401b'!L:L,MATCH('Retirement Calculator'!A132,'Lorri 401b'!N:N,0),0)</f>
        <v>4106283.1634894549</v>
      </c>
      <c r="S132" s="25">
        <f t="shared" ca="1" si="7"/>
        <v>5693149.7999019139</v>
      </c>
    </row>
    <row r="133" spans="1:19" ht="15.75" customHeight="1" x14ac:dyDescent="0.3">
      <c r="A133" s="37">
        <v>55001</v>
      </c>
      <c r="B133" s="409">
        <f t="shared" ref="B133:C133" si="129">($A133-B$9)/365.25</f>
        <v>68.706365503080079</v>
      </c>
      <c r="C133" s="409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2192</v>
      </c>
      <c r="I133" s="25">
        <f>IF(C133&lt;62,0,'Combined Retirement'!$I$13)</f>
        <v>2420</v>
      </c>
      <c r="J133" s="25">
        <f t="shared" si="3"/>
        <v>7863.2184191855868</v>
      </c>
      <c r="K133" s="25">
        <f t="shared" si="4"/>
        <v>20282.026119384056</v>
      </c>
      <c r="L133" s="25"/>
      <c r="N133" s="25">
        <f>'Combined Retirement'!$C$18/12</f>
        <v>39153.069999999992</v>
      </c>
      <c r="O133" s="25">
        <f t="shared" si="5"/>
        <v>11007.82546143035</v>
      </c>
      <c r="P133" s="25">
        <f t="shared" si="6"/>
        <v>28145.244538569641</v>
      </c>
      <c r="Q133" s="25">
        <f t="array" aca="1" ref="Q133" ca="1">INDEX('Isaac 401k'!L:L,MATCH('Retirement Calculator'!A133,'Isaac 401k'!N:N,0),0)</f>
        <v>1585582.5989015782</v>
      </c>
      <c r="R133" s="25">
        <f t="array" aca="1" ref="R133" ca="1">INDEX('Lorri 401b'!L:L,MATCH('Retirement Calculator'!A133,'Lorri 401b'!N:N,0),0)</f>
        <v>4103026.1421091128</v>
      </c>
      <c r="S133" s="25">
        <f t="shared" ca="1" si="7"/>
        <v>5688608.741010691</v>
      </c>
    </row>
    <row r="134" spans="1:19" ht="15.75" customHeight="1" x14ac:dyDescent="0.3">
      <c r="A134" s="37">
        <v>55032</v>
      </c>
      <c r="B134" s="409">
        <f t="shared" ref="B134:C134" si="130">($A134-B$9)/365.25</f>
        <v>68.791238877481177</v>
      </c>
      <c r="C134" s="409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2192</v>
      </c>
      <c r="I134" s="25">
        <f>IF(C134&lt;62,0,'Combined Retirement'!$I$13)</f>
        <v>2420</v>
      </c>
      <c r="J134" s="25">
        <f t="shared" si="3"/>
        <v>7863.2184191855868</v>
      </c>
      <c r="K134" s="25">
        <f t="shared" si="4"/>
        <v>20282.026119384056</v>
      </c>
      <c r="L134" s="25"/>
      <c r="N134" s="25">
        <f>'Combined Retirement'!$C$18/12</f>
        <v>39153.069999999992</v>
      </c>
      <c r="O134" s="25">
        <f t="shared" si="5"/>
        <v>11007.82546143035</v>
      </c>
      <c r="P134" s="25">
        <f t="shared" si="6"/>
        <v>28145.244538569641</v>
      </c>
      <c r="Q134" s="25">
        <f t="array" aca="1" ref="Q134" ca="1">INDEX('Isaac 401k'!L:L,MATCH('Retirement Calculator'!A134,'Isaac 401k'!N:N,0),0)</f>
        <v>1584293.2112344026</v>
      </c>
      <c r="R134" s="25">
        <f t="array" aca="1" ref="R134" ca="1">INDEX('Lorri 401b'!L:L,MATCH('Retirement Calculator'!A134,'Lorri 401b'!N:N,0),0)</f>
        <v>4099755.5498063527</v>
      </c>
      <c r="S134" s="25">
        <f t="shared" ca="1" si="7"/>
        <v>5684048.7610407555</v>
      </c>
    </row>
    <row r="135" spans="1:19" ht="15.75" customHeight="1" x14ac:dyDescent="0.3">
      <c r="A135" s="37">
        <v>55062</v>
      </c>
      <c r="B135" s="409">
        <f t="shared" ref="B135:C135" si="131">($A135-B$9)/365.25</f>
        <v>68.873374401095134</v>
      </c>
      <c r="C135" s="409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2192</v>
      </c>
      <c r="I135" s="25">
        <f>IF(C135&lt;62,0,'Combined Retirement'!$I$13)</f>
        <v>2420</v>
      </c>
      <c r="J135" s="25">
        <f t="shared" si="3"/>
        <v>7863.2184191855868</v>
      </c>
      <c r="K135" s="25">
        <f t="shared" si="4"/>
        <v>20282.026119384056</v>
      </c>
      <c r="L135" s="25"/>
      <c r="N135" s="25">
        <f>'Combined Retirement'!$C$18/12</f>
        <v>39153.069999999992</v>
      </c>
      <c r="O135" s="25">
        <f t="shared" si="5"/>
        <v>11007.82546143035</v>
      </c>
      <c r="P135" s="25">
        <f t="shared" si="6"/>
        <v>28145.244538569641</v>
      </c>
      <c r="Q135" s="25">
        <f t="array" aca="1" ref="Q135" ca="1">INDEX('Isaac 401k'!L:L,MATCH('Retirement Calculator'!A135,'Isaac 401k'!N:N,0),0)</f>
        <v>1582998.4511186138</v>
      </c>
      <c r="R135" s="25">
        <f t="array" aca="1" ref="R135" ca="1">INDEX('Lorri 401b'!L:L,MATCH('Retirement Calculator'!A135,'Lorri 401b'!N:N,0),0)</f>
        <v>4096471.3300356646</v>
      </c>
      <c r="S135" s="25">
        <f t="shared" ca="1" si="7"/>
        <v>5679469.7811542787</v>
      </c>
    </row>
    <row r="136" spans="1:19" ht="15.75" customHeight="1" x14ac:dyDescent="0.3">
      <c r="A136" s="37">
        <v>55093</v>
      </c>
      <c r="B136" s="409">
        <f t="shared" ref="B136:C136" si="132">($A136-B$9)/365.25</f>
        <v>68.958247775496233</v>
      </c>
      <c r="C136" s="409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2192</v>
      </c>
      <c r="I136" s="25">
        <f>IF(C136&lt;62,0,'Combined Retirement'!$I$13)</f>
        <v>2420</v>
      </c>
      <c r="J136" s="25">
        <f t="shared" si="3"/>
        <v>7863.2184191855868</v>
      </c>
      <c r="K136" s="25">
        <f t="shared" si="4"/>
        <v>20282.026119384056</v>
      </c>
      <c r="L136" s="25"/>
      <c r="N136" s="25">
        <f>'Combined Retirement'!$C$18/12</f>
        <v>39153.069999999992</v>
      </c>
      <c r="O136" s="25">
        <f t="shared" si="5"/>
        <v>11007.82546143035</v>
      </c>
      <c r="P136" s="25">
        <f t="shared" si="6"/>
        <v>28145.244538569641</v>
      </c>
      <c r="Q136" s="25">
        <f t="array" aca="1" ref="Q136" ca="1">INDEX('Isaac 401k'!L:L,MATCH('Retirement Calculator'!A136,'Isaac 401k'!N:N,0),0)</f>
        <v>1581698.2961690091</v>
      </c>
      <c r="R136" s="25">
        <f t="array" aca="1" ref="R136" ca="1">INDEX('Lorri 401b'!L:L,MATCH('Retirement Calculator'!A136,'Lorri 401b'!N:N,0),0)</f>
        <v>4093173.4260159316</v>
      </c>
      <c r="S136" s="25">
        <f t="shared" ca="1" si="7"/>
        <v>5674871.7221849412</v>
      </c>
    </row>
    <row r="137" spans="1:19" ht="15.75" customHeight="1" x14ac:dyDescent="0.3">
      <c r="A137" s="37">
        <v>55123</v>
      </c>
      <c r="B137" s="409">
        <f t="shared" ref="B137:C137" si="133">($A137-B$9)/365.25</f>
        <v>69.040383299110204</v>
      </c>
      <c r="C137" s="409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2192</v>
      </c>
      <c r="I137" s="25">
        <f>IF(C137&lt;62,0,'Combined Retirement'!$I$13)</f>
        <v>2420</v>
      </c>
      <c r="J137" s="25">
        <f t="shared" si="3"/>
        <v>7863.2184191855868</v>
      </c>
      <c r="K137" s="25">
        <f t="shared" si="4"/>
        <v>20282.026119384056</v>
      </c>
      <c r="L137" s="25"/>
      <c r="N137" s="25">
        <f>'Combined Retirement'!$C$18/12</f>
        <v>39153.069999999992</v>
      </c>
      <c r="O137" s="25">
        <f t="shared" si="5"/>
        <v>11007.82546143035</v>
      </c>
      <c r="P137" s="25">
        <f t="shared" si="6"/>
        <v>28145.244538569641</v>
      </c>
      <c r="Q137" s="25">
        <f t="array" aca="1" ref="Q137" ca="1">INDEX('Isaac 401k'!L:L,MATCH('Retirement Calculator'!A137,'Isaac 401k'!N:N,0),0)</f>
        <v>1580392.7239071145</v>
      </c>
      <c r="R137" s="25">
        <f t="array" aca="1" ref="R137" ca="1">INDEX('Lorri 401b'!L:L,MATCH('Retirement Calculator'!A137,'Lorri 401b'!N:N,0),0)</f>
        <v>4089861.7807294498</v>
      </c>
      <c r="S137" s="25">
        <f t="shared" ca="1" si="7"/>
        <v>5670254.5046365643</v>
      </c>
    </row>
    <row r="138" spans="1:19" ht="15.75" customHeight="1" x14ac:dyDescent="0.3">
      <c r="A138" s="37">
        <v>55154</v>
      </c>
      <c r="B138" s="409">
        <f t="shared" ref="B138:C138" si="134">($A138-B$9)/365.25</f>
        <v>69.125256673511288</v>
      </c>
      <c r="C138" s="409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2192</v>
      </c>
      <c r="I138" s="25">
        <f>IF(C138&lt;62,0,'Combined Retirement'!$I$13)</f>
        <v>2420</v>
      </c>
      <c r="J138" s="25">
        <f t="shared" si="3"/>
        <v>7863.2184191855868</v>
      </c>
      <c r="K138" s="25">
        <f t="shared" si="4"/>
        <v>20282.026119384056</v>
      </c>
      <c r="L138" s="25"/>
      <c r="N138" s="25">
        <f>'Combined Retirement'!$C$18/12</f>
        <v>39153.069999999992</v>
      </c>
      <c r="O138" s="25">
        <f t="shared" si="5"/>
        <v>11007.82546143035</v>
      </c>
      <c r="P138" s="25">
        <f t="shared" si="6"/>
        <v>28145.244538569641</v>
      </c>
      <c r="Q138" s="25">
        <f t="array" aca="1" ref="Q138" ca="1">INDEX('Isaac 401k'!L:L,MATCH('Retirement Calculator'!A138,'Isaac 401k'!N:N,0),0)</f>
        <v>1579081.7117607952</v>
      </c>
      <c r="R138" s="25">
        <f t="array" aca="1" ref="R138" ca="1">INDEX('Lorri 401b'!L:L,MATCH('Retirement Calculator'!A138,'Lorri 401b'!N:N,0),0)</f>
        <v>4086536.3369209412</v>
      </c>
      <c r="S138" s="25">
        <f t="shared" ca="1" si="7"/>
        <v>5665618.048681736</v>
      </c>
    </row>
    <row r="139" spans="1:19" ht="15.75" customHeight="1" x14ac:dyDescent="0.3">
      <c r="A139" s="37">
        <v>55185</v>
      </c>
      <c r="B139" s="409">
        <f t="shared" ref="B139:C139" si="135">($A139-B$9)/365.25</f>
        <v>69.210130047912386</v>
      </c>
      <c r="C139" s="409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2192</v>
      </c>
      <c r="I139" s="25">
        <f>IF(C139&lt;62,0,'Combined Retirement'!$I$13)</f>
        <v>2420</v>
      </c>
      <c r="J139" s="25">
        <f t="shared" si="3"/>
        <v>7863.2184191855868</v>
      </c>
      <c r="K139" s="25">
        <f t="shared" si="4"/>
        <v>20282.026119384056</v>
      </c>
      <c r="L139" s="25"/>
      <c r="N139" s="25">
        <f>'Combined Retirement'!$C$18/12</f>
        <v>39153.069999999992</v>
      </c>
      <c r="O139" s="25">
        <f t="shared" si="5"/>
        <v>11007.82546143035</v>
      </c>
      <c r="P139" s="25">
        <f t="shared" si="6"/>
        <v>28145.244538569641</v>
      </c>
      <c r="Q139" s="25">
        <f t="array" aca="1" ref="Q139" ca="1">INDEX('Isaac 401k'!L:L,MATCH('Retirement Calculator'!A139,'Isaac 401k'!N:N,0),0)</f>
        <v>1577765.2370638663</v>
      </c>
      <c r="R139" s="25">
        <f t="array" aca="1" ref="R139" ca="1">INDEX('Lorri 401b'!L:L,MATCH('Retirement Calculator'!A139,'Lorri 401b'!N:N,0),0)</f>
        <v>4083197.0370965637</v>
      </c>
      <c r="S139" s="25">
        <f t="shared" ca="1" si="7"/>
        <v>5660962.2741604298</v>
      </c>
    </row>
    <row r="140" spans="1:19" ht="15.75" customHeight="1" x14ac:dyDescent="0.3">
      <c r="A140" s="37">
        <v>55213</v>
      </c>
      <c r="B140" s="409">
        <f t="shared" ref="B140:C140" si="136">($A140-B$9)/365.25</f>
        <v>69.286789869952088</v>
      </c>
      <c r="C140" s="409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2192</v>
      </c>
      <c r="I140" s="25">
        <f>IF(C140&lt;62,0,'Combined Retirement'!$I$13)</f>
        <v>2420</v>
      </c>
      <c r="J140" s="25">
        <f t="shared" si="3"/>
        <v>7863.2184191855868</v>
      </c>
      <c r="K140" s="25">
        <f t="shared" si="4"/>
        <v>20282.026119384056</v>
      </c>
      <c r="L140" s="25"/>
      <c r="N140" s="25">
        <f>'Combined Retirement'!$C$18/12</f>
        <v>39153.069999999992</v>
      </c>
      <c r="O140" s="25">
        <f t="shared" si="5"/>
        <v>11007.82546143035</v>
      </c>
      <c r="P140" s="25">
        <f t="shared" si="6"/>
        <v>28145.244538569641</v>
      </c>
      <c r="Q140" s="25">
        <f t="array" aca="1" ref="Q140" ca="1">INDEX('Isaac 401k'!L:L,MATCH('Retirement Calculator'!A140,'Isaac 401k'!N:N,0),0)</f>
        <v>1576443.2770557003</v>
      </c>
      <c r="R140" s="25">
        <f t="array" aca="1" ref="R140" ca="1">INDEX('Lorri 401b'!L:L,MATCH('Retirement Calculator'!A140,'Lorri 401b'!N:N,0),0)</f>
        <v>4079843.8235229179</v>
      </c>
      <c r="S140" s="25">
        <f t="shared" ca="1" si="7"/>
        <v>5656287.1005786182</v>
      </c>
    </row>
    <row r="141" spans="1:19" ht="15.75" customHeight="1" x14ac:dyDescent="0.3">
      <c r="A141" s="37">
        <v>55244</v>
      </c>
      <c r="B141" s="409">
        <f t="shared" ref="B141:C141" si="137">($A141-B$9)/365.25</f>
        <v>69.371663244353186</v>
      </c>
      <c r="C141" s="409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2192</v>
      </c>
      <c r="I141" s="25">
        <f>IF(C141&lt;62,0,'Combined Retirement'!$I$13)</f>
        <v>2420</v>
      </c>
      <c r="J141" s="25">
        <f t="shared" si="3"/>
        <v>7863.2184191855868</v>
      </c>
      <c r="K141" s="25">
        <f t="shared" si="4"/>
        <v>20282.026119384056</v>
      </c>
      <c r="L141" s="25"/>
      <c r="N141" s="25">
        <f>'Combined Retirement'!$C$18/12</f>
        <v>39153.069999999992</v>
      </c>
      <c r="O141" s="25">
        <f t="shared" si="5"/>
        <v>11007.82546143035</v>
      </c>
      <c r="P141" s="25">
        <f t="shared" si="6"/>
        <v>28145.244538569641</v>
      </c>
      <c r="Q141" s="25">
        <f t="array" aca="1" ref="Q141" ca="1">INDEX('Isaac 401k'!L:L,MATCH('Retirement Calculator'!A141,'Isaac 401k'!N:N,0),0)</f>
        <v>1575115.8088808334</v>
      </c>
      <c r="R141" s="25">
        <f t="array" aca="1" ref="R141" ca="1">INDEX('Lorri 401b'!L:L,MATCH('Retirement Calculator'!A141,'Lorri 401b'!N:N,0),0)</f>
        <v>4076476.6382260486</v>
      </c>
      <c r="S141" s="25">
        <f t="shared" ca="1" si="7"/>
        <v>5651592.447106882</v>
      </c>
    </row>
    <row r="142" spans="1:19" ht="15.75" customHeight="1" x14ac:dyDescent="0.3">
      <c r="A142" s="37">
        <v>55274</v>
      </c>
      <c r="B142" s="409">
        <f t="shared" ref="B142:C142" si="138">($A142-B$9)/365.25</f>
        <v>69.453798767967143</v>
      </c>
      <c r="C142" s="409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2192</v>
      </c>
      <c r="I142" s="25">
        <f>IF(C142&lt;62,0,'Combined Retirement'!$I$13)</f>
        <v>2420</v>
      </c>
      <c r="J142" s="25">
        <f t="shared" si="3"/>
        <v>7863.2184191855868</v>
      </c>
      <c r="K142" s="25">
        <f t="shared" si="4"/>
        <v>20282.026119384056</v>
      </c>
      <c r="L142" s="25"/>
      <c r="N142" s="25">
        <f>'Combined Retirement'!$C$18/12</f>
        <v>39153.069999999992</v>
      </c>
      <c r="O142" s="25">
        <f t="shared" si="5"/>
        <v>11007.82546143035</v>
      </c>
      <c r="P142" s="25">
        <f t="shared" si="6"/>
        <v>28145.244538569641</v>
      </c>
      <c r="Q142" s="25">
        <f t="array" aca="1" ref="Q142" ca="1">INDEX('Isaac 401k'!L:L,MATCH('Retirement Calculator'!A142,'Isaac 401k'!N:N,0),0)</f>
        <v>1573782.8095885713</v>
      </c>
      <c r="R142" s="25">
        <f t="array" aca="1" ref="R142" ca="1">INDEX('Lorri 401b'!L:L,MATCH('Retirement Calculator'!A142,'Lorri 401b'!N:N,0),0)</f>
        <v>4073095.4229904423</v>
      </c>
      <c r="S142" s="25">
        <f t="shared" ca="1" si="7"/>
        <v>5646878.2325790133</v>
      </c>
    </row>
    <row r="143" spans="1:19" ht="15.75" customHeight="1" x14ac:dyDescent="0.3">
      <c r="A143" s="37">
        <v>55305</v>
      </c>
      <c r="B143" s="409">
        <f t="shared" ref="B143:C143" si="139">($A143-B$9)/365.25</f>
        <v>69.538672142368242</v>
      </c>
      <c r="C143" s="409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2192</v>
      </c>
      <c r="I143" s="25">
        <f>IF(C143&lt;62,0,'Combined Retirement'!$I$13)</f>
        <v>2420</v>
      </c>
      <c r="J143" s="25">
        <f t="shared" si="3"/>
        <v>7863.2184191855868</v>
      </c>
      <c r="K143" s="25">
        <f t="shared" si="4"/>
        <v>20282.026119384056</v>
      </c>
      <c r="L143" s="25"/>
      <c r="N143" s="25">
        <f>'Combined Retirement'!$C$18/12</f>
        <v>39153.069999999992</v>
      </c>
      <c r="O143" s="25">
        <f t="shared" si="5"/>
        <v>11007.82546143035</v>
      </c>
      <c r="P143" s="25">
        <f t="shared" si="6"/>
        <v>28145.244538569641</v>
      </c>
      <c r="Q143" s="25">
        <f t="array" aca="1" ref="Q143" ca="1">INDEX('Isaac 401k'!L:L,MATCH('Retirement Calculator'!A143,'Isaac 401k'!N:N,0),0)</f>
        <v>1572444.2561325915</v>
      </c>
      <c r="R143" s="25">
        <f t="array" aca="1" ref="R143" ca="1">INDEX('Lorri 401b'!L:L,MATCH('Retirement Calculator'!A143,'Lorri 401b'!N:N,0),0)</f>
        <v>4069700.1193580208</v>
      </c>
      <c r="S143" s="25">
        <f t="shared" ca="1" si="7"/>
        <v>5642144.3754906124</v>
      </c>
    </row>
    <row r="144" spans="1:19" ht="15.75" customHeight="1" x14ac:dyDescent="0.3">
      <c r="A144" s="37">
        <v>55335</v>
      </c>
      <c r="B144" s="409">
        <f t="shared" ref="B144:C144" si="140">($A144-B$9)/365.25</f>
        <v>69.620807665982198</v>
      </c>
      <c r="C144" s="409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2192</v>
      </c>
      <c r="I144" s="25">
        <f>IF(C144&lt;62,0,'Combined Retirement'!$I$13)</f>
        <v>2420</v>
      </c>
      <c r="J144" s="25">
        <f t="shared" si="3"/>
        <v>7863.2184191855868</v>
      </c>
      <c r="K144" s="25">
        <f t="shared" si="4"/>
        <v>20282.026119384056</v>
      </c>
      <c r="L144" s="25"/>
      <c r="N144" s="25">
        <f>'Combined Retirement'!$C$18/12</f>
        <v>39153.069999999992</v>
      </c>
      <c r="O144" s="25">
        <f t="shared" si="5"/>
        <v>11007.82546143035</v>
      </c>
      <c r="P144" s="25">
        <f t="shared" si="6"/>
        <v>28145.244538569641</v>
      </c>
      <c r="Q144" s="25">
        <f t="array" aca="1" ref="Q144" ca="1">INDEX('Isaac 401k'!L:L,MATCH('Retirement Calculator'!A144,'Isaac 401k'!N:N,0),0)</f>
        <v>1571100.1253705451</v>
      </c>
      <c r="R144" s="25">
        <f t="array" aca="1" ref="R144" ca="1">INDEX('Lorri 401b'!L:L,MATCH('Retirement Calculator'!A144,'Lorri 401b'!N:N,0),0)</f>
        <v>4066290.6686271313</v>
      </c>
      <c r="S144" s="25">
        <f t="shared" ca="1" si="7"/>
        <v>5637390.7939976761</v>
      </c>
    </row>
    <row r="145" spans="1:19" ht="15.75" customHeight="1" x14ac:dyDescent="0.3">
      <c r="A145" s="37">
        <v>55366</v>
      </c>
      <c r="B145" s="409">
        <f t="shared" ref="B145:C145" si="141">($A145-B$9)/365.25</f>
        <v>69.705681040383297</v>
      </c>
      <c r="C145" s="409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2192</v>
      </c>
      <c r="I145" s="25">
        <f>IF(C145&lt;62,0,'Combined Retirement'!$I$13)</f>
        <v>2420</v>
      </c>
      <c r="J145" s="25">
        <f t="shared" si="3"/>
        <v>7863.2184191855868</v>
      </c>
      <c r="K145" s="25">
        <f t="shared" si="4"/>
        <v>20282.026119384056</v>
      </c>
      <c r="L145" s="25"/>
      <c r="N145" s="25">
        <f>'Combined Retirement'!$C$18/12</f>
        <v>39153.069999999992</v>
      </c>
      <c r="O145" s="25">
        <f t="shared" si="5"/>
        <v>11007.82546143035</v>
      </c>
      <c r="P145" s="25">
        <f t="shared" si="6"/>
        <v>28145.244538569641</v>
      </c>
      <c r="Q145" s="25">
        <f t="array" aca="1" ref="Q145" ca="1">INDEX('Isaac 401k'!L:L,MATCH('Retirement Calculator'!A145,'Isaac 401k'!N:N,0),0)</f>
        <v>1569750.3940636569</v>
      </c>
      <c r="R145" s="25">
        <f t="array" aca="1" ref="R145" ca="1">INDEX('Lorri 401b'!L:L,MATCH('Retirement Calculator'!A145,'Lorri 401b'!N:N,0),0)</f>
        <v>4062867.0118515296</v>
      </c>
      <c r="S145" s="25">
        <f t="shared" ca="1" si="7"/>
        <v>5632617.4059151867</v>
      </c>
    </row>
    <row r="146" spans="1:19" ht="15.75" customHeight="1" x14ac:dyDescent="0.3">
      <c r="A146" s="37">
        <v>55397</v>
      </c>
      <c r="B146" s="409">
        <f t="shared" ref="B146:C146" si="142">($A146-B$9)/365.25</f>
        <v>69.790554414784395</v>
      </c>
      <c r="C146" s="409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2192</v>
      </c>
      <c r="I146" s="25">
        <f>IF(C146&lt;62,0,'Combined Retirement'!$I$13)</f>
        <v>2420</v>
      </c>
      <c r="J146" s="25">
        <f t="shared" si="3"/>
        <v>7863.2184191855868</v>
      </c>
      <c r="K146" s="25">
        <f t="shared" si="4"/>
        <v>20282.026119384056</v>
      </c>
      <c r="L146" s="25"/>
      <c r="N146" s="25">
        <f>'Combined Retirement'!$C$18/12</f>
        <v>39153.069999999992</v>
      </c>
      <c r="O146" s="25">
        <f t="shared" si="5"/>
        <v>11007.82546143035</v>
      </c>
      <c r="P146" s="25">
        <f t="shared" si="6"/>
        <v>28145.244538569641</v>
      </c>
      <c r="Q146" s="25">
        <f t="array" aca="1" ref="Q146" ca="1">INDEX('Isaac 401k'!L:L,MATCH('Retirement Calculator'!A146,'Isaac 401k'!N:N,0),0)</f>
        <v>1568395.0388763233</v>
      </c>
      <c r="R146" s="25">
        <f t="array" aca="1" ref="R146" ca="1">INDEX('Lorri 401b'!L:L,MATCH('Retirement Calculator'!A146,'Lorri 401b'!N:N,0),0)</f>
        <v>4059429.089839363</v>
      </c>
      <c r="S146" s="25">
        <f t="shared" ca="1" si="7"/>
        <v>5627824.1287156865</v>
      </c>
    </row>
    <row r="147" spans="1:19" ht="15.75" customHeight="1" x14ac:dyDescent="0.3">
      <c r="A147" s="37">
        <v>55427</v>
      </c>
      <c r="B147" s="409">
        <f t="shared" ref="B147:C147" si="143">($A147-B$9)/365.25</f>
        <v>69.872689938398352</v>
      </c>
      <c r="C147" s="409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2192</v>
      </c>
      <c r="I147" s="25">
        <f>IF(C147&lt;62,0,'Combined Retirement'!$I$13)</f>
        <v>2420</v>
      </c>
      <c r="J147" s="25">
        <f t="shared" si="3"/>
        <v>7863.2184191855868</v>
      </c>
      <c r="K147" s="25">
        <f t="shared" si="4"/>
        <v>20282.026119384056</v>
      </c>
      <c r="L147" s="25"/>
      <c r="N147" s="25">
        <f>'Combined Retirement'!$C$18/12</f>
        <v>39153.069999999992</v>
      </c>
      <c r="O147" s="25">
        <f t="shared" si="5"/>
        <v>11007.82546143035</v>
      </c>
      <c r="P147" s="25">
        <f t="shared" si="6"/>
        <v>28145.244538569641</v>
      </c>
      <c r="Q147" s="25">
        <f t="array" aca="1" ref="Q147" ca="1">INDEX('Isaac 401k'!L:L,MATCH('Retirement Calculator'!A147,'Isaac 401k'!N:N,0),0)</f>
        <v>1567034.0363757091</v>
      </c>
      <c r="R147" s="25">
        <f t="array" aca="1" ref="R147" ca="1">INDEX('Lorri 401b'!L:L,MATCH('Retirement Calculator'!A147,'Lorri 401b'!N:N,0),0)</f>
        <v>4055976.8431521454</v>
      </c>
      <c r="S147" s="25">
        <f t="shared" ca="1" si="7"/>
        <v>5623010.8795278547</v>
      </c>
    </row>
    <row r="148" spans="1:19" ht="15.75" customHeight="1" x14ac:dyDescent="0.3">
      <c r="A148" s="37">
        <v>55458</v>
      </c>
      <c r="B148" s="409">
        <f t="shared" ref="B148:C148" si="144">($A148-B$9)/365.25</f>
        <v>69.957563312799451</v>
      </c>
      <c r="C148" s="409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2192</v>
      </c>
      <c r="I148" s="25">
        <f>IF(C148&lt;62,0,'Combined Retirement'!$I$13)</f>
        <v>2420</v>
      </c>
      <c r="J148" s="25">
        <f t="shared" si="3"/>
        <v>7863.2184191855868</v>
      </c>
      <c r="K148" s="25">
        <f t="shared" si="4"/>
        <v>20282.026119384056</v>
      </c>
      <c r="L148" s="25"/>
      <c r="N148" s="25">
        <f>'Combined Retirement'!$C$18/12</f>
        <v>39153.069999999992</v>
      </c>
      <c r="O148" s="25">
        <f t="shared" si="5"/>
        <v>11007.82546143035</v>
      </c>
      <c r="P148" s="25">
        <f t="shared" si="6"/>
        <v>28145.244538569641</v>
      </c>
      <c r="Q148" s="25">
        <f t="array" aca="1" ref="Q148" ca="1">INDEX('Isaac 401k'!L:L,MATCH('Retirement Calculator'!A148,'Isaac 401k'!N:N,0),0)</f>
        <v>1565667.3630313424</v>
      </c>
      <c r="R148" s="25">
        <f t="array" aca="1" ref="R148" ca="1">INDEX('Lorri 401b'!L:L,MATCH('Retirement Calculator'!A148,'Lorri 401b'!N:N,0),0)</f>
        <v>4052510.2121037315</v>
      </c>
      <c r="S148" s="25">
        <f t="shared" ca="1" si="7"/>
        <v>5618177.5751350736</v>
      </c>
    </row>
    <row r="149" spans="1:19" ht="15.75" customHeight="1" x14ac:dyDescent="0.3">
      <c r="A149" s="37">
        <v>55488</v>
      </c>
      <c r="B149" s="409">
        <f t="shared" ref="B149:C149" si="145">($A149-B$9)/365.25</f>
        <v>70.039698836413422</v>
      </c>
      <c r="C149" s="409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2192</v>
      </c>
      <c r="I149" s="25">
        <f>IF(C149&lt;62,0,'Combined Retirement'!$I$13)</f>
        <v>2420</v>
      </c>
      <c r="J149" s="25">
        <f t="shared" si="3"/>
        <v>7863.2184191855868</v>
      </c>
      <c r="K149" s="25">
        <f t="shared" si="4"/>
        <v>20282.026119384056</v>
      </c>
      <c r="L149" s="25"/>
      <c r="N149" s="25">
        <f>'Combined Retirement'!$C$18/12</f>
        <v>39153.069999999992</v>
      </c>
      <c r="O149" s="25">
        <f t="shared" si="5"/>
        <v>11007.82546143035</v>
      </c>
      <c r="P149" s="25">
        <f t="shared" si="6"/>
        <v>28145.244538569641</v>
      </c>
      <c r="Q149" s="25">
        <f t="array" aca="1" ref="Q149" ca="1">INDEX('Isaac 401k'!L:L,MATCH('Retirement Calculator'!A149,'Isaac 401k'!N:N,0),0)</f>
        <v>1564294.9952147075</v>
      </c>
      <c r="R149" s="25">
        <f t="array" aca="1" ref="R149" ca="1">INDEX('Lorri 401b'!L:L,MATCH('Retirement Calculator'!A149,'Lorri 401b'!N:N,0),0)</f>
        <v>4049029.1367592821</v>
      </c>
      <c r="S149" s="25">
        <f t="shared" ca="1" si="7"/>
        <v>5613324.1319739893</v>
      </c>
    </row>
    <row r="150" spans="1:19" ht="15.75" customHeight="1" x14ac:dyDescent="0.3">
      <c r="A150" s="37">
        <v>55519</v>
      </c>
      <c r="B150" s="409">
        <f t="shared" ref="B150:C150" si="146">($A150-B$9)/365.25</f>
        <v>70.124572210814506</v>
      </c>
      <c r="C150" s="409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2192</v>
      </c>
      <c r="I150" s="25">
        <f>IF(C150&lt;62,0,'Combined Retirement'!$I$13)</f>
        <v>2420</v>
      </c>
      <c r="J150" s="25">
        <f t="shared" si="3"/>
        <v>7863.2184191855868</v>
      </c>
      <c r="K150" s="25">
        <f t="shared" si="4"/>
        <v>20282.026119384056</v>
      </c>
      <c r="L150" s="25"/>
      <c r="N150" s="25">
        <f>'Combined Retirement'!$C$18/12</f>
        <v>39153.069999999992</v>
      </c>
      <c r="O150" s="25">
        <f t="shared" si="5"/>
        <v>11007.82546143035</v>
      </c>
      <c r="P150" s="25">
        <f t="shared" si="6"/>
        <v>28145.244538569641</v>
      </c>
      <c r="Q150" s="25">
        <f t="array" aca="1" ref="Q150" ca="1">INDEX('Isaac 401k'!L:L,MATCH('Retirement Calculator'!A150,'Isaac 401k'!N:N,0),0)</f>
        <v>1562916.9091988364</v>
      </c>
      <c r="R150" s="25">
        <f t="array" aca="1" ref="R150" ca="1">INDEX('Lorri 401b'!L:L,MATCH('Retirement Calculator'!A150,'Lorri 401b'!N:N,0),0)</f>
        <v>4045533.556934231</v>
      </c>
      <c r="S150" s="25">
        <f t="shared" ca="1" si="7"/>
        <v>5608450.4661330674</v>
      </c>
    </row>
    <row r="151" spans="1:19" ht="15.75" customHeight="1" x14ac:dyDescent="0.3">
      <c r="A151" s="37">
        <v>55550</v>
      </c>
      <c r="B151" s="409">
        <f t="shared" ref="B151:C151" si="147">($A151-B$9)/365.25</f>
        <v>70.209445585215605</v>
      </c>
      <c r="C151" s="409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2192</v>
      </c>
      <c r="I151" s="25">
        <f>IF(C151&lt;62,0,'Combined Retirement'!$I$13)</f>
        <v>2420</v>
      </c>
      <c r="J151" s="25">
        <f t="shared" si="3"/>
        <v>7863.2184191855868</v>
      </c>
      <c r="K151" s="25">
        <f t="shared" si="4"/>
        <v>20282.026119384056</v>
      </c>
      <c r="L151" s="25"/>
      <c r="N151" s="25">
        <f>'Combined Retirement'!$C$18/12</f>
        <v>39153.069999999992</v>
      </c>
      <c r="O151" s="25">
        <f t="shared" si="5"/>
        <v>11007.82546143035</v>
      </c>
      <c r="P151" s="25">
        <f t="shared" si="6"/>
        <v>28145.244538569641</v>
      </c>
      <c r="Q151" s="25">
        <f t="array" aca="1" ref="Q151" ca="1">INDEX('Isaac 401k'!L:L,MATCH('Retirement Calculator'!A151,'Isaac 401k'!N:N,0),0)</f>
        <v>1561533.0811578995</v>
      </c>
      <c r="R151" s="25">
        <f t="array" aca="1" ref="R151" ca="1">INDEX('Lorri 401b'!L:L,MATCH('Retirement Calculator'!A151,'Lorri 401b'!N:N,0),0)</f>
        <v>4042023.412193242</v>
      </c>
      <c r="S151" s="25">
        <f t="shared" ca="1" si="7"/>
        <v>5603556.493351141</v>
      </c>
    </row>
    <row r="152" spans="1:19" ht="15.75" customHeight="1" x14ac:dyDescent="0.3">
      <c r="A152" s="37">
        <v>55579</v>
      </c>
      <c r="B152" s="409">
        <f t="shared" ref="B152:C152" si="148">($A152-B$9)/365.25</f>
        <v>70.288843258042434</v>
      </c>
      <c r="C152" s="409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2192</v>
      </c>
      <c r="I152" s="25">
        <f>IF(C152&lt;62,0,'Combined Retirement'!$I$13)</f>
        <v>2420</v>
      </c>
      <c r="J152" s="25">
        <f t="shared" si="3"/>
        <v>7863.2184191855868</v>
      </c>
      <c r="K152" s="25">
        <f t="shared" si="4"/>
        <v>20282.026119384056</v>
      </c>
      <c r="L152" s="25"/>
      <c r="N152" s="25">
        <f>'Combined Retirement'!$C$18/12</f>
        <v>39153.069999999992</v>
      </c>
      <c r="O152" s="25">
        <f t="shared" si="5"/>
        <v>11007.82546143035</v>
      </c>
      <c r="P152" s="25">
        <f t="shared" si="6"/>
        <v>28145.244538569641</v>
      </c>
      <c r="Q152" s="25">
        <f t="array" aca="1" ref="Q152" ca="1">INDEX('Isaac 401k'!L:L,MATCH('Retirement Calculator'!A152,'Isaac 401k'!N:N,0),0)</f>
        <v>1560143.4871667919</v>
      </c>
      <c r="R152" s="25">
        <f t="array" aca="1" ref="R152" ca="1">INDEX('Lorri 401b'!L:L,MATCH('Retirement Calculator'!A152,'Lorri 401b'!N:N,0),0)</f>
        <v>4038498.6418491658</v>
      </c>
      <c r="S152" s="25">
        <f t="shared" ca="1" si="7"/>
        <v>5598642.1290159579</v>
      </c>
    </row>
    <row r="153" spans="1:19" ht="15.75" customHeight="1" x14ac:dyDescent="0.3">
      <c r="A153" s="37">
        <v>55610</v>
      </c>
      <c r="B153" s="409">
        <f t="shared" ref="B153:C153" si="149">($A153-B$9)/365.25</f>
        <v>70.373716632443532</v>
      </c>
      <c r="C153" s="409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2192</v>
      </c>
      <c r="I153" s="25">
        <f>IF(C153&lt;62,0,'Combined Retirement'!$I$13)</f>
        <v>2420</v>
      </c>
      <c r="J153" s="25">
        <f t="shared" si="3"/>
        <v>7863.2184191855868</v>
      </c>
      <c r="K153" s="25">
        <f t="shared" si="4"/>
        <v>20282.026119384056</v>
      </c>
      <c r="L153" s="25"/>
      <c r="N153" s="25">
        <f>'Combined Retirement'!$C$18/12</f>
        <v>39153.069999999992</v>
      </c>
      <c r="O153" s="25">
        <f t="shared" si="5"/>
        <v>11007.82546143035</v>
      </c>
      <c r="P153" s="25">
        <f t="shared" si="6"/>
        <v>28145.244538569641</v>
      </c>
      <c r="Q153" s="25">
        <f t="array" aca="1" ref="Q153" ca="1">INDEX('Isaac 401k'!L:L,MATCH('Retirement Calculator'!A153,'Isaac 401k'!N:N,0),0)</f>
        <v>1558748.1032007213</v>
      </c>
      <c r="R153" s="25">
        <f t="array" aca="1" ref="R153" ca="1">INDEX('Lorri 401b'!L:L,MATCH('Retirement Calculator'!A153,'Lorri 401b'!N:N,0),0)</f>
        <v>4034959.1849619891</v>
      </c>
      <c r="S153" s="25">
        <f t="shared" ca="1" si="7"/>
        <v>5593707.2881627101</v>
      </c>
    </row>
    <row r="154" spans="1:19" ht="15.75" customHeight="1" x14ac:dyDescent="0.3">
      <c r="A154" s="37">
        <v>55640</v>
      </c>
      <c r="B154" s="409">
        <f t="shared" ref="B154:C154" si="150">($A154-B$9)/365.25</f>
        <v>70.455852156057489</v>
      </c>
      <c r="C154" s="409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2192</v>
      </c>
      <c r="I154" s="25">
        <f>IF(C154&lt;62,0,'Combined Retirement'!$I$13)</f>
        <v>2420</v>
      </c>
      <c r="J154" s="25">
        <f t="shared" si="3"/>
        <v>7863.2184191855868</v>
      </c>
      <c r="K154" s="25">
        <f t="shared" si="4"/>
        <v>20282.026119384056</v>
      </c>
      <c r="L154" s="25"/>
      <c r="N154" s="25">
        <f>'Combined Retirement'!$C$18/12</f>
        <v>39153.069999999992</v>
      </c>
      <c r="O154" s="25">
        <f t="shared" si="5"/>
        <v>11007.82546143035</v>
      </c>
      <c r="P154" s="25">
        <f t="shared" si="6"/>
        <v>28145.244538569641</v>
      </c>
      <c r="Q154" s="25">
        <f t="array" aca="1" ref="Q154" ca="1">INDEX('Isaac 401k'!L:L,MATCH('Retirement Calculator'!A154,'Isaac 401k'!N:N,0),0)</f>
        <v>1557346.9051347922</v>
      </c>
      <c r="R154" s="25">
        <f t="array" aca="1" ref="R154" ca="1">INDEX('Lorri 401b'!L:L,MATCH('Retirement Calculator'!A154,'Lorri 401b'!N:N,0),0)</f>
        <v>4031404.9803377828</v>
      </c>
      <c r="S154" s="25">
        <f t="shared" ca="1" si="7"/>
        <v>5588751.8854725752</v>
      </c>
    </row>
    <row r="155" spans="1:19" ht="15.75" customHeight="1" x14ac:dyDescent="0.3">
      <c r="A155" s="37">
        <v>55671</v>
      </c>
      <c r="B155" s="409">
        <f t="shared" ref="B155:C155" si="151">($A155-B$9)/365.25</f>
        <v>70.540725530458587</v>
      </c>
      <c r="C155" s="409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2192</v>
      </c>
      <c r="I155" s="25">
        <f>IF(C155&lt;62,0,'Combined Retirement'!$I$13)</f>
        <v>2420</v>
      </c>
      <c r="J155" s="25">
        <f t="shared" si="3"/>
        <v>7863.2184191855868</v>
      </c>
      <c r="K155" s="25">
        <f t="shared" si="4"/>
        <v>20282.026119384056</v>
      </c>
      <c r="L155" s="25"/>
      <c r="N155" s="25">
        <f>'Combined Retirement'!$C$18/12</f>
        <v>39153.069999999992</v>
      </c>
      <c r="O155" s="25">
        <f t="shared" si="5"/>
        <v>11007.82546143035</v>
      </c>
      <c r="P155" s="25">
        <f t="shared" si="6"/>
        <v>28145.244538569641</v>
      </c>
      <c r="Q155" s="25">
        <f t="array" aca="1" ref="Q155" ca="1">INDEX('Isaac 401k'!L:L,MATCH('Retirement Calculator'!A155,'Isaac 401k'!N:N,0),0)</f>
        <v>1555939.8687435882</v>
      </c>
      <c r="R155" s="25">
        <f t="array" aca="1" ref="R155" ca="1">INDEX('Lorri 401b'!L:L,MATCH('Retirement Calculator'!A155,'Lorri 401b'!N:N,0),0)</f>
        <v>4027835.9665276422</v>
      </c>
      <c r="S155" s="25">
        <f t="shared" ca="1" si="7"/>
        <v>5583775.83527123</v>
      </c>
    </row>
    <row r="156" spans="1:19" ht="15.75" customHeight="1" x14ac:dyDescent="0.3">
      <c r="A156" s="37">
        <v>55701</v>
      </c>
      <c r="B156" s="409">
        <f t="shared" ref="B156:C156" si="152">($A156-B$9)/365.25</f>
        <v>70.622861054072558</v>
      </c>
      <c r="C156" s="409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2192</v>
      </c>
      <c r="I156" s="25">
        <f>IF(C156&lt;62,0,'Combined Retirement'!$I$13)</f>
        <v>2420</v>
      </c>
      <c r="J156" s="25">
        <f t="shared" si="3"/>
        <v>7863.2184191855868</v>
      </c>
      <c r="K156" s="25">
        <f t="shared" si="4"/>
        <v>20282.026119384056</v>
      </c>
      <c r="L156" s="25"/>
      <c r="N156" s="25">
        <f>'Combined Retirement'!$C$18/12</f>
        <v>39153.069999999992</v>
      </c>
      <c r="O156" s="25">
        <f t="shared" si="5"/>
        <v>11007.82546143035</v>
      </c>
      <c r="P156" s="25">
        <f t="shared" si="6"/>
        <v>28145.244538569641</v>
      </c>
      <c r="Q156" s="25">
        <f t="array" aca="1" ref="Q156" ca="1">INDEX('Isaac 401k'!L:L,MATCH('Retirement Calculator'!A156,'Isaac 401k'!N:N,0),0)</f>
        <v>1554526.9697007544</v>
      </c>
      <c r="R156" s="25">
        <f t="array" aca="1" ref="R156" ca="1">INDEX('Lorri 401b'!L:L,MATCH('Retirement Calculator'!A156,'Lorri 401b'!N:N,0),0)</f>
        <v>4024252.0818266259</v>
      </c>
      <c r="S156" s="25">
        <f t="shared" ca="1" si="7"/>
        <v>5578779.05152738</v>
      </c>
    </row>
    <row r="157" spans="1:19" ht="15.75" customHeight="1" x14ac:dyDescent="0.3">
      <c r="A157" s="37">
        <v>55732</v>
      </c>
      <c r="B157" s="409">
        <f t="shared" ref="B157:C157" si="153">($A157-B$9)/365.25</f>
        <v>70.707734428473643</v>
      </c>
      <c r="C157" s="409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2192</v>
      </c>
      <c r="I157" s="25">
        <f>IF(C157&lt;62,0,'Combined Retirement'!$I$13)</f>
        <v>2420</v>
      </c>
      <c r="J157" s="25">
        <f t="shared" si="3"/>
        <v>7863.2184191855868</v>
      </c>
      <c r="K157" s="25">
        <f t="shared" si="4"/>
        <v>20282.026119384056</v>
      </c>
      <c r="L157" s="25"/>
      <c r="N157" s="25">
        <f>'Combined Retirement'!$C$18/12</f>
        <v>39153.069999999992</v>
      </c>
      <c r="O157" s="25">
        <f t="shared" si="5"/>
        <v>11007.82546143035</v>
      </c>
      <c r="P157" s="25">
        <f t="shared" si="6"/>
        <v>28145.244538569641</v>
      </c>
      <c r="Q157" s="25">
        <f t="array" aca="1" ref="Q157" ca="1">INDEX('Isaac 401k'!L:L,MATCH('Retirement Calculator'!A157,'Isaac 401k'!N:N,0),0)</f>
        <v>1553108.1835785753</v>
      </c>
      <c r="R157" s="25">
        <f t="array" aca="1" ref="R157" ca="1">INDEX('Lorri 401b'!L:L,MATCH('Retirement Calculator'!A157,'Lorri 401b'!N:N,0),0)</f>
        <v>4020653.2642726889</v>
      </c>
      <c r="S157" s="25">
        <f t="shared" ca="1" si="7"/>
        <v>5573761.4478512639</v>
      </c>
    </row>
    <row r="158" spans="1:19" ht="15.75" customHeight="1" x14ac:dyDescent="0.3">
      <c r="A158" s="37">
        <v>55763</v>
      </c>
      <c r="B158" s="409">
        <f t="shared" ref="B158:C158" si="154">($A158-B$9)/365.25</f>
        <v>70.792607802874741</v>
      </c>
      <c r="C158" s="409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2192</v>
      </c>
      <c r="I158" s="25">
        <f>IF(C158&lt;62,0,'Combined Retirement'!$I$13)</f>
        <v>2420</v>
      </c>
      <c r="J158" s="25">
        <f t="shared" si="3"/>
        <v>7863.2184191855868</v>
      </c>
      <c r="K158" s="25">
        <f t="shared" si="4"/>
        <v>20282.026119384056</v>
      </c>
      <c r="L158" s="25"/>
      <c r="N158" s="25">
        <f>'Combined Retirement'!$C$18/12</f>
        <v>39153.069999999992</v>
      </c>
      <c r="O158" s="25">
        <f t="shared" si="5"/>
        <v>11007.82546143035</v>
      </c>
      <c r="P158" s="25">
        <f t="shared" si="6"/>
        <v>28145.244538569641</v>
      </c>
      <c r="Q158" s="25">
        <f t="array" aca="1" ref="Q158" ca="1">INDEX('Isaac 401k'!L:L,MATCH('Retirement Calculator'!A158,'Isaac 401k'!N:N,0),0)</f>
        <v>1551683.4858475537</v>
      </c>
      <c r="R158" s="25">
        <f t="array" aca="1" ref="R158" ca="1">INDEX('Lorri 401b'!L:L,MATCH('Retirement Calculator'!A158,'Lorri 401b'!N:N,0),0)</f>
        <v>4017039.4516456104</v>
      </c>
      <c r="S158" s="25">
        <f t="shared" ca="1" si="7"/>
        <v>5568722.9374931641</v>
      </c>
    </row>
    <row r="159" spans="1:19" ht="15.75" customHeight="1" x14ac:dyDescent="0.3">
      <c r="A159" s="37">
        <v>55793</v>
      </c>
      <c r="B159" s="409">
        <f t="shared" ref="B159:C159" si="155">($A159-B$9)/365.25</f>
        <v>70.874743326488712</v>
      </c>
      <c r="C159" s="409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2192</v>
      </c>
      <c r="I159" s="25">
        <f>IF(C159&lt;62,0,'Combined Retirement'!$I$13)</f>
        <v>2420</v>
      </c>
      <c r="J159" s="25">
        <f t="shared" si="3"/>
        <v>7863.2184191855868</v>
      </c>
      <c r="K159" s="25">
        <f t="shared" si="4"/>
        <v>20282.026119384056</v>
      </c>
      <c r="L159" s="25"/>
      <c r="N159" s="25">
        <f>'Combined Retirement'!$C$18/12</f>
        <v>39153.069999999992</v>
      </c>
      <c r="O159" s="25">
        <f t="shared" si="5"/>
        <v>11007.82546143035</v>
      </c>
      <c r="P159" s="25">
        <f t="shared" si="6"/>
        <v>28145.244538569641</v>
      </c>
      <c r="Q159" s="25">
        <f t="array" aca="1" ref="Q159" ca="1">INDEX('Isaac 401k'!L:L,MATCH('Retirement Calculator'!A159,'Isaac 401k'!N:N,0),0)</f>
        <v>1550252.8518759862</v>
      </c>
      <c r="R159" s="25">
        <f t="array" aca="1" ref="R159" ca="1">INDEX('Lorri 401b'!L:L,MATCH('Retirement Calculator'!A159,'Lorri 401b'!N:N,0),0)</f>
        <v>4013410.581465919</v>
      </c>
      <c r="S159" s="25">
        <f t="shared" ca="1" si="7"/>
        <v>5563663.4333419055</v>
      </c>
    </row>
    <row r="160" spans="1:19" ht="15.75" customHeight="1" x14ac:dyDescent="0.3">
      <c r="A160" s="37">
        <v>55824</v>
      </c>
      <c r="B160" s="409">
        <f t="shared" ref="B160:C160" si="156">($A160-B$9)/365.25</f>
        <v>70.959616700889796</v>
      </c>
      <c r="C160" s="409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2192</v>
      </c>
      <c r="I160" s="25">
        <f>IF(C160&lt;62,0,'Combined Retirement'!$I$13)</f>
        <v>2420</v>
      </c>
      <c r="J160" s="25">
        <f t="shared" si="3"/>
        <v>7863.2184191855868</v>
      </c>
      <c r="K160" s="25">
        <f t="shared" si="4"/>
        <v>20282.026119384056</v>
      </c>
      <c r="L160" s="25"/>
      <c r="N160" s="25">
        <f>'Combined Retirement'!$C$18/12</f>
        <v>39153.069999999992</v>
      </c>
      <c r="O160" s="25">
        <f t="shared" si="5"/>
        <v>11007.82546143035</v>
      </c>
      <c r="P160" s="25">
        <f t="shared" si="6"/>
        <v>28145.244538569641</v>
      </c>
      <c r="Q160" s="25">
        <f t="array" aca="1" ref="Q160" ca="1">INDEX('Isaac 401k'!L:L,MATCH('Retirement Calculator'!A160,'Isaac 401k'!N:N,0),0)</f>
        <v>1548816.2569295373</v>
      </c>
      <c r="R160" s="25">
        <f t="array" aca="1" ref="R160" ca="1">INDEX('Lorri 401b'!L:L,MATCH('Retirement Calculator'!A160,'Lorri 401b'!N:N,0),0)</f>
        <v>4009766.5909938123</v>
      </c>
      <c r="S160" s="25">
        <f t="shared" ca="1" si="7"/>
        <v>5558582.8479233496</v>
      </c>
    </row>
    <row r="161" spans="1:19" ht="15.75" customHeight="1" x14ac:dyDescent="0.3">
      <c r="A161" s="37">
        <v>55854</v>
      </c>
      <c r="B161" s="409">
        <f t="shared" ref="B161:C161" si="157">($A161-B$9)/365.25</f>
        <v>71.041752224503767</v>
      </c>
      <c r="C161" s="409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2192</v>
      </c>
      <c r="I161" s="25">
        <f>IF(C161&lt;62,0,'Combined Retirement'!$I$13)</f>
        <v>2420</v>
      </c>
      <c r="J161" s="25">
        <f t="shared" si="3"/>
        <v>7863.2184191855868</v>
      </c>
      <c r="K161" s="25">
        <f t="shared" si="4"/>
        <v>20282.026119384056</v>
      </c>
      <c r="L161" s="25"/>
      <c r="N161" s="25">
        <f>'Combined Retirement'!$C$18/12</f>
        <v>39153.069999999992</v>
      </c>
      <c r="O161" s="25">
        <f t="shared" si="5"/>
        <v>11007.82546143035</v>
      </c>
      <c r="P161" s="25">
        <f t="shared" si="6"/>
        <v>28145.244538569641</v>
      </c>
      <c r="Q161" s="25">
        <f t="array" aca="1" ref="Q161" ca="1">INDEX('Isaac 401k'!L:L,MATCH('Retirement Calculator'!A161,'Isaac 401k'!N:N,0),0)</f>
        <v>1547373.6761708115</v>
      </c>
      <c r="R161" s="25">
        <f t="array" aca="1" ref="R161" ca="1">INDEX('Lorri 401b'!L:L,MATCH('Retirement Calculator'!A161,'Lorri 401b'!N:N,0),0)</f>
        <v>4006107.417228072</v>
      </c>
      <c r="S161" s="25">
        <f t="shared" ca="1" si="7"/>
        <v>5553481.0933988839</v>
      </c>
    </row>
    <row r="162" spans="1:19" ht="15.75" customHeight="1" x14ac:dyDescent="0.3">
      <c r="A162" s="37">
        <v>55885</v>
      </c>
      <c r="B162" s="409">
        <f t="shared" ref="B162:C162" si="158">($A162-B$9)/365.25</f>
        <v>71.126625598904866</v>
      </c>
      <c r="C162" s="409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2192</v>
      </c>
      <c r="I162" s="25">
        <f>IF(C162&lt;62,0,'Combined Retirement'!$I$13)</f>
        <v>2420</v>
      </c>
      <c r="J162" s="25">
        <f t="shared" si="3"/>
        <v>7863.2184191855868</v>
      </c>
      <c r="K162" s="25">
        <f t="shared" si="4"/>
        <v>20282.026119384056</v>
      </c>
      <c r="L162" s="25"/>
      <c r="N162" s="25">
        <f>'Combined Retirement'!$C$18/12</f>
        <v>39153.069999999992</v>
      </c>
      <c r="O162" s="25">
        <f t="shared" si="5"/>
        <v>11007.82546143035</v>
      </c>
      <c r="P162" s="25">
        <f t="shared" si="6"/>
        <v>28145.244538569641</v>
      </c>
      <c r="Q162" s="25">
        <f t="array" aca="1" ref="Q162" ca="1">INDEX('Isaac 401k'!L:L,MATCH('Retirement Calculator'!A162,'Isaac 401k'!N:N,0),0)</f>
        <v>1545925.0846589243</v>
      </c>
      <c r="R162" s="25">
        <f t="array" aca="1" ref="R162" ca="1">INDEX('Lorri 401b'!L:L,MATCH('Retirement Calculator'!A162,'Lorri 401b'!N:N,0),0)</f>
        <v>4002432.9969049743</v>
      </c>
      <c r="S162" s="25">
        <f t="shared" ca="1" si="7"/>
        <v>5548358.0815638984</v>
      </c>
    </row>
    <row r="163" spans="1:19" ht="15.75" customHeight="1" x14ac:dyDescent="0.3">
      <c r="A163" s="37">
        <v>55916</v>
      </c>
      <c r="B163" s="409">
        <f t="shared" ref="B163:C163" si="159">($A163-B$9)/365.25</f>
        <v>71.21149897330595</v>
      </c>
      <c r="C163" s="409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2192</v>
      </c>
      <c r="I163" s="25">
        <f>IF(C163&lt;62,0,'Combined Retirement'!$I$13)</f>
        <v>2420</v>
      </c>
      <c r="J163" s="25">
        <f t="shared" si="3"/>
        <v>7863.2184191855868</v>
      </c>
      <c r="K163" s="25">
        <f t="shared" si="4"/>
        <v>20282.026119384056</v>
      </c>
      <c r="L163" s="25"/>
      <c r="N163" s="25">
        <f>'Combined Retirement'!$C$18/12</f>
        <v>39153.069999999992</v>
      </c>
      <c r="O163" s="25">
        <f t="shared" si="5"/>
        <v>11007.82546143035</v>
      </c>
      <c r="P163" s="25">
        <f t="shared" si="6"/>
        <v>28145.244538569641</v>
      </c>
      <c r="Q163" s="25">
        <f t="array" aca="1" ref="Q163" ca="1">INDEX('Isaac 401k'!L:L,MATCH('Retirement Calculator'!A163,'Isaac 401k'!N:N,0),0)</f>
        <v>1544470.4573490708</v>
      </c>
      <c r="R163" s="25">
        <f t="array" aca="1" ref="R163" ca="1">INDEX('Lorri 401b'!L:L,MATCH('Retirement Calculator'!A163,'Lorri 401b'!N:N,0),0)</f>
        <v>3998743.2664971971</v>
      </c>
      <c r="S163" s="25">
        <f t="shared" ca="1" si="7"/>
        <v>5543213.7238462679</v>
      </c>
    </row>
    <row r="164" spans="1:19" ht="15.75" customHeight="1" x14ac:dyDescent="0.3">
      <c r="A164" s="37">
        <v>55944</v>
      </c>
      <c r="B164" s="409">
        <f t="shared" ref="B164:C164" si="160">($A164-B$9)/365.25</f>
        <v>71.288158795345652</v>
      </c>
      <c r="C164" s="409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2192</v>
      </c>
      <c r="I164" s="25">
        <f>IF(C164&lt;62,0,'Combined Retirement'!$I$13)</f>
        <v>2420</v>
      </c>
      <c r="J164" s="25">
        <f t="shared" si="3"/>
        <v>7863.2184191855868</v>
      </c>
      <c r="K164" s="25">
        <f t="shared" si="4"/>
        <v>20282.026119384056</v>
      </c>
      <c r="L164" s="25"/>
      <c r="N164" s="25">
        <f>'Combined Retirement'!$C$18/12</f>
        <v>39153.069999999992</v>
      </c>
      <c r="O164" s="25">
        <f t="shared" si="5"/>
        <v>11007.82546143035</v>
      </c>
      <c r="P164" s="25">
        <f t="shared" si="6"/>
        <v>28145.244538569641</v>
      </c>
      <c r="Q164" s="25">
        <f t="array" aca="1" ref="Q164" ca="1">INDEX('Isaac 401k'!L:L,MATCH('Retirement Calculator'!A164,'Isaac 401k'!N:N,0),0)</f>
        <v>1543009.769092093</v>
      </c>
      <c r="R164" s="25">
        <f t="array" aca="1" ref="R164" ca="1">INDEX('Lorri 401b'!L:L,MATCH('Retirement Calculator'!A164,'Lorri 401b'!N:N,0),0)</f>
        <v>3995038.1622127206</v>
      </c>
      <c r="S164" s="25">
        <f t="shared" ca="1" si="7"/>
        <v>5538047.9313048134</v>
      </c>
    </row>
    <row r="165" spans="1:19" ht="15.75" customHeight="1" x14ac:dyDescent="0.3">
      <c r="A165" s="37">
        <v>55975</v>
      </c>
      <c r="B165" s="409">
        <f t="shared" ref="B165:C165" si="161">($A165-B$9)/365.25</f>
        <v>71.37303216974675</v>
      </c>
      <c r="C165" s="409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2192</v>
      </c>
      <c r="I165" s="25">
        <f>IF(C165&lt;62,0,'Combined Retirement'!$I$13)</f>
        <v>2420</v>
      </c>
      <c r="J165" s="25">
        <f t="shared" si="3"/>
        <v>7863.2184191855868</v>
      </c>
      <c r="K165" s="25">
        <f t="shared" si="4"/>
        <v>20282.026119384056</v>
      </c>
      <c r="L165" s="25"/>
      <c r="N165" s="25">
        <f>'Combined Retirement'!$C$18/12</f>
        <v>39153.069999999992</v>
      </c>
      <c r="O165" s="25">
        <f t="shared" si="5"/>
        <v>11007.82546143035</v>
      </c>
      <c r="P165" s="25">
        <f t="shared" si="6"/>
        <v>28145.244538569641</v>
      </c>
      <c r="Q165" s="25">
        <f t="array" aca="1" ref="Q165" ca="1">INDEX('Isaac 401k'!L:L,MATCH('Retirement Calculator'!A165,'Isaac 401k'!N:N,0),0)</f>
        <v>1541542.9946340446</v>
      </c>
      <c r="R165" s="25">
        <f t="array" aca="1" ref="R165" ca="1">INDEX('Lorri 401b'!L:L,MATCH('Retirement Calculator'!A165,'Lorri 401b'!N:N,0),0)</f>
        <v>3991317.6199937253</v>
      </c>
      <c r="S165" s="25">
        <f t="shared" ca="1" si="7"/>
        <v>5532860.6146277701</v>
      </c>
    </row>
    <row r="166" spans="1:19" ht="15.75" customHeight="1" x14ac:dyDescent="0.3">
      <c r="A166" s="37">
        <v>56005</v>
      </c>
      <c r="B166" s="409">
        <f t="shared" ref="B166:C166" si="162">($A166-B$9)/365.25</f>
        <v>71.455167693360707</v>
      </c>
      <c r="C166" s="409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2192</v>
      </c>
      <c r="I166" s="25">
        <f>IF(C166&lt;62,0,'Combined Retirement'!$I$13)</f>
        <v>2420</v>
      </c>
      <c r="J166" s="25">
        <f t="shared" si="3"/>
        <v>7863.2184191855868</v>
      </c>
      <c r="K166" s="25">
        <f t="shared" si="4"/>
        <v>20282.026119384056</v>
      </c>
      <c r="L166" s="25"/>
      <c r="N166" s="25">
        <f>'Combined Retirement'!$C$18/12</f>
        <v>39153.069999999992</v>
      </c>
      <c r="O166" s="25">
        <f t="shared" si="5"/>
        <v>11007.82546143035</v>
      </c>
      <c r="P166" s="25">
        <f t="shared" si="6"/>
        <v>28145.244538569641</v>
      </c>
      <c r="Q166" s="25">
        <f t="array" aca="1" ref="Q166" ca="1">INDEX('Isaac 401k'!L:L,MATCH('Retirement Calculator'!A166,'Isaac 401k'!N:N,0),0)</f>
        <v>1540070.1086157542</v>
      </c>
      <c r="R166" s="25">
        <f t="array" aca="1" ref="R166" ca="1">INDEX('Lorri 401b'!L:L,MATCH('Retirement Calculator'!A166,'Lorri 401b'!N:N,0),0)</f>
        <v>3987581.5755154844</v>
      </c>
      <c r="S166" s="25">
        <f t="shared" ca="1" si="7"/>
        <v>5527651.6841312386</v>
      </c>
    </row>
    <row r="167" spans="1:19" ht="15.75" customHeight="1" x14ac:dyDescent="0.3">
      <c r="A167" s="37">
        <v>56036</v>
      </c>
      <c r="B167" s="409">
        <f t="shared" ref="B167:C167" si="163">($A167-B$9)/365.25</f>
        <v>71.540041067761805</v>
      </c>
      <c r="C167" s="409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2192</v>
      </c>
      <c r="I167" s="25">
        <f>IF(C167&lt;62,0,'Combined Retirement'!$I$13)</f>
        <v>2420</v>
      </c>
      <c r="J167" s="25">
        <f t="shared" si="3"/>
        <v>7863.2184191855868</v>
      </c>
      <c r="K167" s="25">
        <f t="shared" si="4"/>
        <v>20282.026119384056</v>
      </c>
      <c r="L167" s="25"/>
      <c r="N167" s="25">
        <f>'Combined Retirement'!$C$18/12</f>
        <v>39153.069999999992</v>
      </c>
      <c r="O167" s="25">
        <f t="shared" si="5"/>
        <v>11007.82546143035</v>
      </c>
      <c r="P167" s="25">
        <f t="shared" si="6"/>
        <v>28145.244538569641</v>
      </c>
      <c r="Q167" s="25">
        <f t="array" aca="1" ref="Q167" ca="1">INDEX('Isaac 401k'!L:L,MATCH('Retirement Calculator'!A167,'Isaac 401k'!N:N,0),0)</f>
        <v>1538591.0855723876</v>
      </c>
      <c r="R167" s="25">
        <f t="array" aca="1" ref="R167" ca="1">INDEX('Lorri 401b'!L:L,MATCH('Retirement Calculator'!A167,'Lorri 401b'!N:N,0),0)</f>
        <v>3983829.9641852509</v>
      </c>
      <c r="S167" s="25">
        <f t="shared" ca="1" si="7"/>
        <v>5522421.0497576389</v>
      </c>
    </row>
    <row r="168" spans="1:19" ht="15.75" customHeight="1" x14ac:dyDescent="0.3">
      <c r="A168" s="37">
        <v>56066</v>
      </c>
      <c r="B168" s="409">
        <f t="shared" ref="B168:C168" si="164">($A168-B$9)/365.25</f>
        <v>71.622176591375776</v>
      </c>
      <c r="C168" s="409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2192</v>
      </c>
      <c r="I168" s="25">
        <f>IF(C168&lt;62,0,'Combined Retirement'!$I$13)</f>
        <v>2420</v>
      </c>
      <c r="J168" s="25">
        <f t="shared" si="3"/>
        <v>7863.2184191855868</v>
      </c>
      <c r="K168" s="25">
        <f t="shared" si="4"/>
        <v>20282.026119384056</v>
      </c>
      <c r="L168" s="25"/>
      <c r="N168" s="25">
        <f>'Combined Retirement'!$C$18/12</f>
        <v>39153.069999999992</v>
      </c>
      <c r="O168" s="25">
        <f t="shared" si="5"/>
        <v>11007.82546143035</v>
      </c>
      <c r="P168" s="25">
        <f t="shared" si="6"/>
        <v>28145.244538569641</v>
      </c>
      <c r="Q168" s="25">
        <f t="array" aca="1" ref="Q168" ca="1">INDEX('Isaac 401k'!L:L,MATCH('Retirement Calculator'!A168,'Isaac 401k'!N:N,0),0)</f>
        <v>1537105.8999330068</v>
      </c>
      <c r="R168" s="25">
        <f t="array" aca="1" ref="R168" ca="1">INDEX('Lorri 401b'!L:L,MATCH('Retirement Calculator'!A168,'Lorri 401b'!N:N,0),0)</f>
        <v>3980062.7211411414</v>
      </c>
      <c r="S168" s="25">
        <f t="shared" ca="1" si="7"/>
        <v>5517168.6210741485</v>
      </c>
    </row>
    <row r="169" spans="1:19" ht="15.75" customHeight="1" x14ac:dyDescent="0.3">
      <c r="A169" s="37">
        <v>56097</v>
      </c>
      <c r="B169" s="409">
        <f t="shared" ref="B169:C169" si="165">($A169-B$9)/365.25</f>
        <v>71.707049965776861</v>
      </c>
      <c r="C169" s="409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2192</v>
      </c>
      <c r="I169" s="25">
        <f>IF(C169&lt;62,0,'Combined Retirement'!$I$13)</f>
        <v>2420</v>
      </c>
      <c r="J169" s="25">
        <f t="shared" si="3"/>
        <v>7863.2184191855868</v>
      </c>
      <c r="K169" s="25">
        <f t="shared" si="4"/>
        <v>20282.026119384056</v>
      </c>
      <c r="L169" s="25"/>
      <c r="N169" s="25">
        <f>'Combined Retirement'!$C$18/12</f>
        <v>39153.069999999992</v>
      </c>
      <c r="O169" s="25">
        <f t="shared" si="5"/>
        <v>11007.82546143035</v>
      </c>
      <c r="P169" s="25">
        <f t="shared" si="6"/>
        <v>28145.244538569641</v>
      </c>
      <c r="Q169" s="25">
        <f t="array" aca="1" ref="Q169" ca="1">INDEX('Isaac 401k'!L:L,MATCH('Retirement Calculator'!A169,'Isaac 401k'!N:N,0),0)</f>
        <v>1535614.5260201287</v>
      </c>
      <c r="R169" s="25">
        <f t="array" aca="1" ref="R169" ca="1">INDEX('Lorri 401b'!L:L,MATCH('Retirement Calculator'!A169,'Lorri 401b'!N:N,0),0)</f>
        <v>3976279.7812510147</v>
      </c>
      <c r="S169" s="25">
        <f t="shared" ca="1" si="7"/>
        <v>5511894.3072711434</v>
      </c>
    </row>
    <row r="170" spans="1:19" ht="15.75" customHeight="1" x14ac:dyDescent="0.3">
      <c r="A170" s="37">
        <v>56128</v>
      </c>
      <c r="B170" s="409">
        <f t="shared" ref="B170:C170" si="166">($A170-B$9)/365.25</f>
        <v>71.791923340177959</v>
      </c>
      <c r="C170" s="409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2192</v>
      </c>
      <c r="I170" s="25">
        <f>IF(C170&lt;62,0,'Combined Retirement'!$I$13)</f>
        <v>2420</v>
      </c>
      <c r="J170" s="25">
        <f t="shared" si="3"/>
        <v>7863.2184191855868</v>
      </c>
      <c r="K170" s="25">
        <f t="shared" si="4"/>
        <v>20282.026119384056</v>
      </c>
      <c r="L170" s="25"/>
      <c r="N170" s="25">
        <f>'Combined Retirement'!$C$18/12</f>
        <v>39153.069999999992</v>
      </c>
      <c r="O170" s="25">
        <f t="shared" si="5"/>
        <v>11007.82546143035</v>
      </c>
      <c r="P170" s="25">
        <f t="shared" si="6"/>
        <v>28145.244538569641</v>
      </c>
      <c r="Q170" s="25">
        <f t="array" aca="1" ref="Q170" ca="1">INDEX('Isaac 401k'!L:L,MATCH('Retirement Calculator'!A170,'Isaac 401k'!N:N,0),0)</f>
        <v>1534116.9380492803</v>
      </c>
      <c r="R170" s="25">
        <f t="array" aca="1" ref="R170" ca="1">INDEX('Lorri 401b'!L:L,MATCH('Retirement Calculator'!A170,'Lorri 401b'!N:N,0),0)</f>
        <v>3972481.079111346</v>
      </c>
      <c r="S170" s="25">
        <f t="shared" ca="1" si="7"/>
        <v>5506598.0171606261</v>
      </c>
    </row>
    <row r="171" spans="1:19" ht="15.75" customHeight="1" x14ac:dyDescent="0.3">
      <c r="A171" s="37">
        <v>56158</v>
      </c>
      <c r="B171" s="409">
        <f t="shared" ref="B171:C171" si="167">($A171-B$9)/365.25</f>
        <v>71.87405886379193</v>
      </c>
      <c r="C171" s="409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2192</v>
      </c>
      <c r="I171" s="25">
        <f>IF(C171&lt;62,0,'Combined Retirement'!$I$13)</f>
        <v>2420</v>
      </c>
      <c r="J171" s="25">
        <f t="shared" si="3"/>
        <v>7863.2184191855868</v>
      </c>
      <c r="K171" s="25">
        <f t="shared" si="4"/>
        <v>20282.026119384056</v>
      </c>
      <c r="L171" s="25"/>
      <c r="N171" s="25">
        <f>'Combined Retirement'!$C$18/12</f>
        <v>39153.069999999992</v>
      </c>
      <c r="O171" s="25">
        <f t="shared" si="5"/>
        <v>11007.82546143035</v>
      </c>
      <c r="P171" s="25">
        <f t="shared" si="6"/>
        <v>28145.244538569641</v>
      </c>
      <c r="Q171" s="25">
        <f t="array" aca="1" ref="Q171" ca="1">INDEX('Isaac 401k'!L:L,MATCH('Retirement Calculator'!A171,'Isaac 401k'!N:N,0),0)</f>
        <v>1532613.1101285534</v>
      </c>
      <c r="R171" s="25">
        <f t="array" aca="1" ref="R171" ca="1">INDEX('Lorri 401b'!L:L,MATCH('Retirement Calculator'!A171,'Lorri 401b'!N:N,0),0)</f>
        <v>3968666.5490460955</v>
      </c>
      <c r="S171" s="25">
        <f t="shared" ca="1" si="7"/>
        <v>5501279.659174649</v>
      </c>
    </row>
    <row r="172" spans="1:19" ht="15.75" customHeight="1" x14ac:dyDescent="0.3">
      <c r="A172" s="37">
        <v>56189</v>
      </c>
      <c r="B172" s="409">
        <f t="shared" ref="B172:C172" si="168">($A172-B$9)/365.25</f>
        <v>71.958932238193015</v>
      </c>
      <c r="C172" s="409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2192</v>
      </c>
      <c r="I172" s="25">
        <f>IF(C172&lt;62,0,'Combined Retirement'!$I$13)</f>
        <v>2420</v>
      </c>
      <c r="J172" s="25">
        <f t="shared" si="3"/>
        <v>7863.2184191855868</v>
      </c>
      <c r="K172" s="25">
        <f t="shared" si="4"/>
        <v>20282.026119384056</v>
      </c>
      <c r="L172" s="25"/>
      <c r="N172" s="25">
        <f>'Combined Retirement'!$C$18/12</f>
        <v>39153.069999999992</v>
      </c>
      <c r="O172" s="25">
        <f t="shared" si="5"/>
        <v>11007.82546143035</v>
      </c>
      <c r="P172" s="25">
        <f t="shared" si="6"/>
        <v>28145.244538569641</v>
      </c>
      <c r="Q172" s="25">
        <f t="array" aca="1" ref="Q172" ca="1">INDEX('Isaac 401k'!L:L,MATCH('Retirement Calculator'!A172,'Isaac 401k'!N:N,0),0)</f>
        <v>1531103.0162581569</v>
      </c>
      <c r="R172" s="25">
        <f t="array" aca="1" ref="R172" ca="1">INDEX('Lorri 401b'!L:L,MATCH('Retirement Calculator'!A172,'Lorri 401b'!N:N,0),0)</f>
        <v>3964836.1251055729</v>
      </c>
      <c r="S172" s="25">
        <f t="shared" ca="1" si="7"/>
        <v>5495939.1413637297</v>
      </c>
    </row>
    <row r="173" spans="1:19" ht="15.75" customHeight="1" x14ac:dyDescent="0.3">
      <c r="A173" s="37">
        <v>56219</v>
      </c>
      <c r="B173" s="409">
        <f t="shared" ref="B173:C173" si="169">($A173-B$9)/365.25</f>
        <v>72.041067761806985</v>
      </c>
      <c r="C173" s="409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2192</v>
      </c>
      <c r="I173" s="25">
        <f>IF(C173&lt;62,0,'Combined Retirement'!$I$13)</f>
        <v>2420</v>
      </c>
      <c r="J173" s="25">
        <f t="shared" si="3"/>
        <v>7863.2184191855868</v>
      </c>
      <c r="K173" s="25">
        <f t="shared" si="4"/>
        <v>20282.026119384056</v>
      </c>
      <c r="L173" s="25"/>
      <c r="N173" s="25">
        <f>'Combined Retirement'!$C$18/12</f>
        <v>39153.069999999992</v>
      </c>
      <c r="O173" s="25">
        <f t="shared" si="5"/>
        <v>11007.82546143035</v>
      </c>
      <c r="P173" s="25">
        <f t="shared" si="6"/>
        <v>28145.244538569641</v>
      </c>
      <c r="Q173" s="25">
        <f t="array" aca="1" ref="Q173" ca="1">INDEX('Isaac 401k'!L:L,MATCH('Retirement Calculator'!A173,'Isaac 401k'!N:N,0),0)</f>
        <v>1529586.630329967</v>
      </c>
      <c r="R173" s="25">
        <f t="array" aca="1" ref="R173" ca="1">INDEX('Lorri 401b'!L:L,MATCH('Retirement Calculator'!A173,'Lorri 401b'!N:N,0),0)</f>
        <v>3960989.7410652982</v>
      </c>
      <c r="S173" s="25">
        <f t="shared" ca="1" si="7"/>
        <v>5490576.3713952657</v>
      </c>
    </row>
    <row r="174" spans="1:19" ht="15.75" customHeight="1" x14ac:dyDescent="0.3">
      <c r="A174" s="37">
        <v>56250</v>
      </c>
      <c r="B174" s="409">
        <f t="shared" ref="B174:C174" si="170">($A174-B$9)/365.25</f>
        <v>72.12594113620807</v>
      </c>
      <c r="C174" s="409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2192</v>
      </c>
      <c r="I174" s="25">
        <f>IF(C174&lt;62,0,'Combined Retirement'!$I$13)</f>
        <v>2420</v>
      </c>
      <c r="J174" s="25">
        <f t="shared" si="3"/>
        <v>7863.2184191855868</v>
      </c>
      <c r="K174" s="25">
        <f t="shared" si="4"/>
        <v>20282.026119384056</v>
      </c>
      <c r="L174" s="25"/>
      <c r="N174" s="25">
        <f>'Combined Retirement'!$C$18/12</f>
        <v>39153.069999999992</v>
      </c>
      <c r="O174" s="25">
        <f t="shared" si="5"/>
        <v>11007.82546143035</v>
      </c>
      <c r="P174" s="25">
        <f t="shared" si="6"/>
        <v>28145.244538569641</v>
      </c>
      <c r="Q174" s="25">
        <f t="array" aca="1" ref="Q174" ca="1">INDEX('Isaac 401k'!L:L,MATCH('Retirement Calculator'!A174,'Isaac 401k'!N:N,0),0)</f>
        <v>1528063.9261270764</v>
      </c>
      <c r="R174" s="25">
        <f t="array" aca="1" ref="R174" ca="1">INDEX('Lorri 401b'!L:L,MATCH('Retirement Calculator'!A174,'Lorri 401b'!N:N,0),0)</f>
        <v>3957127.3304248555</v>
      </c>
      <c r="S174" s="25">
        <f t="shared" ca="1" si="7"/>
        <v>5485191.2565519316</v>
      </c>
    </row>
    <row r="175" spans="1:19" ht="15.75" customHeight="1" x14ac:dyDescent="0.3">
      <c r="A175" s="37">
        <v>56281</v>
      </c>
      <c r="B175" s="409">
        <f t="shared" ref="B175:C175" si="171">($A175-B$9)/365.25</f>
        <v>72.210814510609168</v>
      </c>
      <c r="C175" s="409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2192</v>
      </c>
      <c r="I175" s="25">
        <f>IF(C175&lt;62,0,'Combined Retirement'!$I$13)</f>
        <v>2420</v>
      </c>
      <c r="J175" s="25">
        <f t="shared" si="3"/>
        <v>7863.2184191855868</v>
      </c>
      <c r="K175" s="25">
        <f t="shared" si="4"/>
        <v>20282.026119384056</v>
      </c>
      <c r="L175" s="25"/>
      <c r="N175" s="25">
        <f>'Combined Retirement'!$C$18/12</f>
        <v>39153.069999999992</v>
      </c>
      <c r="O175" s="25">
        <f t="shared" si="5"/>
        <v>11007.82546143035</v>
      </c>
      <c r="P175" s="25">
        <f t="shared" si="6"/>
        <v>28145.244538569641</v>
      </c>
      <c r="Q175" s="25">
        <f t="array" aca="1" ref="Q175" ca="1">INDEX('Isaac 401k'!L:L,MATCH('Retirement Calculator'!A175,'Isaac 401k'!N:N,0),0)</f>
        <v>1526534.8773233404</v>
      </c>
      <c r="R175" s="25">
        <f t="array" aca="1" ref="R175" ca="1">INDEX('Lorri 401b'!L:L,MATCH('Retirement Calculator'!A175,'Lorri 401b'!N:N,0),0)</f>
        <v>3953248.8264067443</v>
      </c>
      <c r="S175" s="25">
        <f t="shared" ca="1" si="7"/>
        <v>5479783.7037300849</v>
      </c>
    </row>
    <row r="176" spans="1:19" ht="15.75" customHeight="1" x14ac:dyDescent="0.3">
      <c r="A176" s="37">
        <v>56309</v>
      </c>
      <c r="B176" s="409">
        <f t="shared" ref="B176:C176" si="172">($A176-B$9)/365.25</f>
        <v>72.28747433264887</v>
      </c>
      <c r="C176" s="409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2192</v>
      </c>
      <c r="I176" s="25">
        <f>IF(C176&lt;62,0,'Combined Retirement'!$I$13)</f>
        <v>2420</v>
      </c>
      <c r="J176" s="25">
        <f t="shared" si="3"/>
        <v>7863.2184191855868</v>
      </c>
      <c r="K176" s="25">
        <f t="shared" si="4"/>
        <v>20282.026119384056</v>
      </c>
      <c r="L176" s="25"/>
      <c r="N176" s="25">
        <f>'Combined Retirement'!$C$18/12</f>
        <v>39153.069999999992</v>
      </c>
      <c r="O176" s="25">
        <f t="shared" si="5"/>
        <v>11007.82546143035</v>
      </c>
      <c r="P176" s="25">
        <f t="shared" si="6"/>
        <v>28145.244538569641</v>
      </c>
      <c r="Q176" s="25">
        <f t="array" aca="1" ref="Q176" ca="1">INDEX('Isaac 401k'!L:L,MATCH('Retirement Calculator'!A176,'Isaac 401k'!N:N,0),0)</f>
        <v>1524999.4574829221</v>
      </c>
      <c r="R176" s="25">
        <f t="array" aca="1" ref="R176" ca="1">INDEX('Lorri 401b'!L:L,MATCH('Retirement Calculator'!A176,'Lorri 401b'!N:N,0),0)</f>
        <v>3949354.1619552244</v>
      </c>
      <c r="S176" s="25">
        <f t="shared" ca="1" si="7"/>
        <v>5474353.6194381462</v>
      </c>
    </row>
    <row r="177" spans="1:19" ht="15.75" customHeight="1" x14ac:dyDescent="0.3">
      <c r="A177" s="37">
        <v>56340</v>
      </c>
      <c r="B177" s="409">
        <f t="shared" ref="B177:C177" si="173">($A177-B$9)/365.25</f>
        <v>72.372347707049968</v>
      </c>
      <c r="C177" s="409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2192</v>
      </c>
      <c r="I177" s="25">
        <f>IF(C177&lt;62,0,'Combined Retirement'!$I$13)</f>
        <v>2420</v>
      </c>
      <c r="J177" s="25">
        <f t="shared" si="3"/>
        <v>7863.2184191855868</v>
      </c>
      <c r="K177" s="25">
        <f t="shared" si="4"/>
        <v>20282.026119384056</v>
      </c>
      <c r="L177" s="25"/>
      <c r="N177" s="25">
        <f>'Combined Retirement'!$C$18/12</f>
        <v>39153.069999999992</v>
      </c>
      <c r="O177" s="25">
        <f t="shared" si="5"/>
        <v>11007.82546143035</v>
      </c>
      <c r="P177" s="25">
        <f t="shared" si="6"/>
        <v>28145.244538569641</v>
      </c>
      <c r="Q177" s="25">
        <f t="array" aca="1" ref="Q177" ca="1">INDEX('Isaac 401k'!L:L,MATCH('Retirement Calculator'!A177,'Isaac 401k'!N:N,0),0)</f>
        <v>1523457.6400598355</v>
      </c>
      <c r="R177" s="25">
        <f t="array" aca="1" ref="R177" ca="1">INDEX('Lorri 401b'!L:L,MATCH('Retirement Calculator'!A177,'Lorri 401b'!N:N,0),0)</f>
        <v>3945443.2697351566</v>
      </c>
      <c r="S177" s="25">
        <f t="shared" ca="1" si="7"/>
        <v>5468900.9097949918</v>
      </c>
    </row>
    <row r="178" spans="1:19" ht="15.75" customHeight="1" x14ac:dyDescent="0.3">
      <c r="A178" s="37">
        <v>56370</v>
      </c>
      <c r="B178" s="409">
        <f t="shared" ref="B178:C178" si="174">($A178-B$9)/365.25</f>
        <v>72.454483230663925</v>
      </c>
      <c r="C178" s="409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2192</v>
      </c>
      <c r="I178" s="25">
        <f>IF(C178&lt;62,0,'Combined Retirement'!$I$13)</f>
        <v>2420</v>
      </c>
      <c r="J178" s="25">
        <f t="shared" si="3"/>
        <v>7863.2184191855868</v>
      </c>
      <c r="K178" s="25">
        <f t="shared" si="4"/>
        <v>20282.026119384056</v>
      </c>
      <c r="L178" s="25"/>
      <c r="N178" s="25">
        <f>'Combined Retirement'!$C$18/12</f>
        <v>39153.069999999992</v>
      </c>
      <c r="O178" s="25">
        <f t="shared" si="5"/>
        <v>11007.82546143035</v>
      </c>
      <c r="P178" s="25">
        <f t="shared" si="6"/>
        <v>28145.244538569641</v>
      </c>
      <c r="Q178" s="25">
        <f t="array" aca="1" ref="Q178" ca="1">INDEX('Isaac 401k'!L:L,MATCH('Retirement Calculator'!A178,'Isaac 401k'!N:N,0),0)</f>
        <v>1521909.398397486</v>
      </c>
      <c r="R178" s="25">
        <f t="array" aca="1" ref="R178" ca="1">INDEX('Lorri 401b'!L:L,MATCH('Retirement Calculator'!A178,'Lorri 401b'!N:N,0),0)</f>
        <v>3941516.0821308382</v>
      </c>
      <c r="S178" s="25">
        <f t="shared" ca="1" si="7"/>
        <v>5463425.4805283239</v>
      </c>
    </row>
    <row r="179" spans="1:19" ht="15.75" customHeight="1" x14ac:dyDescent="0.3">
      <c r="A179" s="37">
        <v>56401</v>
      </c>
      <c r="B179" s="409">
        <f t="shared" ref="B179:C179" si="175">($A179-B$9)/365.25</f>
        <v>72.539356605065024</v>
      </c>
      <c r="C179" s="409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2192</v>
      </c>
      <c r="I179" s="25">
        <f>IF(C179&lt;62,0,'Combined Retirement'!$I$13)</f>
        <v>2420</v>
      </c>
      <c r="J179" s="25">
        <f t="shared" si="3"/>
        <v>7863.2184191855868</v>
      </c>
      <c r="K179" s="25">
        <f t="shared" si="4"/>
        <v>20282.026119384056</v>
      </c>
      <c r="L179" s="25"/>
      <c r="N179" s="25">
        <f>'Combined Retirement'!$C$18/12</f>
        <v>39153.069999999992</v>
      </c>
      <c r="O179" s="25">
        <f t="shared" si="5"/>
        <v>11007.82546143035</v>
      </c>
      <c r="P179" s="25">
        <f t="shared" si="6"/>
        <v>28145.244538569641</v>
      </c>
      <c r="Q179" s="25">
        <f t="array" aca="1" ref="Q179" ca="1">INDEX('Isaac 401k'!L:L,MATCH('Retirement Calculator'!A179,'Isaac 401k'!N:N,0),0)</f>
        <v>1520354.70572821</v>
      </c>
      <c r="R179" s="25">
        <f t="array" aca="1" ref="R179" ca="1">INDEX('Lorri 401b'!L:L,MATCH('Retirement Calculator'!A179,'Lorri 401b'!N:N,0),0)</f>
        <v>3937572.5312448354</v>
      </c>
      <c r="S179" s="25">
        <f t="shared" ca="1" si="7"/>
        <v>5457927.2369730454</v>
      </c>
    </row>
    <row r="180" spans="1:19" ht="15.75" customHeight="1" x14ac:dyDescent="0.3">
      <c r="A180" s="37">
        <v>56431</v>
      </c>
      <c r="B180" s="409">
        <f t="shared" ref="B180:C180" si="176">($A180-B$9)/365.25</f>
        <v>72.62149212867898</v>
      </c>
      <c r="C180" s="409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2192</v>
      </c>
      <c r="I180" s="25">
        <f>IF(C180&lt;62,0,'Combined Retirement'!$I$13)</f>
        <v>2420</v>
      </c>
      <c r="J180" s="25">
        <f t="shared" si="3"/>
        <v>7863.2184191855868</v>
      </c>
      <c r="K180" s="25">
        <f t="shared" si="4"/>
        <v>20282.026119384056</v>
      </c>
      <c r="L180" s="25"/>
      <c r="N180" s="25">
        <f>'Combined Retirement'!$C$18/12</f>
        <v>39153.069999999992</v>
      </c>
      <c r="O180" s="25">
        <f t="shared" si="5"/>
        <v>11007.82546143035</v>
      </c>
      <c r="P180" s="25">
        <f t="shared" si="6"/>
        <v>28145.244538569641</v>
      </c>
      <c r="Q180" s="25">
        <f t="array" aca="1" ref="Q180" ca="1">INDEX('Isaac 401k'!L:L,MATCH('Retirement Calculator'!A180,'Isaac 401k'!N:N,0),0)</f>
        <v>1518793.5351728119</v>
      </c>
      <c r="R180" s="25">
        <f t="array" aca="1" ref="R180" ca="1">INDEX('Lorri 401b'!L:L,MATCH('Retirement Calculator'!A180,'Lorri 401b'!N:N,0),0)</f>
        <v>3933612.5488968072</v>
      </c>
      <c r="S180" s="25">
        <f t="shared" ca="1" si="7"/>
        <v>5452406.084069619</v>
      </c>
    </row>
    <row r="181" spans="1:19" ht="15.75" customHeight="1" x14ac:dyDescent="0.3">
      <c r="A181" s="37">
        <v>56462</v>
      </c>
      <c r="B181" s="409">
        <f t="shared" ref="B181:C181" si="177">($A181-B$9)/365.25</f>
        <v>72.706365503080079</v>
      </c>
      <c r="C181" s="409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2192</v>
      </c>
      <c r="I181" s="25">
        <f>IF(C181&lt;62,0,'Combined Retirement'!$I$13)</f>
        <v>2420</v>
      </c>
      <c r="J181" s="25">
        <f t="shared" si="3"/>
        <v>7863.2184191855868</v>
      </c>
      <c r="K181" s="25">
        <f t="shared" si="4"/>
        <v>20282.026119384056</v>
      </c>
      <c r="L181" s="25"/>
      <c r="N181" s="25">
        <f>'Combined Retirement'!$C$18/12</f>
        <v>39153.069999999992</v>
      </c>
      <c r="O181" s="25">
        <f t="shared" si="5"/>
        <v>11007.82546143035</v>
      </c>
      <c r="P181" s="25">
        <f t="shared" si="6"/>
        <v>28145.244538569641</v>
      </c>
      <c r="Q181" s="25">
        <f t="array" aca="1" ref="Q181" ca="1">INDEX('Isaac 401k'!L:L,MATCH('Retirement Calculator'!A181,'Isaac 401k'!N:N,0),0)</f>
        <v>1517225.8597400999</v>
      </c>
      <c r="R181" s="25">
        <f t="array" aca="1" ref="R181" ca="1">INDEX('Lorri 401b'!L:L,MATCH('Retirement Calculator'!A181,'Lorri 401b'!N:N,0),0)</f>
        <v>3929636.0666223294</v>
      </c>
      <c r="S181" s="25">
        <f t="shared" ca="1" si="7"/>
        <v>5446861.9263624288</v>
      </c>
    </row>
    <row r="182" spans="1:19" ht="15.75" customHeight="1" x14ac:dyDescent="0.3">
      <c r="A182" s="37">
        <v>56493</v>
      </c>
      <c r="B182" s="409">
        <f t="shared" ref="B182:C182" si="178">($A182-B$9)/365.25</f>
        <v>72.791238877481177</v>
      </c>
      <c r="C182" s="409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2192</v>
      </c>
      <c r="I182" s="25">
        <f>IF(C182&lt;62,0,'Combined Retirement'!$I$13)</f>
        <v>2420</v>
      </c>
      <c r="J182" s="25">
        <f t="shared" si="3"/>
        <v>7863.2184191855868</v>
      </c>
      <c r="K182" s="25">
        <f t="shared" si="4"/>
        <v>20282.026119384056</v>
      </c>
      <c r="L182" s="25"/>
      <c r="N182" s="25">
        <f>'Combined Retirement'!$C$18/12</f>
        <v>39153.069999999992</v>
      </c>
      <c r="O182" s="25">
        <f t="shared" si="5"/>
        <v>11007.82546143035</v>
      </c>
      <c r="P182" s="25">
        <f t="shared" si="6"/>
        <v>28145.244538569641</v>
      </c>
      <c r="Q182" s="25">
        <f t="array" aca="1" ref="Q182" ca="1">INDEX('Isaac 401k'!L:L,MATCH('Retirement Calculator'!A182,'Isaac 401k'!N:N,0),0)</f>
        <v>1515651.6523264181</v>
      </c>
      <c r="R182" s="25">
        <f t="array" aca="1" ref="R182" ca="1">INDEX('Lorri 401b'!L:L,MATCH('Retirement Calculator'!A182,'Lorri 401b'!N:N,0),0)</f>
        <v>3925643.0156717077</v>
      </c>
      <c r="S182" s="25">
        <f t="shared" ca="1" si="7"/>
        <v>5441294.6679981258</v>
      </c>
    </row>
    <row r="183" spans="1:19" ht="15.75" customHeight="1" x14ac:dyDescent="0.3">
      <c r="A183" s="37">
        <v>56523</v>
      </c>
      <c r="B183" s="409">
        <f t="shared" ref="B183:C183" si="179">($A183-B$9)/365.25</f>
        <v>72.873374401095134</v>
      </c>
      <c r="C183" s="409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2192</v>
      </c>
      <c r="I183" s="25">
        <f>IF(C183&lt;62,0,'Combined Retirement'!$I$13)</f>
        <v>2420</v>
      </c>
      <c r="J183" s="25">
        <f t="shared" si="3"/>
        <v>7863.2184191855868</v>
      </c>
      <c r="K183" s="25">
        <f t="shared" si="4"/>
        <v>20282.026119384056</v>
      </c>
      <c r="L183" s="25"/>
      <c r="N183" s="25">
        <f>'Combined Retirement'!$C$18/12</f>
        <v>39153.069999999992</v>
      </c>
      <c r="O183" s="25">
        <f t="shared" si="5"/>
        <v>11007.82546143035</v>
      </c>
      <c r="P183" s="25">
        <f t="shared" si="6"/>
        <v>28145.244538569641</v>
      </c>
      <c r="Q183" s="25">
        <f t="array" aca="1" ref="Q183" ca="1">INDEX('Isaac 401k'!L:L,MATCH('Retirement Calculator'!A183,'Isaac 401k'!N:N,0),0)</f>
        <v>1514070.8857151794</v>
      </c>
      <c r="R183" s="25">
        <f t="array" aca="1" ref="R183" ca="1">INDEX('Lorri 401b'!L:L,MATCH('Retirement Calculator'!A183,'Lorri 401b'!N:N,0),0)</f>
        <v>3921633.3270087917</v>
      </c>
      <c r="S183" s="25">
        <f t="shared" ca="1" si="7"/>
        <v>5435704.2127239713</v>
      </c>
    </row>
    <row r="184" spans="1:19" ht="15.75" customHeight="1" x14ac:dyDescent="0.3">
      <c r="A184" s="37">
        <v>56554</v>
      </c>
      <c r="B184" s="409">
        <f t="shared" ref="B184:C184" si="180">($A184-B$9)/365.25</f>
        <v>72.958247775496233</v>
      </c>
      <c r="C184" s="409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2192</v>
      </c>
      <c r="I184" s="25">
        <f>IF(C184&lt;62,0,'Combined Retirement'!$I$13)</f>
        <v>2420</v>
      </c>
      <c r="J184" s="25">
        <f t="shared" si="3"/>
        <v>7863.2184191855868</v>
      </c>
      <c r="K184" s="25">
        <f t="shared" si="4"/>
        <v>20282.026119384056</v>
      </c>
      <c r="L184" s="25"/>
      <c r="N184" s="25">
        <f>'Combined Retirement'!$C$18/12</f>
        <v>39153.069999999992</v>
      </c>
      <c r="O184" s="25">
        <f t="shared" si="5"/>
        <v>11007.82546143035</v>
      </c>
      <c r="P184" s="25">
        <f t="shared" si="6"/>
        <v>28145.244538569641</v>
      </c>
      <c r="Q184" s="25">
        <f t="array" aca="1" ref="Q184" ca="1">INDEX('Isaac 401k'!L:L,MATCH('Retirement Calculator'!A184,'Isaac 401k'!N:N,0),0)</f>
        <v>1512483.5325763938</v>
      </c>
      <c r="R184" s="25">
        <f t="array" aca="1" ref="R184" ca="1">INDEX('Lorri 401b'!L:L,MATCH('Retirement Calculator'!A184,'Lorri 401b'!N:N,0),0)</f>
        <v>3917606.9313097801</v>
      </c>
      <c r="S184" s="25">
        <f t="shared" ca="1" si="7"/>
        <v>5430090.4638861734</v>
      </c>
    </row>
    <row r="185" spans="1:19" ht="15.75" customHeight="1" x14ac:dyDescent="0.3">
      <c r="A185" s="37">
        <v>56584</v>
      </c>
      <c r="B185" s="409">
        <f t="shared" ref="B185:C185" si="181">($A185-B$9)/365.25</f>
        <v>73.040383299110204</v>
      </c>
      <c r="C185" s="409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2192</v>
      </c>
      <c r="I185" s="25">
        <f>IF(C185&lt;62,0,'Combined Retirement'!$I$13)</f>
        <v>2420</v>
      </c>
      <c r="J185" s="25">
        <f t="shared" si="3"/>
        <v>7863.2184191855868</v>
      </c>
      <c r="K185" s="25">
        <f t="shared" si="4"/>
        <v>20282.026119384056</v>
      </c>
      <c r="L185" s="25"/>
      <c r="N185" s="25">
        <f>'Combined Retirement'!$C$18/12</f>
        <v>39153.069999999992</v>
      </c>
      <c r="O185" s="25">
        <f t="shared" si="5"/>
        <v>11007.82546143035</v>
      </c>
      <c r="P185" s="25">
        <f t="shared" si="6"/>
        <v>28145.244538569641</v>
      </c>
      <c r="Q185" s="25">
        <f t="array" aca="1" ref="Q185" ca="1">INDEX('Isaac 401k'!L:L,MATCH('Retirement Calculator'!A185,'Isaac 401k'!N:N,0),0)</f>
        <v>1510889.5654661965</v>
      </c>
      <c r="R185" s="25">
        <f t="array" aca="1" ref="R185" ca="1">INDEX('Lorri 401b'!L:L,MATCH('Retirement Calculator'!A185,'Lorri 401b'!N:N,0),0)</f>
        <v>3913563.7589620226</v>
      </c>
      <c r="S185" s="25">
        <f t="shared" ca="1" si="7"/>
        <v>5424453.3244282193</v>
      </c>
    </row>
    <row r="186" spans="1:19" ht="15.75" customHeight="1" x14ac:dyDescent="0.3">
      <c r="A186" s="37">
        <v>56615</v>
      </c>
      <c r="B186" s="409">
        <f t="shared" ref="B186:C186" si="182">($A186-B$9)/365.25</f>
        <v>73.125256673511288</v>
      </c>
      <c r="C186" s="409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2192</v>
      </c>
      <c r="I186" s="25">
        <f>IF(C186&lt;62,0,'Combined Retirement'!$I$13)</f>
        <v>2420</v>
      </c>
      <c r="J186" s="25">
        <f t="shared" si="3"/>
        <v>7863.2184191855868</v>
      </c>
      <c r="K186" s="25">
        <f t="shared" si="4"/>
        <v>20282.026119384056</v>
      </c>
      <c r="L186" s="25"/>
      <c r="N186" s="25">
        <f>'Combined Retirement'!$C$18/12</f>
        <v>39153.069999999992</v>
      </c>
      <c r="O186" s="25">
        <f t="shared" si="5"/>
        <v>11007.82546143035</v>
      </c>
      <c r="P186" s="25">
        <f t="shared" si="6"/>
        <v>28145.244538569641</v>
      </c>
      <c r="Q186" s="25">
        <f t="array" aca="1" ref="Q186" ca="1">INDEX('Isaac 401k'!L:L,MATCH('Retirement Calculator'!A186,'Isaac 401k'!N:N,0),0)</f>
        <v>1509288.9568263735</v>
      </c>
      <c r="R186" s="25">
        <f t="array" aca="1" ref="R186" ca="1">INDEX('Lorri 401b'!L:L,MATCH('Retirement Calculator'!A186,'Lorri 401b'!N:N,0),0)</f>
        <v>3909503.7400628161</v>
      </c>
      <c r="S186" s="25">
        <f t="shared" ca="1" si="7"/>
        <v>5418792.69688919</v>
      </c>
    </row>
    <row r="187" spans="1:19" ht="15.75" customHeight="1" x14ac:dyDescent="0.3">
      <c r="A187" s="37">
        <v>56646</v>
      </c>
      <c r="B187" s="409">
        <f t="shared" ref="B187:C187" si="183">($A187-B$9)/365.25</f>
        <v>73.210130047912386</v>
      </c>
      <c r="C187" s="409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2192</v>
      </c>
      <c r="I187" s="25">
        <f>IF(C187&lt;62,0,'Combined Retirement'!$I$13)</f>
        <v>2420</v>
      </c>
      <c r="J187" s="25">
        <f t="shared" si="3"/>
        <v>7863.2184191855868</v>
      </c>
      <c r="K187" s="25">
        <f t="shared" si="4"/>
        <v>20282.026119384056</v>
      </c>
      <c r="L187" s="25"/>
      <c r="N187" s="25">
        <f>'Combined Retirement'!$C$18/12</f>
        <v>39153.069999999992</v>
      </c>
      <c r="O187" s="25">
        <f t="shared" si="5"/>
        <v>11007.82546143035</v>
      </c>
      <c r="P187" s="25">
        <f t="shared" si="6"/>
        <v>28145.244538569641</v>
      </c>
      <c r="Q187" s="25">
        <f t="array" aca="1" ref="Q187" ca="1">INDEX('Isaac 401k'!L:L,MATCH('Retirement Calculator'!A187,'Isaac 401k'!N:N,0),0)</f>
        <v>1507681.6789838844</v>
      </c>
      <c r="R187" s="25">
        <f t="array" aca="1" ref="R187" ca="1">INDEX('Lorri 401b'!L:L,MATCH('Retirement Calculator'!A187,'Lorri 401b'!N:N,0),0)</f>
        <v>3905426.8044181964</v>
      </c>
      <c r="S187" s="25">
        <f t="shared" ca="1" si="7"/>
        <v>5413108.4834020808</v>
      </c>
    </row>
    <row r="188" spans="1:19" ht="15.75" customHeight="1" x14ac:dyDescent="0.3">
      <c r="A188" s="37">
        <v>56674</v>
      </c>
      <c r="B188" s="409">
        <f t="shared" ref="B188:C188" si="184">($A188-B$9)/365.25</f>
        <v>73.286789869952088</v>
      </c>
      <c r="C188" s="409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2192</v>
      </c>
      <c r="I188" s="25">
        <f>IF(C188&lt;62,0,'Combined Retirement'!$I$13)</f>
        <v>2420</v>
      </c>
      <c r="J188" s="25">
        <f t="shared" si="3"/>
        <v>7863.2184191855868</v>
      </c>
      <c r="K188" s="25">
        <f t="shared" si="4"/>
        <v>20282.026119384056</v>
      </c>
      <c r="L188" s="25"/>
      <c r="N188" s="25">
        <f>'Combined Retirement'!$C$18/12</f>
        <v>39153.069999999992</v>
      </c>
      <c r="O188" s="25">
        <f t="shared" si="5"/>
        <v>11007.82546143035</v>
      </c>
      <c r="P188" s="25">
        <f t="shared" si="6"/>
        <v>28145.244538569641</v>
      </c>
      <c r="Q188" s="25">
        <f t="array" aca="1" ref="Q188" ca="1">INDEX('Isaac 401k'!L:L,MATCH('Retirement Calculator'!A188,'Isaac 401k'!N:N,0),0)</f>
        <v>1506067.704150385</v>
      </c>
      <c r="R188" s="25">
        <f t="array" aca="1" ref="R188" ca="1">INDEX('Lorri 401b'!L:L,MATCH('Retirement Calculator'!A188,'Lorri 401b'!N:N,0),0)</f>
        <v>3901332.8815417243</v>
      </c>
      <c r="S188" s="25">
        <f t="shared" ca="1" si="7"/>
        <v>5407400.5856921095</v>
      </c>
    </row>
    <row r="189" spans="1:19" ht="15.75" customHeight="1" x14ac:dyDescent="0.3">
      <c r="A189" s="37">
        <v>56705</v>
      </c>
      <c r="B189" s="409">
        <f t="shared" ref="B189:C189" si="185">($A189-B$9)/365.25</f>
        <v>73.371663244353186</v>
      </c>
      <c r="C189" s="409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2192</v>
      </c>
      <c r="I189" s="25">
        <f>IF(C189&lt;62,0,'Combined Retirement'!$I$13)</f>
        <v>2420</v>
      </c>
      <c r="J189" s="25">
        <f t="shared" si="3"/>
        <v>7863.2184191855868</v>
      </c>
      <c r="K189" s="25">
        <f t="shared" si="4"/>
        <v>20282.026119384056</v>
      </c>
      <c r="L189" s="25"/>
      <c r="N189" s="25">
        <f>'Combined Retirement'!$C$18/12</f>
        <v>39153.069999999992</v>
      </c>
      <c r="O189" s="25">
        <f t="shared" si="5"/>
        <v>11007.82546143035</v>
      </c>
      <c r="P189" s="25">
        <f t="shared" si="6"/>
        <v>28145.244538569641</v>
      </c>
      <c r="Q189" s="25">
        <f t="array" aca="1" ref="Q189" ca="1">INDEX('Isaac 401k'!L:L,MATCH('Retirement Calculator'!A189,'Isaac 401k'!N:N,0),0)</f>
        <v>1504447.0044217461</v>
      </c>
      <c r="R189" s="25">
        <f t="array" aca="1" ref="R189" ca="1">INDEX('Lorri 401b'!L:L,MATCH('Retirement Calculator'!A189,'Lorri 401b'!N:N,0),0)</f>
        <v>3897221.9006532668</v>
      </c>
      <c r="S189" s="25">
        <f t="shared" ca="1" si="7"/>
        <v>5401668.9050750127</v>
      </c>
    </row>
    <row r="190" spans="1:19" ht="15.75" customHeight="1" x14ac:dyDescent="0.3">
      <c r="A190" s="37">
        <v>56735</v>
      </c>
      <c r="B190" s="409">
        <f t="shared" ref="B190:C190" si="186">($A190-B$9)/365.25</f>
        <v>73.453798767967143</v>
      </c>
      <c r="C190" s="409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2192</v>
      </c>
      <c r="I190" s="25">
        <f>IF(C190&lt;62,0,'Combined Retirement'!$I$13)</f>
        <v>2420</v>
      </c>
      <c r="J190" s="25">
        <f t="shared" si="3"/>
        <v>7863.2184191855868</v>
      </c>
      <c r="K190" s="25">
        <f t="shared" si="4"/>
        <v>20282.026119384056</v>
      </c>
      <c r="L190" s="25"/>
      <c r="N190" s="25">
        <f>'Combined Retirement'!$C$18/12</f>
        <v>39153.069999999992</v>
      </c>
      <c r="O190" s="25">
        <f t="shared" si="5"/>
        <v>11007.82546143035</v>
      </c>
      <c r="P190" s="25">
        <f t="shared" si="6"/>
        <v>28145.244538569641</v>
      </c>
      <c r="Q190" s="25">
        <f t="array" aca="1" ref="Q190" ca="1">INDEX('Isaac 401k'!L:L,MATCH('Retirement Calculator'!A190,'Isaac 401k'!N:N,0),0)</f>
        <v>1502819.5517775712</v>
      </c>
      <c r="R190" s="25">
        <f t="array" aca="1" ref="R190" ca="1">INDEX('Lorri 401b'!L:L,MATCH('Retirement Calculator'!A190,'Lorri 401b'!N:N,0),0)</f>
        <v>3893093.7906777742</v>
      </c>
      <c r="S190" s="25">
        <f t="shared" ca="1" si="7"/>
        <v>5395913.3424553452</v>
      </c>
    </row>
    <row r="191" spans="1:19" ht="15.75" customHeight="1" x14ac:dyDescent="0.3">
      <c r="A191" s="37">
        <v>56766</v>
      </c>
      <c r="B191" s="409">
        <f t="shared" ref="B191:C191" si="187">($A191-B$9)/365.25</f>
        <v>73.538672142368242</v>
      </c>
      <c r="C191" s="409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2192</v>
      </c>
      <c r="I191" s="25">
        <f>IF(C191&lt;62,0,'Combined Retirement'!$I$13)</f>
        <v>2420</v>
      </c>
      <c r="J191" s="25">
        <f t="shared" si="3"/>
        <v>7863.2184191855868</v>
      </c>
      <c r="K191" s="25">
        <f t="shared" si="4"/>
        <v>20282.026119384056</v>
      </c>
      <c r="L191" s="25"/>
      <c r="N191" s="25">
        <f>'Combined Retirement'!$C$18/12</f>
        <v>39153.069999999992</v>
      </c>
      <c r="O191" s="25">
        <f t="shared" si="5"/>
        <v>11007.82546143035</v>
      </c>
      <c r="P191" s="25">
        <f t="shared" si="6"/>
        <v>28145.244538569641</v>
      </c>
      <c r="Q191" s="25">
        <f t="array" aca="1" ref="Q191" ca="1">INDEX('Isaac 401k'!L:L,MATCH('Retirement Calculator'!A191,'Isaac 401k'!N:N,0),0)</f>
        <v>1501185.3180807121</v>
      </c>
      <c r="R191" s="25">
        <f t="array" aca="1" ref="R191" ca="1">INDEX('Lorri 401b'!L:L,MATCH('Retirement Calculator'!A191,'Lorri 401b'!N:N,0),0)</f>
        <v>3888948.4802440503</v>
      </c>
      <c r="S191" s="25">
        <f t="shared" ca="1" si="7"/>
        <v>5390133.7983247619</v>
      </c>
    </row>
    <row r="192" spans="1:19" ht="15.75" customHeight="1" x14ac:dyDescent="0.3">
      <c r="A192" s="37">
        <v>56796</v>
      </c>
      <c r="B192" s="409">
        <f t="shared" ref="B192:C192" si="188">($A192-B$9)/365.25</f>
        <v>73.620807665982198</v>
      </c>
      <c r="C192" s="409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2192</v>
      </c>
      <c r="I192" s="25">
        <f>IF(C192&lt;62,0,'Combined Retirement'!$I$13)</f>
        <v>2420</v>
      </c>
      <c r="J192" s="25">
        <f t="shared" si="3"/>
        <v>7863.2184191855868</v>
      </c>
      <c r="K192" s="25">
        <f t="shared" si="4"/>
        <v>20282.026119384056</v>
      </c>
      <c r="L192" s="25"/>
      <c r="N192" s="25">
        <f>'Combined Retirement'!$C$18/12</f>
        <v>39153.069999999992</v>
      </c>
      <c r="O192" s="25">
        <f t="shared" si="5"/>
        <v>11007.82546143035</v>
      </c>
      <c r="P192" s="25">
        <f t="shared" si="6"/>
        <v>28145.244538569641</v>
      </c>
      <c r="Q192" s="25">
        <f t="array" aca="1" ref="Q192" ca="1">INDEX('Isaac 401k'!L:L,MATCH('Retirement Calculator'!A192,'Isaac 401k'!N:N,0),0)</f>
        <v>1499544.2750767828</v>
      </c>
      <c r="R192" s="25">
        <f t="array" aca="1" ref="R192" ca="1">INDEX('Lorri 401b'!L:L,MATCH('Retirement Calculator'!A192,'Lorri 401b'!N:N,0),0)</f>
        <v>3884785.8976835189</v>
      </c>
      <c r="S192" s="25">
        <f t="shared" ca="1" si="7"/>
        <v>5384330.1727603022</v>
      </c>
    </row>
    <row r="193" spans="1:19" ht="15.75" customHeight="1" x14ac:dyDescent="0.3">
      <c r="A193" s="37">
        <v>56827</v>
      </c>
      <c r="B193" s="409">
        <f t="shared" ref="B193:C193" si="189">($A193-B$9)/365.25</f>
        <v>73.705681040383297</v>
      </c>
      <c r="C193" s="409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2192</v>
      </c>
      <c r="I193" s="25">
        <f>IF(C193&lt;62,0,'Combined Retirement'!$I$13)</f>
        <v>2420</v>
      </c>
      <c r="J193" s="25">
        <f t="shared" si="3"/>
        <v>7863.2184191855868</v>
      </c>
      <c r="K193" s="25">
        <f t="shared" si="4"/>
        <v>20282.026119384056</v>
      </c>
      <c r="L193" s="25"/>
      <c r="N193" s="25">
        <f>'Combined Retirement'!$C$18/12</f>
        <v>39153.069999999992</v>
      </c>
      <c r="O193" s="25">
        <f t="shared" si="5"/>
        <v>11007.82546143035</v>
      </c>
      <c r="P193" s="25">
        <f t="shared" si="6"/>
        <v>28145.244538569641</v>
      </c>
      <c r="Q193" s="25">
        <f t="array" aca="1" ref="Q193" ca="1">INDEX('Isaac 401k'!L:L,MATCH('Retirement Calculator'!A193,'Isaac 401k'!N:N,0),0)</f>
        <v>1497896.3943936706</v>
      </c>
      <c r="R193" s="25">
        <f t="array" aca="1" ref="R193" ca="1">INDEX('Lorri 401b'!L:L,MATCH('Retirement Calculator'!A193,'Lorri 401b'!N:N,0),0)</f>
        <v>3880605.9710289855</v>
      </c>
      <c r="S193" s="25">
        <f t="shared" ca="1" si="7"/>
        <v>5378502.3654226558</v>
      </c>
    </row>
    <row r="194" spans="1:19" ht="15.75" customHeight="1" x14ac:dyDescent="0.3">
      <c r="A194" s="37">
        <v>56858</v>
      </c>
      <c r="B194" s="409">
        <f t="shared" ref="B194:C194" si="190">($A194-B$9)/365.25</f>
        <v>73.790554414784395</v>
      </c>
      <c r="C194" s="409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2192</v>
      </c>
      <c r="I194" s="25">
        <f>IF(C194&lt;62,0,'Combined Retirement'!$I$13)</f>
        <v>2420</v>
      </c>
      <c r="J194" s="25">
        <f t="shared" si="3"/>
        <v>7863.2184191855868</v>
      </c>
      <c r="K194" s="25">
        <f t="shared" si="4"/>
        <v>20282.026119384056</v>
      </c>
      <c r="L194" s="25"/>
      <c r="N194" s="25">
        <f>'Combined Retirement'!$C$18/12</f>
        <v>39153.069999999992</v>
      </c>
      <c r="O194" s="25">
        <f t="shared" si="5"/>
        <v>11007.82546143035</v>
      </c>
      <c r="P194" s="25">
        <f t="shared" si="6"/>
        <v>28145.244538569641</v>
      </c>
      <c r="Q194" s="25">
        <f t="array" aca="1" ref="Q194" ca="1">INDEX('Isaac 401k'!L:L,MATCH('Retirement Calculator'!A194,'Isaac 401k'!N:N,0),0)</f>
        <v>1496241.6475410454</v>
      </c>
      <c r="R194" s="25">
        <f t="array" aca="1" ref="R194" ca="1">INDEX('Lorri 401b'!L:L,MATCH('Retirement Calculator'!A194,'Lorri 401b'!N:N,0),0)</f>
        <v>3876408.6280133915</v>
      </c>
      <c r="S194" s="25">
        <f t="shared" ca="1" si="7"/>
        <v>5372650.2755544372</v>
      </c>
    </row>
    <row r="195" spans="1:19" ht="15.75" customHeight="1" x14ac:dyDescent="0.3">
      <c r="A195" s="37">
        <v>56888</v>
      </c>
      <c r="B195" s="409">
        <f t="shared" ref="B195:C195" si="191">($A195-B$9)/365.25</f>
        <v>73.872689938398352</v>
      </c>
      <c r="C195" s="409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2192</v>
      </c>
      <c r="I195" s="25">
        <f>IF(C195&lt;62,0,'Combined Retirement'!$I$13)</f>
        <v>2420</v>
      </c>
      <c r="J195" s="25">
        <f t="shared" si="3"/>
        <v>7863.2184191855868</v>
      </c>
      <c r="K195" s="25">
        <f t="shared" si="4"/>
        <v>20282.026119384056</v>
      </c>
      <c r="L195" s="25"/>
      <c r="N195" s="25">
        <f>'Combined Retirement'!$C$18/12</f>
        <v>39153.069999999992</v>
      </c>
      <c r="O195" s="25">
        <f t="shared" si="5"/>
        <v>11007.82546143035</v>
      </c>
      <c r="P195" s="25">
        <f t="shared" si="6"/>
        <v>28145.244538569641</v>
      </c>
      <c r="Q195" s="25">
        <f t="array" aca="1" ref="Q195" ca="1">INDEX('Isaac 401k'!L:L,MATCH('Retirement Calculator'!A195,'Isaac 401k'!N:N,0),0)</f>
        <v>1494580.0059098676</v>
      </c>
      <c r="R195" s="25">
        <f t="array" aca="1" ref="R195" ca="1">INDEX('Lorri 401b'!L:L,MATCH('Retirement Calculator'!A195,'Lorri 401b'!N:N,0),0)</f>
        <v>3872193.7960685659</v>
      </c>
      <c r="S195" s="25">
        <f t="shared" ca="1" si="7"/>
        <v>5366773.8019784335</v>
      </c>
    </row>
    <row r="196" spans="1:19" ht="15.75" customHeight="1" x14ac:dyDescent="0.3">
      <c r="A196" s="37">
        <v>56919</v>
      </c>
      <c r="B196" s="409">
        <f t="shared" ref="B196:C196" si="192">($A196-B$9)/365.25</f>
        <v>73.957563312799451</v>
      </c>
      <c r="C196" s="409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2192</v>
      </c>
      <c r="I196" s="25">
        <f>IF(C196&lt;62,0,'Combined Retirement'!$I$13)</f>
        <v>2420</v>
      </c>
      <c r="J196" s="25">
        <f t="shared" si="3"/>
        <v>7863.2184191855868</v>
      </c>
      <c r="K196" s="25">
        <f t="shared" si="4"/>
        <v>20282.026119384056</v>
      </c>
      <c r="L196" s="25"/>
      <c r="N196" s="25">
        <f>'Combined Retirement'!$C$18/12</f>
        <v>39153.069999999992</v>
      </c>
      <c r="O196" s="25">
        <f t="shared" si="5"/>
        <v>11007.82546143035</v>
      </c>
      <c r="P196" s="25">
        <f t="shared" si="6"/>
        <v>28145.244538569641</v>
      </c>
      <c r="Q196" s="25">
        <f t="array" aca="1" ref="Q196" ca="1">INDEX('Isaac 401k'!L:L,MATCH('Retirement Calculator'!A196,'Isaac 401k'!N:N,0),0)</f>
        <v>1492911.4407718931</v>
      </c>
      <c r="R196" s="25">
        <f t="array" aca="1" ref="R196" ca="1">INDEX('Lorri 401b'!L:L,MATCH('Retirement Calculator'!A196,'Lorri 401b'!N:N,0),0)</f>
        <v>3867961.4023239701</v>
      </c>
      <c r="S196" s="25">
        <f t="shared" ca="1" si="7"/>
        <v>5360872.8430958632</v>
      </c>
    </row>
    <row r="197" spans="1:19" ht="15.75" customHeight="1" x14ac:dyDescent="0.3">
      <c r="A197" s="37">
        <v>56949</v>
      </c>
      <c r="B197" s="409">
        <f t="shared" ref="B197:C197" si="193">($A197-B$9)/365.25</f>
        <v>74.039698836413422</v>
      </c>
      <c r="C197" s="409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2192</v>
      </c>
      <c r="I197" s="25">
        <f>IF(C197&lt;62,0,'Combined Retirement'!$I$13)</f>
        <v>2420</v>
      </c>
      <c r="J197" s="25">
        <f t="shared" si="3"/>
        <v>7863.2184191855868</v>
      </c>
      <c r="K197" s="25">
        <f t="shared" si="4"/>
        <v>20282.026119384056</v>
      </c>
      <c r="L197" s="25"/>
      <c r="N197" s="25">
        <f>'Combined Retirement'!$C$18/12</f>
        <v>39153.069999999992</v>
      </c>
      <c r="O197" s="25">
        <f t="shared" si="5"/>
        <v>11007.82546143035</v>
      </c>
      <c r="P197" s="25">
        <f t="shared" si="6"/>
        <v>28145.244538569641</v>
      </c>
      <c r="Q197" s="25">
        <f t="array" aca="1" ref="Q197" ca="1">INDEX('Isaac 401k'!L:L,MATCH('Retirement Calculator'!A197,'Isaac 401k'!N:N,0),0)</f>
        <v>1491235.9232791772</v>
      </c>
      <c r="R197" s="25">
        <f t="array" aca="1" ref="R197" ca="1">INDEX('Lorri 401b'!L:L,MATCH('Retirement Calculator'!A197,'Lorri 401b'!N:N,0),0)</f>
        <v>3863711.3736054385</v>
      </c>
      <c r="S197" s="25">
        <f t="shared" ca="1" si="7"/>
        <v>5354947.2968846159</v>
      </c>
    </row>
    <row r="198" spans="1:19" ht="15.75" customHeight="1" x14ac:dyDescent="0.3">
      <c r="A198" s="37">
        <v>56980</v>
      </c>
      <c r="B198" s="409">
        <f t="shared" ref="B198:C198" si="194">($A198-B$9)/365.25</f>
        <v>74.124572210814506</v>
      </c>
      <c r="C198" s="409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2192</v>
      </c>
      <c r="I198" s="25">
        <f>IF(C198&lt;62,0,'Combined Retirement'!$I$13)</f>
        <v>2420</v>
      </c>
      <c r="J198" s="25">
        <f t="shared" si="3"/>
        <v>7863.2184191855868</v>
      </c>
      <c r="K198" s="25">
        <f t="shared" si="4"/>
        <v>20282.026119384056</v>
      </c>
      <c r="L198" s="25"/>
      <c r="N198" s="25">
        <f>'Combined Retirement'!$C$18/12</f>
        <v>39153.069999999992</v>
      </c>
      <c r="O198" s="25">
        <f t="shared" si="5"/>
        <v>11007.82546143035</v>
      </c>
      <c r="P198" s="25">
        <f t="shared" si="6"/>
        <v>28145.244538569641</v>
      </c>
      <c r="Q198" s="25">
        <f t="array" aca="1" ref="Q198" ca="1">INDEX('Isaac 401k'!L:L,MATCH('Retirement Calculator'!A198,'Isaac 401k'!N:N,0),0)</f>
        <v>1489553.4244635748</v>
      </c>
      <c r="R198" s="25">
        <f t="array" aca="1" ref="R198" ca="1">INDEX('Lorri 401b'!L:L,MATCH('Retirement Calculator'!A198,'Lorri 401b'!N:N,0),0)</f>
        <v>3859443.6364339129</v>
      </c>
      <c r="S198" s="25">
        <f t="shared" ca="1" si="7"/>
        <v>5348997.0608974881</v>
      </c>
    </row>
    <row r="199" spans="1:19" ht="15.75" customHeight="1" x14ac:dyDescent="0.3">
      <c r="A199" s="37">
        <v>57011</v>
      </c>
      <c r="B199" s="409">
        <f t="shared" ref="B199:C199" si="195">($A199-B$9)/365.25</f>
        <v>74.209445585215605</v>
      </c>
      <c r="C199" s="409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2192</v>
      </c>
      <c r="I199" s="25">
        <f>IF(C199&lt;62,0,'Combined Retirement'!$I$13)</f>
        <v>2420</v>
      </c>
      <c r="J199" s="25">
        <f t="shared" si="3"/>
        <v>7863.2184191855868</v>
      </c>
      <c r="K199" s="25">
        <f t="shared" si="4"/>
        <v>20282.026119384056</v>
      </c>
      <c r="L199" s="25"/>
      <c r="N199" s="25">
        <f>'Combined Retirement'!$C$18/12</f>
        <v>39153.069999999992</v>
      </c>
      <c r="O199" s="25">
        <f t="shared" si="5"/>
        <v>11007.82546143035</v>
      </c>
      <c r="P199" s="25">
        <f t="shared" si="6"/>
        <v>28145.244538569641</v>
      </c>
      <c r="Q199" s="25">
        <f t="array" aca="1" ref="Q199" ca="1">INDEX('Isaac 401k'!L:L,MATCH('Retirement Calculator'!A199,'Isaac 401k'!N:N,0),0)</f>
        <v>1487863.9152362407</v>
      </c>
      <c r="R199" s="25">
        <f t="array" aca="1" ref="R199" ca="1">INDEX('Lorri 401b'!L:L,MATCH('Retirement Calculator'!A199,'Lorri 401b'!N:N,0),0)</f>
        <v>3855158.1170241726</v>
      </c>
      <c r="S199" s="25">
        <f t="shared" ca="1" si="7"/>
        <v>5343022.0322604133</v>
      </c>
    </row>
    <row r="200" spans="1:19" ht="15.75" customHeight="1" x14ac:dyDescent="0.3">
      <c r="A200" s="37">
        <v>57040</v>
      </c>
      <c r="B200" s="409">
        <f t="shared" ref="B200:C200" si="196">($A200-B$9)/365.25</f>
        <v>74.288843258042434</v>
      </c>
      <c r="C200" s="409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2192</v>
      </c>
      <c r="I200" s="25">
        <f>IF(C200&lt;62,0,'Combined Retirement'!$I$13)</f>
        <v>2420</v>
      </c>
      <c r="J200" s="25">
        <f t="shared" si="3"/>
        <v>7863.2184191855868</v>
      </c>
      <c r="K200" s="25">
        <f t="shared" si="4"/>
        <v>20282.026119384056</v>
      </c>
      <c r="L200" s="25"/>
      <c r="N200" s="25">
        <f>'Combined Retirement'!$C$18/12</f>
        <v>39153.069999999992</v>
      </c>
      <c r="O200" s="25">
        <f t="shared" si="5"/>
        <v>11007.82546143035</v>
      </c>
      <c r="P200" s="25">
        <f t="shared" si="6"/>
        <v>28145.244538569641</v>
      </c>
      <c r="Q200" s="25">
        <f t="array" aca="1" ref="Q200" ca="1">INDEX('Isaac 401k'!L:L,MATCH('Retirement Calculator'!A200,'Isaac 401k'!N:N,0),0)</f>
        <v>1486167.3663871263</v>
      </c>
      <c r="R200" s="25">
        <f t="array" aca="1" ref="R200" ca="1">INDEX('Lorri 401b'!L:L,MATCH('Retirement Calculator'!A200,'Lorri 401b'!N:N,0),0)</f>
        <v>3850854.7412835583</v>
      </c>
      <c r="S200" s="25">
        <f t="shared" ca="1" si="7"/>
        <v>5337022.1076706843</v>
      </c>
    </row>
    <row r="201" spans="1:19" ht="15.75" customHeight="1" x14ac:dyDescent="0.3">
      <c r="A201" s="37">
        <v>57071</v>
      </c>
      <c r="B201" s="409">
        <f t="shared" ref="B201:C201" si="197">($A201-B$9)/365.25</f>
        <v>74.373716632443532</v>
      </c>
      <c r="C201" s="409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2192</v>
      </c>
      <c r="I201" s="25">
        <f>IF(C201&lt;62,0,'Combined Retirement'!$I$13)</f>
        <v>2420</v>
      </c>
      <c r="J201" s="25">
        <f t="shared" si="3"/>
        <v>7863.2184191855868</v>
      </c>
      <c r="K201" s="25">
        <f t="shared" si="4"/>
        <v>20282.026119384056</v>
      </c>
      <c r="L201" s="25"/>
      <c r="N201" s="25">
        <f>'Combined Retirement'!$C$18/12</f>
        <v>39153.069999999992</v>
      </c>
      <c r="O201" s="25">
        <f t="shared" si="5"/>
        <v>11007.82546143035</v>
      </c>
      <c r="P201" s="25">
        <f t="shared" si="6"/>
        <v>28145.244538569641</v>
      </c>
      <c r="Q201" s="25">
        <f t="array" aca="1" ref="Q201" ca="1">INDEX('Isaac 401k'!L:L,MATCH('Retirement Calculator'!A201,'Isaac 401k'!N:N,0),0)</f>
        <v>1484463.7485844737</v>
      </c>
      <c r="R201" s="25">
        <f t="array" aca="1" ref="R201" ca="1">INDEX('Lorri 401b'!L:L,MATCH('Retirement Calculator'!A201,'Lorri 401b'!N:N,0),0)</f>
        <v>3846533.4348106915</v>
      </c>
      <c r="S201" s="25">
        <f t="shared" ca="1" si="7"/>
        <v>5330997.183395165</v>
      </c>
    </row>
    <row r="202" spans="1:19" ht="15.75" customHeight="1" x14ac:dyDescent="0.3">
      <c r="A202" s="37">
        <v>57101</v>
      </c>
      <c r="B202" s="409">
        <f t="shared" ref="B202:C202" si="198">($A202-B$9)/365.25</f>
        <v>74.455852156057489</v>
      </c>
      <c r="C202" s="409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2192</v>
      </c>
      <c r="I202" s="25">
        <f>IF(C202&lt;62,0,'Combined Retirement'!$I$13)</f>
        <v>2420</v>
      </c>
      <c r="J202" s="25">
        <f t="shared" si="3"/>
        <v>7863.2184191855868</v>
      </c>
      <c r="K202" s="25">
        <f t="shared" si="4"/>
        <v>20282.026119384056</v>
      </c>
      <c r="L202" s="25"/>
      <c r="N202" s="25">
        <f>'Combined Retirement'!$C$18/12</f>
        <v>39153.069999999992</v>
      </c>
      <c r="O202" s="25">
        <f t="shared" si="5"/>
        <v>11007.82546143035</v>
      </c>
      <c r="P202" s="25">
        <f t="shared" si="6"/>
        <v>28145.244538569641</v>
      </c>
      <c r="Q202" s="25">
        <f t="array" aca="1" ref="Q202" ca="1">INDEX('Isaac 401k'!L:L,MATCH('Retirement Calculator'!A202,'Isaac 401k'!N:N,0),0)</f>
        <v>1482753.0323743101</v>
      </c>
      <c r="R202" s="25">
        <f t="array" aca="1" ref="R202" ca="1">INDEX('Lorri 401b'!L:L,MATCH('Retirement Calculator'!A202,'Lorri 401b'!N:N,0),0)</f>
        <v>3842194.1228941879</v>
      </c>
      <c r="S202" s="25">
        <f t="shared" ca="1" si="7"/>
        <v>5324947.1552684978</v>
      </c>
    </row>
    <row r="203" spans="1:19" ht="15.75" customHeight="1" x14ac:dyDescent="0.3">
      <c r="A203" s="37">
        <v>57132</v>
      </c>
      <c r="B203" s="409">
        <f t="shared" ref="B203:C203" si="199">($A203-B$9)/365.25</f>
        <v>74.540725530458587</v>
      </c>
      <c r="C203" s="409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2192</v>
      </c>
      <c r="I203" s="25">
        <f>IF(C203&lt;62,0,'Combined Retirement'!$I$13)</f>
        <v>2420</v>
      </c>
      <c r="J203" s="25">
        <f t="shared" si="3"/>
        <v>7863.2184191855868</v>
      </c>
      <c r="K203" s="25">
        <f t="shared" si="4"/>
        <v>20282.026119384056</v>
      </c>
      <c r="L203" s="25"/>
      <c r="N203" s="25">
        <f>'Combined Retirement'!$C$18/12</f>
        <v>39153.069999999992</v>
      </c>
      <c r="O203" s="25">
        <f t="shared" si="5"/>
        <v>11007.82546143035</v>
      </c>
      <c r="P203" s="25">
        <f t="shared" si="6"/>
        <v>28145.244538569641</v>
      </c>
      <c r="Q203" s="25">
        <f t="array" aca="1" ref="Q203" ca="1">INDEX('Isaac 401k'!L:L,MATCH('Retirement Calculator'!A203,'Isaac 401k'!N:N,0),0)</f>
        <v>1481035.1881799374</v>
      </c>
      <c r="R203" s="25">
        <f t="array" aca="1" ref="R203" ca="1">INDEX('Lorri 401b'!L:L,MATCH('Retirement Calculator'!A203,'Lorri 401b'!N:N,0),0)</f>
        <v>3837836.7305113655</v>
      </c>
      <c r="S203" s="25">
        <f t="shared" ca="1" si="7"/>
        <v>5318871.9186913026</v>
      </c>
    </row>
    <row r="204" spans="1:19" ht="15.75" customHeight="1" x14ac:dyDescent="0.3">
      <c r="A204" s="37">
        <v>57162</v>
      </c>
      <c r="B204" s="409">
        <f t="shared" ref="B204:C204" si="200">($A204-B$9)/365.25</f>
        <v>74.622861054072558</v>
      </c>
      <c r="C204" s="409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2192</v>
      </c>
      <c r="I204" s="25">
        <f>IF(C204&lt;62,0,'Combined Retirement'!$I$13)</f>
        <v>2420</v>
      </c>
      <c r="J204" s="25">
        <f t="shared" si="3"/>
        <v>7863.2184191855868</v>
      </c>
      <c r="K204" s="25">
        <f t="shared" si="4"/>
        <v>20282.026119384056</v>
      </c>
      <c r="L204" s="25"/>
      <c r="N204" s="25">
        <f>'Combined Retirement'!$C$18/12</f>
        <v>39153.069999999992</v>
      </c>
      <c r="O204" s="25">
        <f t="shared" si="5"/>
        <v>11007.82546143035</v>
      </c>
      <c r="P204" s="25">
        <f t="shared" si="6"/>
        <v>28145.244538569641</v>
      </c>
      <c r="Q204" s="25">
        <f t="array" aca="1" ref="Q204" ca="1">INDEX('Isaac 401k'!L:L,MATCH('Retirement Calculator'!A204,'Isaac 401k'!N:N,0),0)</f>
        <v>1479310.1863014216</v>
      </c>
      <c r="R204" s="25">
        <f t="array" aca="1" ref="R204" ca="1">INDEX('Lorri 401b'!L:L,MATCH('Retirement Calculator'!A204,'Lorri 401b'!N:N,0),0)</f>
        <v>3833461.1823269483</v>
      </c>
      <c r="S204" s="25">
        <f t="shared" ca="1" si="7"/>
        <v>5312771.3686283696</v>
      </c>
    </row>
    <row r="205" spans="1:19" ht="15.75" customHeight="1" x14ac:dyDescent="0.3">
      <c r="A205" s="37">
        <v>57193</v>
      </c>
      <c r="B205" s="409">
        <f t="shared" ref="B205:C205" si="201">($A205-B$9)/365.25</f>
        <v>74.707734428473643</v>
      </c>
      <c r="C205" s="409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2192</v>
      </c>
      <c r="I205" s="25">
        <f>IF(C205&lt;62,0,'Combined Retirement'!$I$13)</f>
        <v>2420</v>
      </c>
      <c r="J205" s="25">
        <f t="shared" si="3"/>
        <v>7863.2184191855868</v>
      </c>
      <c r="K205" s="25">
        <f t="shared" si="4"/>
        <v>20282.026119384056</v>
      </c>
      <c r="L205" s="25"/>
      <c r="N205" s="25">
        <f>'Combined Retirement'!$C$18/12</f>
        <v>39153.069999999992</v>
      </c>
      <c r="O205" s="25">
        <f t="shared" si="5"/>
        <v>11007.82546143035</v>
      </c>
      <c r="P205" s="25">
        <f t="shared" si="6"/>
        <v>28145.244538569641</v>
      </c>
      <c r="Q205" s="25">
        <f t="array" aca="1" ref="Q205" ca="1">INDEX('Isaac 401k'!L:L,MATCH('Retirement Calculator'!A205,'Isaac 401k'!N:N,0),0)</f>
        <v>1477577.9969150787</v>
      </c>
      <c r="R205" s="25">
        <f t="array" aca="1" ref="R205" ca="1">INDEX('Lorri 401b'!L:L,MATCH('Retirement Calculator'!A205,'Lorri 401b'!N:N,0),0)</f>
        <v>3829067.4026917624</v>
      </c>
      <c r="S205" s="25">
        <f t="shared" ca="1" si="7"/>
        <v>5306645.3996068407</v>
      </c>
    </row>
    <row r="206" spans="1:19" ht="15.75" customHeight="1" x14ac:dyDescent="0.3">
      <c r="A206" s="37">
        <v>57224</v>
      </c>
      <c r="B206" s="409">
        <f t="shared" ref="B206:C206" si="202">($A206-B$9)/365.25</f>
        <v>74.792607802874741</v>
      </c>
      <c r="C206" s="409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2192</v>
      </c>
      <c r="I206" s="25">
        <f>IF(C206&lt;62,0,'Combined Retirement'!$I$13)</f>
        <v>2420</v>
      </c>
      <c r="J206" s="25">
        <f t="shared" si="3"/>
        <v>7863.2184191855868</v>
      </c>
      <c r="K206" s="25">
        <f t="shared" si="4"/>
        <v>20282.026119384056</v>
      </c>
      <c r="L206" s="25"/>
      <c r="N206" s="25">
        <f>'Combined Retirement'!$C$18/12</f>
        <v>39153.069999999992</v>
      </c>
      <c r="O206" s="25">
        <f t="shared" si="5"/>
        <v>11007.82546143035</v>
      </c>
      <c r="P206" s="25">
        <f t="shared" si="6"/>
        <v>28145.244538569641</v>
      </c>
      <c r="Q206" s="25">
        <f t="array" aca="1" ref="Q206" ca="1">INDEX('Isaac 401k'!L:L,MATCH('Retirement Calculator'!A206,'Isaac 401k'!N:N,0),0)</f>
        <v>1475838.5900729594</v>
      </c>
      <c r="R206" s="25">
        <f t="array" aca="1" ref="R206" ca="1">INDEX('Lorri 401b'!L:L,MATCH('Retirement Calculator'!A206,'Lorri 401b'!N:N,0),0)</f>
        <v>3824655.3156414302</v>
      </c>
      <c r="S206" s="25">
        <f t="shared" ca="1" si="7"/>
        <v>5300493.9057143899</v>
      </c>
    </row>
    <row r="207" spans="1:19" ht="15.75" customHeight="1" x14ac:dyDescent="0.3">
      <c r="A207" s="37">
        <v>57254</v>
      </c>
      <c r="B207" s="409">
        <f t="shared" ref="B207:C207" si="203">($A207-B$9)/365.25</f>
        <v>74.874743326488712</v>
      </c>
      <c r="C207" s="409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2192</v>
      </c>
      <c r="I207" s="25">
        <f>IF(C207&lt;62,0,'Combined Retirement'!$I$13)</f>
        <v>2420</v>
      </c>
      <c r="J207" s="25">
        <f t="shared" si="3"/>
        <v>7863.2184191855868</v>
      </c>
      <c r="K207" s="25">
        <f t="shared" si="4"/>
        <v>20282.026119384056</v>
      </c>
      <c r="L207" s="25"/>
      <c r="N207" s="25">
        <f>'Combined Retirement'!$C$18/12</f>
        <v>39153.069999999992</v>
      </c>
      <c r="O207" s="25">
        <f t="shared" si="5"/>
        <v>11007.82546143035</v>
      </c>
      <c r="P207" s="25">
        <f t="shared" si="6"/>
        <v>28145.244538569641</v>
      </c>
      <c r="Q207" s="25">
        <f t="array" aca="1" ref="Q207" ca="1">INDEX('Isaac 401k'!L:L,MATCH('Retirement Calculator'!A207,'Isaac 401k'!N:N,0),0)</f>
        <v>1474091.9357023311</v>
      </c>
      <c r="R207" s="25">
        <f t="array" aca="1" ref="R207" ca="1">INDEX('Lorri 401b'!L:L,MATCH('Retirement Calculator'!A207,'Lorri 401b'!N:N,0),0)</f>
        <v>3820224.8448950546</v>
      </c>
      <c r="S207" s="25">
        <f t="shared" ca="1" si="7"/>
        <v>5294316.780597386</v>
      </c>
    </row>
    <row r="208" spans="1:19" ht="15.75" customHeight="1" x14ac:dyDescent="0.3">
      <c r="A208" s="37">
        <v>57285</v>
      </c>
      <c r="B208" s="409">
        <f t="shared" ref="B208:C208" si="204">($A208-B$9)/365.25</f>
        <v>74.959616700889796</v>
      </c>
      <c r="C208" s="409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2192</v>
      </c>
      <c r="I208" s="25">
        <f>IF(C208&lt;62,0,'Combined Retirement'!$I$13)</f>
        <v>2420</v>
      </c>
      <c r="J208" s="25">
        <f t="shared" si="3"/>
        <v>7863.2184191855868</v>
      </c>
      <c r="K208" s="25">
        <f t="shared" si="4"/>
        <v>20282.026119384056</v>
      </c>
      <c r="L208" s="25"/>
      <c r="N208" s="25">
        <f>'Combined Retirement'!$C$18/12</f>
        <v>39153.069999999992</v>
      </c>
      <c r="O208" s="25">
        <f t="shared" si="5"/>
        <v>11007.82546143035</v>
      </c>
      <c r="P208" s="25">
        <f t="shared" si="6"/>
        <v>28145.244538569641</v>
      </c>
      <c r="Q208" s="25">
        <f t="array" aca="1" ref="Q208" ca="1">INDEX('Isaac 401k'!L:L,MATCH('Retirement Calculator'!A208,'Isaac 401k'!N:N,0),0)</f>
        <v>1472338.0036051585</v>
      </c>
      <c r="R208" s="25">
        <f t="array" aca="1" ref="R208" ca="1">INDEX('Lorri 401b'!L:L,MATCH('Retirement Calculator'!A208,'Lorri 401b'!N:N,0),0)</f>
        <v>3815775.9138539024</v>
      </c>
      <c r="S208" s="25">
        <f t="shared" ca="1" si="7"/>
        <v>5288113.9174590614</v>
      </c>
    </row>
    <row r="209" spans="1:19" ht="15.75" customHeight="1" x14ac:dyDescent="0.3">
      <c r="A209" s="37">
        <v>57315</v>
      </c>
      <c r="B209" s="409">
        <f t="shared" ref="B209:C209" si="205">($A209-B$9)/365.25</f>
        <v>75.041752224503767</v>
      </c>
      <c r="C209" s="409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2192</v>
      </c>
      <c r="I209" s="25">
        <f>IF(C209&lt;62,0,'Combined Retirement'!$I$13)</f>
        <v>2420</v>
      </c>
      <c r="J209" s="25">
        <f t="shared" si="3"/>
        <v>7863.2184191855868</v>
      </c>
      <c r="K209" s="25">
        <f t="shared" si="4"/>
        <v>20282.026119384056</v>
      </c>
      <c r="L209" s="25"/>
      <c r="N209" s="25">
        <f>'Combined Retirement'!$C$18/12</f>
        <v>39153.069999999992</v>
      </c>
      <c r="O209" s="25">
        <f t="shared" si="5"/>
        <v>11007.82546143035</v>
      </c>
      <c r="P209" s="25">
        <f t="shared" si="6"/>
        <v>28145.244538569641</v>
      </c>
      <c r="Q209" s="25">
        <f t="array" aca="1" ref="Q209" ca="1">INDEX('Isaac 401k'!L:L,MATCH('Retirement Calculator'!A209,'Isaac 401k'!N:N,0),0)</f>
        <v>1470576.7634575812</v>
      </c>
      <c r="R209" s="25">
        <f t="array" aca="1" ref="R209" ca="1">INDEX('Lorri 401b'!L:L,MATCH('Retirement Calculator'!A209,'Lorri 401b'!N:N,0),0)</f>
        <v>3811308.4456000789</v>
      </c>
      <c r="S209" s="25">
        <f t="shared" ca="1" si="7"/>
        <v>5281885.2090576598</v>
      </c>
    </row>
    <row r="210" spans="1:19" ht="15.75" customHeight="1" x14ac:dyDescent="0.3">
      <c r="A210" s="37">
        <v>57346</v>
      </c>
      <c r="B210" s="409">
        <f t="shared" ref="B210:C210" si="206">($A210-B$9)/365.25</f>
        <v>75.126625598904866</v>
      </c>
      <c r="C210" s="409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2192</v>
      </c>
      <c r="I210" s="25">
        <f>IF(C210&lt;62,0,'Combined Retirement'!$I$13)</f>
        <v>2420</v>
      </c>
      <c r="J210" s="25">
        <f t="shared" si="3"/>
        <v>7863.2184191855868</v>
      </c>
      <c r="K210" s="25">
        <f t="shared" si="4"/>
        <v>20282.026119384056</v>
      </c>
      <c r="L210" s="25"/>
      <c r="N210" s="25">
        <f>'Combined Retirement'!$C$18/12</f>
        <v>39153.069999999992</v>
      </c>
      <c r="O210" s="25">
        <f t="shared" si="5"/>
        <v>11007.82546143035</v>
      </c>
      <c r="P210" s="25">
        <f t="shared" si="6"/>
        <v>28145.244538569641</v>
      </c>
      <c r="Q210" s="25">
        <f t="array" aca="1" ref="Q210" ca="1">INDEX('Isaac 401k'!L:L,MATCH('Retirement Calculator'!A210,'Isaac 401k'!N:N,0),0)</f>
        <v>1468808.1848093888</v>
      </c>
      <c r="R210" s="25">
        <f t="array" aca="1" ref="R210" ca="1">INDEX('Lorri 401b'!L:L,MATCH('Retirement Calculator'!A210,'Lorri 401b'!N:N,0),0)</f>
        <v>3806822.3628951977</v>
      </c>
      <c r="S210" s="25">
        <f t="shared" ca="1" si="7"/>
        <v>5275630.5477045868</v>
      </c>
    </row>
    <row r="211" spans="1:19" ht="15.75" customHeight="1" x14ac:dyDescent="0.3">
      <c r="A211" s="37">
        <v>57377</v>
      </c>
      <c r="B211" s="409">
        <f t="shared" ref="B211:C211" si="207">($A211-B$9)/365.25</f>
        <v>75.21149897330595</v>
      </c>
      <c r="C211" s="409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2192</v>
      </c>
      <c r="I211" s="25">
        <f>IF(C211&lt;62,0,'Combined Retirement'!$I$13)</f>
        <v>2420</v>
      </c>
      <c r="J211" s="25">
        <f t="shared" si="3"/>
        <v>7863.2184191855868</v>
      </c>
      <c r="K211" s="25">
        <f t="shared" si="4"/>
        <v>20282.026119384056</v>
      </c>
      <c r="L211" s="25"/>
      <c r="N211" s="25">
        <f>'Combined Retirement'!$C$18/12</f>
        <v>39153.069999999992</v>
      </c>
      <c r="O211" s="25">
        <f t="shared" si="5"/>
        <v>11007.82546143035</v>
      </c>
      <c r="P211" s="25">
        <f t="shared" si="6"/>
        <v>28145.244538569641</v>
      </c>
      <c r="Q211" s="25">
        <f t="array" aca="1" ref="Q211" ca="1">INDEX('Isaac 401k'!L:L,MATCH('Retirement Calculator'!A211,'Isaac 401k'!N:N,0),0)</f>
        <v>1467032.2370834958</v>
      </c>
      <c r="R211" s="25">
        <f t="array" aca="1" ref="R211" ca="1">INDEX('Lorri 401b'!L:L,MATCH('Retirement Calculator'!A211,'Lorri 401b'!N:N,0),0)</f>
        <v>3802317.5881790463</v>
      </c>
      <c r="S211" s="25">
        <f t="shared" ca="1" si="7"/>
        <v>5269349.8252625419</v>
      </c>
    </row>
    <row r="212" spans="1:19" ht="15.75" customHeight="1" x14ac:dyDescent="0.3">
      <c r="A212" s="37">
        <v>57405</v>
      </c>
      <c r="B212" s="409">
        <f t="shared" ref="B212:C212" si="208">($A212-B$9)/365.25</f>
        <v>75.288158795345652</v>
      </c>
      <c r="C212" s="409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2192</v>
      </c>
      <c r="I212" s="25">
        <f>IF(C212&lt;62,0,'Combined Retirement'!$I$13)</f>
        <v>2420</v>
      </c>
      <c r="J212" s="25">
        <f t="shared" si="3"/>
        <v>7863.2184191855868</v>
      </c>
      <c r="K212" s="25">
        <f t="shared" si="4"/>
        <v>20282.026119384056</v>
      </c>
      <c r="L212" s="25"/>
      <c r="N212" s="25">
        <f>'Combined Retirement'!$C$18/12</f>
        <v>39153.069999999992</v>
      </c>
      <c r="O212" s="25">
        <f t="shared" si="5"/>
        <v>11007.82546143035</v>
      </c>
      <c r="P212" s="25">
        <f t="shared" si="6"/>
        <v>28145.244538569641</v>
      </c>
      <c r="Q212" s="25">
        <f t="array" aca="1" ref="Q212" ca="1">INDEX('Isaac 401k'!L:L,MATCH('Retirement Calculator'!A212,'Isaac 401k'!N:N,0),0)</f>
        <v>1465248.8895754116</v>
      </c>
      <c r="R212" s="25">
        <f t="array" aca="1" ref="R212" ca="1">INDEX('Lorri 401b'!L:L,MATCH('Retirement Calculator'!A212,'Lorri 401b'!N:N,0),0)</f>
        <v>3797794.0435682442</v>
      </c>
      <c r="S212" s="25">
        <f t="shared" ca="1" si="7"/>
        <v>5263042.9331436558</v>
      </c>
    </row>
    <row r="213" spans="1:19" ht="15.75" customHeight="1" x14ac:dyDescent="0.3">
      <c r="A213" s="37">
        <v>57436</v>
      </c>
      <c r="B213" s="409">
        <f t="shared" ref="B213:C213" si="209">($A213-B$9)/365.25</f>
        <v>75.37303216974675</v>
      </c>
      <c r="C213" s="409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2192</v>
      </c>
      <c r="I213" s="25">
        <f>IF(C213&lt;62,0,'Combined Retirement'!$I$13)</f>
        <v>2420</v>
      </c>
      <c r="J213" s="25">
        <f t="shared" si="3"/>
        <v>7863.2184191855868</v>
      </c>
      <c r="K213" s="25">
        <f t="shared" si="4"/>
        <v>20282.026119384056</v>
      </c>
      <c r="L213" s="25"/>
      <c r="N213" s="25">
        <f>'Combined Retirement'!$C$18/12</f>
        <v>39153.069999999992</v>
      </c>
      <c r="O213" s="25">
        <f t="shared" si="5"/>
        <v>11007.82546143035</v>
      </c>
      <c r="P213" s="25">
        <f t="shared" si="6"/>
        <v>28145.244538569641</v>
      </c>
      <c r="Q213" s="25">
        <f t="array" aca="1" ref="Q213" ca="1">INDEX('Isaac 401k'!L:L,MATCH('Retirement Calculator'!A213,'Isaac 401k'!N:N,0),0)</f>
        <v>1463458.1114527103</v>
      </c>
      <c r="R213" s="25">
        <f t="array" aca="1" ref="R213" ca="1">INDEX('Lorri 401b'!L:L,MATCH('Retirement Calculator'!A213,'Lorri 401b'!N:N,0),0)</f>
        <v>3793251.6508548972</v>
      </c>
      <c r="S213" s="25">
        <f t="shared" ca="1" si="7"/>
        <v>5256709.7623076076</v>
      </c>
    </row>
    <row r="214" spans="1:19" ht="15.75" customHeight="1" x14ac:dyDescent="0.3">
      <c r="A214" s="37">
        <v>57466</v>
      </c>
      <c r="B214" s="409">
        <f t="shared" ref="B214:C214" si="210">($A214-B$9)/365.25</f>
        <v>75.455167693360707</v>
      </c>
      <c r="C214" s="409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2192</v>
      </c>
      <c r="I214" s="25">
        <f>IF(C214&lt;62,0,'Combined Retirement'!$I$13)</f>
        <v>2420</v>
      </c>
      <c r="J214" s="25">
        <f t="shared" si="3"/>
        <v>7863.2184191855868</v>
      </c>
      <c r="K214" s="25">
        <f t="shared" si="4"/>
        <v>20282.026119384056</v>
      </c>
      <c r="L214" s="25"/>
      <c r="N214" s="25">
        <f>'Combined Retirement'!$C$18/12</f>
        <v>39153.069999999992</v>
      </c>
      <c r="O214" s="25">
        <f t="shared" si="5"/>
        <v>11007.82546143035</v>
      </c>
      <c r="P214" s="25">
        <f t="shared" si="6"/>
        <v>28145.244538569641</v>
      </c>
      <c r="Q214" s="25">
        <f t="array" aca="1" ref="Q214" ca="1">INDEX('Isaac 401k'!L:L,MATCH('Retirement Calculator'!A214,'Isaac 401k'!N:N,0),0)</f>
        <v>1461659.8717544978</v>
      </c>
      <c r="R214" s="25">
        <f t="array" aca="1" ref="R214" ca="1">INDEX('Lorri 401b'!L:L,MATCH('Retirement Calculator'!A214,'Lorri 401b'!N:N,0),0)</f>
        <v>3788690.3315052446</v>
      </c>
      <c r="S214" s="25">
        <f t="shared" ca="1" si="7"/>
        <v>5250350.2032597419</v>
      </c>
    </row>
    <row r="215" spans="1:19" ht="15.75" customHeight="1" x14ac:dyDescent="0.3">
      <c r="A215" s="37">
        <v>57497</v>
      </c>
      <c r="B215" s="409">
        <f t="shared" ref="B215:C215" si="211">($A215-B$9)/365.25</f>
        <v>75.540041067761805</v>
      </c>
      <c r="C215" s="409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2192</v>
      </c>
      <c r="I215" s="25">
        <f>IF(C215&lt;62,0,'Combined Retirement'!$I$13)</f>
        <v>2420</v>
      </c>
      <c r="J215" s="25">
        <f t="shared" si="3"/>
        <v>7863.2184191855868</v>
      </c>
      <c r="K215" s="25">
        <f t="shared" si="4"/>
        <v>20282.026119384056</v>
      </c>
      <c r="L215" s="25"/>
      <c r="N215" s="25">
        <f>'Combined Retirement'!$C$18/12</f>
        <v>39153.069999999992</v>
      </c>
      <c r="O215" s="25">
        <f t="shared" si="5"/>
        <v>11007.82546143035</v>
      </c>
      <c r="P215" s="25">
        <f t="shared" si="6"/>
        <v>28145.244538569641</v>
      </c>
      <c r="Q215" s="25">
        <f t="array" aca="1" ref="Q215" ca="1">INDEX('Isaac 401k'!L:L,MATCH('Retirement Calculator'!A215,'Isaac 401k'!N:N,0),0)</f>
        <v>1459854.1393908761</v>
      </c>
      <c r="R215" s="25">
        <f t="array" aca="1" ref="R215" ca="1">INDEX('Lorri 401b'!L:L,MATCH('Retirement Calculator'!A215,'Lorri 401b'!N:N,0),0)</f>
        <v>3784110.0066583017</v>
      </c>
      <c r="S215" s="25">
        <f t="shared" ca="1" si="7"/>
        <v>5243964.1460491773</v>
      </c>
    </row>
    <row r="216" spans="1:19" ht="15.75" customHeight="1" x14ac:dyDescent="0.3">
      <c r="A216" s="37">
        <v>57527</v>
      </c>
      <c r="B216" s="409">
        <f t="shared" ref="B216:C216" si="212">($A216-B$9)/365.25</f>
        <v>75.622176591375776</v>
      </c>
      <c r="C216" s="409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2192</v>
      </c>
      <c r="I216" s="25">
        <f>IF(C216&lt;62,0,'Combined Retirement'!$I$13)</f>
        <v>2420</v>
      </c>
      <c r="J216" s="25">
        <f t="shared" si="3"/>
        <v>7863.2184191855868</v>
      </c>
      <c r="K216" s="25">
        <f t="shared" si="4"/>
        <v>20282.026119384056</v>
      </c>
      <c r="L216" s="25"/>
      <c r="N216" s="25">
        <f>'Combined Retirement'!$C$18/12</f>
        <v>39153.069999999992</v>
      </c>
      <c r="O216" s="25">
        <f t="shared" si="5"/>
        <v>11007.82546143035</v>
      </c>
      <c r="P216" s="25">
        <f t="shared" si="6"/>
        <v>28145.244538569641</v>
      </c>
      <c r="Q216" s="25">
        <f t="array" aca="1" ref="Q216" ca="1">INDEX('Isaac 401k'!L:L,MATCH('Retirement Calculator'!A216,'Isaac 401k'!N:N,0),0)</f>
        <v>1458040.8831424059</v>
      </c>
      <c r="R216" s="25">
        <f t="array" aca="1" ref="R216" ca="1">INDEX('Lorri 401b'!L:L,MATCH('Retirement Calculator'!A216,'Lorri 401b'!N:N,0),0)</f>
        <v>3779510.5971244965</v>
      </c>
      <c r="S216" s="25">
        <f t="shared" ca="1" si="7"/>
        <v>5237551.4802669026</v>
      </c>
    </row>
    <row r="217" spans="1:19" ht="15.75" customHeight="1" x14ac:dyDescent="0.3">
      <c r="A217" s="37">
        <v>57558</v>
      </c>
      <c r="B217" s="409">
        <f t="shared" ref="B217:C217" si="213">($A217-B$9)/365.25</f>
        <v>75.707049965776861</v>
      </c>
      <c r="C217" s="409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2192</v>
      </c>
      <c r="I217" s="25">
        <f>IF(C217&lt;62,0,'Combined Retirement'!$I$13)</f>
        <v>2420</v>
      </c>
      <c r="J217" s="25">
        <f t="shared" si="3"/>
        <v>7863.2184191855868</v>
      </c>
      <c r="K217" s="25">
        <f t="shared" si="4"/>
        <v>20282.026119384056</v>
      </c>
      <c r="L217" s="25"/>
      <c r="N217" s="25">
        <f>'Combined Retirement'!$C$18/12</f>
        <v>39153.069999999992</v>
      </c>
      <c r="O217" s="25">
        <f t="shared" si="5"/>
        <v>11007.82546143035</v>
      </c>
      <c r="P217" s="25">
        <f t="shared" si="6"/>
        <v>28145.244538569641</v>
      </c>
      <c r="Q217" s="25">
        <f t="array" aca="1" ref="Q217" ca="1">INDEX('Isaac 401k'!L:L,MATCH('Retirement Calculator'!A217,'Isaac 401k'!N:N,0),0)</f>
        <v>1456220.0716595671</v>
      </c>
      <c r="R217" s="25">
        <f t="array" aca="1" ref="R217" ca="1">INDEX('Lorri 401b'!L:L,MATCH('Retirement Calculator'!A217,'Lorri 401b'!N:N,0),0)</f>
        <v>3774892.0233843005</v>
      </c>
      <c r="S217" s="25">
        <f t="shared" ca="1" si="7"/>
        <v>5231112.0950438678</v>
      </c>
    </row>
    <row r="218" spans="1:19" ht="15.75" customHeight="1" x14ac:dyDescent="0.3">
      <c r="A218" s="37">
        <v>57589</v>
      </c>
      <c r="B218" s="409">
        <f t="shared" ref="B218:C218" si="214">($A218-B$9)/365.25</f>
        <v>75.791923340177959</v>
      </c>
      <c r="C218" s="409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2192</v>
      </c>
      <c r="I218" s="25">
        <f>IF(C218&lt;62,0,'Combined Retirement'!$I$13)</f>
        <v>2420</v>
      </c>
      <c r="J218" s="25">
        <f t="shared" si="3"/>
        <v>7863.2184191855868</v>
      </c>
      <c r="K218" s="25">
        <f t="shared" si="4"/>
        <v>20282.026119384056</v>
      </c>
      <c r="L218" s="25"/>
      <c r="N218" s="25">
        <f>'Combined Retirement'!$C$18/12</f>
        <v>39153.069999999992</v>
      </c>
      <c r="O218" s="25">
        <f t="shared" si="5"/>
        <v>11007.82546143035</v>
      </c>
      <c r="P218" s="25">
        <f t="shared" si="6"/>
        <v>28145.244538569641</v>
      </c>
      <c r="Q218" s="25">
        <f t="array" aca="1" ref="Q218" ca="1">INDEX('Isaac 401k'!L:L,MATCH('Retirement Calculator'!A218,'Isaac 401k'!N:N,0),0)</f>
        <v>1454391.6734622163</v>
      </c>
      <c r="R218" s="25">
        <f t="array" aca="1" ref="R218" ca="1">INDEX('Lorri 401b'!L:L,MATCH('Retirement Calculator'!A218,'Lorri 401b'!N:N,0),0)</f>
        <v>3770254.2055868539</v>
      </c>
      <c r="S218" s="25">
        <f t="shared" ca="1" si="7"/>
        <v>5224645.8790490702</v>
      </c>
    </row>
    <row r="219" spans="1:19" ht="15.75" customHeight="1" x14ac:dyDescent="0.3">
      <c r="A219" s="37">
        <v>57619</v>
      </c>
      <c r="B219" s="409">
        <f t="shared" ref="B219:C219" si="215">($A219-B$9)/365.25</f>
        <v>75.87405886379193</v>
      </c>
      <c r="C219" s="409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2192</v>
      </c>
      <c r="I219" s="25">
        <f>IF(C219&lt;62,0,'Combined Retirement'!$I$13)</f>
        <v>2420</v>
      </c>
      <c r="J219" s="25">
        <f t="shared" si="3"/>
        <v>7863.2184191855868</v>
      </c>
      <c r="K219" s="25">
        <f t="shared" si="4"/>
        <v>20282.026119384056</v>
      </c>
      <c r="L219" s="25"/>
      <c r="N219" s="25">
        <f>'Combined Retirement'!$C$18/12</f>
        <v>39153.069999999992</v>
      </c>
      <c r="O219" s="25">
        <f t="shared" si="5"/>
        <v>11007.82546143035</v>
      </c>
      <c r="P219" s="25">
        <f t="shared" si="6"/>
        <v>28145.244538569641</v>
      </c>
      <c r="Q219" s="25">
        <f t="array" aca="1" ref="Q219" ca="1">INDEX('Isaac 401k'!L:L,MATCH('Retirement Calculator'!A219,'Isaac 401k'!N:N,0),0)</f>
        <v>1452555.6569390432</v>
      </c>
      <c r="R219" s="25">
        <f t="array" aca="1" ref="R219" ca="1">INDEX('Lorri 401b'!L:L,MATCH('Retirement Calculator'!A219,'Lorri 401b'!N:N,0),0)</f>
        <v>3765597.0635485845</v>
      </c>
      <c r="S219" s="25">
        <f t="shared" ca="1" si="7"/>
        <v>5218152.7204876281</v>
      </c>
    </row>
    <row r="220" spans="1:19" ht="15.75" customHeight="1" x14ac:dyDescent="0.3">
      <c r="A220" s="37">
        <v>57650</v>
      </c>
      <c r="B220" s="409">
        <f t="shared" ref="B220:C220" si="216">($A220-B$9)/365.25</f>
        <v>75.958932238193015</v>
      </c>
      <c r="C220" s="409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2192</v>
      </c>
      <c r="I220" s="25">
        <f>IF(C220&lt;62,0,'Combined Retirement'!$I$13)</f>
        <v>2420</v>
      </c>
      <c r="J220" s="25">
        <f t="shared" si="3"/>
        <v>7863.2184191855868</v>
      </c>
      <c r="K220" s="25">
        <f t="shared" si="4"/>
        <v>20282.026119384056</v>
      </c>
      <c r="L220" s="25"/>
      <c r="N220" s="25">
        <f>'Combined Retirement'!$C$18/12</f>
        <v>39153.069999999992</v>
      </c>
      <c r="O220" s="25">
        <f t="shared" si="5"/>
        <v>11007.82546143035</v>
      </c>
      <c r="P220" s="25">
        <f t="shared" si="6"/>
        <v>28145.244538569641</v>
      </c>
      <c r="Q220" s="25">
        <f t="array" aca="1" ref="Q220" ca="1">INDEX('Isaac 401k'!L:L,MATCH('Retirement Calculator'!A220,'Isaac 401k'!N:N,0),0)</f>
        <v>1450711.9903470236</v>
      </c>
      <c r="R220" s="25">
        <f t="array" aca="1" ref="R220" ca="1">INDEX('Lorri 401b'!L:L,MATCH('Retirement Calculator'!A220,'Lorri 401b'!N:N,0),0)</f>
        <v>3760920.5167518221</v>
      </c>
      <c r="S220" s="25">
        <f t="shared" ca="1" si="7"/>
        <v>5211632.5070988461</v>
      </c>
    </row>
    <row r="221" spans="1:19" ht="15.75" customHeight="1" x14ac:dyDescent="0.3">
      <c r="A221" s="37">
        <v>57680</v>
      </c>
      <c r="B221" s="409">
        <f t="shared" ref="B221:C221" si="217">($A221-B$9)/365.25</f>
        <v>76.041067761806985</v>
      </c>
      <c r="C221" s="409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2192</v>
      </c>
      <c r="I221" s="25">
        <f>IF(C221&lt;62,0,'Combined Retirement'!$I$13)</f>
        <v>2420</v>
      </c>
      <c r="J221" s="25">
        <f t="shared" si="3"/>
        <v>7863.2184191855868</v>
      </c>
      <c r="K221" s="25">
        <f t="shared" si="4"/>
        <v>20282.026119384056</v>
      </c>
      <c r="L221" s="25"/>
      <c r="N221" s="25">
        <f>'Combined Retirement'!$C$18/12</f>
        <v>39153.069999999992</v>
      </c>
      <c r="O221" s="25">
        <f t="shared" si="5"/>
        <v>11007.82546143035</v>
      </c>
      <c r="P221" s="25">
        <f t="shared" si="6"/>
        <v>28145.244538569641</v>
      </c>
      <c r="Q221" s="25">
        <f t="array" aca="1" ref="Q221" ca="1">INDEX('Isaac 401k'!L:L,MATCH('Retirement Calculator'!A221,'Isaac 401k'!N:N,0),0)</f>
        <v>1448860.6418108707</v>
      </c>
      <c r="R221" s="25">
        <f t="array" aca="1" ref="R221" ca="1">INDEX('Lorri 401b'!L:L,MATCH('Retirement Calculator'!A221,'Lorri 401b'!N:N,0),0)</f>
        <v>3756224.4843434067</v>
      </c>
      <c r="S221" s="25">
        <f t="shared" ca="1" si="7"/>
        <v>5205085.1261542775</v>
      </c>
    </row>
    <row r="222" spans="1:19" ht="15.75" customHeight="1" x14ac:dyDescent="0.3">
      <c r="A222" s="37">
        <v>57711</v>
      </c>
      <c r="B222" s="409">
        <f t="shared" ref="B222:C222" si="218">($A222-B$9)/365.25</f>
        <v>76.12594113620807</v>
      </c>
      <c r="C222" s="409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2192</v>
      </c>
      <c r="I222" s="25">
        <f>IF(C222&lt;62,0,'Combined Retirement'!$I$13)</f>
        <v>2420</v>
      </c>
      <c r="J222" s="25">
        <f t="shared" si="3"/>
        <v>7863.2184191855868</v>
      </c>
      <c r="K222" s="25">
        <f t="shared" si="4"/>
        <v>20282.026119384056</v>
      </c>
      <c r="L222" s="25"/>
      <c r="N222" s="25">
        <f>'Combined Retirement'!$C$18/12</f>
        <v>39153.069999999992</v>
      </c>
      <c r="O222" s="25">
        <f t="shared" si="5"/>
        <v>11007.82546143035</v>
      </c>
      <c r="P222" s="25">
        <f t="shared" si="6"/>
        <v>28145.244538569641</v>
      </c>
      <c r="Q222" s="25">
        <f t="array" aca="1" ref="Q222" ca="1">INDEX('Isaac 401k'!L:L,MATCH('Retirement Calculator'!A222,'Isaac 401k'!N:N,0),0)</f>
        <v>1447001.5793224839</v>
      </c>
      <c r="R222" s="25">
        <f t="array" aca="1" ref="R222" ca="1">INDEX('Lorri 401b'!L:L,MATCH('Retirement Calculator'!A222,'Lorri 401b'!N:N,0),0)</f>
        <v>3751508.8851332897</v>
      </c>
      <c r="S222" s="25">
        <f t="shared" ca="1" si="7"/>
        <v>5198510.4644557741</v>
      </c>
    </row>
    <row r="223" spans="1:19" ht="15.75" customHeight="1" x14ac:dyDescent="0.3">
      <c r="A223" s="37">
        <v>57742</v>
      </c>
      <c r="B223" s="409">
        <f t="shared" ref="B223:C223" si="219">($A223-B$9)/365.25</f>
        <v>76.210814510609168</v>
      </c>
      <c r="C223" s="409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2192</v>
      </c>
      <c r="I223" s="25">
        <f>IF(C223&lt;62,0,'Combined Retirement'!$I$13)</f>
        <v>2420</v>
      </c>
      <c r="J223" s="25">
        <f t="shared" si="3"/>
        <v>7863.2184191855868</v>
      </c>
      <c r="K223" s="25">
        <f t="shared" si="4"/>
        <v>20282.026119384056</v>
      </c>
      <c r="L223" s="25"/>
      <c r="N223" s="25">
        <f>'Combined Retirement'!$C$18/12</f>
        <v>39153.069999999992</v>
      </c>
      <c r="O223" s="25">
        <f t="shared" si="5"/>
        <v>11007.82546143035</v>
      </c>
      <c r="P223" s="25">
        <f t="shared" si="6"/>
        <v>28145.244538569641</v>
      </c>
      <c r="Q223" s="25">
        <f t="array" aca="1" ref="Q223" ca="1">INDEX('Isaac 401k'!L:L,MATCH('Retirement Calculator'!A223,'Isaac 401k'!N:N,0),0)</f>
        <v>1445134.7707403954</v>
      </c>
      <c r="R223" s="25">
        <f t="array" aca="1" ref="R223" ca="1">INDEX('Lorri 401b'!L:L,MATCH('Retirement Calculator'!A223,'Lorri 401b'!N:N,0),0)</f>
        <v>3746773.6375931306</v>
      </c>
      <c r="S223" s="25">
        <f t="shared" ca="1" si="7"/>
        <v>5191908.408333526</v>
      </c>
    </row>
    <row r="224" spans="1:19" ht="15.75" customHeight="1" x14ac:dyDescent="0.3">
      <c r="A224" s="37">
        <v>57770</v>
      </c>
      <c r="B224" s="409">
        <f t="shared" ref="B224:C224" si="220">($A224-B$9)/365.25</f>
        <v>76.28747433264887</v>
      </c>
      <c r="C224" s="409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2192</v>
      </c>
      <c r="I224" s="25">
        <f>IF(C224&lt;62,0,'Combined Retirement'!$I$13)</f>
        <v>2420</v>
      </c>
      <c r="J224" s="25">
        <f t="shared" si="3"/>
        <v>7863.2184191855868</v>
      </c>
      <c r="K224" s="25">
        <f t="shared" si="4"/>
        <v>20282.026119384056</v>
      </c>
      <c r="L224" s="25"/>
      <c r="N224" s="25">
        <f>'Combined Retirement'!$C$18/12</f>
        <v>39153.069999999992</v>
      </c>
      <c r="O224" s="25">
        <f t="shared" si="5"/>
        <v>11007.82546143035</v>
      </c>
      <c r="P224" s="25">
        <f t="shared" si="6"/>
        <v>28145.244538569641</v>
      </c>
      <c r="Q224" s="25">
        <f t="array" aca="1" ref="Q224" ca="1">INDEX('Isaac 401k'!L:L,MATCH('Retirement Calculator'!A224,'Isaac 401k'!N:N,0),0)</f>
        <v>1443260.1837892148</v>
      </c>
      <c r="R224" s="25">
        <f t="array" aca="1" ref="R224" ca="1">INDEX('Lorri 401b'!L:L,MATCH('Retirement Calculator'!A224,'Lorri 401b'!N:N,0),0)</f>
        <v>3742018.6598548871</v>
      </c>
      <c r="S224" s="25">
        <f t="shared" ca="1" si="7"/>
        <v>5185278.8436441021</v>
      </c>
    </row>
    <row r="225" spans="1:19" ht="15.75" customHeight="1" x14ac:dyDescent="0.3">
      <c r="A225" s="37">
        <v>57801</v>
      </c>
      <c r="B225" s="409">
        <f t="shared" ref="B225:C225" si="221">($A225-B$9)/365.25</f>
        <v>76.372347707049968</v>
      </c>
      <c r="C225" s="409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2192</v>
      </c>
      <c r="I225" s="25">
        <f>IF(C225&lt;62,0,'Combined Retirement'!$I$13)</f>
        <v>2420</v>
      </c>
      <c r="J225" s="25">
        <f t="shared" si="3"/>
        <v>7863.2184191855868</v>
      </c>
      <c r="K225" s="25">
        <f t="shared" si="4"/>
        <v>20282.026119384056</v>
      </c>
      <c r="L225" s="25"/>
      <c r="N225" s="25">
        <f>'Combined Retirement'!$C$18/12</f>
        <v>39153.069999999992</v>
      </c>
      <c r="O225" s="25">
        <f t="shared" si="5"/>
        <v>11007.82546143035</v>
      </c>
      <c r="P225" s="25">
        <f t="shared" si="6"/>
        <v>28145.244538569641</v>
      </c>
      <c r="Q225" s="25">
        <f t="array" aca="1" ref="Q225" ca="1">INDEX('Isaac 401k'!L:L,MATCH('Retirement Calculator'!A225,'Isaac 401k'!N:N,0),0)</f>
        <v>1441377.7860590711</v>
      </c>
      <c r="R225" s="25">
        <f t="array" aca="1" ref="R225" ca="1">INDEX('Lorri 401b'!L:L,MATCH('Retirement Calculator'!A225,'Lorri 401b'!N:N,0),0)</f>
        <v>3737243.8697094009</v>
      </c>
      <c r="S225" s="25">
        <f t="shared" ca="1" si="7"/>
        <v>5178621.6557684718</v>
      </c>
    </row>
    <row r="226" spans="1:19" ht="15.75" customHeight="1" x14ac:dyDescent="0.3">
      <c r="A226" s="37">
        <v>57831</v>
      </c>
      <c r="B226" s="409">
        <f t="shared" ref="B226:C226" si="222">($A226-B$9)/365.25</f>
        <v>76.454483230663925</v>
      </c>
      <c r="C226" s="409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2192</v>
      </c>
      <c r="I226" s="25">
        <f>IF(C226&lt;62,0,'Combined Retirement'!$I$13)</f>
        <v>2420</v>
      </c>
      <c r="J226" s="25">
        <f t="shared" si="3"/>
        <v>7863.2184191855868</v>
      </c>
      <c r="K226" s="25">
        <f t="shared" si="4"/>
        <v>20282.026119384056</v>
      </c>
      <c r="L226" s="25"/>
      <c r="N226" s="25">
        <f>'Combined Retirement'!$C$18/12</f>
        <v>39153.069999999992</v>
      </c>
      <c r="O226" s="25">
        <f t="shared" si="5"/>
        <v>11007.82546143035</v>
      </c>
      <c r="P226" s="25">
        <f t="shared" si="6"/>
        <v>28145.244538569641</v>
      </c>
      <c r="Q226" s="25">
        <f t="array" aca="1" ref="Q226" ca="1">INDEX('Isaac 401k'!L:L,MATCH('Retirement Calculator'!A226,'Isaac 401k'!N:N,0),0)</f>
        <v>1439487.5450050517</v>
      </c>
      <c r="R226" s="25">
        <f t="array" aca="1" ref="R226" ca="1">INDEX('Lorri 401b'!L:L,MATCH('Retirement Calculator'!A226,'Lorri 401b'!N:N,0),0)</f>
        <v>3732449.1846049754</v>
      </c>
      <c r="S226" s="25">
        <f t="shared" ca="1" si="7"/>
        <v>5171936.7296100268</v>
      </c>
    </row>
    <row r="227" spans="1:19" ht="15.75" customHeight="1" x14ac:dyDescent="0.3">
      <c r="A227" s="37">
        <v>57862</v>
      </c>
      <c r="B227" s="409">
        <f t="shared" ref="B227:C227" si="223">($A227-B$9)/365.25</f>
        <v>76.539356605065024</v>
      </c>
      <c r="C227" s="409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2192</v>
      </c>
      <c r="I227" s="25">
        <f>IF(C227&lt;62,0,'Combined Retirement'!$I$13)</f>
        <v>2420</v>
      </c>
      <c r="J227" s="25">
        <f t="shared" si="3"/>
        <v>7863.2184191855868</v>
      </c>
      <c r="K227" s="25">
        <f t="shared" si="4"/>
        <v>20282.026119384056</v>
      </c>
      <c r="L227" s="25"/>
      <c r="N227" s="25">
        <f>'Combined Retirement'!$C$18/12</f>
        <v>39153.069999999992</v>
      </c>
      <c r="O227" s="25">
        <f t="shared" si="5"/>
        <v>11007.82546143035</v>
      </c>
      <c r="P227" s="25">
        <f t="shared" si="6"/>
        <v>28145.244538569641</v>
      </c>
      <c r="Q227" s="25">
        <f t="array" aca="1" ref="Q227" ca="1">INDEX('Isaac 401k'!L:L,MATCH('Retirement Calculator'!A227,'Isaac 401k'!N:N,0),0)</f>
        <v>1437589.4279466404</v>
      </c>
      <c r="R227" s="25">
        <f t="array" aca="1" ref="R227" ca="1">INDEX('Lorri 401b'!L:L,MATCH('Retirement Calculator'!A227,'Lorri 401b'!N:N,0),0)</f>
        <v>3727634.5216459478</v>
      </c>
      <c r="S227" s="25">
        <f t="shared" ca="1" si="7"/>
        <v>5165223.9495925885</v>
      </c>
    </row>
    <row r="228" spans="1:19" ht="15.75" customHeight="1" x14ac:dyDescent="0.3">
      <c r="A228" s="37">
        <v>57892</v>
      </c>
      <c r="B228" s="409">
        <f t="shared" ref="B228:C228" si="224">($A228-B$9)/365.25</f>
        <v>76.62149212867898</v>
      </c>
      <c r="C228" s="409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2192</v>
      </c>
      <c r="I228" s="25">
        <f>IF(C228&lt;62,0,'Combined Retirement'!$I$13)</f>
        <v>2420</v>
      </c>
      <c r="J228" s="25">
        <f t="shared" si="3"/>
        <v>7863.2184191855868</v>
      </c>
      <c r="K228" s="25">
        <f t="shared" si="4"/>
        <v>20282.026119384056</v>
      </c>
      <c r="L228" s="25"/>
      <c r="N228" s="25">
        <f>'Combined Retirement'!$C$18/12</f>
        <v>39153.069999999992</v>
      </c>
      <c r="O228" s="25">
        <f t="shared" si="5"/>
        <v>11007.82546143035</v>
      </c>
      <c r="P228" s="25">
        <f t="shared" si="6"/>
        <v>28145.244538569641</v>
      </c>
      <c r="Q228" s="25">
        <f t="array" aca="1" ref="Q228" ca="1">INDEX('Isaac 401k'!L:L,MATCH('Retirement Calculator'!A228,'Isaac 401k'!N:N,0),0)</f>
        <v>1435683.4020671526</v>
      </c>
      <c r="R228" s="25">
        <f t="array" aca="1" ref="R228" ca="1">INDEX('Lorri 401b'!L:L,MATCH('Retirement Calculator'!A228,'Lorri 401b'!N:N,0),0)</f>
        <v>3722799.7975912578</v>
      </c>
      <c r="S228" s="25">
        <f t="shared" ca="1" si="7"/>
        <v>5158483.1996584106</v>
      </c>
    </row>
    <row r="229" spans="1:19" ht="15.75" customHeight="1" x14ac:dyDescent="0.3">
      <c r="A229" s="37">
        <v>57923</v>
      </c>
      <c r="B229" s="409">
        <f t="shared" ref="B229:C229" si="225">($A229-B$9)/365.25</f>
        <v>76.706365503080079</v>
      </c>
      <c r="C229" s="409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2192</v>
      </c>
      <c r="I229" s="25">
        <f>IF(C229&lt;62,0,'Combined Retirement'!$I$13)</f>
        <v>2420</v>
      </c>
      <c r="J229" s="25">
        <f t="shared" si="3"/>
        <v>7863.2184191855868</v>
      </c>
      <c r="K229" s="25">
        <f t="shared" si="4"/>
        <v>20282.026119384056</v>
      </c>
      <c r="L229" s="25"/>
      <c r="N229" s="25">
        <f>'Combined Retirement'!$C$18/12</f>
        <v>39153.069999999992</v>
      </c>
      <c r="O229" s="25">
        <f t="shared" si="5"/>
        <v>11007.82546143035</v>
      </c>
      <c r="P229" s="25">
        <f t="shared" si="6"/>
        <v>28145.244538569641</v>
      </c>
      <c r="Q229" s="25">
        <f t="array" aca="1" ref="Q229" ca="1">INDEX('Isaac 401k'!L:L,MATCH('Retirement Calculator'!A229,'Isaac 401k'!N:N,0),0)</f>
        <v>1433769.4344131667</v>
      </c>
      <c r="R229" s="25">
        <f t="array" aca="1" ref="R229" ca="1">INDEX('Lorri 401b'!L:L,MATCH('Retirement Calculator'!A229,'Lorri 401b'!N:N,0),0)</f>
        <v>3717944.9288530066</v>
      </c>
      <c r="S229" s="25">
        <f t="shared" ca="1" si="7"/>
        <v>5151714.3632661738</v>
      </c>
    </row>
    <row r="230" spans="1:19" ht="15.75" customHeight="1" x14ac:dyDescent="0.3">
      <c r="A230" s="37">
        <v>57954</v>
      </c>
      <c r="B230" s="409">
        <f t="shared" ref="B230:C230" si="226">($A230-B$9)/365.25</f>
        <v>76.791238877481177</v>
      </c>
      <c r="C230" s="409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2192</v>
      </c>
      <c r="I230" s="25">
        <f>IF(C230&lt;62,0,'Combined Retirement'!$I$13)</f>
        <v>2420</v>
      </c>
      <c r="J230" s="25">
        <f t="shared" si="3"/>
        <v>7863.2184191855868</v>
      </c>
      <c r="K230" s="25">
        <f t="shared" si="4"/>
        <v>20282.026119384056</v>
      </c>
      <c r="L230" s="25"/>
      <c r="N230" s="25">
        <f>'Combined Retirement'!$C$18/12</f>
        <v>39153.069999999992</v>
      </c>
      <c r="O230" s="25">
        <f t="shared" si="5"/>
        <v>11007.82546143035</v>
      </c>
      <c r="P230" s="25">
        <f t="shared" si="6"/>
        <v>28145.244538569641</v>
      </c>
      <c r="Q230" s="25">
        <f t="array" aca="1" ref="Q230" ca="1">INDEX('Isaac 401k'!L:L,MATCH('Retirement Calculator'!A230,'Isaac 401k'!N:N,0),0)</f>
        <v>1431847.491893956</v>
      </c>
      <c r="R230" s="25">
        <f t="array" aca="1" ref="R230" ca="1">INDEX('Lorri 401b'!L:L,MATCH('Retirement Calculator'!A230,'Lorri 401b'!N:N,0),0)</f>
        <v>3713069.8314950126</v>
      </c>
      <c r="S230" s="25">
        <f t="shared" ca="1" si="7"/>
        <v>5144917.3233889686</v>
      </c>
    </row>
    <row r="231" spans="1:19" ht="15.75" customHeight="1" x14ac:dyDescent="0.3">
      <c r="A231" s="37">
        <v>57984</v>
      </c>
      <c r="B231" s="409">
        <f t="shared" ref="B231:C231" si="227">($A231-B$9)/365.25</f>
        <v>76.873374401095134</v>
      </c>
      <c r="C231" s="409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2192</v>
      </c>
      <c r="I231" s="25">
        <f>IF(C231&lt;62,0,'Combined Retirement'!$I$13)</f>
        <v>2420</v>
      </c>
      <c r="J231" s="25">
        <f t="shared" si="3"/>
        <v>7863.2184191855868</v>
      </c>
      <c r="K231" s="25">
        <f t="shared" si="4"/>
        <v>20282.026119384056</v>
      </c>
      <c r="L231" s="25"/>
      <c r="N231" s="25">
        <f>'Combined Retirement'!$C$18/12</f>
        <v>39153.069999999992</v>
      </c>
      <c r="O231" s="25">
        <f t="shared" si="5"/>
        <v>11007.82546143035</v>
      </c>
      <c r="P231" s="25">
        <f t="shared" si="6"/>
        <v>28145.244538569641</v>
      </c>
      <c r="Q231" s="25">
        <f t="array" aca="1" ref="Q231" ca="1">INDEX('Isaac 401k'!L:L,MATCH('Retirement Calculator'!A231,'Isaac 401k'!N:N,0),0)</f>
        <v>1429917.5412809153</v>
      </c>
      <c r="R231" s="25">
        <f t="array" aca="1" ref="R231" ca="1">INDEX('Lorri 401b'!L:L,MATCH('Retirement Calculator'!A231,'Lorri 401b'!N:N,0),0)</f>
        <v>3708174.4212313606</v>
      </c>
      <c r="S231" s="25">
        <f t="shared" ca="1" si="7"/>
        <v>5138091.9625122761</v>
      </c>
    </row>
    <row r="232" spans="1:19" ht="15.75" customHeight="1" x14ac:dyDescent="0.3">
      <c r="A232" s="37">
        <v>58015</v>
      </c>
      <c r="B232" s="409">
        <f t="shared" ref="B232:C232" si="228">($A232-B$9)/365.25</f>
        <v>76.958247775496233</v>
      </c>
      <c r="C232" s="409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2192</v>
      </c>
      <c r="I232" s="25">
        <f>IF(C232&lt;62,0,'Combined Retirement'!$I$13)</f>
        <v>2420</v>
      </c>
      <c r="J232" s="25">
        <f t="shared" si="3"/>
        <v>7863.2184191855868</v>
      </c>
      <c r="K232" s="25">
        <f t="shared" si="4"/>
        <v>20282.026119384056</v>
      </c>
      <c r="L232" s="25"/>
      <c r="N232" s="25">
        <f>'Combined Retirement'!$C$18/12</f>
        <v>39153.069999999992</v>
      </c>
      <c r="O232" s="25">
        <f t="shared" si="5"/>
        <v>11007.82546143035</v>
      </c>
      <c r="P232" s="25">
        <f t="shared" si="6"/>
        <v>28145.244538569641</v>
      </c>
      <c r="Q232" s="25">
        <f t="array" aca="1" ref="Q232" ca="1">INDEX('Isaac 401k'!L:L,MATCH('Retirement Calculator'!A232,'Isaac 401k'!N:N,0),0)</f>
        <v>1427979.5492069868</v>
      </c>
      <c r="R232" s="25">
        <f t="array" aca="1" ref="R232" ca="1">INDEX('Lorri 401b'!L:L,MATCH('Retirement Calculator'!A232,'Lorri 401b'!N:N,0),0)</f>
        <v>3703258.6134249433</v>
      </c>
      <c r="S232" s="25">
        <f t="shared" ca="1" si="7"/>
        <v>5131238.1626319299</v>
      </c>
    </row>
    <row r="233" spans="1:19" ht="15.75" customHeight="1" x14ac:dyDescent="0.3">
      <c r="A233" s="37">
        <v>58045</v>
      </c>
      <c r="B233" s="409">
        <f t="shared" ref="B233:C233" si="229">($A233-B$9)/365.25</f>
        <v>77.040383299110204</v>
      </c>
      <c r="C233" s="409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2192</v>
      </c>
      <c r="I233" s="25">
        <f>IF(C233&lt;62,0,'Combined Retirement'!$I$13)</f>
        <v>2420</v>
      </c>
      <c r="J233" s="25">
        <f t="shared" si="3"/>
        <v>7863.2184191855868</v>
      </c>
      <c r="K233" s="25">
        <f t="shared" si="4"/>
        <v>20282.026119384056</v>
      </c>
      <c r="L233" s="25"/>
      <c r="N233" s="25">
        <f>'Combined Retirement'!$C$18/12</f>
        <v>39153.069999999992</v>
      </c>
      <c r="O233" s="25">
        <f t="shared" si="5"/>
        <v>11007.82546143035</v>
      </c>
      <c r="P233" s="25">
        <f t="shared" si="6"/>
        <v>28145.244538569641</v>
      </c>
      <c r="Q233" s="25">
        <f t="array" aca="1" ref="Q233" ca="1">INDEX('Isaac 401k'!L:L,MATCH('Retirement Calculator'!A233,'Isaac 401k'!N:N,0),0)</f>
        <v>1426033.4821660838</v>
      </c>
      <c r="R233" s="25">
        <f t="array" aca="1" ref="R233" ca="1">INDEX('Lorri 401b'!L:L,MATCH('Retirement Calculator'!A233,'Lorri 401b'!N:N,0),0)</f>
        <v>3698322.3230859991</v>
      </c>
      <c r="S233" s="25">
        <f t="shared" ca="1" si="7"/>
        <v>5124355.8052520826</v>
      </c>
    </row>
    <row r="234" spans="1:19" ht="15.75" customHeight="1" x14ac:dyDescent="0.3">
      <c r="A234" s="37">
        <v>58076</v>
      </c>
      <c r="B234" s="409">
        <f t="shared" ref="B234:C234" si="230">($A234-B$9)/365.25</f>
        <v>77.125256673511288</v>
      </c>
      <c r="C234" s="409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2192</v>
      </c>
      <c r="I234" s="25">
        <f>IF(C234&lt;62,0,'Combined Retirement'!$I$13)</f>
        <v>2420</v>
      </c>
      <c r="J234" s="25">
        <f t="shared" si="3"/>
        <v>7863.2184191855868</v>
      </c>
      <c r="K234" s="25">
        <f t="shared" si="4"/>
        <v>20282.026119384056</v>
      </c>
      <c r="L234" s="25"/>
      <c r="N234" s="25">
        <f>'Combined Retirement'!$C$18/12</f>
        <v>39153.069999999992</v>
      </c>
      <c r="O234" s="25">
        <f t="shared" si="5"/>
        <v>11007.82546143035</v>
      </c>
      <c r="P234" s="25">
        <f t="shared" si="6"/>
        <v>28145.244538569641</v>
      </c>
      <c r="Q234" s="25">
        <f t="array" aca="1" ref="Q234" ca="1">INDEX('Isaac 401k'!L:L,MATCH('Retirement Calculator'!A234,'Isaac 401k'!N:N,0),0)</f>
        <v>1424079.3065125102</v>
      </c>
      <c r="R234" s="25">
        <f t="array" aca="1" ref="R234" ca="1">INDEX('Lorri 401b'!L:L,MATCH('Retirement Calculator'!A234,'Lorri 401b'!N:N,0),0)</f>
        <v>3693365.4648706429</v>
      </c>
      <c r="S234" s="25">
        <f t="shared" ca="1" si="7"/>
        <v>5117444.7713831533</v>
      </c>
    </row>
    <row r="235" spans="1:19" ht="15.75" customHeight="1" x14ac:dyDescent="0.3">
      <c r="A235" s="37">
        <v>58107</v>
      </c>
      <c r="B235" s="409">
        <f t="shared" ref="B235:C235" si="231">($A235-B$9)/365.25</f>
        <v>77.210130047912386</v>
      </c>
      <c r="C235" s="409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2192</v>
      </c>
      <c r="I235" s="25">
        <f>IF(C235&lt;62,0,'Combined Retirement'!$I$13)</f>
        <v>2420</v>
      </c>
      <c r="J235" s="25">
        <f t="shared" si="3"/>
        <v>7863.2184191855868</v>
      </c>
      <c r="K235" s="25">
        <f t="shared" si="4"/>
        <v>20282.026119384056</v>
      </c>
      <c r="L235" s="25"/>
      <c r="N235" s="25">
        <f>'Combined Retirement'!$C$18/12</f>
        <v>39153.069999999992</v>
      </c>
      <c r="O235" s="25">
        <f t="shared" si="5"/>
        <v>11007.82546143035</v>
      </c>
      <c r="P235" s="25">
        <f t="shared" si="6"/>
        <v>28145.244538569641</v>
      </c>
      <c r="Q235" s="25">
        <f t="array" aca="1" ref="Q235" ca="1">INDEX('Isaac 401k'!L:L,MATCH('Retirement Calculator'!A235,'Isaac 401k'!N:N,0),0)</f>
        <v>1422116.9884603801</v>
      </c>
      <c r="R235" s="25">
        <f t="array" aca="1" ref="R235" ca="1">INDEX('Lorri 401b'!L:L,MATCH('Retirement Calculator'!A235,'Lorri 401b'!N:N,0),0)</f>
        <v>3688387.9530793889</v>
      </c>
      <c r="S235" s="25">
        <f t="shared" ca="1" si="7"/>
        <v>5110504.9415397691</v>
      </c>
    </row>
    <row r="236" spans="1:19" ht="15.75" customHeight="1" x14ac:dyDescent="0.3">
      <c r="A236" s="37">
        <v>58135</v>
      </c>
      <c r="B236" s="409">
        <f t="shared" ref="B236:C236" si="232">($A236-B$9)/365.25</f>
        <v>77.286789869952088</v>
      </c>
      <c r="C236" s="409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2192</v>
      </c>
      <c r="I236" s="25">
        <f>IF(C236&lt;62,0,'Combined Retirement'!$I$13)</f>
        <v>2420</v>
      </c>
      <c r="J236" s="25">
        <f t="shared" si="3"/>
        <v>7863.2184191855868</v>
      </c>
      <c r="K236" s="25">
        <f t="shared" si="4"/>
        <v>20282.026119384056</v>
      </c>
      <c r="L236" s="25"/>
      <c r="N236" s="25">
        <f>'Combined Retirement'!$C$18/12</f>
        <v>39153.069999999992</v>
      </c>
      <c r="O236" s="25">
        <f t="shared" si="5"/>
        <v>11007.82546143035</v>
      </c>
      <c r="P236" s="25">
        <f t="shared" si="6"/>
        <v>28145.244538569641</v>
      </c>
      <c r="Q236" s="25">
        <f t="array" aca="1" ref="Q236" ca="1">INDEX('Isaac 401k'!L:L,MATCH('Retirement Calculator'!A236,'Isaac 401k'!N:N,0),0)</f>
        <v>1420146.4940830327</v>
      </c>
      <c r="R236" s="25">
        <f t="array" aca="1" ref="R236" ca="1">INDEX('Lorri 401b'!L:L,MATCH('Retirement Calculator'!A236,'Lorri 401b'!N:N,0),0)</f>
        <v>3683389.7016556715</v>
      </c>
      <c r="S236" s="25">
        <f t="shared" ca="1" si="7"/>
        <v>5103536.1957387039</v>
      </c>
    </row>
    <row r="237" spans="1:19" ht="15.75" customHeight="1" x14ac:dyDescent="0.3">
      <c r="A237" s="37">
        <v>58166</v>
      </c>
      <c r="B237" s="409">
        <f t="shared" ref="B237:C237" si="233">($A237-B$9)/365.25</f>
        <v>77.371663244353186</v>
      </c>
      <c r="C237" s="409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2192</v>
      </c>
      <c r="I237" s="25">
        <f>IF(C237&lt;62,0,'Combined Retirement'!$I$13)</f>
        <v>2420</v>
      </c>
      <c r="J237" s="25">
        <f t="shared" si="3"/>
        <v>7863.2184191855868</v>
      </c>
      <c r="K237" s="25">
        <f t="shared" si="4"/>
        <v>20282.026119384056</v>
      </c>
      <c r="L237" s="25"/>
      <c r="N237" s="25">
        <f>'Combined Retirement'!$C$18/12</f>
        <v>39153.069999999992</v>
      </c>
      <c r="O237" s="25">
        <f t="shared" si="5"/>
        <v>11007.82546143035</v>
      </c>
      <c r="P237" s="25">
        <f t="shared" si="6"/>
        <v>28145.244538569641</v>
      </c>
      <c r="Q237" s="25">
        <f t="array" aca="1" ref="Q237" ca="1">INDEX('Isaac 401k'!L:L,MATCH('Retirement Calculator'!A237,'Isaac 401k'!N:N,0),0)</f>
        <v>1418167.7893124465</v>
      </c>
      <c r="R237" s="25">
        <f t="array" aca="1" ref="R237" ca="1">INDEX('Lorri 401b'!L:L,MATCH('Retirement Calculator'!A237,'Lorri 401b'!N:N,0),0)</f>
        <v>3678370.6241843551</v>
      </c>
      <c r="S237" s="25">
        <f t="shared" ca="1" si="7"/>
        <v>5096538.4134968016</v>
      </c>
    </row>
    <row r="238" spans="1:19" ht="15.75" customHeight="1" x14ac:dyDescent="0.3">
      <c r="A238" s="37">
        <v>58196</v>
      </c>
      <c r="B238" s="409">
        <f t="shared" ref="B238:C238" si="234">($A238-B$9)/365.25</f>
        <v>77.453798767967143</v>
      </c>
      <c r="C238" s="409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2192</v>
      </c>
      <c r="I238" s="25">
        <f>IF(C238&lt;62,0,'Combined Retirement'!$I$13)</f>
        <v>2420</v>
      </c>
      <c r="J238" s="25">
        <f t="shared" si="3"/>
        <v>7863.2184191855868</v>
      </c>
      <c r="K238" s="25">
        <f t="shared" si="4"/>
        <v>20282.026119384056</v>
      </c>
      <c r="L238" s="25"/>
      <c r="N238" s="25">
        <f>'Combined Retirement'!$C$18/12</f>
        <v>39153.069999999992</v>
      </c>
      <c r="O238" s="25">
        <f t="shared" si="5"/>
        <v>11007.82546143035</v>
      </c>
      <c r="P238" s="25">
        <f t="shared" si="6"/>
        <v>28145.244538569641</v>
      </c>
      <c r="Q238" s="25">
        <f t="array" aca="1" ref="Q238" ca="1">INDEX('Isaac 401k'!L:L,MATCH('Retirement Calculator'!A238,'Isaac 401k'!N:N,0),0)</f>
        <v>1416180.8399386494</v>
      </c>
      <c r="R238" s="25">
        <f t="array" aca="1" ref="R238" ca="1">INDEX('Lorri 401b'!L:L,MATCH('Retirement Calculator'!A238,'Lorri 401b'!N:N,0),0)</f>
        <v>3673330.6338902419</v>
      </c>
      <c r="S238" s="25">
        <f t="shared" ca="1" si="7"/>
        <v>5089511.4738288913</v>
      </c>
    </row>
    <row r="239" spans="1:19" ht="15.75" customHeight="1" x14ac:dyDescent="0.3">
      <c r="A239" s="37">
        <v>58227</v>
      </c>
      <c r="B239" s="409">
        <f t="shared" ref="B239:C239" si="235">($A239-B$9)/365.25</f>
        <v>77.538672142368242</v>
      </c>
      <c r="C239" s="409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2192</v>
      </c>
      <c r="I239" s="25">
        <f>IF(C239&lt;62,0,'Combined Retirement'!$I$13)</f>
        <v>2420</v>
      </c>
      <c r="J239" s="25">
        <f t="shared" si="3"/>
        <v>7863.2184191855868</v>
      </c>
      <c r="K239" s="25">
        <f t="shared" si="4"/>
        <v>20282.026119384056</v>
      </c>
      <c r="L239" s="25"/>
      <c r="N239" s="25">
        <f>'Combined Retirement'!$C$18/12</f>
        <v>39153.069999999992</v>
      </c>
      <c r="O239" s="25">
        <f t="shared" si="5"/>
        <v>11007.82546143035</v>
      </c>
      <c r="P239" s="25">
        <f t="shared" si="6"/>
        <v>28145.244538569641</v>
      </c>
      <c r="Q239" s="25">
        <f t="array" aca="1" ref="Q239" ca="1">INDEX('Isaac 401k'!L:L,MATCH('Retirement Calculator'!A239,'Isaac 401k'!N:N,0),0)</f>
        <v>1414185.6116091283</v>
      </c>
      <c r="R239" s="25">
        <f t="array" aca="1" ref="R239" ca="1">INDEX('Lorri 401b'!L:L,MATCH('Retirement Calculator'!A239,'Lorri 401b'!N:N,0),0)</f>
        <v>3668269.6436365698</v>
      </c>
      <c r="S239" s="25">
        <f t="shared" ca="1" si="7"/>
        <v>5082455.2552456986</v>
      </c>
    </row>
    <row r="240" spans="1:19" ht="15.75" customHeight="1" x14ac:dyDescent="0.3">
      <c r="A240" s="37">
        <v>58257</v>
      </c>
      <c r="B240" s="409">
        <f t="shared" ref="B240:C240" si="236">($A240-B$9)/365.25</f>
        <v>77.620807665982198</v>
      </c>
      <c r="C240" s="409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2192</v>
      </c>
      <c r="I240" s="25">
        <f>IF(C240&lt;62,0,'Combined Retirement'!$I$13)</f>
        <v>2420</v>
      </c>
      <c r="J240" s="25">
        <f t="shared" si="3"/>
        <v>7863.2184191855868</v>
      </c>
      <c r="K240" s="25">
        <f t="shared" si="4"/>
        <v>20282.026119384056</v>
      </c>
      <c r="L240" s="25"/>
      <c r="N240" s="25">
        <f>'Combined Retirement'!$C$18/12</f>
        <v>39153.069999999992</v>
      </c>
      <c r="O240" s="25">
        <f t="shared" si="5"/>
        <v>11007.82546143035</v>
      </c>
      <c r="P240" s="25">
        <f t="shared" si="6"/>
        <v>28145.244538569641</v>
      </c>
      <c r="Q240" s="25">
        <f t="array" aca="1" ref="Q240" ca="1">INDEX('Isaac 401k'!L:L,MATCH('Retirement Calculator'!A240,'Isaac 401k'!N:N,0),0)</f>
        <v>1412182.0698282341</v>
      </c>
      <c r="R240" s="25">
        <f t="array" aca="1" ref="R240" ca="1">INDEX('Lorri 401b'!L:L,MATCH('Retirement Calculator'!A240,'Lorri 401b'!N:N,0),0)</f>
        <v>3663187.5659235073</v>
      </c>
      <c r="S240" s="25">
        <f t="shared" ca="1" si="7"/>
        <v>5075369.635751741</v>
      </c>
    </row>
    <row r="241" spans="1:19" ht="15.75" customHeight="1" x14ac:dyDescent="0.3">
      <c r="A241" s="37">
        <v>58288</v>
      </c>
      <c r="B241" s="409">
        <f t="shared" ref="B241:C241" si="237">($A241-B$9)/365.25</f>
        <v>77.705681040383297</v>
      </c>
      <c r="C241" s="409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2192</v>
      </c>
      <c r="I241" s="25">
        <f>IF(C241&lt;62,0,'Combined Retirement'!$I$13)</f>
        <v>2420</v>
      </c>
      <c r="J241" s="25">
        <f t="shared" si="3"/>
        <v>7863.2184191855868</v>
      </c>
      <c r="K241" s="25">
        <f t="shared" si="4"/>
        <v>20282.026119384056</v>
      </c>
      <c r="L241" s="25"/>
      <c r="N241" s="25">
        <f>'Combined Retirement'!$C$18/12</f>
        <v>39153.069999999992</v>
      </c>
      <c r="O241" s="25">
        <f t="shared" si="5"/>
        <v>11007.82546143035</v>
      </c>
      <c r="P241" s="25">
        <f t="shared" si="6"/>
        <v>28145.244538569641</v>
      </c>
      <c r="Q241" s="25">
        <f t="array" aca="1" ref="Q241" ca="1">INDEX('Isaac 401k'!L:L,MATCH('Retirement Calculator'!A241,'Isaac 401k'!N:N,0),0)</f>
        <v>1410170.1799565863</v>
      </c>
      <c r="R241" s="25">
        <f t="array" aca="1" ref="R241" ca="1">INDEX('Lorri 401b'!L:L,MATCH('Retirement Calculator'!A241,'Lorri 401b'!N:N,0),0)</f>
        <v>3658084.3128866404</v>
      </c>
      <c r="S241" s="25">
        <f t="shared" ca="1" si="7"/>
        <v>5068254.4928432265</v>
      </c>
    </row>
    <row r="242" spans="1:19" ht="15.75" customHeight="1" x14ac:dyDescent="0.3">
      <c r="A242" s="37">
        <v>58319</v>
      </c>
      <c r="B242" s="409">
        <f t="shared" ref="B242:C242" si="238">($A242-B$9)/365.25</f>
        <v>77.790554414784395</v>
      </c>
      <c r="C242" s="409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2192</v>
      </c>
      <c r="I242" s="25">
        <f>IF(C242&lt;62,0,'Combined Retirement'!$I$13)</f>
        <v>2420</v>
      </c>
      <c r="J242" s="25">
        <f t="shared" si="3"/>
        <v>7863.2184191855868</v>
      </c>
      <c r="K242" s="25">
        <f t="shared" si="4"/>
        <v>20282.026119384056</v>
      </c>
      <c r="L242" s="25"/>
      <c r="N242" s="25">
        <f>'Combined Retirement'!$C$18/12</f>
        <v>39153.069999999992</v>
      </c>
      <c r="O242" s="25">
        <f t="shared" si="5"/>
        <v>11007.82546143035</v>
      </c>
      <c r="P242" s="25">
        <f t="shared" si="6"/>
        <v>28145.244538569641</v>
      </c>
      <c r="Q242" s="25">
        <f t="array" aca="1" ref="Q242" ca="1">INDEX('Isaac 401k'!L:L,MATCH('Retirement Calculator'!A242,'Isaac 401k'!N:N,0),0)</f>
        <v>1408149.9072104732</v>
      </c>
      <c r="R242" s="25">
        <f t="array" aca="1" ref="R242" ca="1">INDEX('Lorri 401b'!L:L,MATCH('Retirement Calculator'!A242,'Lorri 401b'!N:N,0),0)</f>
        <v>3652959.7962954533</v>
      </c>
      <c r="S242" s="25">
        <f t="shared" ca="1" si="7"/>
        <v>5061109.7035059268</v>
      </c>
    </row>
    <row r="243" spans="1:19" ht="15.75" customHeight="1" x14ac:dyDescent="0.3">
      <c r="A243" s="37">
        <v>58349</v>
      </c>
      <c r="B243" s="409">
        <f t="shared" ref="B243:C243" si="239">($A243-B$9)/365.25</f>
        <v>77.872689938398352</v>
      </c>
      <c r="C243" s="409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2192</v>
      </c>
      <c r="I243" s="25">
        <f>IF(C243&lt;62,0,'Combined Retirement'!$I$13)</f>
        <v>2420</v>
      </c>
      <c r="J243" s="25">
        <f t="shared" si="3"/>
        <v>7863.2184191855868</v>
      </c>
      <c r="K243" s="25">
        <f t="shared" si="4"/>
        <v>20282.026119384056</v>
      </c>
      <c r="L243" s="25"/>
      <c r="N243" s="25">
        <f>'Combined Retirement'!$C$18/12</f>
        <v>39153.069999999992</v>
      </c>
      <c r="O243" s="25">
        <f t="shared" si="5"/>
        <v>11007.82546143035</v>
      </c>
      <c r="P243" s="25">
        <f t="shared" si="6"/>
        <v>28145.244538569641</v>
      </c>
      <c r="Q243" s="25">
        <f t="array" aca="1" ref="Q243" ca="1">INDEX('Isaac 401k'!L:L,MATCH('Retirement Calculator'!A243,'Isaac 401k'!N:N,0),0)</f>
        <v>1406121.2166612514</v>
      </c>
      <c r="R243" s="25">
        <f t="array" aca="1" ref="R243" ca="1">INDEX('Lorri 401b'!L:L,MATCH('Retirement Calculator'!A243,'Lorri 401b'!N:N,0),0)</f>
        <v>3647813.9275518032</v>
      </c>
      <c r="S243" s="25">
        <f t="shared" ca="1" si="7"/>
        <v>5053935.1442130543</v>
      </c>
    </row>
    <row r="244" spans="1:19" ht="15.75" customHeight="1" x14ac:dyDescent="0.3">
      <c r="A244" s="37">
        <v>58380</v>
      </c>
      <c r="B244" s="409">
        <f t="shared" ref="B244:C244" si="240">($A244-B$9)/365.25</f>
        <v>77.957563312799451</v>
      </c>
      <c r="C244" s="409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2192</v>
      </c>
      <c r="I244" s="25">
        <f>IF(C244&lt;62,0,'Combined Retirement'!$I$13)</f>
        <v>2420</v>
      </c>
      <c r="J244" s="25">
        <f t="shared" si="3"/>
        <v>7863.2184191855868</v>
      </c>
      <c r="K244" s="25">
        <f t="shared" si="4"/>
        <v>20282.026119384056</v>
      </c>
      <c r="L244" s="25"/>
      <c r="N244" s="25">
        <f>'Combined Retirement'!$C$18/12</f>
        <v>39153.069999999992</v>
      </c>
      <c r="O244" s="25">
        <f t="shared" si="5"/>
        <v>11007.82546143035</v>
      </c>
      <c r="P244" s="25">
        <f t="shared" si="6"/>
        <v>28145.244538569641</v>
      </c>
      <c r="Q244" s="25">
        <f t="array" aca="1" ref="Q244" ca="1">INDEX('Isaac 401k'!L:L,MATCH('Retirement Calculator'!A244,'Isaac 401k'!N:N,0),0)</f>
        <v>1404084.0732347411</v>
      </c>
      <c r="R244" s="25">
        <f t="array" aca="1" ref="R244" ca="1">INDEX('Lorri 401b'!L:L,MATCH('Retirement Calculator'!A244,'Lorri 401b'!N:N,0),0)</f>
        <v>3642646.6176883876</v>
      </c>
      <c r="S244" s="25">
        <f t="shared" ca="1" si="7"/>
        <v>5046730.6909231283</v>
      </c>
    </row>
    <row r="245" spans="1:19" ht="15.75" customHeight="1" x14ac:dyDescent="0.3">
      <c r="A245" s="37">
        <v>58410</v>
      </c>
      <c r="B245" s="409">
        <f t="shared" ref="B245:C245" si="241">($A245-B$9)/365.25</f>
        <v>78.039698836413422</v>
      </c>
      <c r="C245" s="409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2192</v>
      </c>
      <c r="I245" s="25">
        <f>IF(C245&lt;62,0,'Combined Retirement'!$I$13)</f>
        <v>2420</v>
      </c>
      <c r="J245" s="25">
        <f t="shared" si="3"/>
        <v>7863.2184191855868</v>
      </c>
      <c r="K245" s="25">
        <f t="shared" si="4"/>
        <v>20282.026119384056</v>
      </c>
      <c r="L245" s="25"/>
      <c r="N245" s="25">
        <f>'Combined Retirement'!$C$18/12</f>
        <v>39153.069999999992</v>
      </c>
      <c r="O245" s="25">
        <f t="shared" si="5"/>
        <v>11007.82546143035</v>
      </c>
      <c r="P245" s="25">
        <f t="shared" si="6"/>
        <v>28145.244538569641</v>
      </c>
      <c r="Q245" s="25">
        <f t="array" aca="1" ref="Q245" ca="1">INDEX('Isaac 401k'!L:L,MATCH('Retirement Calculator'!A245,'Isaac 401k'!N:N,0),0)</f>
        <v>1402038.4417106204</v>
      </c>
      <c r="R245" s="25">
        <f t="array" aca="1" ref="R245" ca="1">INDEX('Lorri 401b'!L:L,MATCH('Retirement Calculator'!A245,'Lorri 401b'!N:N,0),0)</f>
        <v>3637457.7773672077</v>
      </c>
      <c r="S245" s="25">
        <f t="shared" ca="1" si="7"/>
        <v>5039496.2190778283</v>
      </c>
    </row>
    <row r="246" spans="1:19" ht="15.75" customHeight="1" x14ac:dyDescent="0.3">
      <c r="A246" s="37">
        <v>58441</v>
      </c>
      <c r="B246" s="409">
        <f t="shared" ref="B246:C246" si="242">($A246-B$9)/365.25</f>
        <v>78.124572210814506</v>
      </c>
      <c r="C246" s="409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2192</v>
      </c>
      <c r="I246" s="25">
        <f>IF(C246&lt;62,0,'Combined Retirement'!$I$13)</f>
        <v>2420</v>
      </c>
      <c r="J246" s="25">
        <f t="shared" si="3"/>
        <v>7863.2184191855868</v>
      </c>
      <c r="K246" s="25">
        <f t="shared" si="4"/>
        <v>20282.026119384056</v>
      </c>
      <c r="L246" s="25"/>
      <c r="N246" s="25">
        <f>'Combined Retirement'!$C$18/12</f>
        <v>39153.069999999992</v>
      </c>
      <c r="O246" s="25">
        <f t="shared" si="5"/>
        <v>11007.82546143035</v>
      </c>
      <c r="P246" s="25">
        <f t="shared" si="6"/>
        <v>28145.244538569641</v>
      </c>
      <c r="Q246" s="25">
        <f t="array" aca="1" ref="Q246" ca="1">INDEX('Isaac 401k'!L:L,MATCH('Retirement Calculator'!A246,'Isaac 401k'!N:N,0),0)</f>
        <v>1399984.2867218158</v>
      </c>
      <c r="R246" s="25">
        <f t="array" aca="1" ref="R246" ca="1">INDEX('Lorri 401b'!L:L,MATCH('Retirement Calculator'!A246,'Lorri 401b'!N:N,0),0)</f>
        <v>3632247.3168780231</v>
      </c>
      <c r="S246" s="25">
        <f t="shared" ca="1" si="7"/>
        <v>5032231.6035998389</v>
      </c>
    </row>
    <row r="247" spans="1:19" ht="15.75" customHeight="1" x14ac:dyDescent="0.3">
      <c r="A247" s="37">
        <v>58472</v>
      </c>
      <c r="B247" s="409">
        <f t="shared" ref="B247:C247" si="243">($A247-B$9)/365.25</f>
        <v>78.209445585215605</v>
      </c>
      <c r="C247" s="409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2192</v>
      </c>
      <c r="I247" s="25">
        <f>IF(C247&lt;62,0,'Combined Retirement'!$I$13)</f>
        <v>2420</v>
      </c>
      <c r="J247" s="25">
        <f t="shared" si="3"/>
        <v>7863.2184191855868</v>
      </c>
      <c r="K247" s="25">
        <f t="shared" si="4"/>
        <v>20282.026119384056</v>
      </c>
      <c r="L247" s="25"/>
      <c r="N247" s="25">
        <f>'Combined Retirement'!$C$18/12</f>
        <v>39153.069999999992</v>
      </c>
      <c r="O247" s="25">
        <f t="shared" si="5"/>
        <v>11007.82546143035</v>
      </c>
      <c r="P247" s="25">
        <f t="shared" si="6"/>
        <v>28145.244538569641</v>
      </c>
      <c r="Q247" s="25">
        <f t="array" aca="1" ref="Q247" ca="1">INDEX('Isaac 401k'!L:L,MATCH('Retirement Calculator'!A247,'Isaac 401k'!N:N,0),0)</f>
        <v>1397921.5727538911</v>
      </c>
      <c r="R247" s="25">
        <f t="array" aca="1" ref="R247" ca="1">INDEX('Lorri 401b'!L:L,MATCH('Retirement Calculator'!A247,'Lorri 401b'!N:N,0),0)</f>
        <v>3627015.1461368003</v>
      </c>
      <c r="S247" s="25">
        <f t="shared" ca="1" si="7"/>
        <v>5024936.7188906912</v>
      </c>
    </row>
    <row r="248" spans="1:19" ht="15.75" customHeight="1" x14ac:dyDescent="0.3">
      <c r="A248" s="37">
        <v>58501</v>
      </c>
      <c r="B248" s="409">
        <f t="shared" ref="B248:C248" si="244">($A248-B$9)/365.25</f>
        <v>78.288843258042434</v>
      </c>
      <c r="C248" s="409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2192</v>
      </c>
      <c r="I248" s="25">
        <f>IF(C248&lt;62,0,'Combined Retirement'!$I$13)</f>
        <v>2420</v>
      </c>
      <c r="J248" s="25">
        <f t="shared" si="3"/>
        <v>7863.2184191855868</v>
      </c>
      <c r="K248" s="25">
        <f t="shared" si="4"/>
        <v>20282.026119384056</v>
      </c>
      <c r="L248" s="25"/>
      <c r="N248" s="25">
        <f>'Combined Retirement'!$C$18/12</f>
        <v>39153.069999999992</v>
      </c>
      <c r="O248" s="25">
        <f t="shared" si="5"/>
        <v>11007.82546143035</v>
      </c>
      <c r="P248" s="25">
        <f t="shared" si="6"/>
        <v>28145.244538569641</v>
      </c>
      <c r="Q248" s="25">
        <f t="array" aca="1" ref="Q248" ca="1">INDEX('Isaac 401k'!L:L,MATCH('Retirement Calculator'!A248,'Isaac 401k'!N:N,0),0)</f>
        <v>1395850.2641444334</v>
      </c>
      <c r="R248" s="25">
        <f t="array" aca="1" ref="R248" ca="1">INDEX('Lorri 401b'!L:L,MATCH('Retirement Calculator'!A248,'Lorri 401b'!N:N,0),0)</f>
        <v>3621761.1746841557</v>
      </c>
      <c r="S248" s="25">
        <f t="shared" ca="1" si="7"/>
        <v>5017611.4388285894</v>
      </c>
    </row>
    <row r="249" spans="1:19" ht="15.75" customHeight="1" x14ac:dyDescent="0.3">
      <c r="A249" s="37">
        <v>58532</v>
      </c>
      <c r="B249" s="409">
        <f t="shared" ref="B249:C249" si="245">($A249-B$9)/365.25</f>
        <v>78.373716632443532</v>
      </c>
      <c r="C249" s="409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2192</v>
      </c>
      <c r="I249" s="25">
        <f>IF(C249&lt;62,0,'Combined Retirement'!$I$13)</f>
        <v>2420</v>
      </c>
      <c r="J249" s="25">
        <f t="shared" si="3"/>
        <v>7863.2184191855868</v>
      </c>
      <c r="K249" s="25">
        <f t="shared" si="4"/>
        <v>20282.026119384056</v>
      </c>
      <c r="L249" s="25"/>
      <c r="N249" s="25">
        <f>'Combined Retirement'!$C$18/12</f>
        <v>39153.069999999992</v>
      </c>
      <c r="O249" s="25">
        <f t="shared" si="5"/>
        <v>11007.82546143035</v>
      </c>
      <c r="P249" s="25">
        <f t="shared" si="6"/>
        <v>28145.244538569641</v>
      </c>
      <c r="Q249" s="25">
        <f t="array" aca="1" ref="Q249" ca="1">INDEX('Isaac 401k'!L:L,MATCH('Retirement Calculator'!A249,'Isaac 401k'!N:N,0),0)</f>
        <v>1393770.3250824364</v>
      </c>
      <c r="R249" s="25">
        <f t="array" aca="1" ref="R249" ca="1">INDEX('Lorri 401b'!L:L,MATCH('Retirement Calculator'!A249,'Lorri 401b'!N:N,0),0)</f>
        <v>3616485.3116837917</v>
      </c>
      <c r="S249" s="25">
        <f t="shared" ca="1" si="7"/>
        <v>5010255.6367662279</v>
      </c>
    </row>
    <row r="250" spans="1:19" ht="15.75" customHeight="1" x14ac:dyDescent="0.3">
      <c r="A250" s="37">
        <v>58562</v>
      </c>
      <c r="B250" s="409">
        <f t="shared" ref="B250:C250" si="246">($A250-B$9)/365.25</f>
        <v>78.455852156057489</v>
      </c>
      <c r="C250" s="409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2192</v>
      </c>
      <c r="I250" s="25">
        <f>IF(C250&lt;62,0,'Combined Retirement'!$I$13)</f>
        <v>2420</v>
      </c>
      <c r="J250" s="25">
        <f t="shared" si="3"/>
        <v>7863.2184191855868</v>
      </c>
      <c r="K250" s="25">
        <f t="shared" si="4"/>
        <v>20282.026119384056</v>
      </c>
      <c r="L250" s="25"/>
      <c r="N250" s="25">
        <f>'Combined Retirement'!$C$18/12</f>
        <v>39153.069999999992</v>
      </c>
      <c r="O250" s="25">
        <f t="shared" si="5"/>
        <v>11007.82546143035</v>
      </c>
      <c r="P250" s="25">
        <f t="shared" si="6"/>
        <v>28145.244538569641</v>
      </c>
      <c r="Q250" s="25">
        <f t="array" aca="1" ref="Q250" ca="1">INDEX('Isaac 401k'!L:L,MATCH('Retirement Calculator'!A250,'Isaac 401k'!N:N,0),0)</f>
        <v>1391681.719607681</v>
      </c>
      <c r="R250" s="25">
        <f t="array" aca="1" ref="R250" ca="1">INDEX('Lorri 401b'!L:L,MATCH('Retirement Calculator'!A250,'Lorri 401b'!N:N,0),0)</f>
        <v>3611187.4659209261</v>
      </c>
      <c r="S250" s="25">
        <f t="shared" ca="1" si="7"/>
        <v>5002869.1855286071</v>
      </c>
    </row>
    <row r="251" spans="1:19" ht="15.75" customHeight="1" x14ac:dyDescent="0.3">
      <c r="A251" s="37">
        <v>58593</v>
      </c>
      <c r="B251" s="409">
        <f t="shared" ref="B251:C251" si="247">($A251-B$9)/365.25</f>
        <v>78.540725530458587</v>
      </c>
      <c r="C251" s="409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2192</v>
      </c>
      <c r="I251" s="25">
        <f>IF(C251&lt;62,0,'Combined Retirement'!$I$13)</f>
        <v>2420</v>
      </c>
      <c r="J251" s="25">
        <f t="shared" si="3"/>
        <v>7863.2184191855868</v>
      </c>
      <c r="K251" s="25">
        <f t="shared" si="4"/>
        <v>20282.026119384056</v>
      </c>
      <c r="L251" s="25"/>
      <c r="N251" s="25">
        <f>'Combined Retirement'!$C$18/12</f>
        <v>39153.069999999992</v>
      </c>
      <c r="O251" s="25">
        <f t="shared" si="5"/>
        <v>11007.82546143035</v>
      </c>
      <c r="P251" s="25">
        <f t="shared" si="6"/>
        <v>28145.244538569641</v>
      </c>
      <c r="Q251" s="25">
        <f t="array" aca="1" ref="Q251" ca="1">INDEX('Isaac 401k'!L:L,MATCH('Retirement Calculator'!A251,'Isaac 401k'!N:N,0),0)</f>
        <v>1389584.4116101142</v>
      </c>
      <c r="R251" s="25">
        <f t="array" aca="1" ref="R251" ca="1">INDEX('Lorri 401b'!L:L,MATCH('Retirement Calculator'!A251,'Lorri 401b'!N:N,0),0)</f>
        <v>3605867.5458007152</v>
      </c>
      <c r="S251" s="25">
        <f t="shared" ca="1" si="7"/>
        <v>4995451.9574108291</v>
      </c>
    </row>
    <row r="252" spans="1:19" ht="15.75" customHeight="1" x14ac:dyDescent="0.3">
      <c r="A252" s="37">
        <v>58623</v>
      </c>
      <c r="B252" s="409">
        <f t="shared" ref="B252:C252" si="248">($A252-B$9)/365.25</f>
        <v>78.622861054072558</v>
      </c>
      <c r="C252" s="409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2192</v>
      </c>
      <c r="I252" s="25">
        <f>IF(C252&lt;62,0,'Combined Retirement'!$I$13)</f>
        <v>2420</v>
      </c>
      <c r="J252" s="25">
        <f t="shared" si="3"/>
        <v>7863.2184191855868</v>
      </c>
      <c r="K252" s="25">
        <f t="shared" si="4"/>
        <v>20282.026119384056</v>
      </c>
      <c r="L252" s="25"/>
      <c r="N252" s="25">
        <f>'Combined Retirement'!$C$18/12</f>
        <v>39153.069999999992</v>
      </c>
      <c r="O252" s="25">
        <f t="shared" si="5"/>
        <v>11007.82546143035</v>
      </c>
      <c r="P252" s="25">
        <f t="shared" si="6"/>
        <v>28145.244538569641</v>
      </c>
      <c r="Q252" s="25">
        <f t="array" aca="1" ref="Q252" ca="1">INDEX('Isaac 401k'!L:L,MATCH('Retirement Calculator'!A252,'Isaac 401k'!N:N,0),0)</f>
        <v>1387478.3648292241</v>
      </c>
      <c r="R252" s="25">
        <f t="array" aca="1" ref="R252" ca="1">INDEX('Lorri 401b'!L:L,MATCH('Retirement Calculator'!A252,'Lorri 401b'!N:N,0),0)</f>
        <v>3600525.4593466702</v>
      </c>
      <c r="S252" s="25">
        <f t="shared" ca="1" si="7"/>
        <v>4988003.8241758943</v>
      </c>
    </row>
    <row r="253" spans="1:19" ht="15.75" customHeight="1" x14ac:dyDescent="0.3">
      <c r="A253" s="37">
        <v>58654</v>
      </c>
      <c r="B253" s="409">
        <f t="shared" ref="B253:C253" si="249">($A253-B$9)/365.25</f>
        <v>78.707734428473643</v>
      </c>
      <c r="C253" s="409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2192</v>
      </c>
      <c r="I253" s="25">
        <f>IF(C253&lt;62,0,'Combined Retirement'!$I$13)</f>
        <v>2420</v>
      </c>
      <c r="J253" s="25">
        <f t="shared" si="3"/>
        <v>7863.2184191855868</v>
      </c>
      <c r="K253" s="25">
        <f t="shared" si="4"/>
        <v>20282.026119384056</v>
      </c>
      <c r="L253" s="25"/>
      <c r="N253" s="25">
        <f>'Combined Retirement'!$C$18/12</f>
        <v>39153.069999999992</v>
      </c>
      <c r="O253" s="25">
        <f t="shared" si="5"/>
        <v>11007.82546143035</v>
      </c>
      <c r="P253" s="25">
        <f t="shared" si="6"/>
        <v>28145.244538569641</v>
      </c>
      <c r="Q253" s="25">
        <f t="array" aca="1" ref="Q253" ca="1">INDEX('Isaac 401k'!L:L,MATCH('Retirement Calculator'!A253,'Isaac 401k'!N:N,0),0)</f>
        <v>1385363.5428534136</v>
      </c>
      <c r="R253" s="25">
        <f t="array" aca="1" ref="R253" ca="1">INDEX('Lorri 401b'!L:L,MATCH('Retirement Calculator'!A253,'Lorri 401b'!N:N,0),0)</f>
        <v>3595161.1141990665</v>
      </c>
      <c r="S253" s="25">
        <f t="shared" ca="1" si="7"/>
        <v>4980524.6570524797</v>
      </c>
    </row>
    <row r="254" spans="1:19" ht="15.75" customHeight="1" x14ac:dyDescent="0.3">
      <c r="A254" s="37">
        <v>58685</v>
      </c>
      <c r="B254" s="409">
        <f t="shared" ref="B254:C254" si="250">($A254-B$9)/365.25</f>
        <v>78.792607802874741</v>
      </c>
      <c r="C254" s="409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2192</v>
      </c>
      <c r="I254" s="25">
        <f>IF(C254&lt;62,0,'Combined Retirement'!$I$13)</f>
        <v>2420</v>
      </c>
      <c r="J254" s="25">
        <f t="shared" si="3"/>
        <v>7863.2184191855868</v>
      </c>
      <c r="K254" s="25">
        <f t="shared" si="4"/>
        <v>20282.026119384056</v>
      </c>
      <c r="L254" s="25"/>
      <c r="N254" s="25">
        <f>'Combined Retirement'!$C$18/12</f>
        <v>39153.069999999992</v>
      </c>
      <c r="O254" s="25">
        <f t="shared" si="5"/>
        <v>11007.82546143035</v>
      </c>
      <c r="P254" s="25">
        <f t="shared" si="6"/>
        <v>28145.244538569641</v>
      </c>
      <c r="Q254" s="25">
        <f t="array" aca="1" ref="Q254" ca="1">INDEX('Isaac 401k'!L:L,MATCH('Retirement Calculator'!A254,'Isaac 401k'!N:N,0),0)</f>
        <v>1383239.9091193706</v>
      </c>
      <c r="R254" s="25">
        <f t="array" aca="1" ref="R254" ca="1">INDEX('Lorri 401b'!L:L,MATCH('Retirement Calculator'!A254,'Lorri 401b'!N:N,0),0)</f>
        <v>3589774.417613348</v>
      </c>
      <c r="S254" s="25">
        <f t="shared" ca="1" si="7"/>
        <v>4973014.3267327184</v>
      </c>
    </row>
    <row r="255" spans="1:19" ht="15.75" customHeight="1" x14ac:dyDescent="0.3">
      <c r="A255" s="37">
        <v>58715</v>
      </c>
      <c r="B255" s="409">
        <f t="shared" ref="B255:C255" si="251">($A255-B$9)/365.25</f>
        <v>78.874743326488712</v>
      </c>
      <c r="C255" s="409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2192</v>
      </c>
      <c r="I255" s="25">
        <f>IF(C255&lt;62,0,'Combined Retirement'!$I$13)</f>
        <v>2420</v>
      </c>
      <c r="J255" s="25">
        <f t="shared" si="3"/>
        <v>7863.2184191855868</v>
      </c>
      <c r="K255" s="25">
        <f t="shared" si="4"/>
        <v>20282.026119384056</v>
      </c>
      <c r="L255" s="25"/>
      <c r="N255" s="25">
        <f>'Combined Retirement'!$C$18/12</f>
        <v>39153.069999999992</v>
      </c>
      <c r="O255" s="25">
        <f t="shared" si="5"/>
        <v>11007.82546143035</v>
      </c>
      <c r="P255" s="25">
        <f t="shared" si="6"/>
        <v>28145.244538569641</v>
      </c>
      <c r="Q255" s="25">
        <f t="array" aca="1" ref="Q255" ca="1">INDEX('Isaac 401k'!L:L,MATCH('Retirement Calculator'!A255,'Isaac 401k'!N:N,0),0)</f>
        <v>1381107.4269114358</v>
      </c>
      <c r="R255" s="25">
        <f t="array" aca="1" ref="R255" ca="1">INDEX('Lorri 401b'!L:L,MATCH('Retirement Calculator'!A255,'Lorri 401b'!N:N,0),0)</f>
        <v>3584365.2764585223</v>
      </c>
      <c r="S255" s="25">
        <f t="shared" ca="1" si="7"/>
        <v>4965472.7033699583</v>
      </c>
    </row>
    <row r="256" spans="1:19" ht="15.75" customHeight="1" x14ac:dyDescent="0.3">
      <c r="A256" s="37">
        <v>58746</v>
      </c>
      <c r="B256" s="409">
        <f t="shared" ref="B256:C256" si="252">($A256-B$9)/365.25</f>
        <v>78.959616700889796</v>
      </c>
      <c r="C256" s="409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2192</v>
      </c>
      <c r="I256" s="25">
        <f>IF(C256&lt;62,0,'Combined Retirement'!$I$13)</f>
        <v>2420</v>
      </c>
      <c r="J256" s="25">
        <f t="shared" si="3"/>
        <v>7863.2184191855868</v>
      </c>
      <c r="K256" s="25">
        <f t="shared" si="4"/>
        <v>20282.026119384056</v>
      </c>
      <c r="L256" s="25"/>
      <c r="N256" s="25">
        <f>'Combined Retirement'!$C$18/12</f>
        <v>39153.069999999992</v>
      </c>
      <c r="O256" s="25">
        <f t="shared" si="5"/>
        <v>11007.82546143035</v>
      </c>
      <c r="P256" s="25">
        <f t="shared" si="6"/>
        <v>28145.244538569641</v>
      </c>
      <c r="Q256" s="25">
        <f t="array" aca="1" ref="Q256" ca="1">INDEX('Isaac 401k'!L:L,MATCH('Retirement Calculator'!A256,'Isaac 401k'!N:N,0),0)</f>
        <v>1378966.0593609679</v>
      </c>
      <c r="R256" s="25">
        <f t="array" aca="1" ref="R256" ca="1">INDEX('Lorri 401b'!L:L,MATCH('Retirement Calculator'!A256,'Lorri 401b'!N:N,0),0)</f>
        <v>3578933.5972155514</v>
      </c>
      <c r="S256" s="25">
        <f t="shared" ca="1" si="7"/>
        <v>4957899.6565765198</v>
      </c>
    </row>
    <row r="257" spans="1:19" ht="15.75" customHeight="1" x14ac:dyDescent="0.3">
      <c r="A257" s="37">
        <v>58776</v>
      </c>
      <c r="B257" s="409">
        <f t="shared" ref="B257:C257" si="253">($A257-B$9)/365.25</f>
        <v>79.041752224503767</v>
      </c>
      <c r="C257" s="409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2192</v>
      </c>
      <c r="I257" s="25">
        <f>IF(C257&lt;62,0,'Combined Retirement'!$I$13)</f>
        <v>2420</v>
      </c>
      <c r="J257" s="25">
        <f t="shared" si="3"/>
        <v>7863.2184191855868</v>
      </c>
      <c r="K257" s="25">
        <f t="shared" si="4"/>
        <v>20282.026119384056</v>
      </c>
      <c r="L257" s="25"/>
      <c r="N257" s="25">
        <f>'Combined Retirement'!$C$18/12</f>
        <v>39153.069999999992</v>
      </c>
      <c r="O257" s="25">
        <f t="shared" si="5"/>
        <v>11007.82546143035</v>
      </c>
      <c r="P257" s="25">
        <f t="shared" si="6"/>
        <v>28145.244538569641</v>
      </c>
      <c r="Q257" s="25">
        <f t="array" aca="1" ref="Q257" ca="1">INDEX('Isaac 401k'!L:L,MATCH('Retirement Calculator'!A257,'Isaac 401k'!N:N,0),0)</f>
        <v>1376815.7694457064</v>
      </c>
      <c r="R257" s="25">
        <f t="array" aca="1" ref="R257" ca="1">INDEX('Lorri 401b'!L:L,MATCH('Retirement Calculator'!A257,'Lorri 401b'!N:N,0),0)</f>
        <v>3573479.2859757347</v>
      </c>
      <c r="S257" s="25">
        <f t="shared" ca="1" si="7"/>
        <v>4950295.0554214409</v>
      </c>
    </row>
    <row r="258" spans="1:19" ht="15.75" customHeight="1" x14ac:dyDescent="0.3">
      <c r="A258" s="37">
        <v>58807</v>
      </c>
      <c r="B258" s="409">
        <f t="shared" ref="B258:C258" si="254">($A258-B$9)/365.25</f>
        <v>79.126625598904866</v>
      </c>
      <c r="C258" s="409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2192</v>
      </c>
      <c r="I258" s="25">
        <f>IF(C258&lt;62,0,'Combined Retirement'!$I$13)</f>
        <v>2420</v>
      </c>
      <c r="J258" s="25">
        <f t="shared" si="3"/>
        <v>7863.2184191855868</v>
      </c>
      <c r="K258" s="25">
        <f t="shared" si="4"/>
        <v>20282.026119384056</v>
      </c>
      <c r="L258" s="25"/>
      <c r="N258" s="25">
        <f>'Combined Retirement'!$C$18/12</f>
        <v>39153.069999999992</v>
      </c>
      <c r="O258" s="25">
        <f t="shared" si="5"/>
        <v>11007.82546143035</v>
      </c>
      <c r="P258" s="25">
        <f t="shared" si="6"/>
        <v>28145.244538569641</v>
      </c>
      <c r="Q258" s="25">
        <f t="array" aca="1" ref="Q258" ca="1">INDEX('Isaac 401k'!L:L,MATCH('Retirement Calculator'!A258,'Isaac 401k'!N:N,0),0)</f>
        <v>1374656.5199891313</v>
      </c>
      <c r="R258" s="25">
        <f t="array" aca="1" ref="R258" ca="1">INDEX('Lorri 401b'!L:L,MATCH('Retirement Calculator'!A258,'Lorri 401b'!N:N,0),0)</f>
        <v>3568002.2484390857</v>
      </c>
      <c r="S258" s="25">
        <f t="shared" ca="1" si="7"/>
        <v>4942658.7684282167</v>
      </c>
    </row>
    <row r="259" spans="1:19" ht="15.75" customHeight="1" x14ac:dyDescent="0.3">
      <c r="A259" s="37">
        <v>58838</v>
      </c>
      <c r="B259" s="409">
        <f t="shared" ref="B259:C259" si="255">($A259-B$9)/365.25</f>
        <v>79.21149897330595</v>
      </c>
      <c r="C259" s="409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2192</v>
      </c>
      <c r="I259" s="25">
        <f>IF(C259&lt;62,0,'Combined Retirement'!$I$13)</f>
        <v>2420</v>
      </c>
      <c r="J259" s="25">
        <f t="shared" si="3"/>
        <v>7863.2184191855868</v>
      </c>
      <c r="K259" s="25">
        <f t="shared" si="4"/>
        <v>20282.026119384056</v>
      </c>
      <c r="L259" s="25"/>
      <c r="N259" s="25">
        <f>'Combined Retirement'!$C$18/12</f>
        <v>39153.069999999992</v>
      </c>
      <c r="O259" s="25">
        <f t="shared" si="5"/>
        <v>11007.82546143035</v>
      </c>
      <c r="P259" s="25">
        <f t="shared" si="6"/>
        <v>28145.244538569641</v>
      </c>
      <c r="Q259" s="25">
        <f t="array" aca="1" ref="Q259" ca="1">INDEX('Isaac 401k'!L:L,MATCH('Retirement Calculator'!A259,'Isaac 401k'!N:N,0),0)</f>
        <v>1372488.2736598204</v>
      </c>
      <c r="R259" s="25">
        <f t="array" aca="1" ref="R259" ca="1">INDEX('Lorri 401b'!L:L,MATCH('Retirement Calculator'!A259,'Lorri 401b'!N:N,0),0)</f>
        <v>3562502.3899127003</v>
      </c>
      <c r="S259" s="25">
        <f t="shared" ca="1" si="7"/>
        <v>4934990.6635725209</v>
      </c>
    </row>
    <row r="260" spans="1:19" ht="15.75" customHeight="1" x14ac:dyDescent="0.3">
      <c r="A260" s="37">
        <v>58866</v>
      </c>
      <c r="B260" s="409">
        <f t="shared" ref="B260:C260" si="256">($A260-B$9)/365.25</f>
        <v>79.288158795345652</v>
      </c>
      <c r="C260" s="409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2192</v>
      </c>
      <c r="I260" s="25">
        <f>IF(C260&lt;62,0,'Combined Retirement'!$I$13)</f>
        <v>2420</v>
      </c>
      <c r="J260" s="25">
        <f t="shared" si="3"/>
        <v>7863.2184191855868</v>
      </c>
      <c r="K260" s="25">
        <f t="shared" si="4"/>
        <v>20282.026119384056</v>
      </c>
      <c r="L260" s="25"/>
      <c r="N260" s="25">
        <f>'Combined Retirement'!$C$18/12</f>
        <v>39153.069999999992</v>
      </c>
      <c r="O260" s="25">
        <f t="shared" si="5"/>
        <v>11007.82546143035</v>
      </c>
      <c r="P260" s="25">
        <f t="shared" si="6"/>
        <v>28145.244538569641</v>
      </c>
      <c r="Q260" s="25">
        <f t="array" aca="1" ref="Q260" ca="1">INDEX('Isaac 401k'!L:L,MATCH('Retirement Calculator'!A260,'Isaac 401k'!N:N,0),0)</f>
        <v>1370310.9929708042</v>
      </c>
      <c r="R260" s="25">
        <f t="array" aca="1" ref="R260" ca="1">INDEX('Lorri 401b'!L:L,MATCH('Retirement Calculator'!A260,'Lorri 401b'!N:N,0),0)</f>
        <v>3556979.6153091216</v>
      </c>
      <c r="S260" s="25">
        <f t="shared" ca="1" si="7"/>
        <v>4927290.6082799258</v>
      </c>
    </row>
    <row r="261" spans="1:19" ht="15.75" customHeight="1" x14ac:dyDescent="0.3">
      <c r="A261" s="37">
        <v>58897</v>
      </c>
      <c r="B261" s="409">
        <f t="shared" ref="B261:C261" si="257">($A261-B$9)/365.25</f>
        <v>79.37303216974675</v>
      </c>
      <c r="C261" s="409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2192</v>
      </c>
      <c r="I261" s="25">
        <f>IF(C261&lt;62,0,'Combined Retirement'!$I$13)</f>
        <v>2420</v>
      </c>
      <c r="J261" s="25">
        <f t="shared" si="3"/>
        <v>7863.2184191855868</v>
      </c>
      <c r="K261" s="25">
        <f t="shared" si="4"/>
        <v>20282.026119384056</v>
      </c>
      <c r="L261" s="25"/>
      <c r="N261" s="25">
        <f>'Combined Retirement'!$C$18/12</f>
        <v>39153.069999999992</v>
      </c>
      <c r="O261" s="25">
        <f t="shared" si="5"/>
        <v>11007.82546143035</v>
      </c>
      <c r="P261" s="25">
        <f t="shared" si="6"/>
        <v>28145.244538569641</v>
      </c>
      <c r="Q261" s="25">
        <f t="array" aca="1" ref="Q261" ca="1">INDEX('Isaac 401k'!L:L,MATCH('Retirement Calculator'!A261,'Isaac 401k'!N:N,0),0)</f>
        <v>1368124.640278917</v>
      </c>
      <c r="R261" s="25">
        <f t="array" aca="1" ref="R261" ca="1">INDEX('Lorri 401b'!L:L,MATCH('Retirement Calculator'!A261,'Lorri 401b'!N:N,0),0)</f>
        <v>3551433.8291446948</v>
      </c>
      <c r="S261" s="25">
        <f t="shared" ca="1" si="7"/>
        <v>4919558.4694236116</v>
      </c>
    </row>
    <row r="262" spans="1:19" ht="15.75" customHeight="1" x14ac:dyDescent="0.3">
      <c r="A262" s="37">
        <v>58927</v>
      </c>
      <c r="B262" s="409">
        <f t="shared" ref="B262:C262" si="258">($A262-B$9)/365.25</f>
        <v>79.455167693360707</v>
      </c>
      <c r="C262" s="409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2192</v>
      </c>
      <c r="I262" s="25">
        <f>IF(C262&lt;62,0,'Combined Retirement'!$I$13)</f>
        <v>2420</v>
      </c>
      <c r="J262" s="25">
        <f t="shared" si="3"/>
        <v>7863.2184191855868</v>
      </c>
      <c r="K262" s="25">
        <f t="shared" si="4"/>
        <v>20282.026119384056</v>
      </c>
      <c r="L262" s="25"/>
      <c r="N262" s="25">
        <f>'Combined Retirement'!$C$18/12</f>
        <v>39153.069999999992</v>
      </c>
      <c r="O262" s="25">
        <f t="shared" si="5"/>
        <v>11007.82546143035</v>
      </c>
      <c r="P262" s="25">
        <f t="shared" si="6"/>
        <v>28145.244538569641</v>
      </c>
      <c r="Q262" s="25">
        <f t="array" aca="1" ref="Q262" ca="1">INDEX('Isaac 401k'!L:L,MATCH('Retirement Calculator'!A262,'Isaac 401k'!N:N,0),0)</f>
        <v>1365929.177784147</v>
      </c>
      <c r="R262" s="25">
        <f t="array" aca="1" ref="R262" ca="1">INDEX('Lorri 401b'!L:L,MATCH('Retirement Calculator'!A262,'Lorri 401b'!N:N,0),0)</f>
        <v>3545864.9355379161</v>
      </c>
      <c r="S262" s="25">
        <f t="shared" ca="1" si="7"/>
        <v>4911794.1133220633</v>
      </c>
    </row>
    <row r="263" spans="1:19" ht="15.75" customHeight="1" x14ac:dyDescent="0.3">
      <c r="A263" s="37">
        <v>58958</v>
      </c>
      <c r="B263" s="409">
        <f t="shared" ref="B263:C263" si="259">($A263-B$9)/365.25</f>
        <v>79.540041067761805</v>
      </c>
      <c r="C263" s="409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2192</v>
      </c>
      <c r="I263" s="25">
        <f>IF(C263&lt;62,0,'Combined Retirement'!$I$13)</f>
        <v>2420</v>
      </c>
      <c r="J263" s="25">
        <f t="shared" si="3"/>
        <v>7863.2184191855868</v>
      </c>
      <c r="K263" s="25">
        <f t="shared" si="4"/>
        <v>20282.026119384056</v>
      </c>
      <c r="L263" s="25"/>
      <c r="N263" s="25">
        <f>'Combined Retirement'!$C$18/12</f>
        <v>39153.069999999992</v>
      </c>
      <c r="O263" s="25">
        <f t="shared" si="5"/>
        <v>11007.82546143035</v>
      </c>
      <c r="P263" s="25">
        <f t="shared" si="6"/>
        <v>28145.244538569641</v>
      </c>
      <c r="Q263" s="25">
        <f t="array" aca="1" ref="Q263" ca="1">INDEX('Isaac 401k'!L:L,MATCH('Retirement Calculator'!A263,'Isaac 401k'!N:N,0),0)</f>
        <v>1363724.5675289819</v>
      </c>
      <c r="R263" s="25">
        <f t="array" aca="1" ref="R263" ca="1">INDEX('Lorri 401b'!L:L,MATCH('Retirement Calculator'!A263,'Lorri 401b'!N:N,0),0)</f>
        <v>3540272.8382077762</v>
      </c>
      <c r="S263" s="25">
        <f t="shared" ca="1" si="7"/>
        <v>4903997.4057367584</v>
      </c>
    </row>
    <row r="264" spans="1:19" ht="15.75" customHeight="1" x14ac:dyDescent="0.3">
      <c r="A264" s="37">
        <v>58988</v>
      </c>
      <c r="B264" s="409">
        <f t="shared" ref="B264:C264" si="260">($A264-B$9)/365.25</f>
        <v>79.622176591375776</v>
      </c>
      <c r="C264" s="409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2192</v>
      </c>
      <c r="I264" s="25">
        <f>IF(C264&lt;62,0,'Combined Retirement'!$I$13)</f>
        <v>2420</v>
      </c>
      <c r="J264" s="25">
        <f t="shared" si="3"/>
        <v>7863.2184191855868</v>
      </c>
      <c r="K264" s="25">
        <f t="shared" si="4"/>
        <v>20282.026119384056</v>
      </c>
      <c r="L264" s="25"/>
      <c r="N264" s="25">
        <f>'Combined Retirement'!$C$18/12</f>
        <v>39153.069999999992</v>
      </c>
      <c r="O264" s="25">
        <f t="shared" si="5"/>
        <v>11007.82546143035</v>
      </c>
      <c r="P264" s="25">
        <f t="shared" si="6"/>
        <v>28145.244538569641</v>
      </c>
      <c r="Q264" s="25">
        <f t="array" aca="1" ref="Q264" ca="1">INDEX('Isaac 401k'!L:L,MATCH('Retirement Calculator'!A264,'Isaac 401k'!N:N,0),0)</f>
        <v>1361510.7713977539</v>
      </c>
      <c r="R264" s="25">
        <f t="array" aca="1" ref="R264" ca="1">INDEX('Lorri 401b'!L:L,MATCH('Retirement Calculator'!A264,'Lorri 401b'!N:N,0),0)</f>
        <v>3534657.4404720939</v>
      </c>
      <c r="S264" s="25">
        <f t="shared" ca="1" si="7"/>
        <v>4896168.211869848</v>
      </c>
    </row>
    <row r="265" spans="1:19" ht="15.75" customHeight="1" x14ac:dyDescent="0.3">
      <c r="A265" s="37">
        <v>59019</v>
      </c>
      <c r="B265" s="409">
        <f t="shared" ref="B265:C265" si="261">($A265-B$9)/365.25</f>
        <v>79.707049965776861</v>
      </c>
      <c r="C265" s="409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2192</v>
      </c>
      <c r="I265" s="25">
        <f>IF(C265&lt;62,0,'Combined Retirement'!$I$13)</f>
        <v>2420</v>
      </c>
      <c r="J265" s="25">
        <f t="shared" si="3"/>
        <v>7863.2184191855868</v>
      </c>
      <c r="K265" s="25">
        <f t="shared" si="4"/>
        <v>20282.026119384056</v>
      </c>
      <c r="L265" s="25"/>
      <c r="N265" s="25">
        <f>'Combined Retirement'!$C$18/12</f>
        <v>39153.069999999992</v>
      </c>
      <c r="O265" s="25">
        <f t="shared" si="5"/>
        <v>11007.82546143035</v>
      </c>
      <c r="P265" s="25">
        <f t="shared" si="6"/>
        <v>28145.244538569641</v>
      </c>
      <c r="Q265" s="25">
        <f t="array" aca="1" ref="Q265" ca="1">INDEX('Isaac 401k'!L:L,MATCH('Retirement Calculator'!A265,'Isaac 401k'!N:N,0),0)</f>
        <v>1359287.7511159789</v>
      </c>
      <c r="R265" s="25">
        <f t="array" aca="1" ref="R265" ca="1">INDEX('Lorri 401b'!L:L,MATCH('Retirement Calculator'!A265,'Lorri 401b'!N:N,0),0)</f>
        <v>3529018.6452458464</v>
      </c>
      <c r="S265" s="25">
        <f t="shared" ca="1" si="7"/>
        <v>4888306.3963618251</v>
      </c>
    </row>
    <row r="266" spans="1:19" ht="15.75" customHeight="1" x14ac:dyDescent="0.3">
      <c r="A266" s="37">
        <v>59050</v>
      </c>
      <c r="B266" s="409">
        <f t="shared" ref="B266:C266" si="262">($A266-B$9)/365.25</f>
        <v>79.791923340177959</v>
      </c>
      <c r="C266" s="409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2192</v>
      </c>
      <c r="I266" s="25">
        <f>IF(C266&lt;62,0,'Combined Retirement'!$I$13)</f>
        <v>2420</v>
      </c>
      <c r="J266" s="25">
        <f t="shared" ref="J266:J520" si="263">IF(C266&lt;59.5,P266,P266*$J$7)</f>
        <v>7863.2184191855868</v>
      </c>
      <c r="K266" s="25">
        <f t="shared" ref="K266:K520" si="264">IF(C266&lt;59.5,0,IF(C266&lt;$B$7,0,P266*$K$7))</f>
        <v>20282.026119384056</v>
      </c>
      <c r="L266" s="25"/>
      <c r="N266" s="25">
        <f>'Combined Retirement'!$C$18/12</f>
        <v>39153.069999999992</v>
      </c>
      <c r="O266" s="25">
        <f t="shared" ref="O266:O520" si="265">SUM(E266:I266)</f>
        <v>11007.82546143035</v>
      </c>
      <c r="P266" s="25">
        <f t="shared" ref="P266:P520" si="266">N266-O266</f>
        <v>28145.244538569641</v>
      </c>
      <c r="Q266" s="25">
        <f t="array" aca="1" ref="Q266" ca="1">INDEX('Isaac 401k'!L:L,MATCH('Retirement Calculator'!A266,'Isaac 401k'!N:N,0),0)</f>
        <v>1357055.4682496965</v>
      </c>
      <c r="R266" s="25">
        <f t="array" aca="1" ref="R266" ca="1">INDEX('Lorri 401b'!L:L,MATCH('Retirement Calculator'!A266,'Lorri 401b'!N:N,0),0)</f>
        <v>3523356.3550394895</v>
      </c>
      <c r="S266" s="25">
        <f t="shared" ref="S266:S520" ca="1" si="267">SUM(Q266:R266)</f>
        <v>4880411.8232891858</v>
      </c>
    </row>
    <row r="267" spans="1:19" ht="15.75" customHeight="1" x14ac:dyDescent="0.3">
      <c r="A267" s="37">
        <v>59080</v>
      </c>
      <c r="B267" s="409">
        <f t="shared" ref="B267:C267" si="268">($A267-B$9)/365.25</f>
        <v>79.87405886379193</v>
      </c>
      <c r="C267" s="409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2192</v>
      </c>
      <c r="I267" s="25">
        <f>IF(C267&lt;62,0,'Combined Retirement'!$I$13)</f>
        <v>2420</v>
      </c>
      <c r="J267" s="25">
        <f t="shared" si="263"/>
        <v>7863.2184191855868</v>
      </c>
      <c r="K267" s="25">
        <f t="shared" si="264"/>
        <v>20282.026119384056</v>
      </c>
      <c r="L267" s="25"/>
      <c r="N267" s="25">
        <f>'Combined Retirement'!$C$18/12</f>
        <v>39153.069999999992</v>
      </c>
      <c r="O267" s="25">
        <f t="shared" si="265"/>
        <v>11007.82546143035</v>
      </c>
      <c r="P267" s="25">
        <f t="shared" si="266"/>
        <v>28145.244538569641</v>
      </c>
      <c r="Q267" s="25">
        <f t="array" aca="1" ref="Q267" ca="1">INDEX('Isaac 401k'!L:L,MATCH('Retirement Calculator'!A267,'Isaac 401k'!N:N,0),0)</f>
        <v>1354813.8842048047</v>
      </c>
      <c r="R267" s="25">
        <f t="array" aca="1" ref="R267" ca="1">INDEX('Lorri 401b'!L:L,MATCH('Retirement Calculator'!A267,'Lorri 401b'!N:N,0),0)</f>
        <v>3517670.4719572724</v>
      </c>
      <c r="S267" s="25">
        <f t="shared" ca="1" si="267"/>
        <v>4872484.3561620768</v>
      </c>
    </row>
    <row r="268" spans="1:19" ht="15.75" customHeight="1" x14ac:dyDescent="0.3">
      <c r="A268" s="37">
        <v>59111</v>
      </c>
      <c r="B268" s="409">
        <f t="shared" ref="B268:C268" si="269">($A268-B$9)/365.25</f>
        <v>79.958932238193015</v>
      </c>
      <c r="C268" s="409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2192</v>
      </c>
      <c r="I268" s="25">
        <f>IF(C268&lt;62,0,'Combined Retirement'!$I$13)</f>
        <v>2420</v>
      </c>
      <c r="J268" s="25">
        <f t="shared" si="263"/>
        <v>7863.2184191855868</v>
      </c>
      <c r="K268" s="25">
        <f t="shared" si="264"/>
        <v>20282.026119384056</v>
      </c>
      <c r="L268" s="25"/>
      <c r="N268" s="25">
        <f>'Combined Retirement'!$C$18/12</f>
        <v>39153.069999999992</v>
      </c>
      <c r="O268" s="25">
        <f t="shared" si="265"/>
        <v>11007.82546143035</v>
      </c>
      <c r="P268" s="25">
        <f t="shared" si="266"/>
        <v>28145.244538569641</v>
      </c>
      <c r="Q268" s="25">
        <f t="array" aca="1" ref="Q268" ca="1">INDEX('Isaac 401k'!L:L,MATCH('Retirement Calculator'!A268,'Isaac 401k'!N:N,0),0)</f>
        <v>1352562.9602263924</v>
      </c>
      <c r="R268" s="25">
        <f t="array" aca="1" ref="R268" ca="1">INDEX('Lorri 401b'!L:L,MATCH('Retirement Calculator'!A268,'Lorri 401b'!N:N,0),0)</f>
        <v>3511960.897695546</v>
      </c>
      <c r="S268" s="25">
        <f t="shared" ca="1" si="267"/>
        <v>4864523.8579219384</v>
      </c>
    </row>
    <row r="269" spans="1:19" ht="15.75" customHeight="1" x14ac:dyDescent="0.3">
      <c r="A269" s="37">
        <v>59141</v>
      </c>
      <c r="B269" s="409">
        <f t="shared" ref="B269:C269" si="270">($A269-B$9)/365.25</f>
        <v>80.041067761806985</v>
      </c>
      <c r="C269" s="409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2192</v>
      </c>
      <c r="I269" s="25">
        <f>IF(C269&lt;62,0,'Combined Retirement'!$I$13)</f>
        <v>2420</v>
      </c>
      <c r="J269" s="25">
        <f t="shared" si="263"/>
        <v>7863.2184191855868</v>
      </c>
      <c r="K269" s="25">
        <f t="shared" si="264"/>
        <v>20282.026119384056</v>
      </c>
      <c r="L269" s="25"/>
      <c r="N269" s="25">
        <f>'Combined Retirement'!$C$18/12</f>
        <v>39153.069999999992</v>
      </c>
      <c r="O269" s="25">
        <f t="shared" si="265"/>
        <v>11007.82546143035</v>
      </c>
      <c r="P269" s="25">
        <f t="shared" si="266"/>
        <v>28145.244538569641</v>
      </c>
      <c r="Q269" s="25">
        <f t="array" aca="1" ref="Q269" ca="1">INDEX('Isaac 401k'!L:L,MATCH('Retirement Calculator'!A269,'Isaac 401k'!N:N,0),0)</f>
        <v>1350302.6573980702</v>
      </c>
      <c r="R269" s="25">
        <f t="array" aca="1" ref="R269" ca="1">INDEX('Lorri 401b'!L:L,MATCH('Retirement Calculator'!A269,'Lorri 401b'!N:N,0),0)</f>
        <v>3506227.5335410628</v>
      </c>
      <c r="S269" s="25">
        <f t="shared" ca="1" si="267"/>
        <v>4856530.1909391331</v>
      </c>
    </row>
    <row r="270" spans="1:19" ht="15.75" customHeight="1" x14ac:dyDescent="0.3">
      <c r="A270" s="37">
        <v>59172</v>
      </c>
      <c r="B270" s="409">
        <f t="shared" ref="B270:C270" si="271">($A270-B$9)/365.25</f>
        <v>80.12594113620807</v>
      </c>
      <c r="C270" s="409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2192</v>
      </c>
      <c r="I270" s="25">
        <f>IF(C270&lt;62,0,'Combined Retirement'!$I$13)</f>
        <v>2420</v>
      </c>
      <c r="J270" s="25">
        <f t="shared" si="263"/>
        <v>7863.2184191855868</v>
      </c>
      <c r="K270" s="25">
        <f t="shared" si="264"/>
        <v>20282.026119384056</v>
      </c>
      <c r="L270" s="25"/>
      <c r="N270" s="25">
        <f>'Combined Retirement'!$C$18/12</f>
        <v>39153.069999999992</v>
      </c>
      <c r="O270" s="25">
        <f t="shared" si="265"/>
        <v>11007.82546143035</v>
      </c>
      <c r="P270" s="25">
        <f t="shared" si="266"/>
        <v>28145.244538569641</v>
      </c>
      <c r="Q270" s="25">
        <f t="array" aca="1" ref="Q270" ca="1">INDEX('Isaac 401k'!L:L,MATCH('Retirement Calculator'!A270,'Isaac 401k'!N:N,0),0)</f>
        <v>1348032.9366412966</v>
      </c>
      <c r="R270" s="25">
        <f t="array" aca="1" ref="R270" ca="1">INDEX('Lorri 401b'!L:L,MATCH('Retirement Calculator'!A270,'Lorri 401b'!N:N,0),0)</f>
        <v>3500470.2803692692</v>
      </c>
      <c r="S270" s="25">
        <f t="shared" ca="1" si="267"/>
        <v>4848503.217010566</v>
      </c>
    </row>
    <row r="271" spans="1:19" ht="15.75" customHeight="1" x14ac:dyDescent="0.3">
      <c r="A271" s="37">
        <v>59203</v>
      </c>
      <c r="B271" s="409">
        <f t="shared" ref="B271:C271" si="272">($A271-B$9)/365.25</f>
        <v>80.210814510609168</v>
      </c>
      <c r="C271" s="409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2192</v>
      </c>
      <c r="I271" s="25">
        <f>IF(C271&lt;62,0,'Combined Retirement'!$I$13)</f>
        <v>2420</v>
      </c>
      <c r="J271" s="25">
        <f t="shared" si="263"/>
        <v>7863.2184191855868</v>
      </c>
      <c r="K271" s="25">
        <f t="shared" si="264"/>
        <v>20282.026119384056</v>
      </c>
      <c r="L271" s="25"/>
      <c r="N271" s="25">
        <f>'Combined Retirement'!$C$18/12</f>
        <v>39153.069999999992</v>
      </c>
      <c r="O271" s="25">
        <f t="shared" si="265"/>
        <v>11007.82546143035</v>
      </c>
      <c r="P271" s="25">
        <f t="shared" si="266"/>
        <v>28145.244538569641</v>
      </c>
      <c r="Q271" s="25">
        <f t="array" aca="1" ref="Q271" ca="1">INDEX('Isaac 401k'!L:L,MATCH('Retirement Calculator'!A271,'Isaac 401k'!N:N,0),0)</f>
        <v>1345753.7587147031</v>
      </c>
      <c r="R271" s="25">
        <f t="array" aca="1" ref="R271" ca="1">INDEX('Lorri 401b'!L:L,MATCH('Retirement Calculator'!A271,'Lorri 401b'!N:N,0),0)</f>
        <v>3494689.0386425932</v>
      </c>
      <c r="S271" s="25">
        <f t="shared" ca="1" si="267"/>
        <v>4840442.7973572966</v>
      </c>
    </row>
    <row r="272" spans="1:19" ht="15.75" customHeight="1" x14ac:dyDescent="0.3">
      <c r="A272" s="37">
        <v>59231</v>
      </c>
      <c r="B272" s="409">
        <f t="shared" ref="B272:C272" si="273">($A272-B$9)/365.25</f>
        <v>80.28747433264887</v>
      </c>
      <c r="C272" s="409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2192</v>
      </c>
      <c r="I272" s="25">
        <f>IF(C272&lt;62,0,'Combined Retirement'!$I$13)</f>
        <v>2420</v>
      </c>
      <c r="J272" s="25">
        <f t="shared" si="263"/>
        <v>7863.2184191855868</v>
      </c>
      <c r="K272" s="25">
        <f t="shared" si="264"/>
        <v>20282.026119384056</v>
      </c>
      <c r="L272" s="25"/>
      <c r="N272" s="25">
        <f>'Combined Retirement'!$C$18/12</f>
        <v>39153.069999999992</v>
      </c>
      <c r="O272" s="25">
        <f t="shared" si="265"/>
        <v>11007.82546143035</v>
      </c>
      <c r="P272" s="25">
        <f t="shared" si="266"/>
        <v>28145.244538569641</v>
      </c>
      <c r="Q272" s="25">
        <f t="array" aca="1" ref="Q272" ca="1">INDEX('Isaac 401k'!L:L,MATCH('Retirement Calculator'!A272,'Isaac 401k'!N:N,0),0)</f>
        <v>1343465.0842134156</v>
      </c>
      <c r="R272" s="25">
        <f t="array" aca="1" ref="R272" ca="1">INDEX('Lorri 401b'!L:L,MATCH('Retirement Calculator'!A272,'Lorri 401b'!N:N,0),0)</f>
        <v>3488883.7084087227</v>
      </c>
      <c r="S272" s="25">
        <f t="shared" ca="1" si="267"/>
        <v>4832348.7926221378</v>
      </c>
    </row>
    <row r="273" spans="1:19" ht="15.75" customHeight="1" x14ac:dyDescent="0.3">
      <c r="A273" s="37">
        <v>59262</v>
      </c>
      <c r="B273" s="409">
        <f t="shared" ref="B273:C273" si="274">($A273-B$9)/365.25</f>
        <v>80.372347707049968</v>
      </c>
      <c r="C273" s="409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2192</v>
      </c>
      <c r="I273" s="25">
        <f>IF(C273&lt;62,0,'Combined Retirement'!$I$13)</f>
        <v>2420</v>
      </c>
      <c r="J273" s="25">
        <f t="shared" si="263"/>
        <v>7863.2184191855868</v>
      </c>
      <c r="K273" s="25">
        <f t="shared" si="264"/>
        <v>20282.026119384056</v>
      </c>
      <c r="L273" s="25"/>
      <c r="N273" s="25">
        <f>'Combined Retirement'!$C$18/12</f>
        <v>39153.069999999992</v>
      </c>
      <c r="O273" s="25">
        <f t="shared" si="265"/>
        <v>11007.82546143035</v>
      </c>
      <c r="P273" s="25">
        <f t="shared" si="266"/>
        <v>28145.244538569641</v>
      </c>
      <c r="Q273" s="25">
        <f t="array" aca="1" ref="Q273" ca="1">INDEX('Isaac 401k'!L:L,MATCH('Retirement Calculator'!A273,'Isaac 401k'!N:N,0),0)</f>
        <v>1341166.8735683726</v>
      </c>
      <c r="R273" s="25">
        <f t="array" aca="1" ref="R273" ca="1">INDEX('Lorri 401b'!L:L,MATCH('Retirement Calculator'!A273,'Lorri 401b'!N:N,0),0)</f>
        <v>3483054.1892988775</v>
      </c>
      <c r="S273" s="25">
        <f t="shared" ca="1" si="267"/>
        <v>4824221.0628672503</v>
      </c>
    </row>
    <row r="274" spans="1:19" ht="15.75" customHeight="1" x14ac:dyDescent="0.3">
      <c r="A274" s="37">
        <v>59292</v>
      </c>
      <c r="B274" s="409">
        <f t="shared" ref="B274:C274" si="275">($A274-B$9)/365.25</f>
        <v>80.454483230663925</v>
      </c>
      <c r="C274" s="409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2192</v>
      </c>
      <c r="I274" s="25">
        <f>IF(C274&lt;62,0,'Combined Retirement'!$I$13)</f>
        <v>2420</v>
      </c>
      <c r="J274" s="25">
        <f t="shared" si="263"/>
        <v>7863.2184191855868</v>
      </c>
      <c r="K274" s="25">
        <f t="shared" si="264"/>
        <v>20282.026119384056</v>
      </c>
      <c r="L274" s="25"/>
      <c r="N274" s="25">
        <f>'Combined Retirement'!$C$18/12</f>
        <v>39153.069999999992</v>
      </c>
      <c r="O274" s="25">
        <f t="shared" si="265"/>
        <v>11007.82546143035</v>
      </c>
      <c r="P274" s="25">
        <f t="shared" si="266"/>
        <v>28145.244538569641</v>
      </c>
      <c r="Q274" s="25">
        <f t="array" aca="1" ref="Q274" ca="1">INDEX('Isaac 401k'!L:L,MATCH('Retirement Calculator'!A274,'Isaac 401k'!N:N,0),0)</f>
        <v>1338859.0870456418</v>
      </c>
      <c r="R274" s="25">
        <f t="array" aca="1" ref="R274" ca="1">INDEX('Lorri 401b'!L:L,MATCH('Retirement Calculator'!A274,'Lorri 401b'!N:N,0),0)</f>
        <v>3477200.3805260747</v>
      </c>
      <c r="S274" s="25">
        <f t="shared" ca="1" si="267"/>
        <v>4816059.4675717168</v>
      </c>
    </row>
    <row r="275" spans="1:19" ht="15.75" customHeight="1" x14ac:dyDescent="0.3">
      <c r="A275" s="37">
        <v>59323</v>
      </c>
      <c r="B275" s="409">
        <f t="shared" ref="B275:C275" si="276">($A275-B$9)/365.25</f>
        <v>80.539356605065024</v>
      </c>
      <c r="C275" s="409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2192</v>
      </c>
      <c r="I275" s="25">
        <f>IF(C275&lt;62,0,'Combined Retirement'!$I$13)</f>
        <v>2420</v>
      </c>
      <c r="J275" s="25">
        <f t="shared" si="263"/>
        <v>7863.2184191855868</v>
      </c>
      <c r="K275" s="25">
        <f t="shared" si="264"/>
        <v>20282.026119384056</v>
      </c>
      <c r="L275" s="25"/>
      <c r="N275" s="25">
        <f>'Combined Retirement'!$C$18/12</f>
        <v>39153.069999999992</v>
      </c>
      <c r="O275" s="25">
        <f t="shared" si="265"/>
        <v>11007.82546143035</v>
      </c>
      <c r="P275" s="25">
        <f t="shared" si="266"/>
        <v>28145.244538569641</v>
      </c>
      <c r="Q275" s="25">
        <f t="array" aca="1" ref="Q275" ca="1">INDEX('Isaac 401k'!L:L,MATCH('Retirement Calculator'!A275,'Isaac 401k'!N:N,0),0)</f>
        <v>1336541.6847457332</v>
      </c>
      <c r="R275" s="25">
        <f t="array" aca="1" ref="R275" ca="1">INDEX('Lorri 401b'!L:L,MATCH('Retirement Calculator'!A275,'Lorri 401b'!N:N,0),0)</f>
        <v>3471322.1808833852</v>
      </c>
      <c r="S275" s="25">
        <f t="shared" ca="1" si="267"/>
        <v>4807863.8656291179</v>
      </c>
    </row>
    <row r="276" spans="1:19" ht="15.75" customHeight="1" x14ac:dyDescent="0.3">
      <c r="A276" s="37">
        <v>59353</v>
      </c>
      <c r="B276" s="409">
        <f t="shared" ref="B276:C276" si="277">($A276-B$9)/365.25</f>
        <v>80.62149212867898</v>
      </c>
      <c r="C276" s="409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2192</v>
      </c>
      <c r="I276" s="25">
        <f>IF(C276&lt;62,0,'Combined Retirement'!$I$13)</f>
        <v>2420</v>
      </c>
      <c r="J276" s="25">
        <f t="shared" si="263"/>
        <v>7863.2184191855868</v>
      </c>
      <c r="K276" s="25">
        <f t="shared" si="264"/>
        <v>20282.026119384056</v>
      </c>
      <c r="L276" s="25"/>
      <c r="N276" s="25">
        <f>'Combined Retirement'!$C$18/12</f>
        <v>39153.069999999992</v>
      </c>
      <c r="O276" s="25">
        <f t="shared" si="265"/>
        <v>11007.82546143035</v>
      </c>
      <c r="P276" s="25">
        <f t="shared" si="266"/>
        <v>28145.244538569641</v>
      </c>
      <c r="Q276" s="25">
        <f t="array" aca="1" ref="Q276" ca="1">INDEX('Isaac 401k'!L:L,MATCH('Retirement Calculator'!A276,'Isaac 401k'!N:N,0),0)</f>
        <v>1334214.6266029081</v>
      </c>
      <c r="R276" s="25">
        <f t="array" aca="1" ref="R276" ca="1">INDEX('Lorri 401b'!L:L,MATCH('Retirement Calculator'!A276,'Lorri 401b'!N:N,0),0)</f>
        <v>3465419.4887421848</v>
      </c>
      <c r="S276" s="25">
        <f t="shared" ca="1" si="267"/>
        <v>4799634.1153450925</v>
      </c>
    </row>
    <row r="277" spans="1:19" ht="15.75" customHeight="1" x14ac:dyDescent="0.3">
      <c r="A277" s="37">
        <v>59384</v>
      </c>
      <c r="B277" s="409">
        <f t="shared" ref="B277:C277" si="278">($A277-B$9)/365.25</f>
        <v>80.706365503080079</v>
      </c>
      <c r="C277" s="409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2192</v>
      </c>
      <c r="I277" s="25">
        <f>IF(C277&lt;62,0,'Combined Retirement'!$I$13)</f>
        <v>2420</v>
      </c>
      <c r="J277" s="25">
        <f t="shared" si="263"/>
        <v>7863.2184191855868</v>
      </c>
      <c r="K277" s="25">
        <f t="shared" si="264"/>
        <v>20282.026119384056</v>
      </c>
      <c r="L277" s="25"/>
      <c r="N277" s="25">
        <f>'Combined Retirement'!$C$18/12</f>
        <v>39153.069999999992</v>
      </c>
      <c r="O277" s="25">
        <f t="shared" si="265"/>
        <v>11007.82546143035</v>
      </c>
      <c r="P277" s="25">
        <f t="shared" si="266"/>
        <v>28145.244538569641</v>
      </c>
      <c r="Q277" s="25">
        <f t="array" aca="1" ref="Q277" ca="1">INDEX('Isaac 401k'!L:L,MATCH('Retirement Calculator'!A277,'Isaac 401k'!N:N,0),0)</f>
        <v>1331877.8723844881</v>
      </c>
      <c r="R277" s="25">
        <f t="array" aca="1" ref="R277" ca="1">INDEX('Lorri 401b'!L:L,MATCH('Retirement Calculator'!A277,'Lorri 401b'!N:N,0),0)</f>
        <v>3459492.2020503958</v>
      </c>
      <c r="S277" s="25">
        <f t="shared" ca="1" si="267"/>
        <v>4791370.0744348839</v>
      </c>
    </row>
    <row r="278" spans="1:19" ht="15.75" customHeight="1" x14ac:dyDescent="0.3">
      <c r="A278" s="37">
        <v>59415</v>
      </c>
      <c r="B278" s="409">
        <f t="shared" ref="B278:C278" si="279">($A278-B$9)/365.25</f>
        <v>80.791238877481177</v>
      </c>
      <c r="C278" s="409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2192</v>
      </c>
      <c r="I278" s="25">
        <f>IF(C278&lt;62,0,'Combined Retirement'!$I$13)</f>
        <v>2420</v>
      </c>
      <c r="J278" s="25">
        <f t="shared" si="263"/>
        <v>7863.2184191855868</v>
      </c>
      <c r="K278" s="25">
        <f t="shared" si="264"/>
        <v>20282.026119384056</v>
      </c>
      <c r="L278" s="25"/>
      <c r="N278" s="25">
        <f>'Combined Retirement'!$C$18/12</f>
        <v>39153.069999999992</v>
      </c>
      <c r="O278" s="25">
        <f t="shared" si="265"/>
        <v>11007.82546143035</v>
      </c>
      <c r="P278" s="25">
        <f t="shared" si="266"/>
        <v>28145.244538569641</v>
      </c>
      <c r="Q278" s="25">
        <f t="array" aca="1" ref="Q278" ca="1">INDEX('Isaac 401k'!L:L,MATCH('Retirement Calculator'!A278,'Isaac 401k'!N:N,0),0)</f>
        <v>1329531.381690158</v>
      </c>
      <c r="R278" s="25">
        <f t="array" aca="1" ref="R278" ca="1">INDEX('Lorri 401b'!L:L,MATCH('Retirement Calculator'!A278,'Lorri 401b'!N:N,0),0)</f>
        <v>3453540.2183307242</v>
      </c>
      <c r="S278" s="25">
        <f t="shared" ca="1" si="267"/>
        <v>4783071.6000208817</v>
      </c>
    </row>
    <row r="279" spans="1:19" ht="15.75" customHeight="1" x14ac:dyDescent="0.3">
      <c r="A279" s="37">
        <v>59445</v>
      </c>
      <c r="B279" s="409">
        <f t="shared" ref="B279:C279" si="280">($A279-B$9)/365.25</f>
        <v>80.873374401095134</v>
      </c>
      <c r="C279" s="409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2192</v>
      </c>
      <c r="I279" s="25">
        <f>IF(C279&lt;62,0,'Combined Retirement'!$I$13)</f>
        <v>2420</v>
      </c>
      <c r="J279" s="25">
        <f t="shared" si="263"/>
        <v>7863.2184191855868</v>
      </c>
      <c r="K279" s="25">
        <f t="shared" si="264"/>
        <v>20282.026119384056</v>
      </c>
      <c r="L279" s="25"/>
      <c r="N279" s="25">
        <f>'Combined Retirement'!$C$18/12</f>
        <v>39153.069999999992</v>
      </c>
      <c r="O279" s="25">
        <f t="shared" si="265"/>
        <v>11007.82546143035</v>
      </c>
      <c r="P279" s="25">
        <f t="shared" si="266"/>
        <v>28145.244538569641</v>
      </c>
      <c r="Q279" s="25">
        <f t="array" aca="1" ref="Q279" ca="1">INDEX('Isaac 401k'!L:L,MATCH('Retirement Calculator'!A279,'Isaac 401k'!N:N,0),0)</f>
        <v>1327175.1139512681</v>
      </c>
      <c r="R279" s="25">
        <f t="array" aca="1" ref="R279" ca="1">INDEX('Lorri 401b'!L:L,MATCH('Retirement Calculator'!A279,'Lorri 401b'!N:N,0),0)</f>
        <v>3447563.4346788875</v>
      </c>
      <c r="S279" s="25">
        <f t="shared" ca="1" si="267"/>
        <v>4774738.5486301556</v>
      </c>
    </row>
    <row r="280" spans="1:19" ht="15.75" customHeight="1" x14ac:dyDescent="0.3">
      <c r="A280" s="37">
        <v>59476</v>
      </c>
      <c r="B280" s="409">
        <f t="shared" ref="B280:C280" si="281">($A280-B$9)/365.25</f>
        <v>80.958247775496233</v>
      </c>
      <c r="C280" s="409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2192</v>
      </c>
      <c r="I280" s="25">
        <f>IF(C280&lt;62,0,'Combined Retirement'!$I$13)</f>
        <v>2420</v>
      </c>
      <c r="J280" s="25">
        <f t="shared" si="263"/>
        <v>7863.2184191855868</v>
      </c>
      <c r="K280" s="25">
        <f t="shared" si="264"/>
        <v>20282.026119384056</v>
      </c>
      <c r="L280" s="25"/>
      <c r="N280" s="25">
        <f>'Combined Retirement'!$C$18/12</f>
        <v>39153.069999999992</v>
      </c>
      <c r="O280" s="25">
        <f t="shared" si="265"/>
        <v>11007.82546143035</v>
      </c>
      <c r="P280" s="25">
        <f t="shared" si="266"/>
        <v>28145.244538569641</v>
      </c>
      <c r="Q280" s="25">
        <f t="array" aca="1" ref="Q280" ca="1">INDEX('Isaac 401k'!L:L,MATCH('Retirement Calculator'!A280,'Isaac 401k'!N:N,0),0)</f>
        <v>1324809.0284301329</v>
      </c>
      <c r="R280" s="25">
        <f t="array" aca="1" ref="R280" ca="1">INDEX('Lorri 401b'!L:L,MATCH('Retirement Calculator'!A280,'Lorri 401b'!N:N,0),0)</f>
        <v>3441561.7477618349</v>
      </c>
      <c r="S280" s="25">
        <f t="shared" ca="1" si="267"/>
        <v>4766370.7761919675</v>
      </c>
    </row>
    <row r="281" spans="1:19" ht="15.75" customHeight="1" x14ac:dyDescent="0.3">
      <c r="A281" s="37">
        <v>59506</v>
      </c>
      <c r="B281" s="409">
        <f t="shared" ref="B281:C281" si="282">($A281-B$9)/365.25</f>
        <v>81.040383299110204</v>
      </c>
      <c r="C281" s="409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2192</v>
      </c>
      <c r="I281" s="25">
        <f>IF(C281&lt;62,0,'Combined Retirement'!$I$13)</f>
        <v>2420</v>
      </c>
      <c r="J281" s="25">
        <f t="shared" si="263"/>
        <v>7863.2184191855868</v>
      </c>
      <c r="K281" s="25">
        <f t="shared" si="264"/>
        <v>20282.026119384056</v>
      </c>
      <c r="L281" s="25"/>
      <c r="N281" s="25">
        <f>'Combined Retirement'!$C$18/12</f>
        <v>39153.069999999992</v>
      </c>
      <c r="O281" s="25">
        <f t="shared" si="265"/>
        <v>11007.82546143035</v>
      </c>
      <c r="P281" s="25">
        <f t="shared" si="266"/>
        <v>28145.244538569641</v>
      </c>
      <c r="Q281" s="25">
        <f t="array" aca="1" ref="Q281" ca="1">INDEX('Isaac 401k'!L:L,MATCH('Retirement Calculator'!A281,'Isaac 401k'!N:N,0),0)</f>
        <v>1322433.0842193263</v>
      </c>
      <c r="R281" s="25">
        <f t="array" aca="1" ref="R281" ca="1">INDEX('Lorri 401b'!L:L,MATCH('Retirement Calculator'!A281,'Lorri 401b'!N:N,0),0)</f>
        <v>3435535.0538159609</v>
      </c>
      <c r="S281" s="25">
        <f t="shared" ca="1" si="267"/>
        <v>4757968.1380352871</v>
      </c>
    </row>
    <row r="282" spans="1:19" ht="15.75" customHeight="1" x14ac:dyDescent="0.3">
      <c r="A282" s="37">
        <v>59537</v>
      </c>
      <c r="B282" s="409">
        <f t="shared" ref="B282:C282" si="283">($A282-B$9)/365.25</f>
        <v>81.125256673511288</v>
      </c>
      <c r="C282" s="409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2192</v>
      </c>
      <c r="I282" s="25">
        <f>IF(C282&lt;62,0,'Combined Retirement'!$I$13)</f>
        <v>2420</v>
      </c>
      <c r="J282" s="25">
        <f t="shared" si="263"/>
        <v>7863.2184191855868</v>
      </c>
      <c r="K282" s="25">
        <f t="shared" si="264"/>
        <v>20282.026119384056</v>
      </c>
      <c r="L282" s="25"/>
      <c r="N282" s="25">
        <f>'Combined Retirement'!$C$18/12</f>
        <v>39153.069999999992</v>
      </c>
      <c r="O282" s="25">
        <f t="shared" si="265"/>
        <v>11007.82546143035</v>
      </c>
      <c r="P282" s="25">
        <f t="shared" si="266"/>
        <v>28145.244538569641</v>
      </c>
      <c r="Q282" s="25">
        <f t="array" aca="1" ref="Q282" ca="1">INDEX('Isaac 401k'!L:L,MATCH('Retirement Calculator'!A282,'Isaac 401k'!N:N,0),0)</f>
        <v>1320047.2402409746</v>
      </c>
      <c r="R282" s="25">
        <f t="array" aca="1" ref="R282" ca="1">INDEX('Lorri 401b'!L:L,MATCH('Retirement Calculator'!A282,'Lorri 401b'!N:N,0),0)</f>
        <v>3429483.2486453126</v>
      </c>
      <c r="S282" s="25">
        <f t="shared" ca="1" si="267"/>
        <v>4749530.4888862874</v>
      </c>
    </row>
    <row r="283" spans="1:19" ht="15.75" customHeight="1" x14ac:dyDescent="0.3">
      <c r="A283" s="37">
        <v>59568</v>
      </c>
      <c r="B283" s="409">
        <f t="shared" ref="B283:C283" si="284">($A283-B$9)/365.25</f>
        <v>81.210130047912386</v>
      </c>
      <c r="C283" s="409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2192</v>
      </c>
      <c r="I283" s="25">
        <f>IF(C283&lt;62,0,'Combined Retirement'!$I$13)</f>
        <v>2420</v>
      </c>
      <c r="J283" s="25">
        <f t="shared" si="263"/>
        <v>7863.2184191855868</v>
      </c>
      <c r="K283" s="25">
        <f t="shared" si="264"/>
        <v>20282.026119384056</v>
      </c>
      <c r="L283" s="25"/>
      <c r="N283" s="25">
        <f>'Combined Retirement'!$C$18/12</f>
        <v>39153.069999999992</v>
      </c>
      <c r="O283" s="25">
        <f t="shared" si="265"/>
        <v>11007.82546143035</v>
      </c>
      <c r="P283" s="25">
        <f t="shared" si="266"/>
        <v>28145.244538569641</v>
      </c>
      <c r="Q283" s="25">
        <f t="array" aca="1" ref="Q283" ca="1">INDEX('Isaac 401k'!L:L,MATCH('Retirement Calculator'!A283,'Isaac 401k'!N:N,0),0)</f>
        <v>1317651.4552460464</v>
      </c>
      <c r="R283" s="25">
        <f t="array" aca="1" ref="R283" ca="1">INDEX('Lorri 401b'!L:L,MATCH('Retirement Calculator'!A283,'Lorri 401b'!N:N,0),0)</f>
        <v>3423406.2276197867</v>
      </c>
      <c r="S283" s="25">
        <f t="shared" ca="1" si="267"/>
        <v>4741057.6828658329</v>
      </c>
    </row>
    <row r="284" spans="1:19" ht="15.75" customHeight="1" x14ac:dyDescent="0.3">
      <c r="A284" s="37">
        <v>59596</v>
      </c>
      <c r="B284" s="409">
        <f t="shared" ref="B284:C284" si="285">($A284-B$9)/365.25</f>
        <v>81.286789869952088</v>
      </c>
      <c r="C284" s="409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2192</v>
      </c>
      <c r="I284" s="25">
        <f>IF(C284&lt;62,0,'Combined Retirement'!$I$13)</f>
        <v>2420</v>
      </c>
      <c r="J284" s="25">
        <f t="shared" si="263"/>
        <v>7863.2184191855868</v>
      </c>
      <c r="K284" s="25">
        <f t="shared" si="264"/>
        <v>20282.026119384056</v>
      </c>
      <c r="L284" s="25"/>
      <c r="N284" s="25">
        <f>'Combined Retirement'!$C$18/12</f>
        <v>39153.069999999992</v>
      </c>
      <c r="O284" s="25">
        <f t="shared" si="265"/>
        <v>11007.82546143035</v>
      </c>
      <c r="P284" s="25">
        <f t="shared" si="266"/>
        <v>28145.244538569641</v>
      </c>
      <c r="Q284" s="25">
        <f t="array" aca="1" ref="Q284" ca="1">INDEX('Isaac 401k'!L:L,MATCH('Retirement Calculator'!A284,'Isaac 401k'!N:N,0),0)</f>
        <v>1315245.6878136394</v>
      </c>
      <c r="R284" s="25">
        <f t="array" aca="1" ref="R284" ca="1">INDEX('Lorri 401b'!L:L,MATCH('Retirement Calculator'!A284,'Lorri 401b'!N:N,0),0)</f>
        <v>3417303.8856733213</v>
      </c>
      <c r="S284" s="25">
        <f t="shared" ca="1" si="267"/>
        <v>4732549.5734869605</v>
      </c>
    </row>
    <row r="285" spans="1:19" ht="15.75" customHeight="1" x14ac:dyDescent="0.3">
      <c r="A285" s="37">
        <v>59627</v>
      </c>
      <c r="B285" s="409">
        <f t="shared" ref="B285:C285" si="286">($A285-B$9)/365.25</f>
        <v>81.371663244353186</v>
      </c>
      <c r="C285" s="409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2192</v>
      </c>
      <c r="I285" s="25">
        <f>IF(C285&lt;62,0,'Combined Retirement'!$I$13)</f>
        <v>2420</v>
      </c>
      <c r="J285" s="25">
        <f t="shared" si="263"/>
        <v>7863.2184191855868</v>
      </c>
      <c r="K285" s="25">
        <f t="shared" si="264"/>
        <v>20282.026119384056</v>
      </c>
      <c r="L285" s="25"/>
      <c r="N285" s="25">
        <f>'Combined Retirement'!$C$18/12</f>
        <v>39153.069999999992</v>
      </c>
      <c r="O285" s="25">
        <f t="shared" si="265"/>
        <v>11007.82546143035</v>
      </c>
      <c r="P285" s="25">
        <f t="shared" si="266"/>
        <v>28145.244538569641</v>
      </c>
      <c r="Q285" s="25">
        <f t="array" aca="1" ref="Q285" ca="1">INDEX('Isaac 401k'!L:L,MATCH('Retirement Calculator'!A285,'Isaac 401k'!N:N,0),0)</f>
        <v>1312829.8963502641</v>
      </c>
      <c r="R285" s="25">
        <f t="array" aca="1" ref="R285" ca="1">INDEX('Lorri 401b'!L:L,MATCH('Retirement Calculator'!A285,'Lorri 401b'!N:N,0),0)</f>
        <v>3411176.1173020788</v>
      </c>
      <c r="S285" s="25">
        <f t="shared" ca="1" si="267"/>
        <v>4724006.0136523433</v>
      </c>
    </row>
    <row r="286" spans="1:19" ht="15.75" customHeight="1" x14ac:dyDescent="0.3">
      <c r="A286" s="37">
        <v>59657</v>
      </c>
      <c r="B286" s="409">
        <f t="shared" ref="B286:C286" si="287">($A286-B$9)/365.25</f>
        <v>81.453798767967143</v>
      </c>
      <c r="C286" s="409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2192</v>
      </c>
      <c r="I286" s="25">
        <f>IF(C286&lt;62,0,'Combined Retirement'!$I$13)</f>
        <v>2420</v>
      </c>
      <c r="J286" s="25">
        <f t="shared" si="263"/>
        <v>7863.2184191855868</v>
      </c>
      <c r="K286" s="25">
        <f t="shared" si="264"/>
        <v>20282.026119384056</v>
      </c>
      <c r="L286" s="25"/>
      <c r="N286" s="25">
        <f>'Combined Retirement'!$C$18/12</f>
        <v>39153.069999999992</v>
      </c>
      <c r="O286" s="25">
        <f t="shared" si="265"/>
        <v>11007.82546143035</v>
      </c>
      <c r="P286" s="25">
        <f t="shared" si="266"/>
        <v>28145.244538569641</v>
      </c>
      <c r="Q286" s="25">
        <f t="array" aca="1" ref="Q286" ca="1">INDEX('Isaac 401k'!L:L,MATCH('Retirement Calculator'!A286,'Isaac 401k'!N:N,0),0)</f>
        <v>1310404.0390891246</v>
      </c>
      <c r="R286" s="25">
        <f t="array" aca="1" ref="R286" ca="1">INDEX('Lorri 401b'!L:L,MATCH('Retirement Calculator'!A286,'Lorri 401b'!N:N,0),0)</f>
        <v>3405022.8165626228</v>
      </c>
      <c r="S286" s="25">
        <f t="shared" ca="1" si="267"/>
        <v>4715426.8556517474</v>
      </c>
    </row>
    <row r="287" spans="1:19" ht="15.75" customHeight="1" x14ac:dyDescent="0.3">
      <c r="A287" s="37">
        <v>59688</v>
      </c>
      <c r="B287" s="409">
        <f t="shared" ref="B287:C287" si="288">($A287-B$9)/365.25</f>
        <v>81.538672142368242</v>
      </c>
      <c r="C287" s="409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2192</v>
      </c>
      <c r="I287" s="25">
        <f>IF(C287&lt;62,0,'Combined Retirement'!$I$13)</f>
        <v>2420</v>
      </c>
      <c r="J287" s="25">
        <f t="shared" si="263"/>
        <v>7863.2184191855868</v>
      </c>
      <c r="K287" s="25">
        <f t="shared" si="264"/>
        <v>20282.026119384056</v>
      </c>
      <c r="L287" s="25"/>
      <c r="N287" s="25">
        <f>'Combined Retirement'!$C$18/12</f>
        <v>39153.069999999992</v>
      </c>
      <c r="O287" s="25">
        <f t="shared" si="265"/>
        <v>11007.82546143035</v>
      </c>
      <c r="P287" s="25">
        <f t="shared" si="266"/>
        <v>28145.244538569641</v>
      </c>
      <c r="Q287" s="25">
        <f t="array" aca="1" ref="Q287" ca="1">INDEX('Isaac 401k'!L:L,MATCH('Retirement Calculator'!A287,'Isaac 401k'!N:N,0),0)</f>
        <v>1307968.0740893972</v>
      </c>
      <c r="R287" s="25">
        <f t="array" aca="1" ref="R287" ca="1">INDEX('Lorri 401b'!L:L,MATCH('Retirement Calculator'!A287,'Lorri 401b'!N:N,0),0)</f>
        <v>3398843.8770700856</v>
      </c>
      <c r="S287" s="25">
        <f t="shared" ca="1" si="267"/>
        <v>4706811.9511594828</v>
      </c>
    </row>
    <row r="288" spans="1:19" ht="15.75" customHeight="1" x14ac:dyDescent="0.3">
      <c r="A288" s="37">
        <v>59718</v>
      </c>
      <c r="B288" s="409">
        <f t="shared" ref="B288:C288" si="289">($A288-B$9)/365.25</f>
        <v>81.620807665982198</v>
      </c>
      <c r="C288" s="409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2192</v>
      </c>
      <c r="I288" s="25">
        <f>IF(C288&lt;62,0,'Combined Retirement'!$I$13)</f>
        <v>2420</v>
      </c>
      <c r="J288" s="25">
        <f t="shared" si="263"/>
        <v>7863.2184191855868</v>
      </c>
      <c r="K288" s="25">
        <f t="shared" si="264"/>
        <v>20282.026119384056</v>
      </c>
      <c r="L288" s="25"/>
      <c r="N288" s="25">
        <f>'Combined Retirement'!$C$18/12</f>
        <v>39153.069999999992</v>
      </c>
      <c r="O288" s="25">
        <f t="shared" si="265"/>
        <v>11007.82546143035</v>
      </c>
      <c r="P288" s="25">
        <f t="shared" si="266"/>
        <v>28145.244538569641</v>
      </c>
      <c r="Q288" s="25">
        <f t="array" aca="1" ref="Q288" ca="1">INDEX('Isaac 401k'!L:L,MATCH('Retirement Calculator'!A288,'Isaac 401k'!N:N,0),0)</f>
        <v>1305521.959235504</v>
      </c>
      <c r="R288" s="25">
        <f t="array" aca="1" ref="R288" ca="1">INDEX('Lorri 401b'!L:L,MATCH('Retirement Calculator'!A288,'Lorri 401b'!N:N,0),0)</f>
        <v>3392639.1919963295</v>
      </c>
      <c r="S288" s="25">
        <f t="shared" ca="1" si="267"/>
        <v>4698161.1512318337</v>
      </c>
    </row>
    <row r="289" spans="1:19" ht="15.75" customHeight="1" x14ac:dyDescent="0.3">
      <c r="A289" s="37">
        <v>59749</v>
      </c>
      <c r="B289" s="409">
        <f t="shared" ref="B289:C289" si="290">($A289-B$9)/365.25</f>
        <v>81.705681040383297</v>
      </c>
      <c r="C289" s="409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2192</v>
      </c>
      <c r="I289" s="25">
        <f>IF(C289&lt;62,0,'Combined Retirement'!$I$13)</f>
        <v>2420</v>
      </c>
      <c r="J289" s="25">
        <f t="shared" si="263"/>
        <v>7863.2184191855868</v>
      </c>
      <c r="K289" s="25">
        <f t="shared" si="264"/>
        <v>20282.026119384056</v>
      </c>
      <c r="L289" s="25"/>
      <c r="N289" s="25">
        <f>'Combined Retirement'!$C$18/12</f>
        <v>39153.069999999992</v>
      </c>
      <c r="O289" s="25">
        <f t="shared" si="265"/>
        <v>11007.82546143035</v>
      </c>
      <c r="P289" s="25">
        <f t="shared" si="266"/>
        <v>28145.244538569641</v>
      </c>
      <c r="Q289" s="25">
        <f t="array" aca="1" ref="Q289" ca="1">INDEX('Isaac 401k'!L:L,MATCH('Retirement Calculator'!A289,'Isaac 401k'!N:N,0),0)</f>
        <v>1303065.6522363864</v>
      </c>
      <c r="R289" s="25">
        <f t="array" aca="1" ref="R289" ca="1">INDEX('Lorri 401b'!L:L,MATCH('Retirement Calculator'!A289,'Lorri 401b'!N:N,0),0)</f>
        <v>3386408.6540680993</v>
      </c>
      <c r="S289" s="25">
        <f t="shared" ca="1" si="267"/>
        <v>4689474.3063044855</v>
      </c>
    </row>
    <row r="290" spans="1:19" ht="15.75" customHeight="1" x14ac:dyDescent="0.3">
      <c r="A290" s="37">
        <v>59780</v>
      </c>
      <c r="B290" s="409">
        <f t="shared" ref="B290:C290" si="291">($A290-B$9)/365.25</f>
        <v>81.790554414784395</v>
      </c>
      <c r="C290" s="409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2192</v>
      </c>
      <c r="I290" s="25">
        <f>IF(C290&lt;62,0,'Combined Retirement'!$I$13)</f>
        <v>2420</v>
      </c>
      <c r="J290" s="25">
        <f t="shared" si="263"/>
        <v>7863.2184191855868</v>
      </c>
      <c r="K290" s="25">
        <f t="shared" si="264"/>
        <v>20282.026119384056</v>
      </c>
      <c r="L290" s="25"/>
      <c r="N290" s="25">
        <f>'Combined Retirement'!$C$18/12</f>
        <v>39153.069999999992</v>
      </c>
      <c r="O290" s="25">
        <f t="shared" si="265"/>
        <v>11007.82546143035</v>
      </c>
      <c r="P290" s="25">
        <f t="shared" si="266"/>
        <v>28145.244538569641</v>
      </c>
      <c r="Q290" s="25">
        <f t="array" aca="1" ref="Q290" ca="1">INDEX('Isaac 401k'!L:L,MATCH('Retirement Calculator'!A290,'Isaac 401k'!N:N,0),0)</f>
        <v>1300599.1106247725</v>
      </c>
      <c r="R290" s="25">
        <f t="array" aca="1" ref="R290" ca="1">INDEX('Lorri 401b'!L:L,MATCH('Retirement Calculator'!A290,'Lorri 401b'!N:N,0),0)</f>
        <v>3380152.1555651682</v>
      </c>
      <c r="S290" s="25">
        <f t="shared" ca="1" si="267"/>
        <v>4680751.2661899403</v>
      </c>
    </row>
    <row r="291" spans="1:19" ht="15.75" customHeight="1" x14ac:dyDescent="0.3">
      <c r="A291" s="37">
        <v>59810</v>
      </c>
      <c r="B291" s="409">
        <f t="shared" ref="B291:C291" si="292">($A291-B$9)/365.25</f>
        <v>81.872689938398352</v>
      </c>
      <c r="C291" s="409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2192</v>
      </c>
      <c r="I291" s="25">
        <f>IF(C291&lt;62,0,'Combined Retirement'!$I$13)</f>
        <v>2420</v>
      </c>
      <c r="J291" s="25">
        <f t="shared" si="263"/>
        <v>7863.2184191855868</v>
      </c>
      <c r="K291" s="25">
        <f t="shared" si="264"/>
        <v>20282.026119384056</v>
      </c>
      <c r="L291" s="25"/>
      <c r="N291" s="25">
        <f>'Combined Retirement'!$C$18/12</f>
        <v>39153.069999999992</v>
      </c>
      <c r="O291" s="25">
        <f t="shared" si="265"/>
        <v>11007.82546143035</v>
      </c>
      <c r="P291" s="25">
        <f t="shared" si="266"/>
        <v>28145.244538569641</v>
      </c>
      <c r="Q291" s="25">
        <f t="array" aca="1" ref="Q291" ca="1">INDEX('Isaac 401k'!L:L,MATCH('Retirement Calculator'!A291,'Isaac 401k'!N:N,0),0)</f>
        <v>1298122.2917564434</v>
      </c>
      <c r="R291" s="25">
        <f t="array" aca="1" ref="R291" ca="1">INDEX('Lorri 401b'!L:L,MATCH('Retirement Calculator'!A291,'Lorri 401b'!N:N,0),0)</f>
        <v>3373869.5883184751</v>
      </c>
      <c r="S291" s="25">
        <f t="shared" ca="1" si="267"/>
        <v>4671991.8800749183</v>
      </c>
    </row>
    <row r="292" spans="1:19" ht="15.75" customHeight="1" x14ac:dyDescent="0.3">
      <c r="A292" s="37">
        <v>59841</v>
      </c>
      <c r="B292" s="409">
        <f t="shared" ref="B292:C292" si="293">($A292-B$9)/365.25</f>
        <v>81.957563312799451</v>
      </c>
      <c r="C292" s="409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2192</v>
      </c>
      <c r="I292" s="25">
        <f>IF(C292&lt;62,0,'Combined Retirement'!$I$13)</f>
        <v>2420</v>
      </c>
      <c r="J292" s="25">
        <f t="shared" si="263"/>
        <v>7863.2184191855868</v>
      </c>
      <c r="K292" s="25">
        <f t="shared" si="264"/>
        <v>20282.026119384056</v>
      </c>
      <c r="L292" s="25"/>
      <c r="N292" s="25">
        <f>'Combined Retirement'!$C$18/12</f>
        <v>39153.069999999992</v>
      </c>
      <c r="O292" s="25">
        <f t="shared" si="265"/>
        <v>11007.82546143035</v>
      </c>
      <c r="P292" s="25">
        <f t="shared" si="266"/>
        <v>28145.244538569641</v>
      </c>
      <c r="Q292" s="25">
        <f t="array" aca="1" ref="Q292" ca="1">INDEX('Isaac 401k'!L:L,MATCH('Retirement Calculator'!A292,'Isaac 401k'!N:N,0),0)</f>
        <v>1295635.1528094965</v>
      </c>
      <c r="R292" s="25">
        <f t="array" aca="1" ref="R292" ca="1">INDEX('Lorri 401b'!L:L,MATCH('Retirement Calculator'!A292,'Lorri 401b'!N:N,0),0)</f>
        <v>3367560.8437082539</v>
      </c>
      <c r="S292" s="25">
        <f t="shared" ca="1" si="267"/>
        <v>4663195.9965177504</v>
      </c>
    </row>
    <row r="293" spans="1:19" ht="15.75" customHeight="1" x14ac:dyDescent="0.3">
      <c r="A293" s="37">
        <v>59871</v>
      </c>
      <c r="B293" s="409">
        <f t="shared" ref="B293:C293" si="294">($A293-B$9)/365.25</f>
        <v>82.039698836413422</v>
      </c>
      <c r="C293" s="409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2192</v>
      </c>
      <c r="I293" s="25">
        <f>IF(C293&lt;62,0,'Combined Retirement'!$I$13)</f>
        <v>2420</v>
      </c>
      <c r="J293" s="25">
        <f t="shared" si="263"/>
        <v>7863.2184191855868</v>
      </c>
      <c r="K293" s="25">
        <f t="shared" si="264"/>
        <v>20282.026119384056</v>
      </c>
      <c r="L293" s="25"/>
      <c r="N293" s="25">
        <f>'Combined Retirement'!$C$18/12</f>
        <v>39153.069999999992</v>
      </c>
      <c r="O293" s="25">
        <f t="shared" si="265"/>
        <v>11007.82546143035</v>
      </c>
      <c r="P293" s="25">
        <f t="shared" si="266"/>
        <v>28145.244538569641</v>
      </c>
      <c r="Q293" s="25">
        <f t="array" aca="1" ref="Q293" ca="1">INDEX('Isaac 401k'!L:L,MATCH('Retirement Calculator'!A293,'Isaac 401k'!N:N,0),0)</f>
        <v>1293137.6507836038</v>
      </c>
      <c r="R293" s="25">
        <f t="array" aca="1" ref="R293" ca="1">INDEX('Lorri 401b'!L:L,MATCH('Retirement Calculator'!A293,'Lorri 401b'!N:N,0),0)</f>
        <v>3361225.8126621568</v>
      </c>
      <c r="S293" s="25">
        <f t="shared" ca="1" si="267"/>
        <v>4654363.4634457603</v>
      </c>
    </row>
    <row r="294" spans="1:19" ht="15.75" customHeight="1" x14ac:dyDescent="0.3">
      <c r="A294" s="37">
        <v>59902</v>
      </c>
      <c r="B294" s="409">
        <f t="shared" ref="B294:C294" si="295">($A294-B$9)/365.25</f>
        <v>82.124572210814506</v>
      </c>
      <c r="C294" s="409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2192</v>
      </c>
      <c r="I294" s="25">
        <f>IF(C294&lt;62,0,'Combined Retirement'!$I$13)</f>
        <v>2420</v>
      </c>
      <c r="J294" s="25">
        <f t="shared" si="263"/>
        <v>7863.2184191855868</v>
      </c>
      <c r="K294" s="25">
        <f t="shared" si="264"/>
        <v>20282.026119384056</v>
      </c>
      <c r="L294" s="25"/>
      <c r="N294" s="25">
        <f>'Combined Retirement'!$C$18/12</f>
        <v>39153.069999999992</v>
      </c>
      <c r="O294" s="25">
        <f t="shared" si="265"/>
        <v>11007.82546143035</v>
      </c>
      <c r="P294" s="25">
        <f t="shared" si="266"/>
        <v>28145.244538569641</v>
      </c>
      <c r="Q294" s="25">
        <f t="array" aca="1" ref="Q294" ca="1">INDEX('Isaac 401k'!L:L,MATCH('Retirement Calculator'!A294,'Isaac 401k'!N:N,0),0)</f>
        <v>1290629.74249927</v>
      </c>
      <c r="R294" s="25">
        <f t="array" aca="1" ref="R294" ca="1">INDEX('Lorri 401b'!L:L,MATCH('Retirement Calculator'!A294,'Lorri 401b'!N:N,0),0)</f>
        <v>3354864.3856533677</v>
      </c>
      <c r="S294" s="25">
        <f t="shared" ca="1" si="267"/>
        <v>4645494.1281526377</v>
      </c>
    </row>
    <row r="295" spans="1:19" ht="15.75" customHeight="1" x14ac:dyDescent="0.3">
      <c r="A295" s="37">
        <v>59933</v>
      </c>
      <c r="B295" s="409">
        <f t="shared" ref="B295:C295" si="296">($A295-B$9)/365.25</f>
        <v>82.209445585215605</v>
      </c>
      <c r="C295" s="409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2192</v>
      </c>
      <c r="I295" s="25">
        <f>IF(C295&lt;62,0,'Combined Retirement'!$I$13)</f>
        <v>2420</v>
      </c>
      <c r="J295" s="25">
        <f t="shared" si="263"/>
        <v>7863.2184191855868</v>
      </c>
      <c r="K295" s="25">
        <f t="shared" si="264"/>
        <v>20282.026119384056</v>
      </c>
      <c r="L295" s="25"/>
      <c r="N295" s="25">
        <f>'Combined Retirement'!$C$18/12</f>
        <v>39153.069999999992</v>
      </c>
      <c r="O295" s="25">
        <f t="shared" si="265"/>
        <v>11007.82546143035</v>
      </c>
      <c r="P295" s="25">
        <f t="shared" si="266"/>
        <v>28145.244538569641</v>
      </c>
      <c r="Q295" s="25">
        <f t="array" aca="1" ref="Q295" ca="1">INDEX('Isaac 401k'!L:L,MATCH('Retirement Calculator'!A295,'Isaac 401k'!N:N,0),0)</f>
        <v>1288111.3845970847</v>
      </c>
      <c r="R295" s="25">
        <f t="array" aca="1" ref="R295" ca="1">INDEX('Lorri 401b'!L:L,MATCH('Retirement Calculator'!A295,'Lorri 401b'!N:N,0),0)</f>
        <v>3348476.4526987085</v>
      </c>
      <c r="S295" s="25">
        <f t="shared" ca="1" si="267"/>
        <v>4636587.837295793</v>
      </c>
    </row>
    <row r="296" spans="1:19" ht="15.75" customHeight="1" x14ac:dyDescent="0.3">
      <c r="A296" s="37">
        <v>59962</v>
      </c>
      <c r="B296" s="409">
        <f t="shared" ref="B296:C296" si="297">($A296-B$9)/365.25</f>
        <v>82.288843258042434</v>
      </c>
      <c r="C296" s="409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2192</v>
      </c>
      <c r="I296" s="25">
        <f>IF(C296&lt;62,0,'Combined Retirement'!$I$13)</f>
        <v>2420</v>
      </c>
      <c r="J296" s="25">
        <f t="shared" si="263"/>
        <v>7863.2184191855868</v>
      </c>
      <c r="K296" s="25">
        <f t="shared" si="264"/>
        <v>20282.026119384056</v>
      </c>
      <c r="L296" s="25"/>
      <c r="N296" s="25">
        <f>'Combined Retirement'!$C$18/12</f>
        <v>39153.069999999992</v>
      </c>
      <c r="O296" s="25">
        <f t="shared" si="265"/>
        <v>11007.82546143035</v>
      </c>
      <c r="P296" s="25">
        <f t="shared" si="266"/>
        <v>28145.244538569641</v>
      </c>
      <c r="Q296" s="25">
        <f t="array" aca="1" ref="Q296" ca="1">INDEX('Isaac 401k'!L:L,MATCH('Retirement Calculator'!A296,'Isaac 401k'!N:N,0),0)</f>
        <v>1285582.5335369736</v>
      </c>
      <c r="R296" s="25">
        <f t="array" aca="1" ref="R296" ca="1">INDEX('Lorri 401b'!L:L,MATCH('Retirement Calculator'!A296,'Lorri 401b'!N:N,0),0)</f>
        <v>3342061.9033567384</v>
      </c>
      <c r="S296" s="25">
        <f t="shared" ca="1" si="267"/>
        <v>4627644.4368937118</v>
      </c>
    </row>
    <row r="297" spans="1:19" ht="15.75" customHeight="1" x14ac:dyDescent="0.3">
      <c r="A297" s="37">
        <v>59993</v>
      </c>
      <c r="B297" s="409">
        <f t="shared" ref="B297:C297" si="298">($A297-B$9)/365.25</f>
        <v>82.373716632443532</v>
      </c>
      <c r="C297" s="409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2192</v>
      </c>
      <c r="I297" s="25">
        <f>IF(C297&lt;62,0,'Combined Retirement'!$I$13)</f>
        <v>2420</v>
      </c>
      <c r="J297" s="25">
        <f t="shared" si="263"/>
        <v>7863.2184191855868</v>
      </c>
      <c r="K297" s="25">
        <f t="shared" si="264"/>
        <v>20282.026119384056</v>
      </c>
      <c r="L297" s="25"/>
      <c r="N297" s="25">
        <f>'Combined Retirement'!$C$18/12</f>
        <v>39153.069999999992</v>
      </c>
      <c r="O297" s="25">
        <f t="shared" si="265"/>
        <v>11007.82546143035</v>
      </c>
      <c r="P297" s="25">
        <f t="shared" si="266"/>
        <v>28145.244538569641</v>
      </c>
      <c r="Q297" s="25">
        <f t="array" aca="1" ref="Q297" ca="1">INDEX('Isaac 401k'!L:L,MATCH('Retirement Calculator'!A297,'Isaac 401k'!N:N,0),0)</f>
        <v>1283043.1455974455</v>
      </c>
      <c r="R297" s="25">
        <f t="array" aca="1" ref="R297" ca="1">INDEX('Lorri 401b'!L:L,MATCH('Retirement Calculator'!A297,'Lorri 401b'!N:N,0),0)</f>
        <v>3335620.6267258432</v>
      </c>
      <c r="S297" s="25">
        <f t="shared" ca="1" si="267"/>
        <v>4618663.772323289</v>
      </c>
    </row>
    <row r="298" spans="1:19" ht="15.75" customHeight="1" x14ac:dyDescent="0.3">
      <c r="A298" s="37">
        <v>60023</v>
      </c>
      <c r="B298" s="409">
        <f t="shared" ref="B298:C298" si="299">($A298-B$9)/365.25</f>
        <v>82.455852156057489</v>
      </c>
      <c r="C298" s="409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2192</v>
      </c>
      <c r="I298" s="25">
        <f>IF(C298&lt;62,0,'Combined Retirement'!$I$13)</f>
        <v>2420</v>
      </c>
      <c r="J298" s="25">
        <f t="shared" si="263"/>
        <v>7863.2184191855868</v>
      </c>
      <c r="K298" s="25">
        <f t="shared" si="264"/>
        <v>20282.026119384056</v>
      </c>
      <c r="L298" s="25"/>
      <c r="N298" s="25">
        <f>'Combined Retirement'!$C$18/12</f>
        <v>39153.069999999992</v>
      </c>
      <c r="O298" s="25">
        <f t="shared" si="265"/>
        <v>11007.82546143035</v>
      </c>
      <c r="P298" s="25">
        <f t="shared" si="266"/>
        <v>28145.244538569641</v>
      </c>
      <c r="Q298" s="25">
        <f t="array" aca="1" ref="Q298" ca="1">INDEX('Isaac 401k'!L:L,MATCH('Retirement Calculator'!A298,'Isaac 401k'!N:N,0),0)</f>
        <v>1280493.176874836</v>
      </c>
      <c r="R298" s="25">
        <f t="array" aca="1" ref="R298" ca="1">INDEX('Lorri 401b'!L:L,MATCH('Retirement Calculator'!A298,'Lorri 401b'!N:N,0),0)</f>
        <v>3329152.5114423195</v>
      </c>
      <c r="S298" s="25">
        <f t="shared" ca="1" si="267"/>
        <v>4609645.6883171555</v>
      </c>
    </row>
    <row r="299" spans="1:19" ht="15.75" customHeight="1" x14ac:dyDescent="0.3">
      <c r="A299" s="37">
        <v>60054</v>
      </c>
      <c r="B299" s="409">
        <f t="shared" ref="B299:C299" si="300">($A299-B$9)/365.25</f>
        <v>82.540725530458587</v>
      </c>
      <c r="C299" s="409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2192</v>
      </c>
      <c r="I299" s="25">
        <f>IF(C299&lt;62,0,'Combined Retirement'!$I$13)</f>
        <v>2420</v>
      </c>
      <c r="J299" s="25">
        <f t="shared" si="263"/>
        <v>7863.2184191855868</v>
      </c>
      <c r="K299" s="25">
        <f t="shared" si="264"/>
        <v>20282.026119384056</v>
      </c>
      <c r="L299" s="25"/>
      <c r="N299" s="25">
        <f>'Combined Retirement'!$C$18/12</f>
        <v>39153.069999999992</v>
      </c>
      <c r="O299" s="25">
        <f t="shared" si="265"/>
        <v>11007.82546143035</v>
      </c>
      <c r="P299" s="25">
        <f t="shared" si="266"/>
        <v>28145.244538569641</v>
      </c>
      <c r="Q299" s="25">
        <f t="array" aca="1" ref="Q299" ca="1">INDEX('Isaac 401k'!L:L,MATCH('Retirement Calculator'!A299,'Isaac 401k'!N:N,0),0)</f>
        <v>1277932.5832825489</v>
      </c>
      <c r="R299" s="25">
        <f t="array" aca="1" ref="R299" ca="1">INDEX('Lorri 401b'!L:L,MATCH('Retirement Calculator'!A299,'Lorri 401b'!N:N,0),0)</f>
        <v>3322657.4456784478</v>
      </c>
      <c r="S299" s="25">
        <f t="shared" ca="1" si="267"/>
        <v>4600590.0289609972</v>
      </c>
    </row>
    <row r="300" spans="1:19" ht="15.75" customHeight="1" x14ac:dyDescent="0.3">
      <c r="A300" s="37">
        <v>60084</v>
      </c>
      <c r="B300" s="409">
        <f t="shared" ref="B300:C300" si="301">($A300-B$9)/365.25</f>
        <v>82.622861054072558</v>
      </c>
      <c r="C300" s="409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2192</v>
      </c>
      <c r="I300" s="25">
        <f>IF(C300&lt;62,0,'Combined Retirement'!$I$13)</f>
        <v>2420</v>
      </c>
      <c r="J300" s="25">
        <f t="shared" si="263"/>
        <v>7863.2184191855868</v>
      </c>
      <c r="K300" s="25">
        <f t="shared" si="264"/>
        <v>20282.026119384056</v>
      </c>
      <c r="L300" s="25"/>
      <c r="N300" s="25">
        <f>'Combined Retirement'!$C$18/12</f>
        <v>39153.069999999992</v>
      </c>
      <c r="O300" s="25">
        <f t="shared" si="265"/>
        <v>11007.82546143035</v>
      </c>
      <c r="P300" s="25">
        <f t="shared" si="266"/>
        <v>28145.244538569641</v>
      </c>
      <c r="Q300" s="25">
        <f t="array" aca="1" ref="Q300" ca="1">INDEX('Isaac 401k'!L:L,MATCH('Retirement Calculator'!A300,'Isaac 401k'!N:N,0),0)</f>
        <v>1275361.3205502939</v>
      </c>
      <c r="R300" s="25">
        <f t="array" aca="1" ref="R300" ca="1">INDEX('Lorri 401b'!L:L,MATCH('Retirement Calculator'!A300,'Lorri 401b'!N:N,0),0)</f>
        <v>3316135.3171405601</v>
      </c>
      <c r="S300" s="25">
        <f t="shared" ca="1" si="267"/>
        <v>4591496.6376908543</v>
      </c>
    </row>
    <row r="301" spans="1:19" ht="15.75" customHeight="1" x14ac:dyDescent="0.3">
      <c r="A301" s="37">
        <v>60115</v>
      </c>
      <c r="B301" s="409">
        <f t="shared" ref="B301:C301" si="302">($A301-B$9)/365.25</f>
        <v>82.707734428473643</v>
      </c>
      <c r="C301" s="409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2192</v>
      </c>
      <c r="I301" s="25">
        <f>IF(C301&lt;62,0,'Combined Retirement'!$I$13)</f>
        <v>2420</v>
      </c>
      <c r="J301" s="25">
        <f t="shared" si="263"/>
        <v>7863.2184191855868</v>
      </c>
      <c r="K301" s="25">
        <f t="shared" si="264"/>
        <v>20282.026119384056</v>
      </c>
      <c r="L301" s="25"/>
      <c r="N301" s="25">
        <f>'Combined Retirement'!$C$18/12</f>
        <v>39153.069999999992</v>
      </c>
      <c r="O301" s="25">
        <f t="shared" si="265"/>
        <v>11007.82546143035</v>
      </c>
      <c r="P301" s="25">
        <f t="shared" si="266"/>
        <v>28145.244538569641</v>
      </c>
      <c r="Q301" s="25">
        <f t="array" aca="1" ref="Q301" ca="1">INDEX('Isaac 401k'!L:L,MATCH('Retirement Calculator'!A301,'Isaac 401k'!N:N,0),0)</f>
        <v>1272779.3442233212</v>
      </c>
      <c r="R301" s="25">
        <f t="array" aca="1" ref="R301" ca="1">INDEX('Lorri 401b'!L:L,MATCH('Retirement Calculator'!A301,'Lorri 401b'!N:N,0),0)</f>
        <v>3309586.0130670979</v>
      </c>
      <c r="S301" s="25">
        <f t="shared" ca="1" si="267"/>
        <v>4582365.3572904188</v>
      </c>
    </row>
    <row r="302" spans="1:19" ht="15.75" customHeight="1" x14ac:dyDescent="0.3">
      <c r="A302" s="37">
        <v>60146</v>
      </c>
      <c r="B302" s="409">
        <f t="shared" ref="B302:C302" si="303">($A302-B$9)/365.25</f>
        <v>82.792607802874741</v>
      </c>
      <c r="C302" s="409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2192</v>
      </c>
      <c r="I302" s="25">
        <f>IF(C302&lt;62,0,'Combined Retirement'!$I$13)</f>
        <v>2420</v>
      </c>
      <c r="J302" s="25">
        <f t="shared" si="263"/>
        <v>7863.2184191855868</v>
      </c>
      <c r="K302" s="25">
        <f t="shared" si="264"/>
        <v>20282.026119384056</v>
      </c>
      <c r="L302" s="25"/>
      <c r="N302" s="25">
        <f>'Combined Retirement'!$C$18/12</f>
        <v>39153.069999999992</v>
      </c>
      <c r="O302" s="25">
        <f t="shared" si="265"/>
        <v>11007.82546143035</v>
      </c>
      <c r="P302" s="25">
        <f t="shared" si="266"/>
        <v>28145.244538569641</v>
      </c>
      <c r="Q302" s="25">
        <f t="array" aca="1" ref="Q302" ca="1">INDEX('Isaac 401k'!L:L,MATCH('Retirement Calculator'!A302,'Isaac 401k'!N:N,0),0)</f>
        <v>1270186.6096616527</v>
      </c>
      <c r="R302" s="25">
        <f t="array" aca="1" ref="R302" ca="1">INDEX('Lorri 401b'!L:L,MATCH('Retirement Calculator'!A302,'Lorri 401b'!N:N,0),0)</f>
        <v>3303009.4202266629</v>
      </c>
      <c r="S302" s="25">
        <f t="shared" ca="1" si="267"/>
        <v>4573196.0298883151</v>
      </c>
    </row>
    <row r="303" spans="1:19" ht="15.75" customHeight="1" x14ac:dyDescent="0.3">
      <c r="A303" s="37">
        <v>60176</v>
      </c>
      <c r="B303" s="409">
        <f t="shared" ref="B303:C303" si="304">($A303-B$9)/365.25</f>
        <v>82.874743326488712</v>
      </c>
      <c r="C303" s="409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2192</v>
      </c>
      <c r="I303" s="25">
        <f>IF(C303&lt;62,0,'Combined Retirement'!$I$13)</f>
        <v>2420</v>
      </c>
      <c r="J303" s="25">
        <f t="shared" si="263"/>
        <v>7863.2184191855868</v>
      </c>
      <c r="K303" s="25">
        <f t="shared" si="264"/>
        <v>20282.026119384056</v>
      </c>
      <c r="L303" s="25"/>
      <c r="N303" s="25">
        <f>'Combined Retirement'!$C$18/12</f>
        <v>39153.069999999992</v>
      </c>
      <c r="O303" s="25">
        <f t="shared" si="265"/>
        <v>11007.82546143035</v>
      </c>
      <c r="P303" s="25">
        <f t="shared" si="266"/>
        <v>28145.244538569641</v>
      </c>
      <c r="Q303" s="25">
        <f t="array" aca="1" ref="Q303" ca="1">INDEX('Isaac 401k'!L:L,MATCH('Retirement Calculator'!A303,'Isaac 401k'!N:N,0),0)</f>
        <v>1267583.0720393108</v>
      </c>
      <c r="R303" s="25">
        <f t="array" aca="1" ref="R303" ca="1">INDEX('Lorri 401b'!L:L,MATCH('Retirement Calculator'!A303,'Lorri 401b'!N:N,0),0)</f>
        <v>3296405.4249160592</v>
      </c>
      <c r="S303" s="25">
        <f t="shared" ca="1" si="267"/>
        <v>4563988.4969553705</v>
      </c>
    </row>
    <row r="304" spans="1:19" ht="15.75" customHeight="1" x14ac:dyDescent="0.3">
      <c r="A304" s="37">
        <v>60207</v>
      </c>
      <c r="B304" s="409">
        <f t="shared" ref="B304:C304" si="305">($A304-B$9)/365.25</f>
        <v>82.959616700889796</v>
      </c>
      <c r="C304" s="409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2192</v>
      </c>
      <c r="I304" s="25">
        <f>IF(C304&lt;62,0,'Combined Retirement'!$I$13)</f>
        <v>2420</v>
      </c>
      <c r="J304" s="25">
        <f t="shared" si="263"/>
        <v>7863.2184191855868</v>
      </c>
      <c r="K304" s="25">
        <f t="shared" si="264"/>
        <v>20282.026119384056</v>
      </c>
      <c r="L304" s="25"/>
      <c r="N304" s="25">
        <f>'Combined Retirement'!$C$18/12</f>
        <v>39153.069999999992</v>
      </c>
      <c r="O304" s="25">
        <f t="shared" si="265"/>
        <v>11007.82546143035</v>
      </c>
      <c r="P304" s="25">
        <f t="shared" si="266"/>
        <v>28145.244538569641</v>
      </c>
      <c r="Q304" s="25">
        <f t="array" aca="1" ref="Q304" ca="1">INDEX('Isaac 401k'!L:L,MATCH('Retirement Calculator'!A304,'Isaac 401k'!N:N,0),0)</f>
        <v>1264968.6863435423</v>
      </c>
      <c r="R304" s="25">
        <f t="array" aca="1" ref="R304" ca="1">INDEX('Lorri 401b'!L:L,MATCH('Retirement Calculator'!A304,'Lorri 401b'!N:N,0),0)</f>
        <v>3289773.9129583281</v>
      </c>
      <c r="S304" s="25">
        <f t="shared" ca="1" si="267"/>
        <v>4554742.5993018709</v>
      </c>
    </row>
    <row r="305" spans="1:19" ht="15.75" customHeight="1" x14ac:dyDescent="0.3">
      <c r="A305" s="37">
        <v>60237</v>
      </c>
      <c r="B305" s="409">
        <f t="shared" ref="B305:C305" si="306">($A305-B$9)/365.25</f>
        <v>83.041752224503767</v>
      </c>
      <c r="C305" s="409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2192</v>
      </c>
      <c r="I305" s="25">
        <f>IF(C305&lt;62,0,'Combined Retirement'!$I$13)</f>
        <v>2420</v>
      </c>
      <c r="J305" s="25">
        <f t="shared" si="263"/>
        <v>7863.2184191855868</v>
      </c>
      <c r="K305" s="25">
        <f t="shared" si="264"/>
        <v>20282.026119384056</v>
      </c>
      <c r="L305" s="25"/>
      <c r="N305" s="25">
        <f>'Combined Retirement'!$C$18/12</f>
        <v>39153.069999999992</v>
      </c>
      <c r="O305" s="25">
        <f t="shared" si="265"/>
        <v>11007.82546143035</v>
      </c>
      <c r="P305" s="25">
        <f t="shared" si="266"/>
        <v>28145.244538569641</v>
      </c>
      <c r="Q305" s="25">
        <f t="array" aca="1" ref="Q305" ca="1">INDEX('Isaac 401k'!L:L,MATCH('Retirement Calculator'!A305,'Isaac 401k'!N:N,0),0)</f>
        <v>1262343.4073740416</v>
      </c>
      <c r="R305" s="25">
        <f t="array" aca="1" ref="R305" ca="1">INDEX('Lorri 401b'!L:L,MATCH('Retirement Calculator'!A305,'Lorri 401b'!N:N,0),0)</f>
        <v>3283114.7697007731</v>
      </c>
      <c r="S305" s="25">
        <f t="shared" ca="1" si="267"/>
        <v>4545458.1770748142</v>
      </c>
    </row>
    <row r="306" spans="1:19" ht="15.75" customHeight="1" x14ac:dyDescent="0.3">
      <c r="A306" s="37">
        <v>60268</v>
      </c>
      <c r="B306" s="409">
        <f t="shared" ref="B306:C306" si="307">($A306-B$9)/365.25</f>
        <v>83.126625598904866</v>
      </c>
      <c r="C306" s="409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2192</v>
      </c>
      <c r="I306" s="25">
        <f>IF(C306&lt;62,0,'Combined Retirement'!$I$13)</f>
        <v>2420</v>
      </c>
      <c r="J306" s="25">
        <f t="shared" si="263"/>
        <v>7863.2184191855868</v>
      </c>
      <c r="K306" s="25">
        <f t="shared" si="264"/>
        <v>20282.026119384056</v>
      </c>
      <c r="L306" s="25"/>
      <c r="N306" s="25">
        <f>'Combined Retirement'!$C$18/12</f>
        <v>39153.069999999992</v>
      </c>
      <c r="O306" s="25">
        <f t="shared" si="265"/>
        <v>11007.82546143035</v>
      </c>
      <c r="P306" s="25">
        <f t="shared" si="266"/>
        <v>28145.244538569641</v>
      </c>
      <c r="Q306" s="25">
        <f t="array" aca="1" ref="Q306" ca="1">INDEX('Isaac 401k'!L:L,MATCH('Retirement Calculator'!A306,'Isaac 401k'!N:N,0),0)</f>
        <v>1259707.1897421679</v>
      </c>
      <c r="R306" s="25">
        <f t="array" aca="1" ref="R306" ca="1">INDEX('Lorri 401b'!L:L,MATCH('Retirement Calculator'!A306,'Lorri 401b'!N:N,0),0)</f>
        <v>3276427.8800129783</v>
      </c>
      <c r="S306" s="25">
        <f t="shared" ca="1" si="267"/>
        <v>4536135.0697551463</v>
      </c>
    </row>
    <row r="307" spans="1:19" ht="15.75" customHeight="1" x14ac:dyDescent="0.3">
      <c r="A307" s="37">
        <v>60299</v>
      </c>
      <c r="B307" s="409">
        <f t="shared" ref="B307:C307" si="308">($A307-B$9)/365.25</f>
        <v>83.21149897330595</v>
      </c>
      <c r="C307" s="409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2192</v>
      </c>
      <c r="I307" s="25">
        <f>IF(C307&lt;62,0,'Combined Retirement'!$I$13)</f>
        <v>2420</v>
      </c>
      <c r="J307" s="25">
        <f t="shared" si="263"/>
        <v>7863.2184191855868</v>
      </c>
      <c r="K307" s="25">
        <f t="shared" si="264"/>
        <v>20282.026119384056</v>
      </c>
      <c r="L307" s="25"/>
      <c r="N307" s="25">
        <f>'Combined Retirement'!$C$18/12</f>
        <v>39153.069999999992</v>
      </c>
      <c r="O307" s="25">
        <f t="shared" si="265"/>
        <v>11007.82546143035</v>
      </c>
      <c r="P307" s="25">
        <f t="shared" si="266"/>
        <v>28145.244538569641</v>
      </c>
      <c r="Q307" s="25">
        <f t="array" aca="1" ref="Q307" ca="1">INDEX('Isaac 401k'!L:L,MATCH('Retirement Calculator'!A307,'Isaac 401k'!N:N,0),0)</f>
        <v>1257059.9878701614</v>
      </c>
      <c r="R307" s="25">
        <f t="array" aca="1" ref="R307" ca="1">INDEX('Lorri 401b'!L:L,MATCH('Retirement Calculator'!A307,'Lorri 401b'!N:N,0),0)</f>
        <v>3269713.1282848176</v>
      </c>
      <c r="S307" s="25">
        <f t="shared" ca="1" si="267"/>
        <v>4526773.116154979</v>
      </c>
    </row>
    <row r="308" spans="1:19" ht="15.75" customHeight="1" x14ac:dyDescent="0.3">
      <c r="A308" s="37">
        <v>60327</v>
      </c>
      <c r="B308" s="409">
        <f t="shared" ref="B308:C308" si="309">($A308-B$9)/365.25</f>
        <v>83.288158795345652</v>
      </c>
      <c r="C308" s="409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2192</v>
      </c>
      <c r="I308" s="25">
        <f>IF(C308&lt;62,0,'Combined Retirement'!$I$13)</f>
        <v>2420</v>
      </c>
      <c r="J308" s="25">
        <f t="shared" si="263"/>
        <v>7863.2184191855868</v>
      </c>
      <c r="K308" s="25">
        <f t="shared" si="264"/>
        <v>20282.026119384056</v>
      </c>
      <c r="L308" s="25"/>
      <c r="N308" s="25">
        <f>'Combined Retirement'!$C$18/12</f>
        <v>39153.069999999992</v>
      </c>
      <c r="O308" s="25">
        <f t="shared" si="265"/>
        <v>11007.82546143035</v>
      </c>
      <c r="P308" s="25">
        <f t="shared" si="266"/>
        <v>28145.244538569641</v>
      </c>
      <c r="Q308" s="25">
        <f t="array" aca="1" ref="Q308" ca="1">INDEX('Isaac 401k'!L:L,MATCH('Retirement Calculator'!A308,'Isaac 401k'!N:N,0),0)</f>
        <v>1254401.7559903548</v>
      </c>
      <c r="R308" s="25">
        <f t="array" aca="1" ref="R308" ca="1">INDEX('Lorri 401b'!L:L,MATCH('Retirement Calculator'!A308,'Lorri 401b'!N:N,0),0)</f>
        <v>3262970.3984244564</v>
      </c>
      <c r="S308" s="25">
        <f t="shared" ca="1" si="267"/>
        <v>4517372.1544148112</v>
      </c>
    </row>
    <row r="309" spans="1:19" ht="15.75" customHeight="1" x14ac:dyDescent="0.3">
      <c r="A309" s="37">
        <v>60358</v>
      </c>
      <c r="B309" s="409">
        <f t="shared" ref="B309:C309" si="310">($A309-B$9)/365.25</f>
        <v>83.37303216974675</v>
      </c>
      <c r="C309" s="409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2192</v>
      </c>
      <c r="I309" s="25">
        <f>IF(C309&lt;62,0,'Combined Retirement'!$I$13)</f>
        <v>2420</v>
      </c>
      <c r="J309" s="25">
        <f t="shared" si="263"/>
        <v>7863.2184191855868</v>
      </c>
      <c r="K309" s="25">
        <f t="shared" si="264"/>
        <v>20282.026119384056</v>
      </c>
      <c r="L309" s="25"/>
      <c r="N309" s="25">
        <f>'Combined Retirement'!$C$18/12</f>
        <v>39153.069999999992</v>
      </c>
      <c r="O309" s="25">
        <f t="shared" si="265"/>
        <v>11007.82546143035</v>
      </c>
      <c r="P309" s="25">
        <f t="shared" si="266"/>
        <v>28145.244538569641</v>
      </c>
      <c r="Q309" s="25">
        <f t="array" aca="1" ref="Q309" ca="1">INDEX('Isaac 401k'!L:L,MATCH('Retirement Calculator'!A309,'Isaac 401k'!N:N,0),0)</f>
        <v>1251732.4481443823</v>
      </c>
      <c r="R309" s="25">
        <f t="array" aca="1" ref="R309" ca="1">INDEX('Lorri 401b'!L:L,MATCH('Retirement Calculator'!A309,'Lorri 401b'!N:N,0),0)</f>
        <v>3256199.5738563435</v>
      </c>
      <c r="S309" s="25">
        <f t="shared" ca="1" si="267"/>
        <v>4507932.0220007263</v>
      </c>
    </row>
    <row r="310" spans="1:19" ht="15.75" customHeight="1" x14ac:dyDescent="0.3">
      <c r="A310" s="37">
        <v>60388</v>
      </c>
      <c r="B310" s="409">
        <f t="shared" ref="B310:C310" si="311">($A310-B$9)/365.25</f>
        <v>83.455167693360707</v>
      </c>
      <c r="C310" s="409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2192</v>
      </c>
      <c r="I310" s="25">
        <f>IF(C310&lt;62,0,'Combined Retirement'!$I$13)</f>
        <v>2420</v>
      </c>
      <c r="J310" s="25">
        <f t="shared" si="263"/>
        <v>7863.2184191855868</v>
      </c>
      <c r="K310" s="25">
        <f t="shared" si="264"/>
        <v>20282.026119384056</v>
      </c>
      <c r="L310" s="25"/>
      <c r="N310" s="25">
        <f>'Combined Retirement'!$C$18/12</f>
        <v>39153.069999999992</v>
      </c>
      <c r="O310" s="25">
        <f t="shared" si="265"/>
        <v>11007.82546143035</v>
      </c>
      <c r="P310" s="25">
        <f t="shared" si="266"/>
        <v>28145.244538569641</v>
      </c>
      <c r="Q310" s="25">
        <f t="array" aca="1" ref="Q310" ca="1">INDEX('Isaac 401k'!L:L,MATCH('Retirement Calculator'!A310,'Isaac 401k'!N:N,0),0)</f>
        <v>1249052.018182385</v>
      </c>
      <c r="R310" s="25">
        <f t="array" aca="1" ref="R310" ca="1">INDEX('Lorri 401b'!L:L,MATCH('Retirement Calculator'!A310,'Lorri 401b'!N:N,0),0)</f>
        <v>3249400.537519197</v>
      </c>
      <c r="S310" s="25">
        <f t="shared" ca="1" si="267"/>
        <v>4498452.5557015818</v>
      </c>
    </row>
    <row r="311" spans="1:19" ht="15.75" customHeight="1" x14ac:dyDescent="0.3">
      <c r="A311" s="37">
        <v>60419</v>
      </c>
      <c r="B311" s="409">
        <f t="shared" ref="B311:C311" si="312">($A311-B$9)/365.25</f>
        <v>83.540041067761805</v>
      </c>
      <c r="C311" s="409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2192</v>
      </c>
      <c r="I311" s="25">
        <f>IF(C311&lt;62,0,'Combined Retirement'!$I$13)</f>
        <v>2420</v>
      </c>
      <c r="J311" s="25">
        <f t="shared" si="263"/>
        <v>7863.2184191855868</v>
      </c>
      <c r="K311" s="25">
        <f t="shared" si="264"/>
        <v>20282.026119384056</v>
      </c>
      <c r="L311" s="25"/>
      <c r="N311" s="25">
        <f>'Combined Retirement'!$C$18/12</f>
        <v>39153.069999999992</v>
      </c>
      <c r="O311" s="25">
        <f t="shared" si="265"/>
        <v>11007.82546143035</v>
      </c>
      <c r="P311" s="25">
        <f t="shared" si="266"/>
        <v>28145.244538569641</v>
      </c>
      <c r="Q311" s="25">
        <f t="array" aca="1" ref="Q311" ca="1">INDEX('Isaac 401k'!L:L,MATCH('Retirement Calculator'!A311,'Isaac 401k'!N:N,0),0)</f>
        <v>1246360.4197622128</v>
      </c>
      <c r="R311" s="25">
        <f t="array" aca="1" ref="R311" ca="1">INDEX('Lorri 401b'!L:L,MATCH('Retirement Calculator'!A311,'Lorri 401b'!N:N,0),0)</f>
        <v>3242573.1718639787</v>
      </c>
      <c r="S311" s="25">
        <f t="shared" ca="1" si="267"/>
        <v>4488933.5916261915</v>
      </c>
    </row>
    <row r="312" spans="1:19" ht="15.75" customHeight="1" x14ac:dyDescent="0.3">
      <c r="A312" s="37">
        <v>60449</v>
      </c>
      <c r="B312" s="409">
        <f t="shared" ref="B312:C312" si="313">($A312-B$9)/365.25</f>
        <v>83.622176591375776</v>
      </c>
      <c r="C312" s="409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2192</v>
      </c>
      <c r="I312" s="25">
        <f>IF(C312&lt;62,0,'Combined Retirement'!$I$13)</f>
        <v>2420</v>
      </c>
      <c r="J312" s="25">
        <f t="shared" si="263"/>
        <v>7863.2184191855868</v>
      </c>
      <c r="K312" s="25">
        <f t="shared" si="264"/>
        <v>20282.026119384056</v>
      </c>
      <c r="L312" s="25"/>
      <c r="N312" s="25">
        <f>'Combined Retirement'!$C$18/12</f>
        <v>39153.069999999992</v>
      </c>
      <c r="O312" s="25">
        <f t="shared" si="265"/>
        <v>11007.82546143035</v>
      </c>
      <c r="P312" s="25">
        <f t="shared" si="266"/>
        <v>28145.244538569641</v>
      </c>
      <c r="Q312" s="25">
        <f t="array" aca="1" ref="Q312" ca="1">INDEX('Isaac 401k'!L:L,MATCH('Retirement Calculator'!A312,'Isaac 401k'!N:N,0),0)</f>
        <v>1243657.6063486231</v>
      </c>
      <c r="R312" s="25">
        <f t="array" aca="1" ref="R312" ca="1">INDEX('Lorri 401b'!L:L,MATCH('Retirement Calculator'!A312,'Lorri 401b'!N:N,0),0)</f>
        <v>3235717.358851864</v>
      </c>
      <c r="S312" s="25">
        <f t="shared" ca="1" si="267"/>
        <v>4479374.9652004875</v>
      </c>
    </row>
    <row r="313" spans="1:19" ht="15.75" customHeight="1" x14ac:dyDescent="0.3">
      <c r="A313" s="37">
        <v>60480</v>
      </c>
      <c r="B313" s="409">
        <f t="shared" ref="B313:C313" si="314">($A313-B$9)/365.25</f>
        <v>83.707049965776861</v>
      </c>
      <c r="C313" s="409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2192</v>
      </c>
      <c r="I313" s="25">
        <f>IF(C313&lt;62,0,'Combined Retirement'!$I$13)</f>
        <v>2420</v>
      </c>
      <c r="J313" s="25">
        <f t="shared" si="263"/>
        <v>7863.2184191855868</v>
      </c>
      <c r="K313" s="25">
        <f t="shared" si="264"/>
        <v>20282.026119384056</v>
      </c>
      <c r="L313" s="25"/>
      <c r="N313" s="25">
        <f>'Combined Retirement'!$C$18/12</f>
        <v>39153.069999999992</v>
      </c>
      <c r="O313" s="25">
        <f t="shared" si="265"/>
        <v>11007.82546143035</v>
      </c>
      <c r="P313" s="25">
        <f t="shared" si="266"/>
        <v>28145.244538569641</v>
      </c>
      <c r="Q313" s="25">
        <f t="array" aca="1" ref="Q313" ca="1">INDEX('Isaac 401k'!L:L,MATCH('Retirement Calculator'!A313,'Isaac 401k'!N:N,0),0)</f>
        <v>1240943.5312124768</v>
      </c>
      <c r="R313" s="25">
        <f t="array" aca="1" ref="R313" ca="1">INDEX('Lorri 401b'!L:L,MATCH('Retirement Calculator'!A313,'Lorri 401b'!N:N,0),0)</f>
        <v>3228832.9799521985</v>
      </c>
      <c r="S313" s="25">
        <f t="shared" ca="1" si="267"/>
        <v>4469776.5111646755</v>
      </c>
    </row>
    <row r="314" spans="1:19" ht="15.75" customHeight="1" x14ac:dyDescent="0.3">
      <c r="A314" s="37">
        <v>60511</v>
      </c>
      <c r="B314" s="409">
        <f t="shared" ref="B314:C314" si="315">($A314-B$9)/365.25</f>
        <v>83.791923340177959</v>
      </c>
      <c r="C314" s="409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2192</v>
      </c>
      <c r="I314" s="25">
        <f>IF(C314&lt;62,0,'Combined Retirement'!$I$13)</f>
        <v>2420</v>
      </c>
      <c r="J314" s="25">
        <f t="shared" si="263"/>
        <v>7863.2184191855868</v>
      </c>
      <c r="K314" s="25">
        <f t="shared" si="264"/>
        <v>20282.026119384056</v>
      </c>
      <c r="L314" s="25"/>
      <c r="N314" s="25">
        <f>'Combined Retirement'!$C$18/12</f>
        <v>39153.069999999992</v>
      </c>
      <c r="O314" s="25">
        <f t="shared" si="265"/>
        <v>11007.82546143035</v>
      </c>
      <c r="P314" s="25">
        <f t="shared" si="266"/>
        <v>28145.244538569641</v>
      </c>
      <c r="Q314" s="25">
        <f t="array" aca="1" ref="Q314" ca="1">INDEX('Isaac 401k'!L:L,MATCH('Retirement Calculator'!A314,'Isaac 401k'!N:N,0),0)</f>
        <v>1238218.1474299298</v>
      </c>
      <c r="R314" s="25">
        <f t="array" aca="1" ref="R314" ca="1">INDEX('Lorri 401b'!L:L,MATCH('Retirement Calculator'!A314,'Lorri 401b'!N:N,0),0)</f>
        <v>3221919.9161404511</v>
      </c>
      <c r="S314" s="25">
        <f t="shared" ca="1" si="267"/>
        <v>4460138.0635703811</v>
      </c>
    </row>
    <row r="315" spans="1:19" ht="15.75" customHeight="1" x14ac:dyDescent="0.3">
      <c r="A315" s="37">
        <v>60541</v>
      </c>
      <c r="B315" s="409">
        <f t="shared" ref="B315:C315" si="316">($A315-B$9)/365.25</f>
        <v>83.87405886379193</v>
      </c>
      <c r="C315" s="409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2192</v>
      </c>
      <c r="I315" s="25">
        <f>IF(C315&lt;62,0,'Combined Retirement'!$I$13)</f>
        <v>2420</v>
      </c>
      <c r="J315" s="25">
        <f t="shared" si="263"/>
        <v>7863.2184191855868</v>
      </c>
      <c r="K315" s="25">
        <f t="shared" si="264"/>
        <v>20282.026119384056</v>
      </c>
      <c r="L315" s="25"/>
      <c r="N315" s="25">
        <f>'Combined Retirement'!$C$18/12</f>
        <v>39153.069999999992</v>
      </c>
      <c r="O315" s="25">
        <f t="shared" si="265"/>
        <v>11007.82546143035</v>
      </c>
      <c r="P315" s="25">
        <f t="shared" si="266"/>
        <v>28145.244538569641</v>
      </c>
      <c r="Q315" s="25">
        <f t="array" aca="1" ref="Q315" ca="1">INDEX('Isaac 401k'!L:L,MATCH('Retirement Calculator'!A315,'Isaac 401k'!N:N,0),0)</f>
        <v>1235481.4078816222</v>
      </c>
      <c r="R315" s="25">
        <f t="array" aca="1" ref="R315" ca="1">INDEX('Lorri 401b'!L:L,MATCH('Retirement Calculator'!A315,'Lorri 401b'!N:N,0),0)</f>
        <v>3214978.0478961547</v>
      </c>
      <c r="S315" s="25">
        <f t="shared" ca="1" si="267"/>
        <v>4450459.4557777774</v>
      </c>
    </row>
    <row r="316" spans="1:19" ht="15.75" customHeight="1" x14ac:dyDescent="0.3">
      <c r="A316" s="37">
        <v>60572</v>
      </c>
      <c r="B316" s="409">
        <f t="shared" ref="B316:C316" si="317">($A316-B$9)/365.25</f>
        <v>83.958932238193015</v>
      </c>
      <c r="C316" s="409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2192</v>
      </c>
      <c r="I316" s="25">
        <f>IF(C316&lt;62,0,'Combined Retirement'!$I$13)</f>
        <v>2420</v>
      </c>
      <c r="J316" s="25">
        <f t="shared" si="263"/>
        <v>7863.2184191855868</v>
      </c>
      <c r="K316" s="25">
        <f t="shared" si="264"/>
        <v>20282.026119384056</v>
      </c>
      <c r="L316" s="25"/>
      <c r="N316" s="25">
        <f>'Combined Retirement'!$C$18/12</f>
        <v>39153.069999999992</v>
      </c>
      <c r="O316" s="25">
        <f t="shared" si="265"/>
        <v>11007.82546143035</v>
      </c>
      <c r="P316" s="25">
        <f t="shared" si="266"/>
        <v>28145.244538569641</v>
      </c>
      <c r="Q316" s="25">
        <f t="array" aca="1" ref="Q316" ca="1">INDEX('Isaac 401k'!L:L,MATCH('Retirement Calculator'!A316,'Isaac 401k'!N:N,0),0)</f>
        <v>1232733.2652518635</v>
      </c>
      <c r="R316" s="25">
        <f t="array" aca="1" ref="R316" ca="1">INDEX('Lorri 401b'!L:L,MATCH('Retirement Calculator'!A316,'Lorri 401b'!N:N,0),0)</f>
        <v>3208007.2552008405</v>
      </c>
      <c r="S316" s="25">
        <f t="shared" ca="1" si="267"/>
        <v>4440740.5204527043</v>
      </c>
    </row>
    <row r="317" spans="1:19" ht="15.75" customHeight="1" x14ac:dyDescent="0.3">
      <c r="A317" s="37">
        <v>60602</v>
      </c>
      <c r="B317" s="409">
        <f t="shared" ref="B317:C317" si="318">($A317-B$9)/365.25</f>
        <v>84.041067761806985</v>
      </c>
      <c r="C317" s="409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2192</v>
      </c>
      <c r="I317" s="25">
        <f>IF(C317&lt;62,0,'Combined Retirement'!$I$13)</f>
        <v>2420</v>
      </c>
      <c r="J317" s="25">
        <f t="shared" si="263"/>
        <v>7863.2184191855868</v>
      </c>
      <c r="K317" s="25">
        <f t="shared" si="264"/>
        <v>20282.026119384056</v>
      </c>
      <c r="L317" s="25"/>
      <c r="N317" s="25">
        <f>'Combined Retirement'!$C$18/12</f>
        <v>39153.069999999992</v>
      </c>
      <c r="O317" s="25">
        <f t="shared" si="265"/>
        <v>11007.82546143035</v>
      </c>
      <c r="P317" s="25">
        <f t="shared" si="266"/>
        <v>28145.244538569641</v>
      </c>
      <c r="Q317" s="25">
        <f t="array" aca="1" ref="Q317" ca="1">INDEX('Isaac 401k'!L:L,MATCH('Retirement Calculator'!A317,'Isaac 401k'!N:N,0),0)</f>
        <v>1229973.672027814</v>
      </c>
      <c r="R317" s="25">
        <f t="array" aca="1" ref="R317" ca="1">INDEX('Lorri 401b'!L:L,MATCH('Retirement Calculator'!A317,'Lorri 401b'!N:N,0),0)</f>
        <v>3201007.4175359625</v>
      </c>
      <c r="S317" s="25">
        <f t="shared" ca="1" si="267"/>
        <v>4430981.0895637767</v>
      </c>
    </row>
    <row r="318" spans="1:19" ht="15.75" customHeight="1" x14ac:dyDescent="0.3">
      <c r="A318" s="37">
        <v>60633</v>
      </c>
      <c r="B318" s="409">
        <f t="shared" ref="B318:C318" si="319">($A318-B$9)/365.25</f>
        <v>84.12594113620807</v>
      </c>
      <c r="C318" s="409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2192</v>
      </c>
      <c r="I318" s="25">
        <f>IF(C318&lt;62,0,'Combined Retirement'!$I$13)</f>
        <v>2420</v>
      </c>
      <c r="J318" s="25">
        <f t="shared" si="263"/>
        <v>7863.2184191855868</v>
      </c>
      <c r="K318" s="25">
        <f t="shared" si="264"/>
        <v>20282.026119384056</v>
      </c>
      <c r="L318" s="25"/>
      <c r="N318" s="25">
        <f>'Combined Retirement'!$C$18/12</f>
        <v>39153.069999999992</v>
      </c>
      <c r="O318" s="25">
        <f t="shared" si="265"/>
        <v>11007.82546143035</v>
      </c>
      <c r="P318" s="25">
        <f t="shared" si="266"/>
        <v>28145.244538569641</v>
      </c>
      <c r="Q318" s="25">
        <f t="array" aca="1" ref="Q318" ca="1">INDEX('Isaac 401k'!L:L,MATCH('Retirement Calculator'!A318,'Isaac 401k'!N:N,0),0)</f>
        <v>1227202.5804986644</v>
      </c>
      <c r="R318" s="25">
        <f t="array" aca="1" ref="R318" ca="1">INDEX('Lorri 401b'!L:L,MATCH('Retirement Calculator'!A318,'Lorri 401b'!N:N,0),0)</f>
        <v>3193978.4138808143</v>
      </c>
      <c r="S318" s="25">
        <f t="shared" ca="1" si="267"/>
        <v>4421180.9943794785</v>
      </c>
    </row>
    <row r="319" spans="1:19" ht="15.75" customHeight="1" x14ac:dyDescent="0.3">
      <c r="A319" s="37">
        <v>60664</v>
      </c>
      <c r="B319" s="409">
        <f t="shared" ref="B319:C319" si="320">($A319-B$9)/365.25</f>
        <v>84.210814510609168</v>
      </c>
      <c r="C319" s="409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2192</v>
      </c>
      <c r="I319" s="25">
        <f>IF(C319&lt;62,0,'Combined Retirement'!$I$13)</f>
        <v>2420</v>
      </c>
      <c r="J319" s="25">
        <f t="shared" si="263"/>
        <v>7863.2184191855868</v>
      </c>
      <c r="K319" s="25">
        <f t="shared" si="264"/>
        <v>20282.026119384056</v>
      </c>
      <c r="L319" s="25"/>
      <c r="N319" s="25">
        <f>'Combined Retirement'!$C$18/12</f>
        <v>39153.069999999992</v>
      </c>
      <c r="O319" s="25">
        <f t="shared" si="265"/>
        <v>11007.82546143035</v>
      </c>
      <c r="P319" s="25">
        <f t="shared" si="266"/>
        <v>28145.244538569641</v>
      </c>
      <c r="Q319" s="25">
        <f t="array" aca="1" ref="Q319" ca="1">INDEX('Isaac 401k'!L:L,MATCH('Retirement Calculator'!A319,'Isaac 401k'!N:N,0),0)</f>
        <v>1224419.94275481</v>
      </c>
      <c r="R319" s="25">
        <f t="array" aca="1" ref="R319" ca="1">INDEX('Lorri 401b'!L:L,MATCH('Retirement Calculator'!A319,'Lorri 401b'!N:N,0),0)</f>
        <v>3186920.1227104361</v>
      </c>
      <c r="S319" s="25">
        <f t="shared" ca="1" si="267"/>
        <v>4411340.0654652463</v>
      </c>
    </row>
    <row r="320" spans="1:19" ht="15.75" customHeight="1" x14ac:dyDescent="0.3">
      <c r="A320" s="37">
        <v>60692</v>
      </c>
      <c r="B320" s="409">
        <f t="shared" ref="B320:C320" si="321">($A320-B$9)/365.25</f>
        <v>84.28747433264887</v>
      </c>
      <c r="C320" s="409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2192</v>
      </c>
      <c r="I320" s="25">
        <f>IF(C320&lt;62,0,'Combined Retirement'!$I$13)</f>
        <v>2420</v>
      </c>
      <c r="J320" s="25">
        <f t="shared" si="263"/>
        <v>7863.2184191855868</v>
      </c>
      <c r="K320" s="25">
        <f t="shared" si="264"/>
        <v>20282.026119384056</v>
      </c>
      <c r="L320" s="25"/>
      <c r="N320" s="25">
        <f>'Combined Retirement'!$C$18/12</f>
        <v>39153.069999999992</v>
      </c>
      <c r="O320" s="25">
        <f t="shared" si="265"/>
        <v>11007.82546143035</v>
      </c>
      <c r="P320" s="25">
        <f t="shared" si="266"/>
        <v>28145.244538569641</v>
      </c>
      <c r="Q320" s="25">
        <f t="array" aca="1" ref="Q320" ca="1">INDEX('Isaac 401k'!L:L,MATCH('Retirement Calculator'!A320,'Isaac 401k'!N:N,0),0)</f>
        <v>1221625.7106870229</v>
      </c>
      <c r="R320" s="25">
        <f t="array" aca="1" ref="R320" ca="1">INDEX('Lorri 401b'!L:L,MATCH('Retirement Calculator'!A320,'Lorri 401b'!N:N,0),0)</f>
        <v>3179832.421993515</v>
      </c>
      <c r="S320" s="25">
        <f t="shared" ca="1" si="267"/>
        <v>4401458.1326805381</v>
      </c>
    </row>
    <row r="321" spans="1:19" ht="15.75" customHeight="1" x14ac:dyDescent="0.3">
      <c r="A321" s="37">
        <v>60723</v>
      </c>
      <c r="B321" s="409">
        <f t="shared" ref="B321:C321" si="322">($A321-B$9)/365.25</f>
        <v>84.372347707049968</v>
      </c>
      <c r="C321" s="409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2192</v>
      </c>
      <c r="I321" s="25">
        <f>IF(C321&lt;62,0,'Combined Retirement'!$I$13)</f>
        <v>2420</v>
      </c>
      <c r="J321" s="25">
        <f t="shared" si="263"/>
        <v>7863.2184191855868</v>
      </c>
      <c r="K321" s="25">
        <f t="shared" si="264"/>
        <v>20282.026119384056</v>
      </c>
      <c r="L321" s="25"/>
      <c r="N321" s="25">
        <f>'Combined Retirement'!$C$18/12</f>
        <v>39153.069999999992</v>
      </c>
      <c r="O321" s="25">
        <f t="shared" si="265"/>
        <v>11007.82546143035</v>
      </c>
      <c r="P321" s="25">
        <f t="shared" si="266"/>
        <v>28145.244538569641</v>
      </c>
      <c r="Q321" s="25">
        <f t="array" aca="1" ref="Q321" ca="1">INDEX('Isaac 401k'!L:L,MATCH('Retirement Calculator'!A321,'Isaac 401k'!N:N,0),0)</f>
        <v>1218819.83598562</v>
      </c>
      <c r="R321" s="25">
        <f t="array" aca="1" ref="R321" ca="1">INDEX('Lorri 401b'!L:L,MATCH('Retirement Calculator'!A321,'Lorri 401b'!N:N,0),0)</f>
        <v>3172715.1891902732</v>
      </c>
      <c r="S321" s="25">
        <f t="shared" ca="1" si="267"/>
        <v>4391535.0251758937</v>
      </c>
    </row>
    <row r="322" spans="1:19" ht="15.75" customHeight="1" x14ac:dyDescent="0.3">
      <c r="A322" s="37">
        <v>60753</v>
      </c>
      <c r="B322" s="409">
        <f t="shared" ref="B322:C322" si="323">($A322-B$9)/365.25</f>
        <v>84.454483230663925</v>
      </c>
      <c r="C322" s="409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2192</v>
      </c>
      <c r="I322" s="25">
        <f>IF(C322&lt;62,0,'Combined Retirement'!$I$13)</f>
        <v>2420</v>
      </c>
      <c r="J322" s="25">
        <f t="shared" si="263"/>
        <v>7863.2184191855868</v>
      </c>
      <c r="K322" s="25">
        <f t="shared" si="264"/>
        <v>20282.026119384056</v>
      </c>
      <c r="L322" s="25"/>
      <c r="N322" s="25">
        <f>'Combined Retirement'!$C$18/12</f>
        <v>39153.069999999992</v>
      </c>
      <c r="O322" s="25">
        <f t="shared" si="265"/>
        <v>11007.82546143035</v>
      </c>
      <c r="P322" s="25">
        <f t="shared" si="266"/>
        <v>28145.244538569641</v>
      </c>
      <c r="Q322" s="25">
        <f t="array" aca="1" ref="Q322" ca="1">INDEX('Isaac 401k'!L:L,MATCH('Retirement Calculator'!A322,'Isaac 401k'!N:N,0),0)</f>
        <v>1216002.2701396279</v>
      </c>
      <c r="R322" s="25">
        <f t="array" aca="1" ref="R322" ca="1">INDEX('Lorri 401b'!L:L,MATCH('Retirement Calculator'!A322,'Lorri 401b'!N:N,0),0)</f>
        <v>3165568.3012503511</v>
      </c>
      <c r="S322" s="25">
        <f t="shared" ca="1" si="267"/>
        <v>4381570.5713899788</v>
      </c>
    </row>
    <row r="323" spans="1:19" ht="15.75" customHeight="1" x14ac:dyDescent="0.3">
      <c r="A323" s="37">
        <v>60784</v>
      </c>
      <c r="B323" s="409">
        <f t="shared" ref="B323:C323" si="324">($A323-B$9)/365.25</f>
        <v>84.539356605065024</v>
      </c>
      <c r="C323" s="409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2192</v>
      </c>
      <c r="I323" s="25">
        <f>IF(C323&lt;62,0,'Combined Retirement'!$I$13)</f>
        <v>2420</v>
      </c>
      <c r="J323" s="25">
        <f t="shared" si="263"/>
        <v>7863.2184191855868</v>
      </c>
      <c r="K323" s="25">
        <f t="shared" si="264"/>
        <v>20282.026119384056</v>
      </c>
      <c r="L323" s="25"/>
      <c r="N323" s="25">
        <f>'Combined Retirement'!$C$18/12</f>
        <v>39153.069999999992</v>
      </c>
      <c r="O323" s="25">
        <f t="shared" si="265"/>
        <v>11007.82546143035</v>
      </c>
      <c r="P323" s="25">
        <f t="shared" si="266"/>
        <v>28145.244538569641</v>
      </c>
      <c r="Q323" s="25">
        <f t="array" aca="1" ref="Q323" ca="1">INDEX('Isaac 401k'!L:L,MATCH('Retirement Calculator'!A323,'Isaac 401k'!N:N,0),0)</f>
        <v>1213172.9644359441</v>
      </c>
      <c r="R323" s="25">
        <f t="array" aca="1" ref="R323" ca="1">INDEX('Lorri 401b'!L:L,MATCH('Retirement Calculator'!A323,'Lorri 401b'!N:N,0),0)</f>
        <v>3158391.6346106795</v>
      </c>
      <c r="S323" s="25">
        <f t="shared" ca="1" si="267"/>
        <v>4371564.5990466233</v>
      </c>
    </row>
    <row r="324" spans="1:19" ht="15.75" customHeight="1" x14ac:dyDescent="0.3">
      <c r="A324" s="37">
        <v>60814</v>
      </c>
      <c r="B324" s="409">
        <f t="shared" ref="B324:C324" si="325">($A324-B$9)/365.25</f>
        <v>84.62149212867898</v>
      </c>
      <c r="C324" s="409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2192</v>
      </c>
      <c r="I324" s="25">
        <f>IF(C324&lt;62,0,'Combined Retirement'!$I$13)</f>
        <v>2420</v>
      </c>
      <c r="J324" s="25">
        <f t="shared" si="263"/>
        <v>7863.2184191855868</v>
      </c>
      <c r="K324" s="25">
        <f t="shared" si="264"/>
        <v>20282.026119384056</v>
      </c>
      <c r="L324" s="25"/>
      <c r="N324" s="25">
        <f>'Combined Retirement'!$C$18/12</f>
        <v>39153.069999999992</v>
      </c>
      <c r="O324" s="25">
        <f t="shared" si="265"/>
        <v>11007.82546143035</v>
      </c>
      <c r="P324" s="25">
        <f t="shared" si="266"/>
        <v>28145.244538569641</v>
      </c>
      <c r="Q324" s="25">
        <f t="array" aca="1" ref="Q324" ca="1">INDEX('Isaac 401k'!L:L,MATCH('Retirement Calculator'!A324,'Isaac 401k'!N:N,0),0)</f>
        <v>1210331.869958495</v>
      </c>
      <c r="R324" s="25">
        <f t="array" aca="1" ref="R324" ca="1">INDEX('Lorri 401b'!L:L,MATCH('Retirement Calculator'!A324,'Lorri 401b'!N:N,0),0)</f>
        <v>3151185.0651933425</v>
      </c>
      <c r="S324" s="25">
        <f t="shared" ca="1" si="267"/>
        <v>4361516.9351518378</v>
      </c>
    </row>
    <row r="325" spans="1:19" ht="15.75" customHeight="1" x14ac:dyDescent="0.3">
      <c r="A325" s="37">
        <v>60845</v>
      </c>
      <c r="B325" s="409">
        <f t="shared" ref="B325:C325" si="326">($A325-B$9)/365.25</f>
        <v>84.706365503080079</v>
      </c>
      <c r="C325" s="409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2192</v>
      </c>
      <c r="I325" s="25">
        <f>IF(C325&lt;62,0,'Combined Retirement'!$I$13)</f>
        <v>2420</v>
      </c>
      <c r="J325" s="25">
        <f t="shared" si="263"/>
        <v>7863.2184191855868</v>
      </c>
      <c r="K325" s="25">
        <f t="shared" si="264"/>
        <v>20282.026119384056</v>
      </c>
      <c r="L325" s="25"/>
      <c r="N325" s="25">
        <f>'Combined Retirement'!$C$18/12</f>
        <v>39153.069999999992</v>
      </c>
      <c r="O325" s="25">
        <f t="shared" si="265"/>
        <v>11007.82546143035</v>
      </c>
      <c r="P325" s="25">
        <f t="shared" si="266"/>
        <v>28145.244538569641</v>
      </c>
      <c r="Q325" s="25">
        <f t="array" aca="1" ref="Q325" ca="1">INDEX('Isaac 401k'!L:L,MATCH('Retirement Calculator'!A325,'Isaac 401k'!N:N,0),0)</f>
        <v>1207478.93758739</v>
      </c>
      <c r="R325" s="25">
        <f t="array" aca="1" ref="R325" ca="1">INDEX('Lorri 401b'!L:L,MATCH('Retirement Calculator'!A325,'Lorri 401b'!N:N,0),0)</f>
        <v>3143948.4684034334</v>
      </c>
      <c r="S325" s="25">
        <f t="shared" ca="1" si="267"/>
        <v>4351427.4059908232</v>
      </c>
    </row>
    <row r="326" spans="1:19" ht="15.75" customHeight="1" x14ac:dyDescent="0.3">
      <c r="A326" s="37">
        <v>60876</v>
      </c>
      <c r="B326" s="409">
        <f t="shared" ref="B326:C326" si="327">($A326-B$9)/365.25</f>
        <v>84.791238877481177</v>
      </c>
      <c r="C326" s="409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2192</v>
      </c>
      <c r="I326" s="25">
        <f>IF(C326&lt;62,0,'Combined Retirement'!$I$13)</f>
        <v>2420</v>
      </c>
      <c r="J326" s="25">
        <f t="shared" si="263"/>
        <v>7863.2184191855868</v>
      </c>
      <c r="K326" s="25">
        <f t="shared" si="264"/>
        <v>20282.026119384056</v>
      </c>
      <c r="L326" s="25"/>
      <c r="N326" s="25">
        <f>'Combined Retirement'!$C$18/12</f>
        <v>39153.069999999992</v>
      </c>
      <c r="O326" s="25">
        <f t="shared" si="265"/>
        <v>11007.82546143035</v>
      </c>
      <c r="P326" s="25">
        <f t="shared" si="266"/>
        <v>28145.244538569641</v>
      </c>
      <c r="Q326" s="25">
        <f t="array" aca="1" ref="Q326" ca="1">INDEX('Isaac 401k'!L:L,MATCH('Retirement Calculator'!A326,'Isaac 401k'!N:N,0),0)</f>
        <v>1204614.1179980719</v>
      </c>
      <c r="R326" s="25">
        <f t="array" aca="1" ref="R326" ca="1">INDEX('Lorri 401b'!L:L,MATCH('Retirement Calculator'!A326,'Lorri 401b'!N:N,0),0)</f>
        <v>3136681.7191268997</v>
      </c>
      <c r="S326" s="25">
        <f t="shared" ca="1" si="267"/>
        <v>4341295.8371249717</v>
      </c>
    </row>
    <row r="327" spans="1:19" ht="15.75" customHeight="1" x14ac:dyDescent="0.3">
      <c r="A327" s="37">
        <v>60906</v>
      </c>
      <c r="B327" s="409">
        <f t="shared" ref="B327:C327" si="328">($A327-B$9)/365.25</f>
        <v>84.873374401095134</v>
      </c>
      <c r="C327" s="409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2192</v>
      </c>
      <c r="I327" s="25">
        <f>IF(C327&lt;62,0,'Combined Retirement'!$I$13)</f>
        <v>2420</v>
      </c>
      <c r="J327" s="25">
        <f t="shared" si="263"/>
        <v>7863.2184191855868</v>
      </c>
      <c r="K327" s="25">
        <f t="shared" si="264"/>
        <v>20282.026119384056</v>
      </c>
      <c r="L327" s="25"/>
      <c r="N327" s="25">
        <f>'Combined Retirement'!$C$18/12</f>
        <v>39153.069999999992</v>
      </c>
      <c r="O327" s="25">
        <f t="shared" si="265"/>
        <v>11007.82546143035</v>
      </c>
      <c r="P327" s="25">
        <f t="shared" si="266"/>
        <v>28145.244538569641</v>
      </c>
      <c r="Q327" s="25">
        <f t="array" aca="1" ref="Q327" ca="1">INDEX('Isaac 401k'!L:L,MATCH('Retirement Calculator'!A327,'Isaac 401k'!N:N,0),0)</f>
        <v>1201737.3616604651</v>
      </c>
      <c r="R327" s="25">
        <f t="array" aca="1" ref="R327" ca="1">INDEX('Lorri 401b'!L:L,MATCH('Retirement Calculator'!A327,'Lorri 401b'!N:N,0),0)</f>
        <v>3129384.6917283805</v>
      </c>
      <c r="S327" s="25">
        <f t="shared" ca="1" si="267"/>
        <v>4331122.0533888452</v>
      </c>
    </row>
    <row r="328" spans="1:19" ht="15.75" customHeight="1" x14ac:dyDescent="0.3">
      <c r="A328" s="37">
        <v>60937</v>
      </c>
      <c r="B328" s="409">
        <f t="shared" ref="B328:C328" si="329">($A328-B$9)/365.25</f>
        <v>84.958247775496233</v>
      </c>
      <c r="C328" s="409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2192</v>
      </c>
      <c r="I328" s="25">
        <f>IF(C328&lt;62,0,'Combined Retirement'!$I$13)</f>
        <v>2420</v>
      </c>
      <c r="J328" s="25">
        <f t="shared" si="263"/>
        <v>7863.2184191855868</v>
      </c>
      <c r="K328" s="25">
        <f t="shared" si="264"/>
        <v>20282.026119384056</v>
      </c>
      <c r="L328" s="25"/>
      <c r="N328" s="25">
        <f>'Combined Retirement'!$C$18/12</f>
        <v>39153.069999999992</v>
      </c>
      <c r="O328" s="25">
        <f t="shared" si="265"/>
        <v>11007.82546143035</v>
      </c>
      <c r="P328" s="25">
        <f t="shared" si="266"/>
        <v>28145.244538569641</v>
      </c>
      <c r="Q328" s="25">
        <f t="array" aca="1" ref="Q328" ca="1">INDEX('Isaac 401k'!L:L,MATCH('Retirement Calculator'!A328,'Isaac 401k'!N:N,0),0)</f>
        <v>1198848.6188381182</v>
      </c>
      <c r="R328" s="25">
        <f t="array" aca="1" ref="R328" ca="1">INDEX('Lorri 401b'!L:L,MATCH('Retirement Calculator'!A328,'Lorri 401b'!N:N,0),0)</f>
        <v>3122057.2600490339</v>
      </c>
      <c r="S328" s="25">
        <f t="shared" ca="1" si="267"/>
        <v>4320905.8788871523</v>
      </c>
    </row>
    <row r="329" spans="1:19" ht="15.75" customHeight="1" x14ac:dyDescent="0.3">
      <c r="A329" s="37">
        <v>60967</v>
      </c>
      <c r="B329" s="409">
        <f t="shared" ref="B329:C329" si="330">($A329-B$9)/365.25</f>
        <v>85.040383299110204</v>
      </c>
      <c r="C329" s="409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2192</v>
      </c>
      <c r="I329" s="25">
        <f>IF(C329&lt;62,0,'Combined Retirement'!$I$13)</f>
        <v>2420</v>
      </c>
      <c r="J329" s="25">
        <f t="shared" si="263"/>
        <v>7863.2184191855868</v>
      </c>
      <c r="K329" s="25">
        <f t="shared" si="264"/>
        <v>20282.026119384056</v>
      </c>
      <c r="L329" s="25"/>
      <c r="N329" s="25">
        <f>'Combined Retirement'!$C$18/12</f>
        <v>39153.069999999992</v>
      </c>
      <c r="O329" s="25">
        <f t="shared" si="265"/>
        <v>11007.82546143035</v>
      </c>
      <c r="P329" s="25">
        <f t="shared" si="266"/>
        <v>28145.244538569641</v>
      </c>
      <c r="Q329" s="25">
        <f t="array" aca="1" ref="Q329" ca="1">INDEX('Isaac 401k'!L:L,MATCH('Retirement Calculator'!A329,'Isaac 401k'!N:N,0),0)</f>
        <v>1195947.8395873448</v>
      </c>
      <c r="R329" s="25">
        <f t="array" aca="1" ref="R329" ca="1">INDEX('Lorri 401b'!L:L,MATCH('Retirement Calculator'!A329,'Lorri 401b'!N:N,0),0)</f>
        <v>3114699.2974043568</v>
      </c>
      <c r="S329" s="25">
        <f t="shared" ca="1" si="267"/>
        <v>4310647.136991702</v>
      </c>
    </row>
    <row r="330" spans="1:19" ht="15.75" customHeight="1" x14ac:dyDescent="0.3">
      <c r="A330" s="37">
        <v>60998</v>
      </c>
      <c r="B330" s="409">
        <f t="shared" ref="B330:C330" si="331">($A330-B$9)/365.25</f>
        <v>85.125256673511288</v>
      </c>
      <c r="C330" s="409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2192</v>
      </c>
      <c r="I330" s="25">
        <f>IF(C330&lt;62,0,'Combined Retirement'!$I$13)</f>
        <v>2420</v>
      </c>
      <c r="J330" s="25">
        <f t="shared" si="263"/>
        <v>7863.2184191855868</v>
      </c>
      <c r="K330" s="25">
        <f t="shared" si="264"/>
        <v>20282.026119384056</v>
      </c>
      <c r="L330" s="25"/>
      <c r="N330" s="25">
        <f>'Combined Retirement'!$C$18/12</f>
        <v>39153.069999999992</v>
      </c>
      <c r="O330" s="25">
        <f t="shared" si="265"/>
        <v>11007.82546143035</v>
      </c>
      <c r="P330" s="25">
        <f t="shared" si="266"/>
        <v>28145.244538569641</v>
      </c>
      <c r="Q330" s="25">
        <f t="array" aca="1" ref="Q330" ca="1">INDEX('Isaac 401k'!L:L,MATCH('Retirement Calculator'!A330,'Isaac 401k'!N:N,0),0)</f>
        <v>1193034.9737563599</v>
      </c>
      <c r="R330" s="25">
        <f t="array" aca="1" ref="R330" ca="1">INDEX('Lorri 401b'!L:L,MATCH('Retirement Calculator'!A330,'Lorri 401b'!N:N,0),0)</f>
        <v>3107310.6765819937</v>
      </c>
      <c r="S330" s="25">
        <f t="shared" ca="1" si="267"/>
        <v>4300345.6503383536</v>
      </c>
    </row>
    <row r="331" spans="1:19" ht="15.75" customHeight="1" x14ac:dyDescent="0.3">
      <c r="A331" s="37">
        <v>61029</v>
      </c>
      <c r="B331" s="409">
        <f t="shared" ref="B331:C331" si="332">($A331-B$9)/365.25</f>
        <v>85.210130047912386</v>
      </c>
      <c r="C331" s="409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2192</v>
      </c>
      <c r="I331" s="25">
        <f>IF(C331&lt;62,0,'Combined Retirement'!$I$13)</f>
        <v>2420</v>
      </c>
      <c r="J331" s="25">
        <f t="shared" si="263"/>
        <v>7863.2184191855868</v>
      </c>
      <c r="K331" s="25">
        <f t="shared" si="264"/>
        <v>20282.026119384056</v>
      </c>
      <c r="L331" s="25"/>
      <c r="N331" s="25">
        <f>'Combined Retirement'!$C$18/12</f>
        <v>39153.069999999992</v>
      </c>
      <c r="O331" s="25">
        <f t="shared" si="265"/>
        <v>11007.82546143035</v>
      </c>
      <c r="P331" s="25">
        <f t="shared" si="266"/>
        <v>28145.244538569641</v>
      </c>
      <c r="Q331" s="25">
        <f t="array" aca="1" ref="Q331" ca="1">INDEX('Isaac 401k'!L:L,MATCH('Retirement Calculator'!A331,'Isaac 401k'!N:N,0),0)</f>
        <v>1190109.9709844126</v>
      </c>
      <c r="R331" s="25">
        <f t="array" aca="1" ref="R331" ca="1">INDEX('Lorri 401b'!L:L,MATCH('Retirement Calculator'!A331,'Lorri 401b'!N:N,0),0)</f>
        <v>3099891.2698395373</v>
      </c>
      <c r="S331" s="25">
        <f t="shared" ca="1" si="267"/>
        <v>4290001.2408239497</v>
      </c>
    </row>
    <row r="332" spans="1:19" ht="15.75" customHeight="1" x14ac:dyDescent="0.3">
      <c r="A332" s="37">
        <v>61057</v>
      </c>
      <c r="B332" s="409">
        <f t="shared" ref="B332:C332" si="333">($A332-B$9)/365.25</f>
        <v>85.286789869952088</v>
      </c>
      <c r="C332" s="409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2192</v>
      </c>
      <c r="I332" s="25">
        <f>IF(C332&lt;62,0,'Combined Retirement'!$I$13)</f>
        <v>2420</v>
      </c>
      <c r="J332" s="25">
        <f t="shared" si="263"/>
        <v>7863.2184191855868</v>
      </c>
      <c r="K332" s="25">
        <f t="shared" si="264"/>
        <v>20282.026119384056</v>
      </c>
      <c r="L332" s="25"/>
      <c r="N332" s="25">
        <f>'Combined Retirement'!$C$18/12</f>
        <v>39153.069999999992</v>
      </c>
      <c r="O332" s="25">
        <f t="shared" si="265"/>
        <v>11007.82546143035</v>
      </c>
      <c r="P332" s="25">
        <f t="shared" si="266"/>
        <v>28145.244538569641</v>
      </c>
      <c r="Q332" s="25">
        <f t="array" aca="1" ref="Q332" ca="1">INDEX('Isaac 401k'!L:L,MATCH('Retirement Calculator'!A332,'Isaac 401k'!N:N,0),0)</f>
        <v>1187172.7807009155</v>
      </c>
      <c r="R332" s="25">
        <f t="array" aca="1" ref="R332" ca="1">INDEX('Lorri 401b'!L:L,MATCH('Retirement Calculator'!A332,'Lorri 401b'!N:N,0),0)</f>
        <v>3092440.9489023206</v>
      </c>
      <c r="S332" s="25">
        <f t="shared" ca="1" si="267"/>
        <v>4279613.7296032365</v>
      </c>
    </row>
    <row r="333" spans="1:19" ht="15.75" customHeight="1" x14ac:dyDescent="0.3">
      <c r="A333" s="37">
        <v>61088</v>
      </c>
      <c r="B333" s="409">
        <f t="shared" ref="B333:C333" si="334">($A333-B$9)/365.25</f>
        <v>85.371663244353186</v>
      </c>
      <c r="C333" s="409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2192</v>
      </c>
      <c r="I333" s="25">
        <f>IF(C333&lt;62,0,'Combined Retirement'!$I$13)</f>
        <v>2420</v>
      </c>
      <c r="J333" s="25">
        <f t="shared" si="263"/>
        <v>7863.2184191855868</v>
      </c>
      <c r="K333" s="25">
        <f t="shared" si="264"/>
        <v>20282.026119384056</v>
      </c>
      <c r="L333" s="25"/>
      <c r="N333" s="25">
        <f>'Combined Retirement'!$C$18/12</f>
        <v>39153.069999999992</v>
      </c>
      <c r="O333" s="25">
        <f t="shared" si="265"/>
        <v>11007.82546143035</v>
      </c>
      <c r="P333" s="25">
        <f t="shared" si="266"/>
        <v>28145.244538569641</v>
      </c>
      <c r="Q333" s="25">
        <f t="array" aca="1" ref="Q333" ca="1">INDEX('Isaac 401k'!L:L,MATCH('Retirement Calculator'!A333,'Isaac 401k'!N:N,0),0)</f>
        <v>1184223.3521245704</v>
      </c>
      <c r="R333" s="25">
        <f t="array" aca="1" ref="R333" ca="1">INDEX('Lorri 401b'!L:L,MATCH('Retirement Calculator'!A333,'Lorri 401b'!N:N,0),0)</f>
        <v>3084959.5849611987</v>
      </c>
      <c r="S333" s="25">
        <f t="shared" ca="1" si="267"/>
        <v>4269182.9370857691</v>
      </c>
    </row>
    <row r="334" spans="1:19" ht="15.75" customHeight="1" x14ac:dyDescent="0.3">
      <c r="A334" s="37">
        <v>61118</v>
      </c>
      <c r="B334" s="409">
        <f t="shared" ref="B334:C334" si="335">($A334-B$9)/365.25</f>
        <v>85.453798767967143</v>
      </c>
      <c r="C334" s="409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2192</v>
      </c>
      <c r="I334" s="25">
        <f>IF(C334&lt;62,0,'Combined Retirement'!$I$13)</f>
        <v>2420</v>
      </c>
      <c r="J334" s="25">
        <f t="shared" si="263"/>
        <v>7863.2184191855868</v>
      </c>
      <c r="K334" s="25">
        <f t="shared" si="264"/>
        <v>20282.026119384056</v>
      </c>
      <c r="L334" s="25"/>
      <c r="N334" s="25">
        <f>'Combined Retirement'!$C$18/12</f>
        <v>39153.069999999992</v>
      </c>
      <c r="O334" s="25">
        <f t="shared" si="265"/>
        <v>11007.82546143035</v>
      </c>
      <c r="P334" s="25">
        <f t="shared" si="266"/>
        <v>28145.244538569641</v>
      </c>
      <c r="Q334" s="25">
        <f t="array" aca="1" ref="Q334" ca="1">INDEX('Isaac 401k'!L:L,MATCH('Retirement Calculator'!A334,'Isaac 401k'!N:N,0),0)</f>
        <v>1181261.6342624906</v>
      </c>
      <c r="R334" s="25">
        <f t="array" aca="1" ref="R334" ca="1">INDEX('Lorri 401b'!L:L,MATCH('Retirement Calculator'!A334,'Lorri 401b'!N:N,0),0)</f>
        <v>3077447.0486703222</v>
      </c>
      <c r="S334" s="25">
        <f t="shared" ca="1" si="267"/>
        <v>4258708.6829328127</v>
      </c>
    </row>
    <row r="335" spans="1:19" ht="15.75" customHeight="1" x14ac:dyDescent="0.3">
      <c r="A335" s="37">
        <v>61149</v>
      </c>
      <c r="B335" s="409">
        <f t="shared" ref="B335:C335" si="336">($A335-B$9)/365.25</f>
        <v>85.538672142368242</v>
      </c>
      <c r="C335" s="409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2192</v>
      </c>
      <c r="I335" s="25">
        <f>IF(C335&lt;62,0,'Combined Retirement'!$I$13)</f>
        <v>2420</v>
      </c>
      <c r="J335" s="25">
        <f t="shared" si="263"/>
        <v>7863.2184191855868</v>
      </c>
      <c r="K335" s="25">
        <f t="shared" si="264"/>
        <v>20282.026119384056</v>
      </c>
      <c r="L335" s="25"/>
      <c r="N335" s="25">
        <f>'Combined Retirement'!$C$18/12</f>
        <v>39153.069999999992</v>
      </c>
      <c r="O335" s="25">
        <f t="shared" si="265"/>
        <v>11007.82546143035</v>
      </c>
      <c r="P335" s="25">
        <f t="shared" si="266"/>
        <v>28145.244538569641</v>
      </c>
      <c r="Q335" s="25">
        <f t="array" aca="1" ref="Q335" ca="1">INDEX('Isaac 401k'!L:L,MATCH('Retirement Calculator'!A335,'Isaac 401k'!N:N,0),0)</f>
        <v>1178287.5759093186</v>
      </c>
      <c r="R335" s="25">
        <f t="array" aca="1" ref="R335" ca="1">INDEX('Lorri 401b'!L:L,MATCH('Retirement Calculator'!A335,'Lorri 401b'!N:N,0),0)</f>
        <v>3069903.2101449003</v>
      </c>
      <c r="S335" s="25">
        <f t="shared" ca="1" si="267"/>
        <v>4248190.7860542191</v>
      </c>
    </row>
    <row r="336" spans="1:19" ht="15.75" customHeight="1" x14ac:dyDescent="0.3">
      <c r="A336" s="37">
        <v>61179</v>
      </c>
      <c r="B336" s="409">
        <f t="shared" ref="B336:C336" si="337">($A336-B$9)/365.25</f>
        <v>85.620807665982198</v>
      </c>
      <c r="C336" s="409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2192</v>
      </c>
      <c r="I336" s="25">
        <f>IF(C336&lt;62,0,'Combined Retirement'!$I$13)</f>
        <v>2420</v>
      </c>
      <c r="J336" s="25">
        <f t="shared" si="263"/>
        <v>7863.2184191855868</v>
      </c>
      <c r="K336" s="25">
        <f t="shared" si="264"/>
        <v>20282.026119384056</v>
      </c>
      <c r="L336" s="25"/>
      <c r="N336" s="25">
        <f>'Combined Retirement'!$C$18/12</f>
        <v>39153.069999999992</v>
      </c>
      <c r="O336" s="25">
        <f t="shared" si="265"/>
        <v>11007.82546143035</v>
      </c>
      <c r="P336" s="25">
        <f t="shared" si="266"/>
        <v>28145.244538569641</v>
      </c>
      <c r="Q336" s="25">
        <f t="array" aca="1" ref="Q336" ca="1">INDEX('Isaac 401k'!L:L,MATCH('Retirement Calculator'!A336,'Isaac 401k'!N:N,0),0)</f>
        <v>1175301.1256463418</v>
      </c>
      <c r="R336" s="25">
        <f t="array" aca="1" ref="R336" ca="1">INDEX('Lorri 401b'!L:L,MATCH('Retirement Calculator'!A336,'Lorri 401b'!N:N,0),0)</f>
        <v>3062327.9389589559</v>
      </c>
      <c r="S336" s="25">
        <f t="shared" ca="1" si="267"/>
        <v>4237629.0646052975</v>
      </c>
    </row>
    <row r="337" spans="1:19" ht="15.75" customHeight="1" x14ac:dyDescent="0.3">
      <c r="A337" s="37">
        <v>61210</v>
      </c>
      <c r="B337" s="409">
        <f t="shared" ref="B337:C337" si="338">($A337-B$9)/365.25</f>
        <v>85.705681040383297</v>
      </c>
      <c r="C337" s="409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2192</v>
      </c>
      <c r="I337" s="25">
        <f>IF(C337&lt;62,0,'Combined Retirement'!$I$13)</f>
        <v>2420</v>
      </c>
      <c r="J337" s="25">
        <f t="shared" si="263"/>
        <v>7863.2184191855868</v>
      </c>
      <c r="K337" s="25">
        <f t="shared" si="264"/>
        <v>20282.026119384056</v>
      </c>
      <c r="L337" s="25"/>
      <c r="N337" s="25">
        <f>'Combined Retirement'!$C$18/12</f>
        <v>39153.069999999992</v>
      </c>
      <c r="O337" s="25">
        <f t="shared" si="265"/>
        <v>11007.82546143035</v>
      </c>
      <c r="P337" s="25">
        <f t="shared" si="266"/>
        <v>28145.244538569641</v>
      </c>
      <c r="Q337" s="25">
        <f t="array" aca="1" ref="Q337" ca="1">INDEX('Isaac 401k'!L:L,MATCH('Retirement Calculator'!A337,'Isaac 401k'!N:N,0),0)</f>
        <v>1172302.2318406026</v>
      </c>
      <c r="R337" s="25">
        <f t="array" aca="1" ref="R337" ca="1">INDEX('Lorri 401b'!L:L,MATCH('Retirement Calculator'!A337,'Lorri 401b'!N:N,0),0)</f>
        <v>3054721.1041430701</v>
      </c>
      <c r="S337" s="25">
        <f t="shared" ca="1" si="267"/>
        <v>4227023.3359836731</v>
      </c>
    </row>
    <row r="338" spans="1:19" ht="15.75" customHeight="1" x14ac:dyDescent="0.3">
      <c r="A338" s="37">
        <v>61241</v>
      </c>
      <c r="B338" s="409">
        <f t="shared" ref="B338:C338" si="339">($A338-B$9)/365.25</f>
        <v>85.790554414784395</v>
      </c>
      <c r="C338" s="409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2192</v>
      </c>
      <c r="I338" s="25">
        <f>IF(C338&lt;62,0,'Combined Retirement'!$I$13)</f>
        <v>2420</v>
      </c>
      <c r="J338" s="25">
        <f t="shared" si="263"/>
        <v>7863.2184191855868</v>
      </c>
      <c r="K338" s="25">
        <f t="shared" si="264"/>
        <v>20282.026119384056</v>
      </c>
      <c r="L338" s="25"/>
      <c r="N338" s="25">
        <f>'Combined Retirement'!$C$18/12</f>
        <v>39153.069999999992</v>
      </c>
      <c r="O338" s="25">
        <f t="shared" si="265"/>
        <v>11007.82546143035</v>
      </c>
      <c r="P338" s="25">
        <f t="shared" si="266"/>
        <v>28145.244538569641</v>
      </c>
      <c r="Q338" s="25">
        <f t="array" aca="1" ref="Q338" ca="1">INDEX('Isaac 401k'!L:L,MATCH('Retirement Calculator'!A338,'Isaac 401k'!N:N,0),0)</f>
        <v>1169290.8426440062</v>
      </c>
      <c r="R338" s="25">
        <f t="array" aca="1" ref="R338" ca="1">INDEX('Lorri 401b'!L:L,MATCH('Retirement Calculator'!A338,'Lorri 401b'!N:N,0),0)</f>
        <v>3047082.5741821183</v>
      </c>
      <c r="S338" s="25">
        <f t="shared" ca="1" si="267"/>
        <v>4216373.4168261243</v>
      </c>
    </row>
    <row r="339" spans="1:19" ht="15.75" customHeight="1" x14ac:dyDescent="0.3">
      <c r="A339" s="37">
        <v>61271</v>
      </c>
      <c r="B339" s="409">
        <f t="shared" ref="B339:C339" si="340">($A339-B$9)/365.25</f>
        <v>85.872689938398352</v>
      </c>
      <c r="C339" s="409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2192</v>
      </c>
      <c r="I339" s="25">
        <f>IF(C339&lt;62,0,'Combined Retirement'!$I$13)</f>
        <v>2420</v>
      </c>
      <c r="J339" s="25">
        <f t="shared" si="263"/>
        <v>7863.2184191855868</v>
      </c>
      <c r="K339" s="25">
        <f t="shared" si="264"/>
        <v>20282.026119384056</v>
      </c>
      <c r="L339" s="25"/>
      <c r="N339" s="25">
        <f>'Combined Retirement'!$C$18/12</f>
        <v>39153.069999999992</v>
      </c>
      <c r="O339" s="25">
        <f t="shared" si="265"/>
        <v>11007.82546143035</v>
      </c>
      <c r="P339" s="25">
        <f t="shared" si="266"/>
        <v>28145.244538569641</v>
      </c>
      <c r="Q339" s="25">
        <f t="array" aca="1" ref="Q339" ca="1">INDEX('Isaac 401k'!L:L,MATCH('Retirement Calculator'!A339,'Isaac 401k'!N:N,0),0)</f>
        <v>1166266.9059924241</v>
      </c>
      <c r="R339" s="25">
        <f t="array" aca="1" ref="R339" ca="1">INDEX('Lorri 401b'!L:L,MATCH('Retirement Calculator'!A339,'Lorri 401b'!N:N,0),0)</f>
        <v>3039412.2170129959</v>
      </c>
      <c r="S339" s="25">
        <f t="shared" ca="1" si="267"/>
        <v>4205679.12300542</v>
      </c>
    </row>
    <row r="340" spans="1:19" ht="15.75" customHeight="1" x14ac:dyDescent="0.3">
      <c r="A340" s="37">
        <v>61302</v>
      </c>
      <c r="B340" s="409">
        <f t="shared" ref="B340:C340" si="341">($A340-B$9)/365.25</f>
        <v>85.957563312799451</v>
      </c>
      <c r="C340" s="409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2192</v>
      </c>
      <c r="I340" s="25">
        <f>IF(C340&lt;62,0,'Combined Retirement'!$I$13)</f>
        <v>2420</v>
      </c>
      <c r="J340" s="25">
        <f t="shared" si="263"/>
        <v>7863.2184191855868</v>
      </c>
      <c r="K340" s="25">
        <f t="shared" si="264"/>
        <v>20282.026119384056</v>
      </c>
      <c r="L340" s="25"/>
      <c r="N340" s="25">
        <f>'Combined Retirement'!$C$18/12</f>
        <v>39153.069999999992</v>
      </c>
      <c r="O340" s="25">
        <f t="shared" si="265"/>
        <v>11007.82546143035</v>
      </c>
      <c r="P340" s="25">
        <f t="shared" si="266"/>
        <v>28145.244538569641</v>
      </c>
      <c r="Q340" s="25">
        <f t="array" aca="1" ref="Q340" ca="1">INDEX('Isaac 401k'!L:L,MATCH('Retirement Calculator'!A340,'Isaac 401k'!N:N,0),0)</f>
        <v>1163230.3696047936</v>
      </c>
      <c r="R340" s="25">
        <f t="array" aca="1" ref="R340" ca="1">INDEX('Lorri 401b'!L:L,MATCH('Retirement Calculator'!A340,'Lorri 401b'!N:N,0),0)</f>
        <v>3031709.9000223354</v>
      </c>
      <c r="S340" s="25">
        <f t="shared" ca="1" si="267"/>
        <v>4194940.2696271287</v>
      </c>
    </row>
    <row r="341" spans="1:19" ht="15.75" customHeight="1" x14ac:dyDescent="0.3">
      <c r="A341" s="37">
        <v>61332</v>
      </c>
      <c r="B341" s="409">
        <f t="shared" ref="B341:C341" si="342">($A341-B$9)/365.25</f>
        <v>86.039698836413422</v>
      </c>
      <c r="C341" s="409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2192</v>
      </c>
      <c r="I341" s="25">
        <f>IF(C341&lt;62,0,'Combined Retirement'!$I$13)</f>
        <v>2420</v>
      </c>
      <c r="J341" s="25">
        <f t="shared" si="263"/>
        <v>7863.2184191855868</v>
      </c>
      <c r="K341" s="25">
        <f t="shared" si="264"/>
        <v>20282.026119384056</v>
      </c>
      <c r="L341" s="25"/>
      <c r="N341" s="25">
        <f>'Combined Retirement'!$C$18/12</f>
        <v>39153.069999999992</v>
      </c>
      <c r="O341" s="25">
        <f t="shared" si="265"/>
        <v>11007.82546143035</v>
      </c>
      <c r="P341" s="25">
        <f t="shared" si="266"/>
        <v>28145.244538569641</v>
      </c>
      <c r="Q341" s="25">
        <f t="array" aca="1" ref="Q341" ca="1">INDEX('Isaac 401k'!L:L,MATCH('Retirement Calculator'!A341,'Isaac 401k'!N:N,0),0)</f>
        <v>1160181.1809822146</v>
      </c>
      <c r="R341" s="25">
        <f t="array" aca="1" ref="R341" ca="1">INDEX('Lorri 401b'!L:L,MATCH('Retirement Calculator'!A341,'Lorri 401b'!N:N,0),0)</f>
        <v>3023975.4900442138</v>
      </c>
      <c r="S341" s="25">
        <f t="shared" ca="1" si="267"/>
        <v>4184156.6710264282</v>
      </c>
    </row>
    <row r="342" spans="1:19" ht="15.75" customHeight="1" x14ac:dyDescent="0.3">
      <c r="A342" s="37">
        <v>61363</v>
      </c>
      <c r="B342" s="409">
        <f t="shared" ref="B342:C342" si="343">($A342-B$9)/365.25</f>
        <v>86.124572210814506</v>
      </c>
      <c r="C342" s="409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2192</v>
      </c>
      <c r="I342" s="25">
        <f>IF(C342&lt;62,0,'Combined Retirement'!$I$13)</f>
        <v>2420</v>
      </c>
      <c r="J342" s="25">
        <f t="shared" si="263"/>
        <v>7863.2184191855868</v>
      </c>
      <c r="K342" s="25">
        <f t="shared" si="264"/>
        <v>20282.026119384056</v>
      </c>
      <c r="L342" s="25"/>
      <c r="N342" s="25">
        <f>'Combined Retirement'!$C$18/12</f>
        <v>39153.069999999992</v>
      </c>
      <c r="O342" s="25">
        <f t="shared" si="265"/>
        <v>11007.82546143035</v>
      </c>
      <c r="P342" s="25">
        <f t="shared" si="266"/>
        <v>28145.244538569641</v>
      </c>
      <c r="Q342" s="25">
        <f t="array" aca="1" ref="Q342" ca="1">INDEX('Isaac 401k'!L:L,MATCH('Retirement Calculator'!A342,'Isaac 401k'!N:N,0),0)</f>
        <v>1157119.2874070418</v>
      </c>
      <c r="R342" s="25">
        <f t="array" aca="1" ref="R342" ca="1">INDEX('Lorri 401b'!L:L,MATCH('Retirement Calculator'!A342,'Lorri 401b'!N:N,0),0)</f>
        <v>3016208.8533578501</v>
      </c>
      <c r="S342" s="25">
        <f t="shared" ca="1" si="267"/>
        <v>4173328.1407648921</v>
      </c>
    </row>
    <row r="343" spans="1:19" ht="15.75" customHeight="1" x14ac:dyDescent="0.3">
      <c r="A343" s="37">
        <v>61394</v>
      </c>
      <c r="B343" s="409">
        <f t="shared" ref="B343:C343" si="344">($A343-B$9)/365.25</f>
        <v>86.209445585215605</v>
      </c>
      <c r="C343" s="409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2192</v>
      </c>
      <c r="I343" s="25">
        <f>IF(C343&lt;62,0,'Combined Retirement'!$I$13)</f>
        <v>2420</v>
      </c>
      <c r="J343" s="25">
        <f t="shared" si="263"/>
        <v>7863.2184191855868</v>
      </c>
      <c r="K343" s="25">
        <f t="shared" si="264"/>
        <v>20282.026119384056</v>
      </c>
      <c r="L343" s="25"/>
      <c r="N343" s="25">
        <f>'Combined Retirement'!$C$18/12</f>
        <v>39153.069999999992</v>
      </c>
      <c r="O343" s="25">
        <f t="shared" si="265"/>
        <v>11007.82546143035</v>
      </c>
      <c r="P343" s="25">
        <f t="shared" si="266"/>
        <v>28145.244538569641</v>
      </c>
      <c r="Q343" s="25">
        <f t="array" aca="1" ref="Q343" ca="1">INDEX('Isaac 401k'!L:L,MATCH('Retirement Calculator'!A343,'Isaac 401k'!N:N,0),0)</f>
        <v>1154044.6359419723</v>
      </c>
      <c r="R343" s="25">
        <f t="array" aca="1" ref="R343" ca="1">INDEX('Lorri 401b'!L:L,MATCH('Retirement Calculator'!A343,'Lorri 401b'!N:N,0),0)</f>
        <v>3008409.8556852932</v>
      </c>
      <c r="S343" s="25">
        <f t="shared" ca="1" si="267"/>
        <v>4162454.4916272657</v>
      </c>
    </row>
    <row r="344" spans="1:19" ht="15.75" customHeight="1" x14ac:dyDescent="0.3">
      <c r="A344" s="37">
        <v>61423</v>
      </c>
      <c r="B344" s="409">
        <f t="shared" ref="B344:C344" si="345">($A344-B$9)/365.25</f>
        <v>86.288843258042434</v>
      </c>
      <c r="C344" s="409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2192</v>
      </c>
      <c r="I344" s="25">
        <f>IF(C344&lt;62,0,'Combined Retirement'!$I$13)</f>
        <v>2420</v>
      </c>
      <c r="J344" s="25">
        <f t="shared" si="263"/>
        <v>7863.2184191855868</v>
      </c>
      <c r="K344" s="25">
        <f t="shared" si="264"/>
        <v>20282.026119384056</v>
      </c>
      <c r="L344" s="25"/>
      <c r="N344" s="25">
        <f>'Combined Retirement'!$C$18/12</f>
        <v>39153.069999999992</v>
      </c>
      <c r="O344" s="25">
        <f t="shared" si="265"/>
        <v>11007.82546143035</v>
      </c>
      <c r="P344" s="25">
        <f t="shared" si="266"/>
        <v>28145.244538569641</v>
      </c>
      <c r="Q344" s="25">
        <f t="array" aca="1" ref="Q344" ca="1">INDEX('Isaac 401k'!L:L,MATCH('Retirement Calculator'!A344,'Isaac 401k'!N:N,0),0)</f>
        <v>1150957.1734291315</v>
      </c>
      <c r="R344" s="25">
        <f t="array" aca="1" ref="R344" ca="1">INDEX('Lorri 401b'!L:L,MATCH('Retirement Calculator'!A344,'Lorri 401b'!N:N,0),0)</f>
        <v>3000578.3621891006</v>
      </c>
      <c r="S344" s="25">
        <f t="shared" ca="1" si="267"/>
        <v>4151535.5356182321</v>
      </c>
    </row>
    <row r="345" spans="1:19" ht="15.75" customHeight="1" x14ac:dyDescent="0.3">
      <c r="A345" s="37">
        <v>61454</v>
      </c>
      <c r="B345" s="409">
        <f t="shared" ref="B345:C345" si="346">($A345-B$9)/365.25</f>
        <v>86.373716632443532</v>
      </c>
      <c r="C345" s="409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2192</v>
      </c>
      <c r="I345" s="25">
        <f>IF(C345&lt;62,0,'Combined Retirement'!$I$13)</f>
        <v>2420</v>
      </c>
      <c r="J345" s="25">
        <f t="shared" si="263"/>
        <v>7863.2184191855868</v>
      </c>
      <c r="K345" s="25">
        <f t="shared" si="264"/>
        <v>20282.026119384056</v>
      </c>
      <c r="L345" s="25"/>
      <c r="N345" s="25">
        <f>'Combined Retirement'!$C$18/12</f>
        <v>39153.069999999992</v>
      </c>
      <c r="O345" s="25">
        <f t="shared" si="265"/>
        <v>11007.82546143035</v>
      </c>
      <c r="P345" s="25">
        <f t="shared" si="266"/>
        <v>28145.244538569641</v>
      </c>
      <c r="Q345" s="25">
        <f t="array" aca="1" ref="Q345" ca="1">INDEX('Isaac 401k'!L:L,MATCH('Retirement Calculator'!A345,'Isaac 401k'!N:N,0),0)</f>
        <v>1147856.846489154</v>
      </c>
      <c r="R345" s="25">
        <f t="array" aca="1" ref="R345" ca="1">INDEX('Lorri 401b'!L:L,MATCH('Retirement Calculator'!A345,'Lorri 401b'!N:N,0),0)</f>
        <v>2992714.237470007</v>
      </c>
      <c r="S345" s="25">
        <f t="shared" ca="1" si="267"/>
        <v>4140571.0839591613</v>
      </c>
    </row>
    <row r="346" spans="1:19" ht="15.75" customHeight="1" x14ac:dyDescent="0.3">
      <c r="A346" s="37">
        <v>61484</v>
      </c>
      <c r="B346" s="409">
        <f t="shared" ref="B346:C346" si="347">($A346-B$9)/365.25</f>
        <v>86.455852156057489</v>
      </c>
      <c r="C346" s="409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2192</v>
      </c>
      <c r="I346" s="25">
        <f>IF(C346&lt;62,0,'Combined Retirement'!$I$13)</f>
        <v>2420</v>
      </c>
      <c r="J346" s="25">
        <f t="shared" si="263"/>
        <v>7863.2184191855868</v>
      </c>
      <c r="K346" s="25">
        <f t="shared" si="264"/>
        <v>20282.026119384056</v>
      </c>
      <c r="L346" s="25"/>
      <c r="N346" s="25">
        <f>'Combined Retirement'!$C$18/12</f>
        <v>39153.069999999992</v>
      </c>
      <c r="O346" s="25">
        <f t="shared" si="265"/>
        <v>11007.82546143035</v>
      </c>
      <c r="P346" s="25">
        <f t="shared" si="266"/>
        <v>28145.244538569641</v>
      </c>
      <c r="Q346" s="25">
        <f t="array" aca="1" ref="Q346" ca="1">INDEX('Isaac 401k'!L:L,MATCH('Retirement Calculator'!A346,'Isaac 401k'!N:N,0),0)</f>
        <v>1144743.6015202599</v>
      </c>
      <c r="R346" s="25">
        <f t="array" aca="1" ref="R346" ca="1">INDEX('Lorri 401b'!L:L,MATCH('Retirement Calculator'!A346,'Lorri 401b'!N:N,0),0)</f>
        <v>2984817.3455645838</v>
      </c>
      <c r="S346" s="25">
        <f t="shared" ca="1" si="267"/>
        <v>4129560.9470848436</v>
      </c>
    </row>
    <row r="347" spans="1:19" ht="15.75" customHeight="1" x14ac:dyDescent="0.3">
      <c r="A347" s="37">
        <v>61515</v>
      </c>
      <c r="B347" s="409">
        <f t="shared" ref="B347:C347" si="348">($A347-B$9)/365.25</f>
        <v>86.540725530458587</v>
      </c>
      <c r="C347" s="409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2192</v>
      </c>
      <c r="I347" s="25">
        <f>IF(C347&lt;62,0,'Combined Retirement'!$I$13)</f>
        <v>2420</v>
      </c>
      <c r="J347" s="25">
        <f t="shared" si="263"/>
        <v>7863.2184191855868</v>
      </c>
      <c r="K347" s="25">
        <f t="shared" si="264"/>
        <v>20282.026119384056</v>
      </c>
      <c r="L347" s="25"/>
      <c r="N347" s="25">
        <f>'Combined Retirement'!$C$18/12</f>
        <v>39153.069999999992</v>
      </c>
      <c r="O347" s="25">
        <f t="shared" si="265"/>
        <v>11007.82546143035</v>
      </c>
      <c r="P347" s="25">
        <f t="shared" si="266"/>
        <v>28145.244538569641</v>
      </c>
      <c r="Q347" s="25">
        <f t="array" aca="1" ref="Q347" ca="1">INDEX('Isaac 401k'!L:L,MATCH('Retirement Calculator'!A347,'Isaac 401k'!N:N,0),0)</f>
        <v>1141617.3846973288</v>
      </c>
      <c r="R347" s="25">
        <f t="array" aca="1" ref="R347" ca="1">INDEX('Lorri 401b'!L:L,MATCH('Retirement Calculator'!A347,'Lorri 401b'!N:N,0),0)</f>
        <v>2976887.5499428883</v>
      </c>
      <c r="S347" s="25">
        <f t="shared" ca="1" si="267"/>
        <v>4118504.9346402171</v>
      </c>
    </row>
    <row r="348" spans="1:19" ht="15.75" customHeight="1" x14ac:dyDescent="0.3">
      <c r="A348" s="37">
        <v>61545</v>
      </c>
      <c r="B348" s="409">
        <f t="shared" ref="B348:C348" si="349">($A348-B$9)/365.25</f>
        <v>86.622861054072558</v>
      </c>
      <c r="C348" s="409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2192</v>
      </c>
      <c r="I348" s="25">
        <f>IF(C348&lt;62,0,'Combined Retirement'!$I$13)</f>
        <v>2420</v>
      </c>
      <c r="J348" s="25">
        <f t="shared" si="263"/>
        <v>7863.2184191855868</v>
      </c>
      <c r="K348" s="25">
        <f t="shared" si="264"/>
        <v>20282.026119384056</v>
      </c>
      <c r="L348" s="25"/>
      <c r="N348" s="25">
        <f>'Combined Retirement'!$C$18/12</f>
        <v>39153.069999999992</v>
      </c>
      <c r="O348" s="25">
        <f t="shared" si="265"/>
        <v>11007.82546143035</v>
      </c>
      <c r="P348" s="25">
        <f t="shared" si="266"/>
        <v>28145.244538569641</v>
      </c>
      <c r="Q348" s="25">
        <f t="array" aca="1" ref="Q348" ca="1">INDEX('Isaac 401k'!L:L,MATCH('Retirement Calculator'!A348,'Isaac 401k'!N:N,0),0)</f>
        <v>1138478.1419709688</v>
      </c>
      <c r="R348" s="25">
        <f t="array" aca="1" ref="R348" ca="1">INDEX('Lorri 401b'!L:L,MATCH('Retirement Calculator'!A348,'Lorri 401b'!N:N,0),0)</f>
        <v>2968924.7135061021</v>
      </c>
      <c r="S348" s="25">
        <f t="shared" ca="1" si="267"/>
        <v>4107402.8554770709</v>
      </c>
    </row>
    <row r="349" spans="1:19" ht="15.75" customHeight="1" x14ac:dyDescent="0.3">
      <c r="A349" s="37">
        <v>61576</v>
      </c>
      <c r="B349" s="409">
        <f t="shared" ref="B349:C349" si="350">($A349-B$9)/365.25</f>
        <v>86.707734428473643</v>
      </c>
      <c r="C349" s="409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2192</v>
      </c>
      <c r="I349" s="25">
        <f>IF(C349&lt;62,0,'Combined Retirement'!$I$13)</f>
        <v>2420</v>
      </c>
      <c r="J349" s="25">
        <f t="shared" si="263"/>
        <v>7863.2184191855868</v>
      </c>
      <c r="K349" s="25">
        <f t="shared" si="264"/>
        <v>20282.026119384056</v>
      </c>
      <c r="L349" s="25"/>
      <c r="N349" s="25">
        <f>'Combined Retirement'!$C$18/12</f>
        <v>39153.069999999992</v>
      </c>
      <c r="O349" s="25">
        <f t="shared" si="265"/>
        <v>11007.82546143035</v>
      </c>
      <c r="P349" s="25">
        <f t="shared" si="266"/>
        <v>28145.244538569641</v>
      </c>
      <c r="Q349" s="25">
        <f t="array" aca="1" ref="Q349" ca="1">INDEX('Isaac 401k'!L:L,MATCH('Retirement Calculator'!A349,'Isaac 401k'!N:N,0),0)</f>
        <v>1135325.8190665822</v>
      </c>
      <c r="R349" s="25">
        <f t="array" aca="1" ref="R349" ca="1">INDEX('Lorri 401b'!L:L,MATCH('Retirement Calculator'!A349,'Lorri 401b'!N:N,0),0)</f>
        <v>2960928.6985841626</v>
      </c>
      <c r="S349" s="25">
        <f t="shared" ca="1" si="267"/>
        <v>4096254.5176507449</v>
      </c>
    </row>
    <row r="350" spans="1:19" ht="15.75" customHeight="1" x14ac:dyDescent="0.3">
      <c r="A350" s="37">
        <v>61607</v>
      </c>
      <c r="B350" s="409">
        <f t="shared" ref="B350:C350" si="351">($A350-B$9)/365.25</f>
        <v>86.792607802874741</v>
      </c>
      <c r="C350" s="409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2192</v>
      </c>
      <c r="I350" s="25">
        <f>IF(C350&lt;62,0,'Combined Retirement'!$I$13)</f>
        <v>2420</v>
      </c>
      <c r="J350" s="25">
        <f t="shared" si="263"/>
        <v>7863.2184191855868</v>
      </c>
      <c r="K350" s="25">
        <f t="shared" si="264"/>
        <v>20282.026119384056</v>
      </c>
      <c r="L350" s="25"/>
      <c r="N350" s="25">
        <f>'Combined Retirement'!$C$18/12</f>
        <v>39153.069999999992</v>
      </c>
      <c r="O350" s="25">
        <f t="shared" si="265"/>
        <v>11007.82546143035</v>
      </c>
      <c r="P350" s="25">
        <f t="shared" si="266"/>
        <v>28145.244538569641</v>
      </c>
      <c r="Q350" s="25">
        <f t="array" aca="1" ref="Q350" ca="1">INDEX('Isaac 401k'!L:L,MATCH('Retirement Calculator'!A350,'Isaac 401k'!N:N,0),0)</f>
        <v>1132160.3614834275</v>
      </c>
      <c r="R350" s="25">
        <f t="array" aca="1" ref="R350" ca="1">INDEX('Lorri 401b'!L:L,MATCH('Retirement Calculator'!A350,'Lorri 401b'!N:N,0),0)</f>
        <v>2952899.3669333821</v>
      </c>
      <c r="S350" s="25">
        <f t="shared" ca="1" si="267"/>
        <v>4085059.7284168098</v>
      </c>
    </row>
    <row r="351" spans="1:19" ht="15.75" customHeight="1" x14ac:dyDescent="0.3">
      <c r="A351" s="37">
        <v>61637</v>
      </c>
      <c r="B351" s="409">
        <f t="shared" ref="B351:C351" si="352">($A351-B$9)/365.25</f>
        <v>86.874743326488712</v>
      </c>
      <c r="C351" s="409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2192</v>
      </c>
      <c r="I351" s="25">
        <f>IF(C351&lt;62,0,'Combined Retirement'!$I$13)</f>
        <v>2420</v>
      </c>
      <c r="J351" s="25">
        <f t="shared" si="263"/>
        <v>7863.2184191855868</v>
      </c>
      <c r="K351" s="25">
        <f t="shared" si="264"/>
        <v>20282.026119384056</v>
      </c>
      <c r="L351" s="25"/>
      <c r="N351" s="25">
        <f>'Combined Retirement'!$C$18/12</f>
        <v>39153.069999999992</v>
      </c>
      <c r="O351" s="25">
        <f t="shared" si="265"/>
        <v>11007.82546143035</v>
      </c>
      <c r="P351" s="25">
        <f t="shared" si="266"/>
        <v>28145.244538569641</v>
      </c>
      <c r="Q351" s="25">
        <f t="array" aca="1" ref="Q351" ca="1">INDEX('Isaac 401k'!L:L,MATCH('Retirement Calculator'!A351,'Isaac 401k'!N:N,0),0)</f>
        <v>1128981.7144936761</v>
      </c>
      <c r="R351" s="25">
        <f t="array" aca="1" ref="R351" ca="1">INDEX('Lorri 401b'!L:L,MATCH('Retirement Calculator'!A351,'Lorri 401b'!N:N,0),0)</f>
        <v>2944836.5797340563</v>
      </c>
      <c r="S351" s="25">
        <f t="shared" ca="1" si="267"/>
        <v>4073818.2942277323</v>
      </c>
    </row>
    <row r="352" spans="1:19" ht="15.75" customHeight="1" x14ac:dyDescent="0.3">
      <c r="A352" s="37">
        <v>61668</v>
      </c>
      <c r="B352" s="409">
        <f t="shared" ref="B352:C352" si="353">($A352-B$9)/365.25</f>
        <v>86.959616700889796</v>
      </c>
      <c r="C352" s="409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2192</v>
      </c>
      <c r="I352" s="25">
        <f>IF(C352&lt;62,0,'Combined Retirement'!$I$13)</f>
        <v>2420</v>
      </c>
      <c r="J352" s="25">
        <f t="shared" si="263"/>
        <v>7863.2184191855868</v>
      </c>
      <c r="K352" s="25">
        <f t="shared" si="264"/>
        <v>20282.026119384056</v>
      </c>
      <c r="L352" s="25"/>
      <c r="N352" s="25">
        <f>'Combined Retirement'!$C$18/12</f>
        <v>39153.069999999992</v>
      </c>
      <c r="O352" s="25">
        <f t="shared" si="265"/>
        <v>11007.82546143035</v>
      </c>
      <c r="P352" s="25">
        <f t="shared" si="266"/>
        <v>28145.244538569641</v>
      </c>
      <c r="Q352" s="25">
        <f t="array" aca="1" ref="Q352" ca="1">INDEX('Isaac 401k'!L:L,MATCH('Retirement Calculator'!A352,'Isaac 401k'!N:N,0),0)</f>
        <v>1125789.8231414675</v>
      </c>
      <c r="R352" s="25">
        <f t="array" aca="1" ref="R352" ca="1">INDEX('Lorri 401b'!L:L,MATCH('Retirement Calculator'!A352,'Lorri 401b'!N:N,0),0)</f>
        <v>2936740.1975880666</v>
      </c>
      <c r="S352" s="25">
        <f t="shared" ca="1" si="267"/>
        <v>4062530.0207295343</v>
      </c>
    </row>
    <row r="353" spans="1:19" ht="15.75" customHeight="1" x14ac:dyDescent="0.3">
      <c r="A353" s="37">
        <v>61698</v>
      </c>
      <c r="B353" s="409">
        <f t="shared" ref="B353:C353" si="354">($A353-B$9)/365.25</f>
        <v>87.041752224503767</v>
      </c>
      <c r="C353" s="409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2192</v>
      </c>
      <c r="I353" s="25">
        <f>IF(C353&lt;62,0,'Combined Retirement'!$I$13)</f>
        <v>2420</v>
      </c>
      <c r="J353" s="25">
        <f t="shared" si="263"/>
        <v>7863.2184191855868</v>
      </c>
      <c r="K353" s="25">
        <f t="shared" si="264"/>
        <v>20282.026119384056</v>
      </c>
      <c r="L353" s="25"/>
      <c r="N353" s="25">
        <f>'Combined Retirement'!$C$18/12</f>
        <v>39153.069999999992</v>
      </c>
      <c r="O353" s="25">
        <f t="shared" si="265"/>
        <v>11007.82546143035</v>
      </c>
      <c r="P353" s="25">
        <f t="shared" si="266"/>
        <v>28145.244538569641</v>
      </c>
      <c r="Q353" s="25">
        <f t="array" aca="1" ref="Q353" ca="1">INDEX('Isaac 401k'!L:L,MATCH('Retirement Calculator'!A353,'Isaac 401k'!N:N,0),0)</f>
        <v>1122584.6322419581</v>
      </c>
      <c r="R353" s="25">
        <f t="array" aca="1" ref="R353" ca="1">INDEX('Lorri 401b'!L:L,MATCH('Retirement Calculator'!A353,'Lorri 401b'!N:N,0),0)</f>
        <v>2928610.0805164687</v>
      </c>
      <c r="S353" s="25">
        <f t="shared" ca="1" si="267"/>
        <v>4051194.7127584266</v>
      </c>
    </row>
    <row r="354" spans="1:19" ht="15.75" customHeight="1" x14ac:dyDescent="0.3">
      <c r="A354" s="37">
        <v>61729</v>
      </c>
      <c r="B354" s="409">
        <f t="shared" ref="B354:C354" si="355">($A354-B$9)/365.25</f>
        <v>87.126625598904866</v>
      </c>
      <c r="C354" s="409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2192</v>
      </c>
      <c r="I354" s="25">
        <f>IF(C354&lt;62,0,'Combined Retirement'!$I$13)</f>
        <v>2420</v>
      </c>
      <c r="J354" s="25">
        <f t="shared" si="263"/>
        <v>7863.2184191855868</v>
      </c>
      <c r="K354" s="25">
        <f t="shared" si="264"/>
        <v>20282.026119384056</v>
      </c>
      <c r="L354" s="25"/>
      <c r="N354" s="25">
        <f>'Combined Retirement'!$C$18/12</f>
        <v>39153.069999999992</v>
      </c>
      <c r="O354" s="25">
        <f t="shared" si="265"/>
        <v>11007.82546143035</v>
      </c>
      <c r="P354" s="25">
        <f t="shared" si="266"/>
        <v>28145.244538569641</v>
      </c>
      <c r="Q354" s="25">
        <f t="array" aca="1" ref="Q354" ca="1">INDEX('Isaac 401k'!L:L,MATCH('Retirement Calculator'!A354,'Isaac 401k'!N:N,0),0)</f>
        <v>1119366.0863803674</v>
      </c>
      <c r="R354" s="25">
        <f t="array" aca="1" ref="R354" ca="1">INDEX('Lorri 401b'!L:L,MATCH('Retirement Calculator'!A354,'Lorri 401b'!N:N,0),0)</f>
        <v>2920446.0879570725</v>
      </c>
      <c r="S354" s="25">
        <f t="shared" ca="1" si="267"/>
        <v>4039812.1743374402</v>
      </c>
    </row>
    <row r="355" spans="1:19" ht="15.75" customHeight="1" x14ac:dyDescent="0.3">
      <c r="A355" s="37">
        <v>61760</v>
      </c>
      <c r="B355" s="409">
        <f t="shared" ref="B355:C355" si="356">($A355-B$9)/365.25</f>
        <v>87.21149897330595</v>
      </c>
      <c r="C355" s="409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2192</v>
      </c>
      <c r="I355" s="25">
        <f>IF(C355&lt;62,0,'Combined Retirement'!$I$13)</f>
        <v>2420</v>
      </c>
      <c r="J355" s="25">
        <f t="shared" si="263"/>
        <v>7863.2184191855868</v>
      </c>
      <c r="K355" s="25">
        <f t="shared" si="264"/>
        <v>20282.026119384056</v>
      </c>
      <c r="L355" s="25"/>
      <c r="N355" s="25">
        <f>'Combined Retirement'!$C$18/12</f>
        <v>39153.069999999992</v>
      </c>
      <c r="O355" s="25">
        <f t="shared" si="265"/>
        <v>11007.82546143035</v>
      </c>
      <c r="P355" s="25">
        <f t="shared" si="266"/>
        <v>28145.244538569641</v>
      </c>
      <c r="Q355" s="25">
        <f t="array" aca="1" ref="Q355" ca="1">INDEX('Isaac 401k'!L:L,MATCH('Retirement Calculator'!A355,'Isaac 401k'!N:N,0),0)</f>
        <v>1116134.1299110202</v>
      </c>
      <c r="R355" s="25">
        <f t="array" aca="1" ref="R355" ca="1">INDEX('Lorri 401b'!L:L,MATCH('Retirement Calculator'!A355,'Lorri 401b'!N:N,0),0)</f>
        <v>2912248.0787620121</v>
      </c>
      <c r="S355" s="25">
        <f t="shared" ca="1" si="267"/>
        <v>4028382.208673032</v>
      </c>
    </row>
    <row r="356" spans="1:19" ht="15.75" customHeight="1" x14ac:dyDescent="0.3">
      <c r="A356" s="37">
        <v>61788</v>
      </c>
      <c r="B356" s="409">
        <f t="shared" ref="B356:C356" si="357">($A356-B$9)/365.25</f>
        <v>87.288158795345652</v>
      </c>
      <c r="C356" s="409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2192</v>
      </c>
      <c r="I356" s="25">
        <f>IF(C356&lt;62,0,'Combined Retirement'!$I$13)</f>
        <v>2420</v>
      </c>
      <c r="J356" s="25">
        <f t="shared" si="263"/>
        <v>7863.2184191855868</v>
      </c>
      <c r="K356" s="25">
        <f t="shared" si="264"/>
        <v>20282.026119384056</v>
      </c>
      <c r="L356" s="25"/>
      <c r="N356" s="25">
        <f>'Combined Retirement'!$C$18/12</f>
        <v>39153.069999999992</v>
      </c>
      <c r="O356" s="25">
        <f t="shared" si="265"/>
        <v>11007.82546143035</v>
      </c>
      <c r="P356" s="25">
        <f t="shared" si="266"/>
        <v>28145.244538569641</v>
      </c>
      <c r="Q356" s="25">
        <f t="array" aca="1" ref="Q356" ca="1">INDEX('Isaac 401k'!L:L,MATCH('Retirement Calculator'!A356,'Isaac 401k'!N:N,0),0)</f>
        <v>1112888.7069563838</v>
      </c>
      <c r="R356" s="25">
        <f t="array" aca="1" ref="R356" ca="1">INDEX('Lorri 401b'!L:L,MATCH('Retirement Calculator'!A356,'Lorri 401b'!N:N,0),0)</f>
        <v>2904015.9111953056</v>
      </c>
      <c r="S356" s="25">
        <f t="shared" ca="1" si="267"/>
        <v>4016904.6181516894</v>
      </c>
    </row>
    <row r="357" spans="1:19" ht="15.75" customHeight="1" x14ac:dyDescent="0.3">
      <c r="A357" s="37">
        <v>61819</v>
      </c>
      <c r="B357" s="409">
        <f t="shared" ref="B357:C357" si="358">($A357-B$9)/365.25</f>
        <v>87.37303216974675</v>
      </c>
      <c r="C357" s="409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2192</v>
      </c>
      <c r="I357" s="25">
        <f>IF(C357&lt;62,0,'Combined Retirement'!$I$13)</f>
        <v>2420</v>
      </c>
      <c r="J357" s="25">
        <f t="shared" si="263"/>
        <v>7863.2184191855868</v>
      </c>
      <c r="K357" s="25">
        <f t="shared" si="264"/>
        <v>20282.026119384056</v>
      </c>
      <c r="L357" s="25"/>
      <c r="N357" s="25">
        <f>'Combined Retirement'!$C$18/12</f>
        <v>39153.069999999992</v>
      </c>
      <c r="O357" s="25">
        <f t="shared" si="265"/>
        <v>11007.82546143035</v>
      </c>
      <c r="P357" s="25">
        <f t="shared" si="266"/>
        <v>28145.244538569641</v>
      </c>
      <c r="Q357" s="25">
        <f t="array" aca="1" ref="Q357" ca="1">INDEX('Isaac 401k'!L:L,MATCH('Retirement Calculator'!A357,'Isaac 401k'!N:N,0),0)</f>
        <v>1109629.7614061031</v>
      </c>
      <c r="R357" s="25">
        <f t="array" aca="1" ref="R357" ca="1">INDEX('Lorri 401b'!L:L,MATCH('Retirement Calculator'!A357,'Lorri 401b'!N:N,0),0)</f>
        <v>2895749.4429304046</v>
      </c>
      <c r="S357" s="25">
        <f t="shared" ca="1" si="267"/>
        <v>4005379.2043365077</v>
      </c>
    </row>
    <row r="358" spans="1:19" ht="15.75" customHeight="1" x14ac:dyDescent="0.3">
      <c r="A358" s="37">
        <v>61849</v>
      </c>
      <c r="B358" s="409">
        <f t="shared" ref="B358:C358" si="359">($A358-B$9)/365.25</f>
        <v>87.455167693360707</v>
      </c>
      <c r="C358" s="409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2192</v>
      </c>
      <c r="I358" s="25">
        <f>IF(C358&lt;62,0,'Combined Retirement'!$I$13)</f>
        <v>2420</v>
      </c>
      <c r="J358" s="25">
        <f t="shared" si="263"/>
        <v>7863.2184191855868</v>
      </c>
      <c r="K358" s="25">
        <f t="shared" si="264"/>
        <v>20282.026119384056</v>
      </c>
      <c r="L358" s="25"/>
      <c r="N358" s="25">
        <f>'Combined Retirement'!$C$18/12</f>
        <v>39153.069999999992</v>
      </c>
      <c r="O358" s="25">
        <f t="shared" si="265"/>
        <v>11007.82546143035</v>
      </c>
      <c r="P358" s="25">
        <f t="shared" si="266"/>
        <v>28145.244538569641</v>
      </c>
      <c r="Q358" s="25">
        <f t="array" aca="1" ref="Q358" ca="1">INDEX('Isaac 401k'!L:L,MATCH('Retirement Calculator'!A358,'Isaac 401k'!N:N,0),0)</f>
        <v>1106357.2369160296</v>
      </c>
      <c r="R358" s="25">
        <f t="array" aca="1" ref="R358" ca="1">INDEX('Lorri 401b'!L:L,MATCH('Retirement Calculator'!A358,'Lorri 401b'!N:N,0),0)</f>
        <v>2887448.531047733</v>
      </c>
      <c r="S358" s="25">
        <f t="shared" ca="1" si="267"/>
        <v>3993805.7679637624</v>
      </c>
    </row>
    <row r="359" spans="1:19" ht="15.75" customHeight="1" x14ac:dyDescent="0.3">
      <c r="A359" s="37">
        <v>61880</v>
      </c>
      <c r="B359" s="409">
        <f t="shared" ref="B359:C359" si="360">($A359-B$9)/365.25</f>
        <v>87.540041067761805</v>
      </c>
      <c r="C359" s="409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2192</v>
      </c>
      <c r="I359" s="25">
        <f>IF(C359&lt;62,0,'Combined Retirement'!$I$13)</f>
        <v>2420</v>
      </c>
      <c r="J359" s="25">
        <f t="shared" si="263"/>
        <v>7863.2184191855868</v>
      </c>
      <c r="K359" s="25">
        <f t="shared" si="264"/>
        <v>20282.026119384056</v>
      </c>
      <c r="L359" s="25"/>
      <c r="N359" s="25">
        <f>'Combined Retirement'!$C$18/12</f>
        <v>39153.069999999992</v>
      </c>
      <c r="O359" s="25">
        <f t="shared" si="265"/>
        <v>11007.82546143035</v>
      </c>
      <c r="P359" s="25">
        <f t="shared" si="266"/>
        <v>28145.244538569641</v>
      </c>
      <c r="Q359" s="25">
        <f t="array" aca="1" ref="Q359" ca="1">INDEX('Isaac 401k'!L:L,MATCH('Retirement Calculator'!A359,'Isaac 401k'!N:N,0),0)</f>
        <v>1103071.0769072475</v>
      </c>
      <c r="R359" s="25">
        <f t="array" aca="1" ref="R359" ca="1">INDEX('Lorri 401b'!L:L,MATCH('Retirement Calculator'!A359,'Lorri 401b'!N:N,0),0)</f>
        <v>2879113.0320322174</v>
      </c>
      <c r="S359" s="25">
        <f t="shared" ca="1" si="267"/>
        <v>3982184.1089394651</v>
      </c>
    </row>
    <row r="360" spans="1:19" ht="15.75" customHeight="1" x14ac:dyDescent="0.3">
      <c r="A360" s="37">
        <v>61910</v>
      </c>
      <c r="B360" s="409">
        <f t="shared" ref="B360:C360" si="361">($A360-B$9)/365.25</f>
        <v>87.622176591375776</v>
      </c>
      <c r="C360" s="409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2192</v>
      </c>
      <c r="I360" s="25">
        <f>IF(C360&lt;62,0,'Combined Retirement'!$I$13)</f>
        <v>2420</v>
      </c>
      <c r="J360" s="25">
        <f t="shared" si="263"/>
        <v>7863.2184191855868</v>
      </c>
      <c r="K360" s="25">
        <f t="shared" si="264"/>
        <v>20282.026119384056</v>
      </c>
      <c r="L360" s="25"/>
      <c r="N360" s="25">
        <f>'Combined Retirement'!$C$18/12</f>
        <v>39153.069999999992</v>
      </c>
      <c r="O360" s="25">
        <f t="shared" si="265"/>
        <v>11007.82546143035</v>
      </c>
      <c r="P360" s="25">
        <f t="shared" si="266"/>
        <v>28145.244538569641</v>
      </c>
      <c r="Q360" s="25">
        <f t="array" aca="1" ref="Q360" ca="1">INDEX('Isaac 401k'!L:L,MATCH('Retirement Calculator'!A360,'Isaac 401k'!N:N,0),0)</f>
        <v>1099771.2245650955</v>
      </c>
      <c r="R360" s="25">
        <f t="array" aca="1" ref="R360" ca="1">INDEX('Lorri 401b'!L:L,MATCH('Retirement Calculator'!A360,'Lorri 401b'!N:N,0),0)</f>
        <v>2870742.8017708035</v>
      </c>
      <c r="S360" s="25">
        <f t="shared" ca="1" si="267"/>
        <v>3970514.0263358988</v>
      </c>
    </row>
    <row r="361" spans="1:19" ht="15.75" customHeight="1" x14ac:dyDescent="0.3">
      <c r="A361" s="37">
        <v>61941</v>
      </c>
      <c r="B361" s="409">
        <f t="shared" ref="B361:C361" si="362">($A361-B$9)/365.25</f>
        <v>87.707049965776861</v>
      </c>
      <c r="C361" s="409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2192</v>
      </c>
      <c r="I361" s="25">
        <f>IF(C361&lt;62,0,'Combined Retirement'!$I$13)</f>
        <v>2420</v>
      </c>
      <c r="J361" s="25">
        <f t="shared" si="263"/>
        <v>7863.2184191855868</v>
      </c>
      <c r="K361" s="25">
        <f t="shared" si="264"/>
        <v>20282.026119384056</v>
      </c>
      <c r="L361" s="25"/>
      <c r="N361" s="25">
        <f>'Combined Retirement'!$C$18/12</f>
        <v>39153.069999999992</v>
      </c>
      <c r="O361" s="25">
        <f t="shared" si="265"/>
        <v>11007.82546143035</v>
      </c>
      <c r="P361" s="25">
        <f t="shared" si="266"/>
        <v>28145.244538569641</v>
      </c>
      <c r="Q361" s="25">
        <f t="array" aca="1" ref="Q361" ca="1">INDEX('Isaac 401k'!L:L,MATCH('Retirement Calculator'!A361,'Isaac 401k'!N:N,0),0)</f>
        <v>1096457.6228381845</v>
      </c>
      <c r="R361" s="25">
        <f t="array" aca="1" ref="R361" ca="1">INDEX('Lorri 401b'!L:L,MATCH('Retirement Calculator'!A361,'Lorri 401b'!N:N,0),0)</f>
        <v>2862337.6955499672</v>
      </c>
      <c r="S361" s="25">
        <f t="shared" ca="1" si="267"/>
        <v>3958795.3183881519</v>
      </c>
    </row>
    <row r="362" spans="1:19" ht="15.75" customHeight="1" x14ac:dyDescent="0.3">
      <c r="A362" s="37">
        <v>61972</v>
      </c>
      <c r="B362" s="409">
        <f t="shared" ref="B362:C362" si="363">($A362-B$9)/365.25</f>
        <v>87.791923340177959</v>
      </c>
      <c r="C362" s="409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2192</v>
      </c>
      <c r="I362" s="25">
        <f>IF(C362&lt;62,0,'Combined Retirement'!$I$13)</f>
        <v>2420</v>
      </c>
      <c r="J362" s="25">
        <f t="shared" si="263"/>
        <v>7863.2184191855868</v>
      </c>
      <c r="K362" s="25">
        <f t="shared" si="264"/>
        <v>20282.026119384056</v>
      </c>
      <c r="L362" s="25"/>
      <c r="N362" s="25">
        <f>'Combined Retirement'!$C$18/12</f>
        <v>39153.069999999992</v>
      </c>
      <c r="O362" s="25">
        <f t="shared" si="265"/>
        <v>11007.82546143035</v>
      </c>
      <c r="P362" s="25">
        <f t="shared" si="266"/>
        <v>28145.244538569641</v>
      </c>
      <c r="Q362" s="25">
        <f t="array" aca="1" ref="Q362" ca="1">INDEX('Isaac 401k'!L:L,MATCH('Retirement Calculator'!A362,'Isaac 401k'!N:N,0),0)</f>
        <v>1093130.2144374114</v>
      </c>
      <c r="R362" s="25">
        <f t="array" aca="1" ref="R362" ca="1">INDEX('Lorri 401b'!L:L,MATCH('Retirement Calculator'!A362,'Lorri 401b'!N:N,0),0)</f>
        <v>2853897.5680532106</v>
      </c>
      <c r="S362" s="25">
        <f t="shared" ca="1" si="267"/>
        <v>3947027.7824906223</v>
      </c>
    </row>
    <row r="363" spans="1:19" ht="15.75" customHeight="1" x14ac:dyDescent="0.3">
      <c r="A363" s="37">
        <v>62002</v>
      </c>
      <c r="B363" s="409">
        <f t="shared" ref="B363:C363" si="364">($A363-B$9)/365.25</f>
        <v>87.87405886379193</v>
      </c>
      <c r="C363" s="409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2192</v>
      </c>
      <c r="I363" s="25">
        <f>IF(C363&lt;62,0,'Combined Retirement'!$I$13)</f>
        <v>2420</v>
      </c>
      <c r="J363" s="25">
        <f t="shared" si="263"/>
        <v>7863.2184191855868</v>
      </c>
      <c r="K363" s="25">
        <f t="shared" si="264"/>
        <v>20282.026119384056</v>
      </c>
      <c r="L363" s="25"/>
      <c r="N363" s="25">
        <f>'Combined Retirement'!$C$18/12</f>
        <v>39153.069999999992</v>
      </c>
      <c r="O363" s="25">
        <f t="shared" si="265"/>
        <v>11007.82546143035</v>
      </c>
      <c r="P363" s="25">
        <f t="shared" si="266"/>
        <v>28145.244538569641</v>
      </c>
      <c r="Q363" s="25">
        <f t="array" aca="1" ref="Q363" ca="1">INDEX('Isaac 401k'!L:L,MATCH('Retirement Calculator'!A363,'Isaac 401k'!N:N,0),0)</f>
        <v>1089788.9418349685</v>
      </c>
      <c r="R363" s="25">
        <f t="array" aca="1" ref="R363" ca="1">INDEX('Lorri 401b'!L:L,MATCH('Retirement Calculator'!A363,'Lorri 401b'!N:N,0),0)</f>
        <v>2845422.2733585509</v>
      </c>
      <c r="S363" s="25">
        <f t="shared" ca="1" si="267"/>
        <v>3935211.2151935194</v>
      </c>
    </row>
    <row r="364" spans="1:19" ht="15.75" customHeight="1" x14ac:dyDescent="0.3">
      <c r="A364" s="37">
        <v>62033</v>
      </c>
      <c r="B364" s="409">
        <f t="shared" ref="B364:C364" si="365">($A364-B$9)/365.25</f>
        <v>87.958932238193015</v>
      </c>
      <c r="C364" s="409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2192</v>
      </c>
      <c r="I364" s="25">
        <f>IF(C364&lt;62,0,'Combined Retirement'!$I$13)</f>
        <v>2420</v>
      </c>
      <c r="J364" s="25">
        <f t="shared" si="263"/>
        <v>7863.2184191855868</v>
      </c>
      <c r="K364" s="25">
        <f t="shared" si="264"/>
        <v>20282.026119384056</v>
      </c>
      <c r="L364" s="25"/>
      <c r="N364" s="25">
        <f>'Combined Retirement'!$C$18/12</f>
        <v>39153.069999999992</v>
      </c>
      <c r="O364" s="25">
        <f t="shared" si="265"/>
        <v>11007.82546143035</v>
      </c>
      <c r="P364" s="25">
        <f t="shared" si="266"/>
        <v>28145.244538569641</v>
      </c>
      <c r="Q364" s="25">
        <f t="array" aca="1" ref="Q364" ca="1">INDEX('Isaac 401k'!L:L,MATCH('Retirement Calculator'!A364,'Isaac 401k'!N:N,0),0)</f>
        <v>1086433.7472633487</v>
      </c>
      <c r="R364" s="25">
        <f t="array" aca="1" ref="R364" ca="1">INDEX('Lorri 401b'!L:L,MATCH('Retirement Calculator'!A364,'Lorri 401b'!N:N,0),0)</f>
        <v>2836911.6649359968</v>
      </c>
      <c r="S364" s="25">
        <f t="shared" ca="1" si="267"/>
        <v>3923345.4121993454</v>
      </c>
    </row>
    <row r="365" spans="1:19" ht="15.75" customHeight="1" x14ac:dyDescent="0.3">
      <c r="A365" s="37">
        <v>62063</v>
      </c>
      <c r="B365" s="409">
        <f t="shared" ref="B365:C365" si="366">($A365-B$9)/365.25</f>
        <v>88.041067761806985</v>
      </c>
      <c r="C365" s="409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2192</v>
      </c>
      <c r="I365" s="25">
        <f>IF(C365&lt;62,0,'Combined Retirement'!$I$13)</f>
        <v>2420</v>
      </c>
      <c r="J365" s="25">
        <f t="shared" si="263"/>
        <v>7863.2184191855868</v>
      </c>
      <c r="K365" s="25">
        <f t="shared" si="264"/>
        <v>20282.026119384056</v>
      </c>
      <c r="L365" s="25"/>
      <c r="N365" s="25">
        <f>'Combined Retirement'!$C$18/12</f>
        <v>39153.069999999992</v>
      </c>
      <c r="O365" s="25">
        <f t="shared" si="265"/>
        <v>11007.82546143035</v>
      </c>
      <c r="P365" s="25">
        <f t="shared" si="266"/>
        <v>28145.244538569641</v>
      </c>
      <c r="Q365" s="25">
        <f t="array" aca="1" ref="Q365" ca="1">INDEX('Isaac 401k'!L:L,MATCH('Retirement Calculator'!A365,'Isaac 401k'!N:N,0),0)</f>
        <v>1083064.5727143472</v>
      </c>
      <c r="R365" s="25">
        <f t="array" aca="1" ref="R365" ca="1">INDEX('Lorri 401b'!L:L,MATCH('Retirement Calculator'!A365,'Lorri 401b'!N:N,0),0)</f>
        <v>2828365.5956450151</v>
      </c>
      <c r="S365" s="25">
        <f t="shared" ca="1" si="267"/>
        <v>3911430.1683593625</v>
      </c>
    </row>
    <row r="366" spans="1:19" ht="15.75" customHeight="1" x14ac:dyDescent="0.3">
      <c r="A366" s="37">
        <v>62094</v>
      </c>
      <c r="B366" s="409">
        <f t="shared" ref="B366:C366" si="367">($A366-B$9)/365.25</f>
        <v>88.12594113620807</v>
      </c>
      <c r="C366" s="409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2192</v>
      </c>
      <c r="I366" s="25">
        <f>IF(C366&lt;62,0,'Combined Retirement'!$I$13)</f>
        <v>2420</v>
      </c>
      <c r="J366" s="25">
        <f t="shared" si="263"/>
        <v>7863.2184191855868</v>
      </c>
      <c r="K366" s="25">
        <f t="shared" si="264"/>
        <v>20282.026119384056</v>
      </c>
      <c r="L366" s="25"/>
      <c r="N366" s="25">
        <f>'Combined Retirement'!$C$18/12</f>
        <v>39153.069999999992</v>
      </c>
      <c r="O366" s="25">
        <f t="shared" si="265"/>
        <v>11007.82546143035</v>
      </c>
      <c r="P366" s="25">
        <f t="shared" si="266"/>
        <v>28145.244538569641</v>
      </c>
      <c r="Q366" s="25">
        <f t="array" aca="1" ref="Q366" ca="1">INDEX('Isaac 401k'!L:L,MATCH('Retirement Calculator'!A366,'Isaac 401k'!N:N,0),0)</f>
        <v>1079681.3599380581</v>
      </c>
      <c r="R366" s="25">
        <f t="array" aca="1" ref="R366" ca="1">INDEX('Lorri 401b'!L:L,MATCH('Retirement Calculator'!A366,'Lorri 401b'!N:N,0),0)</f>
        <v>2819783.9177319878</v>
      </c>
      <c r="S366" s="25">
        <f t="shared" ca="1" si="267"/>
        <v>3899465.2776700458</v>
      </c>
    </row>
    <row r="367" spans="1:19" ht="15.75" customHeight="1" x14ac:dyDescent="0.3">
      <c r="A367" s="37">
        <v>62125</v>
      </c>
      <c r="B367" s="409">
        <f t="shared" ref="B367:C367" si="368">($A367-B$9)/365.25</f>
        <v>88.210814510609168</v>
      </c>
      <c r="C367" s="409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2192</v>
      </c>
      <c r="I367" s="25">
        <f>IF(C367&lt;62,0,'Combined Retirement'!$I$13)</f>
        <v>2420</v>
      </c>
      <c r="J367" s="25">
        <f t="shared" si="263"/>
        <v>7863.2184191855868</v>
      </c>
      <c r="K367" s="25">
        <f t="shared" si="264"/>
        <v>20282.026119384056</v>
      </c>
      <c r="L367" s="25"/>
      <c r="N367" s="25">
        <f>'Combined Retirement'!$C$18/12</f>
        <v>39153.069999999992</v>
      </c>
      <c r="O367" s="25">
        <f t="shared" si="265"/>
        <v>11007.82546143035</v>
      </c>
      <c r="P367" s="25">
        <f t="shared" si="266"/>
        <v>28145.244538569641</v>
      </c>
      <c r="Q367" s="25">
        <f t="array" aca="1" ref="Q367" ca="1">INDEX('Isaac 401k'!L:L,MATCH('Retirement Calculator'!A367,'Isaac 401k'!N:N,0),0)</f>
        <v>1076284.0504418677</v>
      </c>
      <c r="R367" s="25">
        <f t="array" aca="1" ref="R367" ca="1">INDEX('Lorri 401b'!L:L,MATCH('Retirement Calculator'!A367,'Lorri 401b'!N:N,0),0)</f>
        <v>2811166.4828276564</v>
      </c>
      <c r="S367" s="25">
        <f t="shared" ca="1" si="267"/>
        <v>3887450.5332695241</v>
      </c>
    </row>
    <row r="368" spans="1:19" ht="15.75" customHeight="1" x14ac:dyDescent="0.3">
      <c r="A368" s="37">
        <v>62153</v>
      </c>
      <c r="B368" s="409">
        <f t="shared" ref="B368:C368" si="369">($A368-B$9)/365.25</f>
        <v>88.28747433264887</v>
      </c>
      <c r="C368" s="409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2192</v>
      </c>
      <c r="I368" s="25">
        <f>IF(C368&lt;62,0,'Combined Retirement'!$I$13)</f>
        <v>2420</v>
      </c>
      <c r="J368" s="25">
        <f t="shared" si="263"/>
        <v>7863.2184191855868</v>
      </c>
      <c r="K368" s="25">
        <f t="shared" si="264"/>
        <v>20282.026119384056</v>
      </c>
      <c r="L368" s="25"/>
      <c r="N368" s="25">
        <f>'Combined Retirement'!$C$18/12</f>
        <v>39153.069999999992</v>
      </c>
      <c r="O368" s="25">
        <f t="shared" si="265"/>
        <v>11007.82546143035</v>
      </c>
      <c r="P368" s="25">
        <f t="shared" si="266"/>
        <v>28145.244538569641</v>
      </c>
      <c r="Q368" s="25">
        <f t="array" aca="1" ref="Q368" ca="1">INDEX('Isaac 401k'!L:L,MATCH('Retirement Calculator'!A368,'Isaac 401k'!N:N,0),0)</f>
        <v>1072872.5854894433</v>
      </c>
      <c r="R368" s="25">
        <f t="array" aca="1" ref="R368" ca="1">INDEX('Lorri 401b'!L:L,MATCH('Retirement Calculator'!A368,'Lorri 401b'!N:N,0),0)</f>
        <v>2802513.141944557</v>
      </c>
      <c r="S368" s="25">
        <f t="shared" ca="1" si="267"/>
        <v>3875385.727434</v>
      </c>
    </row>
    <row r="369" spans="1:19" ht="15.75" customHeight="1" x14ac:dyDescent="0.3">
      <c r="A369" s="37">
        <v>62184</v>
      </c>
      <c r="B369" s="409">
        <f t="shared" ref="B369:C369" si="370">($A369-B$9)/365.25</f>
        <v>88.372347707049968</v>
      </c>
      <c r="C369" s="409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2192</v>
      </c>
      <c r="I369" s="25">
        <f>IF(C369&lt;62,0,'Combined Retirement'!$I$13)</f>
        <v>2420</v>
      </c>
      <c r="J369" s="25">
        <f t="shared" si="263"/>
        <v>7863.2184191855868</v>
      </c>
      <c r="K369" s="25">
        <f t="shared" si="264"/>
        <v>20282.026119384056</v>
      </c>
      <c r="L369" s="25"/>
      <c r="N369" s="25">
        <f>'Combined Retirement'!$C$18/12</f>
        <v>39153.069999999992</v>
      </c>
      <c r="O369" s="25">
        <f t="shared" si="265"/>
        <v>11007.82546143035</v>
      </c>
      <c r="P369" s="25">
        <f t="shared" si="266"/>
        <v>28145.244538569641</v>
      </c>
      <c r="Q369" s="25">
        <f t="array" aca="1" ref="Q369" ca="1">INDEX('Isaac 401k'!L:L,MATCH('Retirement Calculator'!A369,'Isaac 401k'!N:N,0),0)</f>
        <v>1069446.9060997171</v>
      </c>
      <c r="R369" s="25">
        <f t="array" aca="1" ref="R369" ca="1">INDEX('Lorri 401b'!L:L,MATCH('Retirement Calculator'!A369,'Lorri 401b'!N:N,0),0)</f>
        <v>2793823.7454744447</v>
      </c>
      <c r="S369" s="25">
        <f t="shared" ca="1" si="267"/>
        <v>3863270.6515741618</v>
      </c>
    </row>
    <row r="370" spans="1:19" ht="15.75" customHeight="1" x14ac:dyDescent="0.3">
      <c r="A370" s="37">
        <v>62214</v>
      </c>
      <c r="B370" s="409">
        <f t="shared" ref="B370:C370" si="371">($A370-B$9)/365.25</f>
        <v>88.454483230663925</v>
      </c>
      <c r="C370" s="409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2192</v>
      </c>
      <c r="I370" s="25">
        <f>IF(C370&lt;62,0,'Combined Retirement'!$I$13)</f>
        <v>2420</v>
      </c>
      <c r="J370" s="25">
        <f t="shared" si="263"/>
        <v>7863.2184191855868</v>
      </c>
      <c r="K370" s="25">
        <f t="shared" si="264"/>
        <v>20282.026119384056</v>
      </c>
      <c r="L370" s="25"/>
      <c r="N370" s="25">
        <f>'Combined Retirement'!$C$18/12</f>
        <v>39153.069999999992</v>
      </c>
      <c r="O370" s="25">
        <f t="shared" si="265"/>
        <v>11007.82546143035</v>
      </c>
      <c r="P370" s="25">
        <f t="shared" si="266"/>
        <v>28145.244538569641</v>
      </c>
      <c r="Q370" s="25">
        <f t="array" aca="1" ref="Q370" ca="1">INDEX('Isaac 401k'!L:L,MATCH('Retirement Calculator'!A370,'Isaac 401k'!N:N,0),0)</f>
        <v>1066006.9530458672</v>
      </c>
      <c r="R370" s="25">
        <f t="array" aca="1" ref="R370" ca="1">INDEX('Lorri 401b'!L:L,MATCH('Retirement Calculator'!A370,'Lorri 401b'!N:N,0),0)</f>
        <v>2785098.1431857068</v>
      </c>
      <c r="S370" s="25">
        <f t="shared" ca="1" si="267"/>
        <v>3851105.0962315742</v>
      </c>
    </row>
    <row r="371" spans="1:19" ht="15.75" customHeight="1" x14ac:dyDescent="0.3">
      <c r="A371" s="37">
        <v>62245</v>
      </c>
      <c r="B371" s="409">
        <f t="shared" ref="B371:C371" si="372">($A371-B$9)/365.25</f>
        <v>88.539356605065024</v>
      </c>
      <c r="C371" s="409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2192</v>
      </c>
      <c r="I371" s="25">
        <f>IF(C371&lt;62,0,'Combined Retirement'!$I$13)</f>
        <v>2420</v>
      </c>
      <c r="J371" s="25">
        <f t="shared" si="263"/>
        <v>7863.2184191855868</v>
      </c>
      <c r="K371" s="25">
        <f t="shared" si="264"/>
        <v>20282.026119384056</v>
      </c>
      <c r="L371" s="25"/>
      <c r="N371" s="25">
        <f>'Combined Retirement'!$C$18/12</f>
        <v>39153.069999999992</v>
      </c>
      <c r="O371" s="25">
        <f t="shared" si="265"/>
        <v>11007.82546143035</v>
      </c>
      <c r="P371" s="25">
        <f t="shared" si="266"/>
        <v>28145.244538569641</v>
      </c>
      <c r="Q371" s="25">
        <f t="array" aca="1" ref="Q371" ca="1">INDEX('Isaac 401k'!L:L,MATCH('Retirement Calculator'!A371,'Isaac 401k'!N:N,0),0)</f>
        <v>1062552.6668542926</v>
      </c>
      <c r="R371" s="25">
        <f t="array" aca="1" ref="R371" ca="1">INDEX('Lorri 401b'!L:L,MATCH('Retirement Calculator'!A371,'Lorri 401b'!N:N,0),0)</f>
        <v>2776336.1842207657</v>
      </c>
      <c r="S371" s="25">
        <f t="shared" ca="1" si="267"/>
        <v>3838888.8510750583</v>
      </c>
    </row>
    <row r="372" spans="1:19" ht="15.75" customHeight="1" x14ac:dyDescent="0.3">
      <c r="A372" s="37">
        <v>62275</v>
      </c>
      <c r="B372" s="409">
        <f t="shared" ref="B372:C372" si="373">($A372-B$9)/365.25</f>
        <v>88.62149212867898</v>
      </c>
      <c r="C372" s="409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2192</v>
      </c>
      <c r="I372" s="25">
        <f>IF(C372&lt;62,0,'Combined Retirement'!$I$13)</f>
        <v>2420</v>
      </c>
      <c r="J372" s="25">
        <f t="shared" si="263"/>
        <v>7863.2184191855868</v>
      </c>
      <c r="K372" s="25">
        <f t="shared" si="264"/>
        <v>20282.026119384056</v>
      </c>
      <c r="L372" s="25"/>
      <c r="N372" s="25">
        <f>'Combined Retirement'!$C$18/12</f>
        <v>39153.069999999992</v>
      </c>
      <c r="O372" s="25">
        <f t="shared" si="265"/>
        <v>11007.82546143035</v>
      </c>
      <c r="P372" s="25">
        <f t="shared" si="266"/>
        <v>28145.244538569641</v>
      </c>
      <c r="Q372" s="25">
        <f t="array" aca="1" ref="Q372" ca="1">INDEX('Isaac 401k'!L:L,MATCH('Retirement Calculator'!A372,'Isaac 401k'!N:N,0),0)</f>
        <v>1059083.9878035865</v>
      </c>
      <c r="R372" s="25">
        <f t="array" aca="1" ref="R372" ca="1">INDEX('Lorri 401b'!L:L,MATCH('Retirement Calculator'!A372,'Lorri 401b'!N:N,0),0)</f>
        <v>2767537.717093471</v>
      </c>
      <c r="S372" s="25">
        <f t="shared" ca="1" si="267"/>
        <v>3826621.7048970573</v>
      </c>
    </row>
    <row r="373" spans="1:19" ht="15.75" customHeight="1" x14ac:dyDescent="0.3">
      <c r="A373" s="37">
        <v>62306</v>
      </c>
      <c r="B373" s="409">
        <f t="shared" ref="B373:C373" si="374">($A373-B$9)/365.25</f>
        <v>88.706365503080079</v>
      </c>
      <c r="C373" s="409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2192</v>
      </c>
      <c r="I373" s="25">
        <f>IF(C373&lt;62,0,'Combined Retirement'!$I$13)</f>
        <v>2420</v>
      </c>
      <c r="J373" s="25">
        <f t="shared" si="263"/>
        <v>7863.2184191855868</v>
      </c>
      <c r="K373" s="25">
        <f t="shared" si="264"/>
        <v>20282.026119384056</v>
      </c>
      <c r="L373" s="25"/>
      <c r="N373" s="25">
        <f>'Combined Retirement'!$C$18/12</f>
        <v>39153.069999999992</v>
      </c>
      <c r="O373" s="25">
        <f t="shared" si="265"/>
        <v>11007.82546143035</v>
      </c>
      <c r="P373" s="25">
        <f t="shared" si="266"/>
        <v>28145.244538569641</v>
      </c>
      <c r="Q373" s="25">
        <f t="array" aca="1" ref="Q373" ca="1">INDEX('Isaac 401k'!L:L,MATCH('Retirement Calculator'!A373,'Isaac 401k'!N:N,0),0)</f>
        <v>1055600.8559235027</v>
      </c>
      <c r="R373" s="25">
        <f t="array" aca="1" ref="R373" ca="1">INDEX('Lorri 401b'!L:L,MATCH('Retirement Calculator'!A373,'Lorri 401b'!N:N,0),0)</f>
        <v>2758702.589686479</v>
      </c>
      <c r="S373" s="25">
        <f t="shared" ca="1" si="267"/>
        <v>3814303.4456099817</v>
      </c>
    </row>
    <row r="374" spans="1:19" ht="15.75" customHeight="1" x14ac:dyDescent="0.3">
      <c r="A374" s="37">
        <v>62337</v>
      </c>
      <c r="B374" s="409">
        <f t="shared" ref="B374:C374" si="375">($A374-B$9)/365.25</f>
        <v>88.791238877481177</v>
      </c>
      <c r="C374" s="409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2192</v>
      </c>
      <c r="I374" s="25">
        <f>IF(C374&lt;62,0,'Combined Retirement'!$I$13)</f>
        <v>2420</v>
      </c>
      <c r="J374" s="25">
        <f t="shared" si="263"/>
        <v>7863.2184191855868</v>
      </c>
      <c r="K374" s="25">
        <f t="shared" si="264"/>
        <v>20282.026119384056</v>
      </c>
      <c r="L374" s="25"/>
      <c r="N374" s="25">
        <f>'Combined Retirement'!$C$18/12</f>
        <v>39153.069999999992</v>
      </c>
      <c r="O374" s="25">
        <f t="shared" si="265"/>
        <v>11007.82546143035</v>
      </c>
      <c r="P374" s="25">
        <f t="shared" si="266"/>
        <v>28145.244538569641</v>
      </c>
      <c r="Q374" s="25">
        <f t="array" aca="1" ref="Q374" ca="1">INDEX('Isaac 401k'!L:L,MATCH('Retirement Calculator'!A374,'Isaac 401k'!N:N,0),0)</f>
        <v>1052103.2109939184</v>
      </c>
      <c r="R374" s="25">
        <f t="array" aca="1" ref="R374" ca="1">INDEX('Lorri 401b'!L:L,MATCH('Retirement Calculator'!A374,'Lorri 401b'!N:N,0),0)</f>
        <v>2749830.6492486247</v>
      </c>
      <c r="S374" s="25">
        <f t="shared" ca="1" si="267"/>
        <v>3801933.8602425428</v>
      </c>
    </row>
    <row r="375" spans="1:19" ht="15.75" customHeight="1" x14ac:dyDescent="0.3">
      <c r="A375" s="37">
        <v>62367</v>
      </c>
      <c r="B375" s="409">
        <f t="shared" ref="B375:C375" si="376">($A375-B$9)/365.25</f>
        <v>88.873374401095134</v>
      </c>
      <c r="C375" s="409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2192</v>
      </c>
      <c r="I375" s="25">
        <f>IF(C375&lt;62,0,'Combined Retirement'!$I$13)</f>
        <v>2420</v>
      </c>
      <c r="J375" s="25">
        <f t="shared" si="263"/>
        <v>7863.2184191855868</v>
      </c>
      <c r="K375" s="25">
        <f t="shared" si="264"/>
        <v>20282.026119384056</v>
      </c>
      <c r="L375" s="25"/>
      <c r="N375" s="25">
        <f>'Combined Retirement'!$C$18/12</f>
        <v>39153.069999999992</v>
      </c>
      <c r="O375" s="25">
        <f t="shared" si="265"/>
        <v>11007.82546143035</v>
      </c>
      <c r="P375" s="25">
        <f t="shared" si="266"/>
        <v>28145.244538569641</v>
      </c>
      <c r="Q375" s="25">
        <f t="array" aca="1" ref="Q375" ca="1">INDEX('Isaac 401k'!L:L,MATCH('Retirement Calculator'!A375,'Isaac 401k'!N:N,0),0)</f>
        <v>1048590.9925437942</v>
      </c>
      <c r="R375" s="25">
        <f t="array" aca="1" ref="R375" ca="1">INDEX('Lorri 401b'!L:L,MATCH('Retirement Calculator'!A375,'Lorri 401b'!N:N,0),0)</f>
        <v>2740921.7423922792</v>
      </c>
      <c r="S375" s="25">
        <f t="shared" ca="1" si="267"/>
        <v>3789512.7349360734</v>
      </c>
    </row>
    <row r="376" spans="1:19" ht="15.75" customHeight="1" x14ac:dyDescent="0.3">
      <c r="A376" s="37">
        <v>62398</v>
      </c>
      <c r="B376" s="409">
        <f t="shared" ref="B376:C376" si="377">($A376-B$9)/365.25</f>
        <v>88.958247775496233</v>
      </c>
      <c r="C376" s="409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2192</v>
      </c>
      <c r="I376" s="25">
        <f>IF(C376&lt;62,0,'Combined Retirement'!$I$13)</f>
        <v>2420</v>
      </c>
      <c r="J376" s="25">
        <f t="shared" si="263"/>
        <v>7863.2184191855868</v>
      </c>
      <c r="K376" s="25">
        <f t="shared" si="264"/>
        <v>20282.026119384056</v>
      </c>
      <c r="L376" s="25"/>
      <c r="N376" s="25">
        <f>'Combined Retirement'!$C$18/12</f>
        <v>39153.069999999992</v>
      </c>
      <c r="O376" s="25">
        <f t="shared" si="265"/>
        <v>11007.82546143035</v>
      </c>
      <c r="P376" s="25">
        <f t="shared" si="266"/>
        <v>28145.244538569641</v>
      </c>
      <c r="Q376" s="25">
        <f t="array" aca="1" ref="Q376" ca="1">INDEX('Isaac 401k'!L:L,MATCH('Retirement Calculator'!A376,'Isaac 401k'!N:N,0),0)</f>
        <v>1045064.1398501279</v>
      </c>
      <c r="R376" s="25">
        <f t="array" aca="1" ref="R376" ca="1">INDEX('Lorri 401b'!L:L,MATCH('Retirement Calculator'!A376,'Lorri 401b'!N:N,0),0)</f>
        <v>2731975.715090699</v>
      </c>
      <c r="S376" s="25">
        <f t="shared" ca="1" si="267"/>
        <v>3777039.854940827</v>
      </c>
    </row>
    <row r="377" spans="1:19" ht="15.75" customHeight="1" x14ac:dyDescent="0.3">
      <c r="A377" s="37">
        <v>62428</v>
      </c>
      <c r="B377" s="409">
        <f t="shared" ref="B377:C377" si="378">($A377-B$9)/365.25</f>
        <v>89.040383299110204</v>
      </c>
      <c r="C377" s="409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2192</v>
      </c>
      <c r="I377" s="25">
        <f>IF(C377&lt;62,0,'Combined Retirement'!$I$13)</f>
        <v>2420</v>
      </c>
      <c r="J377" s="25">
        <f t="shared" si="263"/>
        <v>7863.2184191855868</v>
      </c>
      <c r="K377" s="25">
        <f t="shared" si="264"/>
        <v>20282.026119384056</v>
      </c>
      <c r="L377" s="25"/>
      <c r="N377" s="25">
        <f>'Combined Retirement'!$C$18/12</f>
        <v>39153.069999999992</v>
      </c>
      <c r="O377" s="25">
        <f t="shared" si="265"/>
        <v>11007.82546143035</v>
      </c>
      <c r="P377" s="25">
        <f t="shared" si="266"/>
        <v>28145.244538569641</v>
      </c>
      <c r="Q377" s="25">
        <f t="array" aca="1" ref="Q377" ca="1">INDEX('Isaac 401k'!L:L,MATCH('Retirement Calculator'!A377,'Isaac 401k'!N:N,0),0)</f>
        <v>1041522.5919369045</v>
      </c>
      <c r="R377" s="25">
        <f t="array" aca="1" ref="R377" ca="1">INDEX('Lorri 401b'!L:L,MATCH('Retirement Calculator'!A377,'Lorri 401b'!N:N,0),0)</f>
        <v>2722992.4126753621</v>
      </c>
      <c r="S377" s="25">
        <f t="shared" ca="1" si="267"/>
        <v>3764515.0046122666</v>
      </c>
    </row>
    <row r="378" spans="1:19" ht="15.75" customHeight="1" x14ac:dyDescent="0.3">
      <c r="A378" s="37">
        <v>62459</v>
      </c>
      <c r="B378" s="409">
        <f t="shared" ref="B378:C378" si="379">($A378-B$9)/365.25</f>
        <v>89.125256673511288</v>
      </c>
      <c r="C378" s="409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2192</v>
      </c>
      <c r="I378" s="25">
        <f>IF(C378&lt;62,0,'Combined Retirement'!$I$13)</f>
        <v>2420</v>
      </c>
      <c r="J378" s="25">
        <f t="shared" si="263"/>
        <v>7863.2184191855868</v>
      </c>
      <c r="K378" s="25">
        <f t="shared" si="264"/>
        <v>20282.026119384056</v>
      </c>
      <c r="L378" s="25"/>
      <c r="N378" s="25">
        <f>'Combined Retirement'!$C$18/12</f>
        <v>39153.069999999992</v>
      </c>
      <c r="O378" s="25">
        <f t="shared" si="265"/>
        <v>11007.82546143035</v>
      </c>
      <c r="P378" s="25">
        <f t="shared" si="266"/>
        <v>28145.244538569641</v>
      </c>
      <c r="Q378" s="25">
        <f t="array" aca="1" ref="Q378" ca="1">INDEX('Isaac 401k'!L:L,MATCH('Retirement Calculator'!A378,'Isaac 401k'!N:N,0),0)</f>
        <v>1037966.2875740427</v>
      </c>
      <c r="R378" s="25">
        <f t="array" aca="1" ref="R378" ca="1">INDEX('Lorri 401b'!L:L,MATCH('Retirement Calculator'!A378,'Lorri 401b'!N:N,0),0)</f>
        <v>2713971.6798332948</v>
      </c>
      <c r="S378" s="25">
        <f t="shared" ca="1" si="267"/>
        <v>3751937.9674073374</v>
      </c>
    </row>
    <row r="379" spans="1:19" ht="15.75" customHeight="1" x14ac:dyDescent="0.3">
      <c r="A379" s="37">
        <v>62490</v>
      </c>
      <c r="B379" s="409">
        <f t="shared" ref="B379:C379" si="380">($A379-B$9)/365.25</f>
        <v>89.210130047912386</v>
      </c>
      <c r="C379" s="409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2192</v>
      </c>
      <c r="I379" s="25">
        <f>IF(C379&lt;62,0,'Combined Retirement'!$I$13)</f>
        <v>2420</v>
      </c>
      <c r="J379" s="25">
        <f t="shared" si="263"/>
        <v>7863.2184191855868</v>
      </c>
      <c r="K379" s="25">
        <f t="shared" si="264"/>
        <v>20282.026119384056</v>
      </c>
      <c r="L379" s="25"/>
      <c r="N379" s="25">
        <f>'Combined Retirement'!$C$18/12</f>
        <v>39153.069999999992</v>
      </c>
      <c r="O379" s="25">
        <f t="shared" si="265"/>
        <v>11007.82546143035</v>
      </c>
      <c r="P379" s="25">
        <f t="shared" si="266"/>
        <v>28145.244538569641</v>
      </c>
      <c r="Q379" s="25">
        <f t="array" aca="1" ref="Q379" ca="1">INDEX('Isaac 401k'!L:L,MATCH('Retirement Calculator'!A379,'Isaac 401k'!N:N,0),0)</f>
        <v>1034395.1652763357</v>
      </c>
      <c r="R379" s="25">
        <f t="array" aca="1" ref="R379" ca="1">INDEX('Lorri 401b'!L:L,MATCH('Retirement Calculator'!A379,'Lorri 401b'!N:N,0),0)</f>
        <v>2704913.3606043854</v>
      </c>
      <c r="S379" s="25">
        <f t="shared" ca="1" si="267"/>
        <v>3739308.5258807209</v>
      </c>
    </row>
    <row r="380" spans="1:19" ht="15.75" customHeight="1" x14ac:dyDescent="0.3">
      <c r="A380" s="37">
        <v>62518</v>
      </c>
      <c r="B380" s="409">
        <f t="shared" ref="B380:C380" si="381">($A380-B$9)/365.25</f>
        <v>89.286789869952088</v>
      </c>
      <c r="C380" s="409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2192</v>
      </c>
      <c r="I380" s="25">
        <f>IF(C380&lt;62,0,'Combined Retirement'!$I$13)</f>
        <v>2420</v>
      </c>
      <c r="J380" s="25">
        <f t="shared" si="263"/>
        <v>7863.2184191855868</v>
      </c>
      <c r="K380" s="25">
        <f t="shared" si="264"/>
        <v>20282.026119384056</v>
      </c>
      <c r="L380" s="25"/>
      <c r="N380" s="25">
        <f>'Combined Retirement'!$C$18/12</f>
        <v>39153.069999999992</v>
      </c>
      <c r="O380" s="25">
        <f t="shared" si="265"/>
        <v>11007.82546143035</v>
      </c>
      <c r="P380" s="25">
        <f t="shared" si="266"/>
        <v>28145.244538569641</v>
      </c>
      <c r="Q380" s="25">
        <f t="array" aca="1" ref="Q380" ca="1">INDEX('Isaac 401k'!L:L,MATCH('Retirement Calculator'!A380,'Isaac 401k'!N:N,0),0)</f>
        <v>1030809.1633023882</v>
      </c>
      <c r="R380" s="25">
        <f t="array" aca="1" ref="R380" ca="1">INDEX('Lorri 401b'!L:L,MATCH('Retirement Calculator'!A380,'Lorri 401b'!N:N,0),0)</f>
        <v>2695817.2983786887</v>
      </c>
      <c r="S380" s="25">
        <f t="shared" ca="1" si="267"/>
        <v>3726626.4616810768</v>
      </c>
    </row>
    <row r="381" spans="1:19" ht="15.75" customHeight="1" x14ac:dyDescent="0.3">
      <c r="A381" s="37">
        <v>62549</v>
      </c>
      <c r="B381" s="409">
        <f t="shared" ref="B381:C381" si="382">($A381-B$9)/365.25</f>
        <v>89.371663244353186</v>
      </c>
      <c r="C381" s="409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2192</v>
      </c>
      <c r="I381" s="25">
        <f>IF(C381&lt;62,0,'Combined Retirement'!$I$13)</f>
        <v>2420</v>
      </c>
      <c r="J381" s="25">
        <f t="shared" si="263"/>
        <v>7863.2184191855868</v>
      </c>
      <c r="K381" s="25">
        <f t="shared" si="264"/>
        <v>20282.026119384056</v>
      </c>
      <c r="L381" s="25"/>
      <c r="N381" s="25">
        <f>'Combined Retirement'!$C$18/12</f>
        <v>39153.069999999992</v>
      </c>
      <c r="O381" s="25">
        <f t="shared" si="265"/>
        <v>11007.82546143035</v>
      </c>
      <c r="P381" s="25">
        <f t="shared" si="266"/>
        <v>28145.244538569641</v>
      </c>
      <c r="Q381" s="25">
        <f t="array" aca="1" ref="Q381" ca="1">INDEX('Isaac 401k'!L:L,MATCH('Retirement Calculator'!A381,'Isaac 401k'!N:N,0),0)</f>
        <v>1027208.2196535493</v>
      </c>
      <c r="R381" s="25">
        <f t="array" aca="1" ref="R381" ca="1">INDEX('Lorri 401b'!L:L,MATCH('Retirement Calculator'!A381,'Lorri 401b'!N:N,0),0)</f>
        <v>2686683.3358937185</v>
      </c>
      <c r="S381" s="25">
        <f t="shared" ca="1" si="267"/>
        <v>3713891.5555472677</v>
      </c>
    </row>
    <row r="382" spans="1:19" ht="15.75" customHeight="1" x14ac:dyDescent="0.3">
      <c r="A382" s="37">
        <v>62579</v>
      </c>
      <c r="B382" s="409">
        <f t="shared" ref="B382:C382" si="383">($A382-B$9)/365.25</f>
        <v>89.453798767967143</v>
      </c>
      <c r="C382" s="409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2192</v>
      </c>
      <c r="I382" s="25">
        <f>IF(C382&lt;62,0,'Combined Retirement'!$I$13)</f>
        <v>2420</v>
      </c>
      <c r="J382" s="25">
        <f t="shared" si="263"/>
        <v>7863.2184191855868</v>
      </c>
      <c r="K382" s="25">
        <f t="shared" si="264"/>
        <v>20282.026119384056</v>
      </c>
      <c r="L382" s="25"/>
      <c r="N382" s="25">
        <f>'Combined Retirement'!$C$18/12</f>
        <v>39153.069999999992</v>
      </c>
      <c r="O382" s="25">
        <f t="shared" si="265"/>
        <v>11007.82546143035</v>
      </c>
      <c r="P382" s="25">
        <f t="shared" si="266"/>
        <v>28145.244538569641</v>
      </c>
      <c r="Q382" s="25">
        <f t="array" aca="1" ref="Q382" ca="1">INDEX('Isaac 401k'!L:L,MATCH('Retirement Calculator'!A382,'Isaac 401k'!N:N,0),0)</f>
        <v>1023592.2720728401</v>
      </c>
      <c r="R382" s="25">
        <f t="array" aca="1" ref="R382" ca="1">INDEX('Lorri 401b'!L:L,MATCH('Retirement Calculator'!A382,'Lorri 401b'!N:N,0),0)</f>
        <v>2677511.3152317274</v>
      </c>
      <c r="S382" s="25">
        <f t="shared" ca="1" si="267"/>
        <v>3701103.5873045675</v>
      </c>
    </row>
    <row r="383" spans="1:19" ht="15.75" customHeight="1" x14ac:dyDescent="0.3">
      <c r="A383" s="37">
        <v>62610</v>
      </c>
      <c r="B383" s="409">
        <f t="shared" ref="B383:C383" si="384">($A383-B$9)/365.25</f>
        <v>89.538672142368242</v>
      </c>
      <c r="C383" s="409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2192</v>
      </c>
      <c r="I383" s="25">
        <f>IF(C383&lt;62,0,'Combined Retirement'!$I$13)</f>
        <v>2420</v>
      </c>
      <c r="J383" s="25">
        <f t="shared" si="263"/>
        <v>7863.2184191855868</v>
      </c>
      <c r="K383" s="25">
        <f t="shared" si="264"/>
        <v>20282.026119384056</v>
      </c>
      <c r="L383" s="25"/>
      <c r="N383" s="25">
        <f>'Combined Retirement'!$C$18/12</f>
        <v>39153.069999999992</v>
      </c>
      <c r="O383" s="25">
        <f t="shared" si="265"/>
        <v>11007.82546143035</v>
      </c>
      <c r="P383" s="25">
        <f t="shared" si="266"/>
        <v>28145.244538569641</v>
      </c>
      <c r="Q383" s="25">
        <f t="array" aca="1" ref="Q383" ca="1">INDEX('Isaac 401k'!L:L,MATCH('Retirement Calculator'!A383,'Isaac 401k'!N:N,0),0)</f>
        <v>1019961.2580438781</v>
      </c>
      <c r="R383" s="25">
        <f t="array" aca="1" ref="R383" ca="1">INDEX('Lorri 401b'!L:L,MATCH('Retirement Calculator'!A383,'Lorri 401b'!N:N,0),0)</f>
        <v>2668301.0778169781</v>
      </c>
      <c r="S383" s="25">
        <f t="shared" ca="1" si="267"/>
        <v>3688262.3358608563</v>
      </c>
    </row>
    <row r="384" spans="1:19" ht="15.75" customHeight="1" x14ac:dyDescent="0.3">
      <c r="A384" s="37">
        <v>62640</v>
      </c>
      <c r="B384" s="409">
        <f t="shared" ref="B384:C384" si="385">($A384-B$9)/365.25</f>
        <v>89.620807665982198</v>
      </c>
      <c r="C384" s="409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2192</v>
      </c>
      <c r="I384" s="25">
        <f>IF(C384&lt;62,0,'Combined Retirement'!$I$13)</f>
        <v>2420</v>
      </c>
      <c r="J384" s="25">
        <f t="shared" si="263"/>
        <v>7863.2184191855868</v>
      </c>
      <c r="K384" s="25">
        <f t="shared" si="264"/>
        <v>20282.026119384056</v>
      </c>
      <c r="L384" s="25"/>
      <c r="N384" s="25">
        <f>'Combined Retirement'!$C$18/12</f>
        <v>39153.069999999992</v>
      </c>
      <c r="O384" s="25">
        <f t="shared" si="265"/>
        <v>11007.82546143035</v>
      </c>
      <c r="P384" s="25">
        <f t="shared" si="266"/>
        <v>28145.244538569641</v>
      </c>
      <c r="Q384" s="25">
        <f t="array" aca="1" ref="Q384" ca="1">INDEX('Isaac 401k'!L:L,MATCH('Retirement Calculator'!A384,'Isaac 401k'!N:N,0),0)</f>
        <v>1016315.1147897954</v>
      </c>
      <c r="R384" s="25">
        <f t="array" aca="1" ref="R384" ca="1">INDEX('Lorri 401b'!L:L,MATCH('Retirement Calculator'!A384,'Lorri 401b'!N:N,0),0)</f>
        <v>2659052.4644130007</v>
      </c>
      <c r="S384" s="25">
        <f t="shared" ca="1" si="267"/>
        <v>3675367.5792027963</v>
      </c>
    </row>
    <row r="385" spans="1:19" ht="15.75" customHeight="1" x14ac:dyDescent="0.3">
      <c r="A385" s="37">
        <v>62671</v>
      </c>
      <c r="B385" s="409">
        <f t="shared" ref="B385:C385" si="386">($A385-B$9)/365.25</f>
        <v>89.705681040383297</v>
      </c>
      <c r="C385" s="409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2192</v>
      </c>
      <c r="I385" s="25">
        <f>IF(C385&lt;62,0,'Combined Retirement'!$I$13)</f>
        <v>2420</v>
      </c>
      <c r="J385" s="25">
        <f t="shared" si="263"/>
        <v>7863.2184191855868</v>
      </c>
      <c r="K385" s="25">
        <f t="shared" si="264"/>
        <v>20282.026119384056</v>
      </c>
      <c r="L385" s="25"/>
      <c r="N385" s="25">
        <f>'Combined Retirement'!$C$18/12</f>
        <v>39153.069999999992</v>
      </c>
      <c r="O385" s="25">
        <f t="shared" si="265"/>
        <v>11007.82546143035</v>
      </c>
      <c r="P385" s="25">
        <f t="shared" si="266"/>
        <v>28145.244538569641</v>
      </c>
      <c r="Q385" s="25">
        <f t="array" aca="1" ref="Q385" ca="1">INDEX('Isaac 401k'!L:L,MATCH('Retirement Calculator'!A385,'Isaac 401k'!N:N,0),0)</f>
        <v>1012653.779272154</v>
      </c>
      <c r="R385" s="25">
        <f t="array" aca="1" ref="R385" ca="1">INDEX('Lorri 401b'!L:L,MATCH('Retirement Calculator'!A385,'Lorri 401b'!N:N,0),0)</f>
        <v>2649765.3151198402</v>
      </c>
      <c r="S385" s="25">
        <f t="shared" ca="1" si="267"/>
        <v>3662419.0943919942</v>
      </c>
    </row>
    <row r="386" spans="1:19" ht="15.75" customHeight="1" x14ac:dyDescent="0.3">
      <c r="A386" s="37">
        <v>62702</v>
      </c>
      <c r="B386" s="409">
        <f t="shared" ref="B386:C386" si="387">($A386-B$9)/365.25</f>
        <v>89.790554414784395</v>
      </c>
      <c r="C386" s="409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2192</v>
      </c>
      <c r="I386" s="25">
        <f>IF(C386&lt;62,0,'Combined Retirement'!$I$13)</f>
        <v>2420</v>
      </c>
      <c r="J386" s="25">
        <f t="shared" si="263"/>
        <v>7863.2184191855868</v>
      </c>
      <c r="K386" s="25">
        <f t="shared" si="264"/>
        <v>20282.026119384056</v>
      </c>
      <c r="L386" s="25"/>
      <c r="N386" s="25">
        <f>'Combined Retirement'!$C$18/12</f>
        <v>39153.069999999992</v>
      </c>
      <c r="O386" s="25">
        <f t="shared" si="265"/>
        <v>11007.82546143035</v>
      </c>
      <c r="P386" s="25">
        <f t="shared" si="266"/>
        <v>28145.244538569641</v>
      </c>
      <c r="Q386" s="25">
        <f t="array" aca="1" ref="Q386" ca="1">INDEX('Isaac 401k'!L:L,MATCH('Retirement Calculator'!A386,'Isaac 401k'!N:N,0),0)</f>
        <v>1008977.1881898558</v>
      </c>
      <c r="R386" s="25">
        <f t="array" aca="1" ref="R386" ca="1">INDEX('Lorri 401b'!L:L,MATCH('Retirement Calculator'!A386,'Lorri 401b'!N:N,0),0)</f>
        <v>2640439.4693712913</v>
      </c>
      <c r="S386" s="25">
        <f t="shared" ca="1" si="267"/>
        <v>3649416.6575611471</v>
      </c>
    </row>
    <row r="387" spans="1:19" ht="15.75" customHeight="1" x14ac:dyDescent="0.3">
      <c r="A387" s="37">
        <v>62732</v>
      </c>
      <c r="B387" s="409">
        <f t="shared" ref="B387:C387" si="388">($A387-B$9)/365.25</f>
        <v>89.872689938398352</v>
      </c>
      <c r="C387" s="409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2192</v>
      </c>
      <c r="I387" s="25">
        <f>IF(C387&lt;62,0,'Combined Retirement'!$I$13)</f>
        <v>2420</v>
      </c>
      <c r="J387" s="25">
        <f t="shared" si="263"/>
        <v>7863.2184191855868</v>
      </c>
      <c r="K387" s="25">
        <f t="shared" si="264"/>
        <v>20282.026119384056</v>
      </c>
      <c r="L387" s="25"/>
      <c r="N387" s="25">
        <f>'Combined Retirement'!$C$18/12</f>
        <v>39153.069999999992</v>
      </c>
      <c r="O387" s="25">
        <f t="shared" si="265"/>
        <v>11007.82546143035</v>
      </c>
      <c r="P387" s="25">
        <f t="shared" si="266"/>
        <v>28145.244538569641</v>
      </c>
      <c r="Q387" s="25">
        <f t="array" aca="1" ref="Q387" ca="1">INDEX('Isaac 401k'!L:L,MATCH('Retirement Calculator'!A387,'Isaac 401k'!N:N,0),0)</f>
        <v>1005285.277978048</v>
      </c>
      <c r="R387" s="25">
        <f t="array" aca="1" ref="R387" ca="1">INDEX('Lorri 401b'!L:L,MATCH('Retirement Calculator'!A387,'Lorri 401b'!N:N,0),0)</f>
        <v>2631074.7659321236</v>
      </c>
      <c r="S387" s="25">
        <f t="shared" ca="1" si="267"/>
        <v>3636360.0439101718</v>
      </c>
    </row>
    <row r="388" spans="1:19" ht="15.75" customHeight="1" x14ac:dyDescent="0.3">
      <c r="A388" s="37">
        <v>62763</v>
      </c>
      <c r="B388" s="409">
        <f t="shared" ref="B388:C388" si="389">($A388-B$9)/365.25</f>
        <v>89.957563312799451</v>
      </c>
      <c r="C388" s="409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2192</v>
      </c>
      <c r="I388" s="25">
        <f>IF(C388&lt;62,0,'Combined Retirement'!$I$13)</f>
        <v>2420</v>
      </c>
      <c r="J388" s="25">
        <f t="shared" si="263"/>
        <v>7863.2184191855868</v>
      </c>
      <c r="K388" s="25">
        <f t="shared" si="264"/>
        <v>20282.026119384056</v>
      </c>
      <c r="L388" s="25"/>
      <c r="N388" s="25">
        <f>'Combined Retirement'!$C$18/12</f>
        <v>39153.069999999992</v>
      </c>
      <c r="O388" s="25">
        <f t="shared" si="265"/>
        <v>11007.82546143035</v>
      </c>
      <c r="P388" s="25">
        <f t="shared" si="266"/>
        <v>28145.244538569641</v>
      </c>
      <c r="Q388" s="25">
        <f t="array" aca="1" ref="Q388" ca="1">INDEX('Isaac 401k'!L:L,MATCH('Retirement Calculator'!A388,'Isaac 401k'!N:N,0),0)</f>
        <v>1001577.9848070242</v>
      </c>
      <c r="R388" s="25">
        <f t="array" aca="1" ref="R388" ca="1">INDEX('Lorri 401b'!L:L,MATCH('Retirement Calculator'!A388,'Lorri 401b'!N:N,0),0)</f>
        <v>2621671.0428952929</v>
      </c>
      <c r="S388" s="25">
        <f t="shared" ca="1" si="267"/>
        <v>3623249.0277023171</v>
      </c>
    </row>
    <row r="389" spans="1:19" ht="15.75" customHeight="1" x14ac:dyDescent="0.3">
      <c r="A389" s="37">
        <v>62793</v>
      </c>
      <c r="B389" s="409">
        <f t="shared" ref="B389:C389" si="390">($A389-B$9)/365.25</f>
        <v>90.039698836413422</v>
      </c>
      <c r="C389" s="409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2192</v>
      </c>
      <c r="I389" s="25">
        <f>IF(C389&lt;62,0,'Combined Retirement'!$I$13)</f>
        <v>2420</v>
      </c>
      <c r="J389" s="25">
        <f t="shared" si="263"/>
        <v>7863.2184191855868</v>
      </c>
      <c r="K389" s="25">
        <f t="shared" si="264"/>
        <v>20282.026119384056</v>
      </c>
      <c r="L389" s="25"/>
      <c r="N389" s="25">
        <f>'Combined Retirement'!$C$18/12</f>
        <v>39153.069999999992</v>
      </c>
      <c r="O389" s="25">
        <f t="shared" si="265"/>
        <v>11007.82546143035</v>
      </c>
      <c r="P389" s="25">
        <f t="shared" si="266"/>
        <v>28145.244538569641</v>
      </c>
      <c r="Q389" s="25">
        <f t="array" aca="1" ref="Q389" ca="1">INDEX('Isaac 401k'!L:L,MATCH('Retirement Calculator'!A389,'Isaac 401k'!N:N,0),0)</f>
        <v>997855.24458112125</v>
      </c>
      <c r="R389" s="25">
        <f t="array" aca="1" ref="R389" ca="1">INDEX('Lorri 401b'!L:L,MATCH('Retirement Calculator'!A389,'Lorri 401b'!N:N,0),0)</f>
        <v>2612228.1376791419</v>
      </c>
      <c r="S389" s="25">
        <f t="shared" ca="1" si="267"/>
        <v>3610083.382260263</v>
      </c>
    </row>
    <row r="390" spans="1:19" ht="15.75" customHeight="1" x14ac:dyDescent="0.3">
      <c r="A390" s="37">
        <v>62824</v>
      </c>
      <c r="B390" s="409">
        <f t="shared" ref="B390:C390" si="391">($A390-B$9)/365.25</f>
        <v>90.124572210814506</v>
      </c>
      <c r="C390" s="409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2192</v>
      </c>
      <c r="I390" s="25">
        <f>IF(C390&lt;62,0,'Combined Retirement'!$I$13)</f>
        <v>2420</v>
      </c>
      <c r="J390" s="25">
        <f t="shared" si="263"/>
        <v>7863.2184191855868</v>
      </c>
      <c r="K390" s="25">
        <f t="shared" si="264"/>
        <v>20282.026119384056</v>
      </c>
      <c r="L390" s="25"/>
      <c r="N390" s="25">
        <f>'Combined Retirement'!$C$18/12</f>
        <v>39153.069999999992</v>
      </c>
      <c r="O390" s="25">
        <f t="shared" si="265"/>
        <v>11007.82546143035</v>
      </c>
      <c r="P390" s="25">
        <f t="shared" si="266"/>
        <v>28145.244538569641</v>
      </c>
      <c r="Q390" s="25">
        <f t="array" aca="1" ref="Q390" ca="1">INDEX('Isaac 401k'!L:L,MATCH('Retirement Calculator'!A390,'Isaac 401k'!N:N,0),0)</f>
        <v>994116.99293761037</v>
      </c>
      <c r="R390" s="25">
        <f t="array" aca="1" ref="R390" ca="1">INDEX('Lorri 401b'!L:L,MATCH('Retirement Calculator'!A390,'Lorri 401b'!N:N,0),0)</f>
        <v>2602745.8870245903</v>
      </c>
      <c r="S390" s="25">
        <f t="shared" ca="1" si="267"/>
        <v>3596862.8799622008</v>
      </c>
    </row>
    <row r="391" spans="1:19" ht="15.75" customHeight="1" x14ac:dyDescent="0.3">
      <c r="A391" s="37">
        <v>62855</v>
      </c>
      <c r="B391" s="409">
        <f t="shared" ref="B391:C391" si="392">($A391-B$9)/365.25</f>
        <v>90.209445585215605</v>
      </c>
      <c r="C391" s="409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2192</v>
      </c>
      <c r="I391" s="25">
        <f>IF(C391&lt;62,0,'Combined Retirement'!$I$13)</f>
        <v>2420</v>
      </c>
      <c r="J391" s="25">
        <f t="shared" si="263"/>
        <v>7863.2184191855868</v>
      </c>
      <c r="K391" s="25">
        <f t="shared" si="264"/>
        <v>20282.026119384056</v>
      </c>
      <c r="L391" s="25"/>
      <c r="N391" s="25">
        <f>'Combined Retirement'!$C$18/12</f>
        <v>39153.069999999992</v>
      </c>
      <c r="O391" s="25">
        <f t="shared" si="265"/>
        <v>11007.82546143035</v>
      </c>
      <c r="P391" s="25">
        <f t="shared" si="266"/>
        <v>28145.244538569641</v>
      </c>
      <c r="Q391" s="25">
        <f t="array" aca="1" ref="Q391" ca="1">INDEX('Isaac 401k'!L:L,MATCH('Retirement Calculator'!A391,'Isaac 401k'!N:N,0),0)</f>
        <v>990363.16524558491</v>
      </c>
      <c r="R391" s="25">
        <f t="array" aca="1" ref="R391" ca="1">INDEX('Lorri 401b'!L:L,MATCH('Retirement Calculator'!A391,'Lorri 401b'!N:N,0),0)</f>
        <v>2593224.1269923113</v>
      </c>
      <c r="S391" s="25">
        <f t="shared" ca="1" si="267"/>
        <v>3583587.2922378965</v>
      </c>
    </row>
    <row r="392" spans="1:19" ht="15.75" customHeight="1" x14ac:dyDescent="0.3">
      <c r="A392" s="37">
        <v>62884</v>
      </c>
      <c r="B392" s="409">
        <f t="shared" ref="B392:C392" si="393">($A392-B$9)/365.25</f>
        <v>90.288843258042434</v>
      </c>
      <c r="C392" s="409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2192</v>
      </c>
      <c r="I392" s="25">
        <f>IF(C392&lt;62,0,'Combined Retirement'!$I$13)</f>
        <v>2420</v>
      </c>
      <c r="J392" s="25">
        <f t="shared" si="263"/>
        <v>7863.2184191855868</v>
      </c>
      <c r="K392" s="25">
        <f t="shared" si="264"/>
        <v>20282.026119384056</v>
      </c>
      <c r="L392" s="25"/>
      <c r="N392" s="25">
        <f>'Combined Retirement'!$C$18/12</f>
        <v>39153.069999999992</v>
      </c>
      <c r="O392" s="25">
        <f t="shared" si="265"/>
        <v>11007.82546143035</v>
      </c>
      <c r="P392" s="25">
        <f t="shared" si="266"/>
        <v>28145.244538569641</v>
      </c>
      <c r="Q392" s="25">
        <f t="array" aca="1" ref="Q392" ca="1">INDEX('Isaac 401k'!L:L,MATCH('Retirement Calculator'!A392,'Isaac 401k'!N:N,0),0)</f>
        <v>986593.69660484267</v>
      </c>
      <c r="R392" s="25">
        <f t="array" aca="1" ref="R392" ca="1">INDEX('Lorri 401b'!L:L,MATCH('Retirement Calculator'!A392,'Lorri 401b'!N:N,0),0)</f>
        <v>2583662.6929598977</v>
      </c>
      <c r="S392" s="25">
        <f t="shared" ca="1" si="267"/>
        <v>3570256.3895647405</v>
      </c>
    </row>
    <row r="393" spans="1:19" ht="15.75" customHeight="1" x14ac:dyDescent="0.3">
      <c r="A393" s="37">
        <v>62915</v>
      </c>
      <c r="B393" s="409">
        <f t="shared" ref="B393:C393" si="394">($A393-B$9)/365.25</f>
        <v>90.373716632443532</v>
      </c>
      <c r="C393" s="409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2192</v>
      </c>
      <c r="I393" s="25">
        <f>IF(C393&lt;62,0,'Combined Retirement'!$I$13)</f>
        <v>2420</v>
      </c>
      <c r="J393" s="25">
        <f t="shared" si="263"/>
        <v>7863.2184191855868</v>
      </c>
      <c r="K393" s="25">
        <f t="shared" si="264"/>
        <v>20282.026119384056</v>
      </c>
      <c r="L393" s="25"/>
      <c r="N393" s="25">
        <f>'Combined Retirement'!$C$18/12</f>
        <v>39153.069999999992</v>
      </c>
      <c r="O393" s="25">
        <f t="shared" si="265"/>
        <v>11007.82546143035</v>
      </c>
      <c r="P393" s="25">
        <f t="shared" si="266"/>
        <v>28145.244538569641</v>
      </c>
      <c r="Q393" s="25">
        <f t="array" aca="1" ref="Q393" ca="1">INDEX('Isaac 401k'!L:L,MATCH('Retirement Calculator'!A393,'Isaac 401k'!N:N,0),0)</f>
        <v>982808.52184476401</v>
      </c>
      <c r="R393" s="25">
        <f t="array" aca="1" ref="R393" ca="1">INDEX('Lorri 401b'!L:L,MATCH('Retirement Calculator'!A393,'Lorri 401b'!N:N,0),0)</f>
        <v>2574061.4196190159</v>
      </c>
      <c r="S393" s="25">
        <f t="shared" ca="1" si="267"/>
        <v>3556869.9414637797</v>
      </c>
    </row>
    <row r="394" spans="1:19" ht="15.75" customHeight="1" x14ac:dyDescent="0.3">
      <c r="A394" s="37">
        <v>62945</v>
      </c>
      <c r="B394" s="409">
        <f t="shared" ref="B394:C394" si="395">($A394-B$9)/365.25</f>
        <v>90.455852156057489</v>
      </c>
      <c r="C394" s="409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2192</v>
      </c>
      <c r="I394" s="25">
        <f>IF(C394&lt;62,0,'Combined Retirement'!$I$13)</f>
        <v>2420</v>
      </c>
      <c r="J394" s="25">
        <f t="shared" si="263"/>
        <v>7863.2184191855868</v>
      </c>
      <c r="K394" s="25">
        <f t="shared" si="264"/>
        <v>20282.026119384056</v>
      </c>
      <c r="L394" s="25"/>
      <c r="N394" s="25">
        <f>'Combined Retirement'!$C$18/12</f>
        <v>39153.069999999992</v>
      </c>
      <c r="O394" s="25">
        <f t="shared" si="265"/>
        <v>11007.82546143035</v>
      </c>
      <c r="P394" s="25">
        <f t="shared" si="266"/>
        <v>28145.244538569641</v>
      </c>
      <c r="Q394" s="25">
        <f t="array" aca="1" ref="Q394" ca="1">INDEX('Isaac 401k'!L:L,MATCH('Retirement Calculator'!A394,'Isaac 401k'!N:N,0),0)</f>
        <v>979007.57552318496</v>
      </c>
      <c r="R394" s="25">
        <f t="array" aca="1" ref="R394" ca="1">INDEX('Lorri 401b'!L:L,MATCH('Retirement Calculator'!A394,'Lorri 401b'!N:N,0),0)</f>
        <v>2564420.1409725472</v>
      </c>
      <c r="S394" s="25">
        <f t="shared" ca="1" si="267"/>
        <v>3543427.7164957323</v>
      </c>
    </row>
    <row r="395" spans="1:19" ht="15.75" customHeight="1" x14ac:dyDescent="0.3">
      <c r="A395" s="37">
        <v>62976</v>
      </c>
      <c r="B395" s="409">
        <f t="shared" ref="B395:C395" si="396">($A395-B$9)/365.25</f>
        <v>90.540725530458587</v>
      </c>
      <c r="C395" s="409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2192</v>
      </c>
      <c r="I395" s="25">
        <f>IF(C395&lt;62,0,'Combined Retirement'!$I$13)</f>
        <v>2420</v>
      </c>
      <c r="J395" s="25">
        <f t="shared" si="263"/>
        <v>7863.2184191855868</v>
      </c>
      <c r="K395" s="25">
        <f t="shared" si="264"/>
        <v>20282.026119384056</v>
      </c>
      <c r="L395" s="25"/>
      <c r="N395" s="25">
        <f>'Combined Retirement'!$C$18/12</f>
        <v>39153.069999999992</v>
      </c>
      <c r="O395" s="25">
        <f t="shared" si="265"/>
        <v>11007.82546143035</v>
      </c>
      <c r="P395" s="25">
        <f t="shared" si="266"/>
        <v>28145.244538569641</v>
      </c>
      <c r="Q395" s="25">
        <f t="array" aca="1" ref="Q395" ca="1">INDEX('Isaac 401k'!L:L,MATCH('Retirement Calculator'!A395,'Isaac 401k'!N:N,0),0)</f>
        <v>975190.79192526604</v>
      </c>
      <c r="R395" s="25">
        <f t="array" aca="1" ref="R395" ca="1">INDEX('Lorri 401b'!L:L,MATCH('Retirement Calculator'!A395,'Lorri 401b'!N:N,0),0)</f>
        <v>2554738.690331718</v>
      </c>
      <c r="S395" s="25">
        <f t="shared" ca="1" si="267"/>
        <v>3529929.4822569839</v>
      </c>
    </row>
    <row r="396" spans="1:19" ht="15.75" customHeight="1" x14ac:dyDescent="0.3">
      <c r="A396" s="37">
        <v>63006</v>
      </c>
      <c r="B396" s="409">
        <f t="shared" ref="B396:C396" si="397">($A396-B$9)/365.25</f>
        <v>90.622861054072558</v>
      </c>
      <c r="C396" s="409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2192</v>
      </c>
      <c r="I396" s="25">
        <f>IF(C396&lt;62,0,'Combined Retirement'!$I$13)</f>
        <v>2420</v>
      </c>
      <c r="J396" s="25">
        <f t="shared" si="263"/>
        <v>7863.2184191855868</v>
      </c>
      <c r="K396" s="25">
        <f t="shared" si="264"/>
        <v>20282.026119384056</v>
      </c>
      <c r="L396" s="25"/>
      <c r="N396" s="25">
        <f>'Combined Retirement'!$C$18/12</f>
        <v>39153.069999999992</v>
      </c>
      <c r="O396" s="25">
        <f t="shared" si="265"/>
        <v>11007.82546143035</v>
      </c>
      <c r="P396" s="25">
        <f t="shared" si="266"/>
        <v>28145.244538569641</v>
      </c>
      <c r="Q396" s="25">
        <f t="array" aca="1" ref="Q396" ca="1">INDEX('Isaac 401k'!L:L,MATCH('Retirement Calculator'!A396,'Isaac 401k'!N:N,0),0)</f>
        <v>971358.10506235575</v>
      </c>
      <c r="R396" s="25">
        <f t="array" aca="1" ref="R396" ca="1">INDEX('Lorri 401b'!L:L,MATCH('Retirement Calculator'!A396,'Lorri 401b'!N:N,0),0)</f>
        <v>2545016.9003132186</v>
      </c>
      <c r="S396" s="25">
        <f t="shared" ca="1" si="267"/>
        <v>3516375.0053755743</v>
      </c>
    </row>
    <row r="397" spans="1:19" ht="15.75" customHeight="1" x14ac:dyDescent="0.3">
      <c r="A397" s="37">
        <v>63037</v>
      </c>
      <c r="B397" s="409">
        <f t="shared" ref="B397:C397" si="398">($A397-B$9)/365.25</f>
        <v>90.707734428473643</v>
      </c>
      <c r="C397" s="409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2192</v>
      </c>
      <c r="I397" s="25">
        <f>IF(C397&lt;62,0,'Combined Retirement'!$I$13)</f>
        <v>2420</v>
      </c>
      <c r="J397" s="25">
        <f t="shared" si="263"/>
        <v>7863.2184191855868</v>
      </c>
      <c r="K397" s="25">
        <f t="shared" si="264"/>
        <v>20282.026119384056</v>
      </c>
      <c r="L397" s="25"/>
      <c r="N397" s="25">
        <f>'Combined Retirement'!$C$18/12</f>
        <v>39153.069999999992</v>
      </c>
      <c r="O397" s="25">
        <f t="shared" si="265"/>
        <v>11007.82546143035</v>
      </c>
      <c r="P397" s="25">
        <f t="shared" si="266"/>
        <v>28145.244538569641</v>
      </c>
      <c r="Q397" s="25">
        <f t="array" aca="1" ref="Q397" ca="1">INDEX('Isaac 401k'!L:L,MATCH('Retirement Calculator'!A397,'Isaac 401k'!N:N,0),0)</f>
        <v>967509.44867085002</v>
      </c>
      <c r="R397" s="25">
        <f t="array" aca="1" ref="R397" ca="1">INDEX('Lorri 401b'!L:L,MATCH('Retirement Calculator'!A397,'Lorri 401b'!N:N,0),0)</f>
        <v>2535254.602836309</v>
      </c>
      <c r="S397" s="25">
        <f t="shared" ca="1" si="267"/>
        <v>3502764.0515071591</v>
      </c>
    </row>
    <row r="398" spans="1:19" ht="15.75" customHeight="1" x14ac:dyDescent="0.3">
      <c r="A398" s="37">
        <v>63068</v>
      </c>
      <c r="B398" s="409">
        <f t="shared" ref="B398:C398" si="399">($A398-B$9)/365.25</f>
        <v>90.792607802874741</v>
      </c>
      <c r="C398" s="409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2192</v>
      </c>
      <c r="I398" s="25">
        <f>IF(C398&lt;62,0,'Combined Retirement'!$I$13)</f>
        <v>2420</v>
      </c>
      <c r="J398" s="25">
        <f t="shared" si="263"/>
        <v>7863.2184191855868</v>
      </c>
      <c r="K398" s="25">
        <f t="shared" si="264"/>
        <v>20282.026119384056</v>
      </c>
      <c r="L398" s="25"/>
      <c r="N398" s="25">
        <f>'Combined Retirement'!$C$18/12</f>
        <v>39153.069999999992</v>
      </c>
      <c r="O398" s="25">
        <f t="shared" si="265"/>
        <v>11007.82546143035</v>
      </c>
      <c r="P398" s="25">
        <f t="shared" si="266"/>
        <v>28145.244538569641</v>
      </c>
      <c r="Q398" s="25">
        <f t="array" aca="1" ref="Q398" ca="1">INDEX('Isaac 401k'!L:L,MATCH('Retirement Calculator'!A398,'Isaac 401k'!N:N,0),0)</f>
        <v>963644.75621104636</v>
      </c>
      <c r="R398" s="25">
        <f t="array" aca="1" ref="R398" ca="1">INDEX('Lorri 401b'!L:L,MATCH('Retirement Calculator'!A398,'Lorri 401b'!N:N,0),0)</f>
        <v>2525451.6291199122</v>
      </c>
      <c r="S398" s="25">
        <f t="shared" ca="1" si="267"/>
        <v>3489096.3853309583</v>
      </c>
    </row>
    <row r="399" spans="1:19" ht="15.75" customHeight="1" x14ac:dyDescent="0.3">
      <c r="A399" s="37">
        <v>63098</v>
      </c>
      <c r="B399" s="409">
        <f t="shared" ref="B399:C399" si="400">($A399-B$9)/365.25</f>
        <v>90.874743326488712</v>
      </c>
      <c r="C399" s="409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2192</v>
      </c>
      <c r="I399" s="25">
        <f>IF(C399&lt;62,0,'Combined Retirement'!$I$13)</f>
        <v>2420</v>
      </c>
      <c r="J399" s="25">
        <f t="shared" si="263"/>
        <v>7863.2184191855868</v>
      </c>
      <c r="K399" s="25">
        <f t="shared" si="264"/>
        <v>20282.026119384056</v>
      </c>
      <c r="L399" s="25"/>
      <c r="N399" s="25">
        <f>'Combined Retirement'!$C$18/12</f>
        <v>39153.069999999992</v>
      </c>
      <c r="O399" s="25">
        <f t="shared" si="265"/>
        <v>11007.82546143035</v>
      </c>
      <c r="P399" s="25">
        <f t="shared" si="266"/>
        <v>28145.244538569641</v>
      </c>
      <c r="Q399" s="25">
        <f t="array" aca="1" ref="Q399" ca="1">INDEX('Isaac 401k'!L:L,MATCH('Retirement Calculator'!A399,'Isaac 401k'!N:N,0),0)</f>
        <v>959763.96086599352</v>
      </c>
      <c r="R399" s="25">
        <f t="array" aca="1" ref="R399" ca="1">INDEX('Lorri 401b'!L:L,MATCH('Retirement Calculator'!A399,'Lorri 401b'!N:N,0),0)</f>
        <v>2515607.8096796973</v>
      </c>
      <c r="S399" s="25">
        <f t="shared" ca="1" si="267"/>
        <v>3475371.7705456908</v>
      </c>
    </row>
    <row r="400" spans="1:19" ht="15.75" customHeight="1" x14ac:dyDescent="0.3">
      <c r="A400" s="37">
        <v>63129</v>
      </c>
      <c r="B400" s="409">
        <f t="shared" ref="B400:C400" si="401">($A400-B$9)/365.25</f>
        <v>90.959616700889796</v>
      </c>
      <c r="C400" s="409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2192</v>
      </c>
      <c r="I400" s="25">
        <f>IF(C400&lt;62,0,'Combined Retirement'!$I$13)</f>
        <v>2420</v>
      </c>
      <c r="J400" s="25">
        <f t="shared" si="263"/>
        <v>7863.2184191855868</v>
      </c>
      <c r="K400" s="25">
        <f t="shared" si="264"/>
        <v>20282.026119384056</v>
      </c>
      <c r="L400" s="25"/>
      <c r="N400" s="25">
        <f>'Combined Retirement'!$C$18/12</f>
        <v>39153.069999999992</v>
      </c>
      <c r="O400" s="25">
        <f t="shared" si="265"/>
        <v>11007.82546143035</v>
      </c>
      <c r="P400" s="25">
        <f t="shared" si="266"/>
        <v>28145.244538569641</v>
      </c>
      <c r="Q400" s="25">
        <f t="array" aca="1" ref="Q400" ca="1">INDEX('Isaac 401k'!L:L,MATCH('Retirement Calculator'!A400,'Isaac 401k'!N:N,0),0)</f>
        <v>955866.99554033624</v>
      </c>
      <c r="R400" s="25">
        <f t="array" aca="1" ref="R400" ca="1">INDEX('Lorri 401b'!L:L,MATCH('Retirement Calculator'!A400,'Lorri 401b'!N:N,0),0)</f>
        <v>2505722.9743251479</v>
      </c>
      <c r="S400" s="25">
        <f t="shared" ca="1" si="267"/>
        <v>3461589.9698654842</v>
      </c>
    </row>
    <row r="401" spans="1:19" ht="15.75" customHeight="1" x14ac:dyDescent="0.3">
      <c r="A401" s="37">
        <v>63159</v>
      </c>
      <c r="B401" s="409">
        <f t="shared" ref="B401:C401" si="402">($A401-B$9)/365.25</f>
        <v>91.041752224503767</v>
      </c>
      <c r="C401" s="409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2192</v>
      </c>
      <c r="I401" s="25">
        <f>IF(C401&lt;62,0,'Combined Retirement'!$I$13)</f>
        <v>2420</v>
      </c>
      <c r="J401" s="25">
        <f t="shared" si="263"/>
        <v>7863.2184191855868</v>
      </c>
      <c r="K401" s="25">
        <f t="shared" si="264"/>
        <v>20282.026119384056</v>
      </c>
      <c r="L401" s="25"/>
      <c r="N401" s="25">
        <f>'Combined Retirement'!$C$18/12</f>
        <v>39153.069999999992</v>
      </c>
      <c r="O401" s="25">
        <f t="shared" si="265"/>
        <v>11007.82546143035</v>
      </c>
      <c r="P401" s="25">
        <f t="shared" si="266"/>
        <v>28145.244538569641</v>
      </c>
      <c r="Q401" s="25">
        <f t="array" aca="1" ref="Q401" ca="1">INDEX('Isaac 401k'!L:L,MATCH('Retirement Calculator'!A401,'Isaac 401k'!N:N,0),0)</f>
        <v>951953.79285915545</v>
      </c>
      <c r="R401" s="25">
        <f t="array" aca="1" ref="R401" ca="1">INDEX('Lorri 401b'!L:L,MATCH('Retirement Calculator'!A401,'Lorri 401b'!N:N,0),0)</f>
        <v>2495796.9521566215</v>
      </c>
      <c r="S401" s="25">
        <f t="shared" ca="1" si="267"/>
        <v>3447750.7450157767</v>
      </c>
    </row>
    <row r="402" spans="1:19" ht="15.75" customHeight="1" x14ac:dyDescent="0.3">
      <c r="A402" s="37">
        <v>63190</v>
      </c>
      <c r="B402" s="409">
        <f t="shared" ref="B402:C402" si="403">($A402-B$9)/365.25</f>
        <v>91.126625598904866</v>
      </c>
      <c r="C402" s="409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2192</v>
      </c>
      <c r="I402" s="25">
        <f>IF(C402&lt;62,0,'Combined Retirement'!$I$13)</f>
        <v>2420</v>
      </c>
      <c r="J402" s="25">
        <f t="shared" si="263"/>
        <v>7863.2184191855868</v>
      </c>
      <c r="K402" s="25">
        <f t="shared" si="264"/>
        <v>20282.026119384056</v>
      </c>
      <c r="L402" s="25"/>
      <c r="N402" s="25">
        <f>'Combined Retirement'!$C$18/12</f>
        <v>39153.069999999992</v>
      </c>
      <c r="O402" s="25">
        <f t="shared" si="265"/>
        <v>11007.82546143035</v>
      </c>
      <c r="P402" s="25">
        <f t="shared" si="266"/>
        <v>28145.244538569641</v>
      </c>
      <c r="Q402" s="25">
        <f t="array" aca="1" ref="Q402" ca="1">INDEX('Isaac 401k'!L:L,MATCH('Retirement Calculator'!A402,'Isaac 401k'!N:N,0),0)</f>
        <v>948024.28516680305</v>
      </c>
      <c r="R402" s="25">
        <f t="array" aca="1" ref="R402" ca="1">INDEX('Lorri 401b'!L:L,MATCH('Retirement Calculator'!A402,'Lorri 401b'!N:N,0),0)</f>
        <v>2485829.5715623926</v>
      </c>
      <c r="S402" s="25">
        <f t="shared" ca="1" si="267"/>
        <v>3433853.8567291955</v>
      </c>
    </row>
    <row r="403" spans="1:19" ht="15.75" customHeight="1" x14ac:dyDescent="0.3">
      <c r="A403" s="37">
        <v>63221</v>
      </c>
      <c r="B403" s="409">
        <f t="shared" ref="B403:C403" si="404">($A403-B$9)/365.25</f>
        <v>91.21149897330595</v>
      </c>
      <c r="C403" s="409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2192</v>
      </c>
      <c r="I403" s="25">
        <f>IF(C403&lt;62,0,'Combined Retirement'!$I$13)</f>
        <v>2420</v>
      </c>
      <c r="J403" s="25">
        <f t="shared" si="263"/>
        <v>7863.2184191855868</v>
      </c>
      <c r="K403" s="25">
        <f t="shared" si="264"/>
        <v>20282.026119384056</v>
      </c>
      <c r="L403" s="25"/>
      <c r="N403" s="25">
        <f>'Combined Retirement'!$C$18/12</f>
        <v>39153.069999999992</v>
      </c>
      <c r="O403" s="25">
        <f t="shared" si="265"/>
        <v>11007.82546143035</v>
      </c>
      <c r="P403" s="25">
        <f t="shared" si="266"/>
        <v>28145.244538569641</v>
      </c>
      <c r="Q403" s="25">
        <f t="array" aca="1" ref="Q403" ca="1">INDEX('Isaac 401k'!L:L,MATCH('Retirement Calculator'!A403,'Isaac 401k'!N:N,0),0)</f>
        <v>944078.40452573251</v>
      </c>
      <c r="R403" s="25">
        <f t="array" aca="1" ref="R403" ca="1">INDEX('Lorri 401b'!L:L,MATCH('Retirement Calculator'!A403,'Lorri 401b'!N:N,0),0)</f>
        <v>2475820.6602156879</v>
      </c>
      <c r="S403" s="25">
        <f t="shared" ca="1" si="267"/>
        <v>3419899.0647414206</v>
      </c>
    </row>
    <row r="404" spans="1:19" ht="15.75" customHeight="1" x14ac:dyDescent="0.3">
      <c r="A404" s="37">
        <v>63249</v>
      </c>
      <c r="B404" s="409">
        <f t="shared" ref="B404:C404" si="405">($A404-B$9)/365.25</f>
        <v>91.288158795345652</v>
      </c>
      <c r="C404" s="409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2192</v>
      </c>
      <c r="I404" s="25">
        <f>IF(C404&lt;62,0,'Combined Retirement'!$I$13)</f>
        <v>2420</v>
      </c>
      <c r="J404" s="25">
        <f t="shared" si="263"/>
        <v>7863.2184191855868</v>
      </c>
      <c r="K404" s="25">
        <f t="shared" si="264"/>
        <v>20282.026119384056</v>
      </c>
      <c r="L404" s="25"/>
      <c r="N404" s="25">
        <f>'Combined Retirement'!$C$18/12</f>
        <v>39153.069999999992</v>
      </c>
      <c r="O404" s="25">
        <f t="shared" si="265"/>
        <v>11007.82546143035</v>
      </c>
      <c r="P404" s="25">
        <f t="shared" si="266"/>
        <v>28145.244538569641</v>
      </c>
      <c r="Q404" s="25">
        <f t="array" aca="1" ref="Q404" ca="1">INDEX('Isaac 401k'!L:L,MATCH('Retirement Calculator'!A404,'Isaac 401k'!N:N,0),0)</f>
        <v>940116.08271532413</v>
      </c>
      <c r="R404" s="25">
        <f t="array" aca="1" ref="R404" ca="1">INDEX('Lorri 401b'!L:L,MATCH('Retirement Calculator'!A404,'Lorri 401b'!N:N,0),0)</f>
        <v>2465770.0450717052</v>
      </c>
      <c r="S404" s="25">
        <f t="shared" ca="1" si="267"/>
        <v>3405886.1277870294</v>
      </c>
    </row>
    <row r="405" spans="1:19" ht="15.75" customHeight="1" x14ac:dyDescent="0.3">
      <c r="A405" s="37">
        <v>63280</v>
      </c>
      <c r="B405" s="409">
        <f t="shared" ref="B405:C405" si="406">($A405-B$9)/365.25</f>
        <v>91.37303216974675</v>
      </c>
      <c r="C405" s="409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2192</v>
      </c>
      <c r="I405" s="25">
        <f>IF(C405&lt;62,0,'Combined Retirement'!$I$13)</f>
        <v>2420</v>
      </c>
      <c r="J405" s="25">
        <f t="shared" si="263"/>
        <v>7863.2184191855868</v>
      </c>
      <c r="K405" s="25">
        <f t="shared" si="264"/>
        <v>20282.026119384056</v>
      </c>
      <c r="L405" s="25"/>
      <c r="N405" s="25">
        <f>'Combined Retirement'!$C$18/12</f>
        <v>39153.069999999992</v>
      </c>
      <c r="O405" s="25">
        <f t="shared" si="265"/>
        <v>11007.82546143035</v>
      </c>
      <c r="P405" s="25">
        <f t="shared" si="266"/>
        <v>28145.244538569641</v>
      </c>
      <c r="Q405" s="25">
        <f t="array" aca="1" ref="Q405" ca="1">INDEX('Isaac 401k'!L:L,MATCH('Retirement Calculator'!A405,'Isaac 401k'!N:N,0),0)</f>
        <v>936137.25123070576</v>
      </c>
      <c r="R405" s="25">
        <f t="array" aca="1" ref="R405" ca="1">INDEX('Lorri 401b'!L:L,MATCH('Retirement Calculator'!A405,'Lorri 401b'!N:N,0),0)</f>
        <v>2455677.5523646227</v>
      </c>
      <c r="S405" s="25">
        <f t="shared" ca="1" si="267"/>
        <v>3391814.8035953287</v>
      </c>
    </row>
    <row r="406" spans="1:19" ht="15.75" customHeight="1" x14ac:dyDescent="0.3">
      <c r="A406" s="37">
        <v>63310</v>
      </c>
      <c r="B406" s="409">
        <f t="shared" ref="B406:C406" si="407">($A406-B$9)/365.25</f>
        <v>91.455167693360707</v>
      </c>
      <c r="C406" s="409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2192</v>
      </c>
      <c r="I406" s="25">
        <f>IF(C406&lt;62,0,'Combined Retirement'!$I$13)</f>
        <v>2420</v>
      </c>
      <c r="J406" s="25">
        <f t="shared" si="263"/>
        <v>7863.2184191855868</v>
      </c>
      <c r="K406" s="25">
        <f t="shared" si="264"/>
        <v>20282.026119384056</v>
      </c>
      <c r="L406" s="25"/>
      <c r="N406" s="25">
        <f>'Combined Retirement'!$C$18/12</f>
        <v>39153.069999999992</v>
      </c>
      <c r="O406" s="25">
        <f t="shared" si="265"/>
        <v>11007.82546143035</v>
      </c>
      <c r="P406" s="25">
        <f t="shared" si="266"/>
        <v>28145.244538569641</v>
      </c>
      <c r="Q406" s="25">
        <f t="array" aca="1" ref="Q406" ca="1">INDEX('Isaac 401k'!L:L,MATCH('Retirement Calculator'!A406,'Isaac 401k'!N:N,0),0)</f>
        <v>932141.84128156817</v>
      </c>
      <c r="R406" s="25">
        <f t="array" aca="1" ref="R406" ca="1">INDEX('Lorri 401b'!L:L,MATCH('Retirement Calculator'!A406,'Lorri 401b'!N:N,0),0)</f>
        <v>2445543.0076045939</v>
      </c>
      <c r="S406" s="25">
        <f t="shared" ca="1" si="267"/>
        <v>3377684.848886162</v>
      </c>
    </row>
    <row r="407" spans="1:19" ht="15.75" customHeight="1" x14ac:dyDescent="0.3">
      <c r="A407" s="37">
        <v>63341</v>
      </c>
      <c r="B407" s="409">
        <f t="shared" ref="B407:C407" si="408">($A407-B$9)/365.25</f>
        <v>91.540041067761805</v>
      </c>
      <c r="C407" s="409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2192</v>
      </c>
      <c r="I407" s="25">
        <f>IF(C407&lt;62,0,'Combined Retirement'!$I$13)</f>
        <v>2420</v>
      </c>
      <c r="J407" s="25">
        <f t="shared" si="263"/>
        <v>7863.2184191855868</v>
      </c>
      <c r="K407" s="25">
        <f t="shared" si="264"/>
        <v>20282.026119384056</v>
      </c>
      <c r="L407" s="25"/>
      <c r="N407" s="25">
        <f>'Combined Retirement'!$C$18/12</f>
        <v>39153.069999999992</v>
      </c>
      <c r="O407" s="25">
        <f t="shared" si="265"/>
        <v>11007.82546143035</v>
      </c>
      <c r="P407" s="25">
        <f t="shared" si="266"/>
        <v>28145.244538569641</v>
      </c>
      <c r="Q407" s="25">
        <f t="array" aca="1" ref="Q407" ca="1">INDEX('Isaac 401k'!L:L,MATCH('Retirement Calculator'!A407,'Isaac 401k'!N:N,0),0)</f>
        <v>928129.78379097581</v>
      </c>
      <c r="R407" s="25">
        <f t="array" aca="1" ref="R407" ca="1">INDEX('Lorri 401b'!L:L,MATCH('Retirement Calculator'!A407,'Lorri 401b'!N:N,0),0)</f>
        <v>2435366.2355747316</v>
      </c>
      <c r="S407" s="25">
        <f t="shared" ca="1" si="267"/>
        <v>3363496.0193657074</v>
      </c>
    </row>
    <row r="408" spans="1:19" ht="15.75" customHeight="1" x14ac:dyDescent="0.3">
      <c r="A408" s="37">
        <v>63371</v>
      </c>
      <c r="B408" s="409">
        <f t="shared" ref="B408:C408" si="409">($A408-B$9)/365.25</f>
        <v>91.622176591375776</v>
      </c>
      <c r="C408" s="409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2192</v>
      </c>
      <c r="I408" s="25">
        <f>IF(C408&lt;62,0,'Combined Retirement'!$I$13)</f>
        <v>2420</v>
      </c>
      <c r="J408" s="25">
        <f t="shared" si="263"/>
        <v>7863.2184191855868</v>
      </c>
      <c r="K408" s="25">
        <f t="shared" si="264"/>
        <v>20282.026119384056</v>
      </c>
      <c r="L408" s="25"/>
      <c r="N408" s="25">
        <f>'Combined Retirement'!$C$18/12</f>
        <v>39153.069999999992</v>
      </c>
      <c r="O408" s="25">
        <f t="shared" si="265"/>
        <v>11007.82546143035</v>
      </c>
      <c r="P408" s="25">
        <f t="shared" si="266"/>
        <v>28145.244538569641</v>
      </c>
      <c r="Q408" s="25">
        <f t="array" aca="1" ref="Q408" ca="1">INDEX('Isaac 401k'!L:L,MATCH('Retirement Calculator'!A408,'Isaac 401k'!N:N,0),0)</f>
        <v>924101.0093941727</v>
      </c>
      <c r="R408" s="25">
        <f t="array" aca="1" ref="R408" ca="1">INDEX('Lorri 401b'!L:L,MATCH('Retirement Calculator'!A408,'Lorri 401b'!N:N,0),0)</f>
        <v>2425147.0603280785</v>
      </c>
      <c r="S408" s="25">
        <f t="shared" ca="1" si="267"/>
        <v>3349248.069722251</v>
      </c>
    </row>
    <row r="409" spans="1:19" ht="15.75" customHeight="1" x14ac:dyDescent="0.3">
      <c r="A409" s="37">
        <v>63402</v>
      </c>
      <c r="B409" s="409">
        <f t="shared" ref="B409:C409" si="410">($A409-B$9)/365.25</f>
        <v>91.707049965776861</v>
      </c>
      <c r="C409" s="409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2192</v>
      </c>
      <c r="I409" s="25">
        <f>IF(C409&lt;62,0,'Combined Retirement'!$I$13)</f>
        <v>2420</v>
      </c>
      <c r="J409" s="25">
        <f t="shared" si="263"/>
        <v>7863.2184191855868</v>
      </c>
      <c r="K409" s="25">
        <f t="shared" si="264"/>
        <v>20282.026119384056</v>
      </c>
      <c r="L409" s="25"/>
      <c r="N409" s="25">
        <f>'Combined Retirement'!$C$18/12</f>
        <v>39153.069999999992</v>
      </c>
      <c r="O409" s="25">
        <f t="shared" si="265"/>
        <v>11007.82546143035</v>
      </c>
      <c r="P409" s="25">
        <f t="shared" si="266"/>
        <v>28145.244538569641</v>
      </c>
      <c r="Q409" s="25">
        <f t="array" aca="1" ref="Q409" ca="1">INDEX('Isaac 401k'!L:L,MATCH('Retirement Calculator'!A409,'Isaac 401k'!N:N,0),0)</f>
        <v>920055.44843738282</v>
      </c>
      <c r="R409" s="25">
        <f t="array" aca="1" ref="R409" ca="1">INDEX('Lorri 401b'!L:L,MATCH('Retirement Calculator'!A409,'Lorri 401b'!N:N,0),0)</f>
        <v>2414885.3051845641</v>
      </c>
      <c r="S409" s="25">
        <f t="shared" ca="1" si="267"/>
        <v>3334940.753621947</v>
      </c>
    </row>
    <row r="410" spans="1:19" ht="15.75" customHeight="1" x14ac:dyDescent="0.3">
      <c r="A410" s="37">
        <v>63433</v>
      </c>
      <c r="B410" s="409">
        <f t="shared" ref="B410:C410" si="411">($A410-B$9)/365.25</f>
        <v>91.791923340177959</v>
      </c>
      <c r="C410" s="409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2192</v>
      </c>
      <c r="I410" s="25">
        <f>IF(C410&lt;62,0,'Combined Retirement'!$I$13)</f>
        <v>2420</v>
      </c>
      <c r="J410" s="25">
        <f t="shared" si="263"/>
        <v>7863.2184191855868</v>
      </c>
      <c r="K410" s="25">
        <f t="shared" si="264"/>
        <v>20282.026119384056</v>
      </c>
      <c r="L410" s="25"/>
      <c r="N410" s="25">
        <f>'Combined Retirement'!$C$18/12</f>
        <v>39153.069999999992</v>
      </c>
      <c r="O410" s="25">
        <f t="shared" si="265"/>
        <v>11007.82546143035</v>
      </c>
      <c r="P410" s="25">
        <f t="shared" si="266"/>
        <v>28145.244538569641</v>
      </c>
      <c r="Q410" s="25">
        <f t="array" aca="1" ref="Q410" ca="1">INDEX('Isaac 401k'!L:L,MATCH('Retirement Calculator'!A410,'Isaac 401k'!N:N,0),0)</f>
        <v>915993.03097660642</v>
      </c>
      <c r="R410" s="25">
        <f t="array" aca="1" ref="R410" ca="1">INDEX('Lorri 401b'!L:L,MATCH('Retirement Calculator'!A410,'Lorri 401b'!N:N,0),0)</f>
        <v>2404580.7927279519</v>
      </c>
      <c r="S410" s="25">
        <f t="shared" ca="1" si="267"/>
        <v>3320573.8237045584</v>
      </c>
    </row>
    <row r="411" spans="1:19" ht="15.75" customHeight="1" x14ac:dyDescent="0.3">
      <c r="A411" s="37">
        <v>63463</v>
      </c>
      <c r="B411" s="409">
        <f t="shared" ref="B411:C411" si="412">($A411-B$9)/365.25</f>
        <v>91.87405886379193</v>
      </c>
      <c r="C411" s="409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2192</v>
      </c>
      <c r="I411" s="25">
        <f>IF(C411&lt;62,0,'Combined Retirement'!$I$13)</f>
        <v>2420</v>
      </c>
      <c r="J411" s="25">
        <f t="shared" si="263"/>
        <v>7863.2184191855868</v>
      </c>
      <c r="K411" s="25">
        <f t="shared" si="264"/>
        <v>20282.026119384056</v>
      </c>
      <c r="L411" s="25"/>
      <c r="N411" s="25">
        <f>'Combined Retirement'!$C$18/12</f>
        <v>39153.069999999992</v>
      </c>
      <c r="O411" s="25">
        <f t="shared" si="265"/>
        <v>11007.82546143035</v>
      </c>
      <c r="P411" s="25">
        <f t="shared" si="266"/>
        <v>28145.244538569641</v>
      </c>
      <c r="Q411" s="25">
        <f t="array" aca="1" ref="Q411" ca="1">INDEX('Isaac 401k'!L:L,MATCH('Retirement Calculator'!A411,'Isaac 401k'!N:N,0),0)</f>
        <v>911913.68677641009</v>
      </c>
      <c r="R411" s="25">
        <f t="array" aca="1" ref="R411" ca="1">INDEX('Lorri 401b'!L:L,MATCH('Retirement Calculator'!A411,'Lorri 401b'!N:N,0),0)</f>
        <v>2394233.3448027703</v>
      </c>
      <c r="S411" s="25">
        <f t="shared" ca="1" si="267"/>
        <v>3306147.0315791806</v>
      </c>
    </row>
    <row r="412" spans="1:19" ht="15.75" customHeight="1" x14ac:dyDescent="0.3">
      <c r="A412" s="37">
        <v>63494</v>
      </c>
      <c r="B412" s="409">
        <f t="shared" ref="B412:C412" si="413">($A412-B$9)/365.25</f>
        <v>91.958932238193015</v>
      </c>
      <c r="C412" s="409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2192</v>
      </c>
      <c r="I412" s="25">
        <f>IF(C412&lt;62,0,'Combined Retirement'!$I$13)</f>
        <v>2420</v>
      </c>
      <c r="J412" s="25">
        <f t="shared" si="263"/>
        <v>7863.2184191855868</v>
      </c>
      <c r="K412" s="25">
        <f t="shared" si="264"/>
        <v>20282.026119384056</v>
      </c>
      <c r="L412" s="25"/>
      <c r="N412" s="25">
        <f>'Combined Retirement'!$C$18/12</f>
        <v>39153.069999999992</v>
      </c>
      <c r="O412" s="25">
        <f t="shared" si="265"/>
        <v>11007.82546143035</v>
      </c>
      <c r="P412" s="25">
        <f t="shared" si="266"/>
        <v>28145.244538569641</v>
      </c>
      <c r="Q412" s="25">
        <f t="array" aca="1" ref="Q412" ca="1">INDEX('Isaac 401k'!L:L,MATCH('Retirement Calculator'!A412,'Isaac 401k'!N:N,0),0)</f>
        <v>907817.34530871292</v>
      </c>
      <c r="R412" s="25">
        <f t="array" aca="1" ref="R412" ca="1">INDEX('Lorri 401b'!L:L,MATCH('Retirement Calculator'!A412,'Lorri 401b'!N:N,0),0)</f>
        <v>2383842.7825112338</v>
      </c>
      <c r="S412" s="25">
        <f t="shared" ca="1" si="267"/>
        <v>3291660.127819947</v>
      </c>
    </row>
    <row r="413" spans="1:19" ht="15.75" customHeight="1" x14ac:dyDescent="0.3">
      <c r="A413" s="37">
        <v>63524</v>
      </c>
      <c r="B413" s="409">
        <f t="shared" ref="B413:C413" si="414">($A413-B$9)/365.25</f>
        <v>92.041067761806985</v>
      </c>
      <c r="C413" s="409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2192</v>
      </c>
      <c r="I413" s="25">
        <f>IF(C413&lt;62,0,'Combined Retirement'!$I$13)</f>
        <v>2420</v>
      </c>
      <c r="J413" s="25">
        <f t="shared" si="263"/>
        <v>7863.2184191855868</v>
      </c>
      <c r="K413" s="25">
        <f t="shared" si="264"/>
        <v>20282.026119384056</v>
      </c>
      <c r="L413" s="25"/>
      <c r="N413" s="25">
        <f>'Combined Retirement'!$C$18/12</f>
        <v>39153.069999999992</v>
      </c>
      <c r="O413" s="25">
        <f t="shared" si="265"/>
        <v>11007.82546143035</v>
      </c>
      <c r="P413" s="25">
        <f t="shared" si="266"/>
        <v>28145.244538569641</v>
      </c>
      <c r="Q413" s="25">
        <f t="array" aca="1" ref="Q413" ca="1">INDEX('Isaac 401k'!L:L,MATCH('Retirement Calculator'!A413,'Isaac 401k'!N:N,0),0)</f>
        <v>903703.93575156701</v>
      </c>
      <c r="R413" s="25">
        <f t="array" aca="1" ref="R413" ca="1">INDEX('Lorri 401b'!L:L,MATCH('Retirement Calculator'!A413,'Lorri 401b'!N:N,0),0)</f>
        <v>2373408.9262101492</v>
      </c>
      <c r="S413" s="25">
        <f t="shared" ca="1" si="267"/>
        <v>3277112.8619617163</v>
      </c>
    </row>
    <row r="414" spans="1:19" ht="15.75" customHeight="1" x14ac:dyDescent="0.3">
      <c r="A414" s="37">
        <v>63555</v>
      </c>
      <c r="B414" s="409">
        <f t="shared" ref="B414:C414" si="415">($A414-B$9)/365.25</f>
        <v>92.12594113620807</v>
      </c>
      <c r="C414" s="409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2192</v>
      </c>
      <c r="I414" s="25">
        <f>IF(C414&lt;62,0,'Combined Retirement'!$I$13)</f>
        <v>2420</v>
      </c>
      <c r="J414" s="25">
        <f t="shared" si="263"/>
        <v>7863.2184191855868</v>
      </c>
      <c r="K414" s="25">
        <f t="shared" si="264"/>
        <v>20282.026119384056</v>
      </c>
      <c r="L414" s="25"/>
      <c r="N414" s="25">
        <f>'Combined Retirement'!$C$18/12</f>
        <v>39153.069999999992</v>
      </c>
      <c r="O414" s="25">
        <f t="shared" si="265"/>
        <v>11007.82546143035</v>
      </c>
      <c r="P414" s="25">
        <f t="shared" si="266"/>
        <v>28145.244538569641</v>
      </c>
      <c r="Q414" s="25">
        <f t="array" aca="1" ref="Q414" ca="1">INDEX('Isaac 401k'!L:L,MATCH('Retirement Calculator'!A414,'Isaac 401k'!N:N,0),0)</f>
        <v>899573.38698793296</v>
      </c>
      <c r="R414" s="25">
        <f t="array" aca="1" ref="R414" ca="1">INDEX('Lorri 401b'!L:L,MATCH('Retirement Calculator'!A414,'Lorri 401b'!N:N,0),0)</f>
        <v>2362931.5955078099</v>
      </c>
      <c r="S414" s="25">
        <f t="shared" ca="1" si="267"/>
        <v>3262504.9824957429</v>
      </c>
    </row>
    <row r="415" spans="1:19" ht="15.75" customHeight="1" x14ac:dyDescent="0.3">
      <c r="A415" s="37">
        <v>63586</v>
      </c>
      <c r="B415" s="409">
        <f t="shared" ref="B415:C415" si="416">($A415-B$9)/365.25</f>
        <v>92.210814510609168</v>
      </c>
      <c r="C415" s="409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2192</v>
      </c>
      <c r="I415" s="25">
        <f>IF(C415&lt;62,0,'Combined Retirement'!$I$13)</f>
        <v>2420</v>
      </c>
      <c r="J415" s="25">
        <f t="shared" si="263"/>
        <v>7863.2184191855868</v>
      </c>
      <c r="K415" s="25">
        <f t="shared" si="264"/>
        <v>20282.026119384056</v>
      </c>
      <c r="L415" s="25"/>
      <c r="N415" s="25">
        <f>'Combined Retirement'!$C$18/12</f>
        <v>39153.069999999992</v>
      </c>
      <c r="O415" s="25">
        <f t="shared" si="265"/>
        <v>11007.82546143035</v>
      </c>
      <c r="P415" s="25">
        <f t="shared" si="266"/>
        <v>28145.244538569641</v>
      </c>
      <c r="Q415" s="25">
        <f t="array" aca="1" ref="Q415" ca="1">INDEX('Isaac 401k'!L:L,MATCH('Retirement Calculator'!A415,'Isaac 401k'!N:N,0),0)</f>
        <v>895425.62760445045</v>
      </c>
      <c r="R415" s="25">
        <f t="array" aca="1" ref="R415" ca="1">INDEX('Lorri 401b'!L:L,MATCH('Retirement Calculator'!A415,'Lorri 401b'!N:N,0),0)</f>
        <v>2352410.6092608776</v>
      </c>
      <c r="S415" s="25">
        <f t="shared" ca="1" si="267"/>
        <v>3247836.2368653282</v>
      </c>
    </row>
    <row r="416" spans="1:19" ht="15.75" customHeight="1" x14ac:dyDescent="0.3">
      <c r="A416" s="37">
        <v>63614</v>
      </c>
      <c r="B416" s="409">
        <f t="shared" ref="B416:C416" si="417">($A416-B$9)/365.25</f>
        <v>92.28747433264887</v>
      </c>
      <c r="C416" s="409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2192</v>
      </c>
      <c r="I416" s="25">
        <f>IF(C416&lt;62,0,'Combined Retirement'!$I$13)</f>
        <v>2420</v>
      </c>
      <c r="J416" s="25">
        <f t="shared" si="263"/>
        <v>7863.2184191855868</v>
      </c>
      <c r="K416" s="25">
        <f t="shared" si="264"/>
        <v>20282.026119384056</v>
      </c>
      <c r="L416" s="25"/>
      <c r="N416" s="25">
        <f>'Combined Retirement'!$C$18/12</f>
        <v>39153.069999999992</v>
      </c>
      <c r="O416" s="25">
        <f t="shared" si="265"/>
        <v>11007.82546143035</v>
      </c>
      <c r="P416" s="25">
        <f t="shared" si="266"/>
        <v>28145.244538569641</v>
      </c>
      <c r="Q416" s="25">
        <f t="array" aca="1" ref="Q416" ca="1">INDEX('Isaac 401k'!L:L,MATCH('Retirement Calculator'!A416,'Isaac 401k'!N:N,0),0)</f>
        <v>891260.58589020348</v>
      </c>
      <c r="R416" s="25">
        <f t="array" aca="1" ref="R416" ca="1">INDEX('Lorri 401b'!L:L,MATCH('Retirement Calculator'!A416,'Lorri 401b'!N:N,0),0)</f>
        <v>2341845.7855712497</v>
      </c>
      <c r="S416" s="25">
        <f t="shared" ca="1" si="267"/>
        <v>3233106.3714614529</v>
      </c>
    </row>
    <row r="417" spans="1:19" ht="15.75" customHeight="1" x14ac:dyDescent="0.3">
      <c r="A417" s="37">
        <v>63645</v>
      </c>
      <c r="B417" s="409">
        <f t="shared" ref="B417:C417" si="418">($A417-B$9)/365.25</f>
        <v>92.372347707049968</v>
      </c>
      <c r="C417" s="409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2192</v>
      </c>
      <c r="I417" s="25">
        <f>IF(C417&lt;62,0,'Combined Retirement'!$I$13)</f>
        <v>2420</v>
      </c>
      <c r="J417" s="25">
        <f t="shared" si="263"/>
        <v>7863.2184191855868</v>
      </c>
      <c r="K417" s="25">
        <f t="shared" si="264"/>
        <v>20282.026119384056</v>
      </c>
      <c r="L417" s="25"/>
      <c r="N417" s="25">
        <f>'Combined Retirement'!$C$18/12</f>
        <v>39153.069999999992</v>
      </c>
      <c r="O417" s="25">
        <f t="shared" si="265"/>
        <v>11007.82546143035</v>
      </c>
      <c r="P417" s="25">
        <f t="shared" si="266"/>
        <v>28145.244538569641</v>
      </c>
      <c r="Q417" s="25">
        <f t="array" aca="1" ref="Q417" ca="1">INDEX('Isaac 401k'!L:L,MATCH('Retirement Calculator'!A417,'Isaac 401k'!N:N,0),0)</f>
        <v>887078.18983548041</v>
      </c>
      <c r="R417" s="25">
        <f t="array" aca="1" ref="R417" ca="1">INDEX('Lorri 401b'!L:L,MATCH('Retirement Calculator'!A417,'Lorri 401b'!N:N,0),0)</f>
        <v>2331236.941782915</v>
      </c>
      <c r="S417" s="25">
        <f t="shared" ca="1" si="267"/>
        <v>3218315.1316183954</v>
      </c>
    </row>
    <row r="418" spans="1:19" ht="15.75" customHeight="1" x14ac:dyDescent="0.3">
      <c r="A418" s="37">
        <v>63675</v>
      </c>
      <c r="B418" s="409">
        <f t="shared" ref="B418:C418" si="419">($A418-B$9)/365.25</f>
        <v>92.454483230663925</v>
      </c>
      <c r="C418" s="409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2192</v>
      </c>
      <c r="I418" s="25">
        <f>IF(C418&lt;62,0,'Combined Retirement'!$I$13)</f>
        <v>2420</v>
      </c>
      <c r="J418" s="25">
        <f t="shared" si="263"/>
        <v>7863.2184191855868</v>
      </c>
      <c r="K418" s="25">
        <f t="shared" si="264"/>
        <v>20282.026119384056</v>
      </c>
      <c r="L418" s="25"/>
      <c r="N418" s="25">
        <f>'Combined Retirement'!$C$18/12</f>
        <v>39153.069999999992</v>
      </c>
      <c r="O418" s="25">
        <f t="shared" si="265"/>
        <v>11007.82546143035</v>
      </c>
      <c r="P418" s="25">
        <f t="shared" si="266"/>
        <v>28145.244538569641</v>
      </c>
      <c r="Q418" s="25">
        <f t="array" aca="1" ref="Q418" ca="1">INDEX('Isaac 401k'!L:L,MATCH('Retirement Calculator'!A418,'Isaac 401k'!N:N,0),0)</f>
        <v>882878.36713052937</v>
      </c>
      <c r="R418" s="25">
        <f t="array" aca="1" ref="R418" ca="1">INDEX('Lorri 401b'!L:L,MATCH('Retirement Calculator'!A418,'Lorri 401b'!N:N,0),0)</f>
        <v>2320583.8944787956</v>
      </c>
      <c r="S418" s="25">
        <f t="shared" ca="1" si="267"/>
        <v>3203462.2616093252</v>
      </c>
    </row>
    <row r="419" spans="1:19" ht="15.75" customHeight="1" x14ac:dyDescent="0.3">
      <c r="A419" s="37">
        <v>63706</v>
      </c>
      <c r="B419" s="409">
        <f t="shared" ref="B419:C419" si="420">($A419-B$9)/365.25</f>
        <v>92.539356605065024</v>
      </c>
      <c r="C419" s="409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2192</v>
      </c>
      <c r="I419" s="25">
        <f>IF(C419&lt;62,0,'Combined Retirement'!$I$13)</f>
        <v>2420</v>
      </c>
      <c r="J419" s="25">
        <f t="shared" si="263"/>
        <v>7863.2184191855868</v>
      </c>
      <c r="K419" s="25">
        <f t="shared" si="264"/>
        <v>20282.026119384056</v>
      </c>
      <c r="L419" s="25"/>
      <c r="N419" s="25">
        <f>'Combined Retirement'!$C$18/12</f>
        <v>39153.069999999992</v>
      </c>
      <c r="O419" s="25">
        <f t="shared" si="265"/>
        <v>11007.82546143035</v>
      </c>
      <c r="P419" s="25">
        <f t="shared" si="266"/>
        <v>28145.244538569641</v>
      </c>
      <c r="Q419" s="25">
        <f t="array" aca="1" ref="Q419" ca="1">INDEX('Isaac 401k'!L:L,MATCH('Retirement Calculator'!A419,'Isaac 401k'!N:N,0),0)</f>
        <v>878661.0451643077</v>
      </c>
      <c r="R419" s="25">
        <f t="array" aca="1" ref="R419" ca="1">INDEX('Lorri 401b'!L:L,MATCH('Retirement Calculator'!A419,'Lorri 401b'!N:N,0),0)</f>
        <v>2309886.459477576</v>
      </c>
      <c r="S419" s="25">
        <f t="shared" ca="1" si="267"/>
        <v>3188547.5046418835</v>
      </c>
    </row>
    <row r="420" spans="1:19" ht="15.75" customHeight="1" x14ac:dyDescent="0.3">
      <c r="A420" s="37">
        <v>63736</v>
      </c>
      <c r="B420" s="409">
        <f t="shared" ref="B420:C420" si="421">($A420-B$9)/365.25</f>
        <v>92.62149212867898</v>
      </c>
      <c r="C420" s="409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2192</v>
      </c>
      <c r="I420" s="25">
        <f>IF(C420&lt;62,0,'Combined Retirement'!$I$13)</f>
        <v>2420</v>
      </c>
      <c r="J420" s="25">
        <f t="shared" si="263"/>
        <v>7863.2184191855868</v>
      </c>
      <c r="K420" s="25">
        <f t="shared" si="264"/>
        <v>20282.026119384056</v>
      </c>
      <c r="L420" s="25"/>
      <c r="N420" s="25">
        <f>'Combined Retirement'!$C$18/12</f>
        <v>39153.069999999992</v>
      </c>
      <c r="O420" s="25">
        <f t="shared" si="265"/>
        <v>11007.82546143035</v>
      </c>
      <c r="P420" s="25">
        <f t="shared" si="266"/>
        <v>28145.244538569641</v>
      </c>
      <c r="Q420" s="25">
        <f t="array" aca="1" ref="Q420" ca="1">INDEX('Isaac 401k'!L:L,MATCH('Retirement Calculator'!A420,'Isaac 401k'!N:N,0),0)</f>
        <v>874426.15102322679</v>
      </c>
      <c r="R420" s="25">
        <f t="array" aca="1" ref="R420" ca="1">INDEX('Lorri 401b'!L:L,MATCH('Retirement Calculator'!A420,'Lorri 401b'!N:N,0),0)</f>
        <v>2299144.451830518</v>
      </c>
      <c r="S420" s="25">
        <f t="shared" ca="1" si="267"/>
        <v>3173570.6028537448</v>
      </c>
    </row>
    <row r="421" spans="1:19" ht="15.75" customHeight="1" x14ac:dyDescent="0.3">
      <c r="A421" s="37">
        <v>63767</v>
      </c>
      <c r="B421" s="409">
        <f t="shared" ref="B421:C421" si="422">($A421-B$9)/365.25</f>
        <v>92.706365503080079</v>
      </c>
      <c r="C421" s="409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2192</v>
      </c>
      <c r="I421" s="25">
        <f>IF(C421&lt;62,0,'Combined Retirement'!$I$13)</f>
        <v>2420</v>
      </c>
      <c r="J421" s="25">
        <f t="shared" si="263"/>
        <v>7863.2184191855868</v>
      </c>
      <c r="K421" s="25">
        <f t="shared" si="264"/>
        <v>20282.026119384056</v>
      </c>
      <c r="L421" s="25"/>
      <c r="N421" s="25">
        <f>'Combined Retirement'!$C$18/12</f>
        <v>39153.069999999992</v>
      </c>
      <c r="O421" s="25">
        <f t="shared" si="265"/>
        <v>11007.82546143035</v>
      </c>
      <c r="P421" s="25">
        <f t="shared" si="266"/>
        <v>28145.244538569641</v>
      </c>
      <c r="Q421" s="25">
        <f t="array" aca="1" ref="Q421" ca="1">INDEX('Isaac 401k'!L:L,MATCH('Retirement Calculator'!A421,'Isaac 401k'!N:N,0),0)</f>
        <v>870173.61148989131</v>
      </c>
      <c r="R421" s="25">
        <f t="array" aca="1" ref="R421" ca="1">INDEX('Lorri 401b'!L:L,MATCH('Retirement Calculator'!A421,'Lorri 401b'!N:N,0),0)</f>
        <v>2288357.6858182638</v>
      </c>
      <c r="S421" s="25">
        <f t="shared" ca="1" si="267"/>
        <v>3158531.2973081553</v>
      </c>
    </row>
    <row r="422" spans="1:19" ht="15.75" customHeight="1" x14ac:dyDescent="0.3">
      <c r="A422" s="37">
        <v>63798</v>
      </c>
      <c r="B422" s="409">
        <f t="shared" ref="B422:C422" si="423">($A422-B$9)/365.25</f>
        <v>92.791238877481177</v>
      </c>
      <c r="C422" s="409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2192</v>
      </c>
      <c r="I422" s="25">
        <f>IF(C422&lt;62,0,'Combined Retirement'!$I$13)</f>
        <v>2420</v>
      </c>
      <c r="J422" s="25">
        <f t="shared" si="263"/>
        <v>7863.2184191855868</v>
      </c>
      <c r="K422" s="25">
        <f t="shared" si="264"/>
        <v>20282.026119384056</v>
      </c>
      <c r="L422" s="25"/>
      <c r="N422" s="25">
        <f>'Combined Retirement'!$C$18/12</f>
        <v>39153.069999999992</v>
      </c>
      <c r="O422" s="25">
        <f t="shared" si="265"/>
        <v>11007.82546143035</v>
      </c>
      <c r="P422" s="25">
        <f t="shared" si="266"/>
        <v>28145.244538569641</v>
      </c>
      <c r="Q422" s="25">
        <f t="array" aca="1" ref="Q422" ca="1">INDEX('Isaac 401k'!L:L,MATCH('Retirement Calculator'!A422,'Isaac 401k'!N:N,0),0)</f>
        <v>865903.35304183362</v>
      </c>
      <c r="R422" s="25">
        <f t="array" aca="1" ref="R422" ca="1">INDEX('Lorri 401b'!L:L,MATCH('Retirement Calculator'!A422,'Lorri 401b'!N:N,0),0)</f>
        <v>2277525.9749476253</v>
      </c>
      <c r="S422" s="25">
        <f t="shared" ca="1" si="267"/>
        <v>3143429.327989459</v>
      </c>
    </row>
    <row r="423" spans="1:19" ht="15.75" customHeight="1" x14ac:dyDescent="0.3">
      <c r="A423" s="37">
        <v>63828</v>
      </c>
      <c r="B423" s="409">
        <f t="shared" ref="B423:C423" si="424">($A423-B$9)/365.25</f>
        <v>92.873374401095134</v>
      </c>
      <c r="C423" s="409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2192</v>
      </c>
      <c r="I423" s="25">
        <f>IF(C423&lt;62,0,'Combined Retirement'!$I$13)</f>
        <v>2420</v>
      </c>
      <c r="J423" s="25">
        <f t="shared" si="263"/>
        <v>7863.2184191855868</v>
      </c>
      <c r="K423" s="25">
        <f t="shared" si="264"/>
        <v>20282.026119384056</v>
      </c>
      <c r="L423" s="25"/>
      <c r="N423" s="25">
        <f>'Combined Retirement'!$C$18/12</f>
        <v>39153.069999999992</v>
      </c>
      <c r="O423" s="25">
        <f t="shared" si="265"/>
        <v>11007.82546143035</v>
      </c>
      <c r="P423" s="25">
        <f t="shared" si="266"/>
        <v>28145.244538569641</v>
      </c>
      <c r="Q423" s="25">
        <f t="array" aca="1" ref="Q423" ca="1">INDEX('Isaac 401k'!L:L,MATCH('Retirement Calculator'!A423,'Isaac 401k'!N:N,0),0)</f>
        <v>861615.30185024242</v>
      </c>
      <c r="R423" s="25">
        <f t="array" aca="1" ref="R423" ca="1">INDEX('Lorri 401b'!L:L,MATCH('Retirement Calculator'!A423,'Lorri 401b'!N:N,0),0)</f>
        <v>2266649.1319483588</v>
      </c>
      <c r="S423" s="25">
        <f t="shared" ca="1" si="267"/>
        <v>3128264.4337986014</v>
      </c>
    </row>
    <row r="424" spans="1:19" ht="15.75" customHeight="1" x14ac:dyDescent="0.3">
      <c r="A424" s="37">
        <v>63859</v>
      </c>
      <c r="B424" s="409">
        <f t="shared" ref="B424:C424" si="425">($A424-B$9)/365.25</f>
        <v>92.958247775496233</v>
      </c>
      <c r="C424" s="409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2192</v>
      </c>
      <c r="I424" s="25">
        <f>IF(C424&lt;62,0,'Combined Retirement'!$I$13)</f>
        <v>2420</v>
      </c>
      <c r="J424" s="25">
        <f t="shared" si="263"/>
        <v>7863.2184191855868</v>
      </c>
      <c r="K424" s="25">
        <f t="shared" si="264"/>
        <v>20282.026119384056</v>
      </c>
      <c r="L424" s="25"/>
      <c r="N424" s="25">
        <f>'Combined Retirement'!$C$18/12</f>
        <v>39153.069999999992</v>
      </c>
      <c r="O424" s="25">
        <f t="shared" si="265"/>
        <v>11007.82546143035</v>
      </c>
      <c r="P424" s="25">
        <f t="shared" si="266"/>
        <v>28145.244538569641</v>
      </c>
      <c r="Q424" s="25">
        <f t="array" aca="1" ref="Q424" ca="1">INDEX('Isaac 401k'!L:L,MATCH('Retirement Calculator'!A424,'Isaac 401k'!N:N,0),0)</f>
        <v>857309.38377868617</v>
      </c>
      <c r="R424" s="25">
        <f t="array" aca="1" ref="R424" ca="1">INDEX('Lorri 401b'!L:L,MATCH('Retirement Calculator'!A424,'Lorri 401b'!N:N,0),0)</f>
        <v>2255726.9687699289</v>
      </c>
      <c r="S424" s="25">
        <f t="shared" ca="1" si="267"/>
        <v>3113036.3525486151</v>
      </c>
    </row>
    <row r="425" spans="1:19" ht="15.75" customHeight="1" x14ac:dyDescent="0.3">
      <c r="A425" s="37">
        <v>63889</v>
      </c>
      <c r="B425" s="409">
        <f t="shared" ref="B425:C425" si="426">($A425-B$9)/365.25</f>
        <v>93.040383299110204</v>
      </c>
      <c r="C425" s="409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2192</v>
      </c>
      <c r="I425" s="25">
        <f>IF(C425&lt;62,0,'Combined Retirement'!$I$13)</f>
        <v>2420</v>
      </c>
      <c r="J425" s="25">
        <f t="shared" si="263"/>
        <v>7863.2184191855868</v>
      </c>
      <c r="K425" s="25">
        <f t="shared" si="264"/>
        <v>20282.026119384056</v>
      </c>
      <c r="L425" s="25"/>
      <c r="N425" s="25">
        <f>'Combined Retirement'!$C$18/12</f>
        <v>39153.069999999992</v>
      </c>
      <c r="O425" s="25">
        <f t="shared" si="265"/>
        <v>11007.82546143035</v>
      </c>
      <c r="P425" s="25">
        <f t="shared" si="266"/>
        <v>28145.244538569641</v>
      </c>
      <c r="Q425" s="25">
        <f t="array" aca="1" ref="Q425" ca="1">INDEX('Isaac 401k'!L:L,MATCH('Retirement Calculator'!A425,'Isaac 401k'!N:N,0),0)</f>
        <v>852985.52438183187</v>
      </c>
      <c r="R425" s="25">
        <f t="array" aca="1" ref="R425" ca="1">INDEX('Lorri 401b'!L:L,MATCH('Retirement Calculator'!A425,'Lorri 401b'!N:N,0),0)</f>
        <v>2244759.2965782555</v>
      </c>
      <c r="S425" s="25">
        <f t="shared" ca="1" si="267"/>
        <v>3097744.8209600872</v>
      </c>
    </row>
    <row r="426" spans="1:19" ht="15.75" customHeight="1" x14ac:dyDescent="0.3">
      <c r="A426" s="37">
        <v>63920</v>
      </c>
      <c r="B426" s="409">
        <f t="shared" ref="B426:C426" si="427">($A426-B$9)/365.25</f>
        <v>93.125256673511288</v>
      </c>
      <c r="C426" s="409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2192</v>
      </c>
      <c r="I426" s="25">
        <f>IF(C426&lt;62,0,'Combined Retirement'!$I$13)</f>
        <v>2420</v>
      </c>
      <c r="J426" s="25">
        <f t="shared" si="263"/>
        <v>7863.2184191855868</v>
      </c>
      <c r="K426" s="25">
        <f t="shared" si="264"/>
        <v>20282.026119384056</v>
      </c>
      <c r="L426" s="25"/>
      <c r="N426" s="25">
        <f>'Combined Retirement'!$C$18/12</f>
        <v>39153.069999999992</v>
      </c>
      <c r="O426" s="25">
        <f t="shared" si="265"/>
        <v>11007.82546143035</v>
      </c>
      <c r="P426" s="25">
        <f t="shared" si="266"/>
        <v>28145.244538569641</v>
      </c>
      <c r="Q426" s="25">
        <f t="array" aca="1" ref="Q426" ca="1">INDEX('Isaac 401k'!L:L,MATCH('Retirement Calculator'!A426,'Isaac 401k'!N:N,0),0)</f>
        <v>848643.64890415734</v>
      </c>
      <c r="R426" s="25">
        <f t="array" aca="1" ref="R426" ca="1">INDEX('Lorri 401b'!L:L,MATCH('Retirement Calculator'!A426,'Lorri 401b'!N:N,0),0)</f>
        <v>2233745.9257524502</v>
      </c>
      <c r="S426" s="25">
        <f t="shared" ca="1" si="267"/>
        <v>3082389.5746566076</v>
      </c>
    </row>
    <row r="427" spans="1:19" ht="15.75" customHeight="1" x14ac:dyDescent="0.3">
      <c r="A427" s="37">
        <v>63951</v>
      </c>
      <c r="B427" s="409">
        <f t="shared" ref="B427:C427" si="428">($A427-B$9)/365.25</f>
        <v>93.210130047912386</v>
      </c>
      <c r="C427" s="409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2192</v>
      </c>
      <c r="I427" s="25">
        <f>IF(C427&lt;62,0,'Combined Retirement'!$I$13)</f>
        <v>2420</v>
      </c>
      <c r="J427" s="25">
        <f t="shared" si="263"/>
        <v>7863.2184191855868</v>
      </c>
      <c r="K427" s="25">
        <f t="shared" si="264"/>
        <v>20282.026119384056</v>
      </c>
      <c r="L427" s="25"/>
      <c r="N427" s="25">
        <f>'Combined Retirement'!$C$18/12</f>
        <v>39153.069999999992</v>
      </c>
      <c r="O427" s="25">
        <f t="shared" si="265"/>
        <v>11007.82546143035</v>
      </c>
      <c r="P427" s="25">
        <f t="shared" si="266"/>
        <v>28145.244538569641</v>
      </c>
      <c r="Q427" s="25">
        <f t="array" aca="1" ref="Q427" ca="1">INDEX('Isaac 401k'!L:L,MATCH('Retirement Calculator'!A427,'Isaac 401k'!N:N,0),0)</f>
        <v>844283.68227865908</v>
      </c>
      <c r="R427" s="25">
        <f t="array" aca="1" ref="R427" ca="1">INDEX('Lorri 401b'!L:L,MATCH('Retirement Calculator'!A427,'Lorri 401b'!N:N,0),0)</f>
        <v>2222686.6658815374</v>
      </c>
      <c r="S427" s="25">
        <f t="shared" ca="1" si="267"/>
        <v>3066970.3481601966</v>
      </c>
    </row>
    <row r="428" spans="1:19" ht="15.75" customHeight="1" x14ac:dyDescent="0.3">
      <c r="A428" s="37">
        <v>63979</v>
      </c>
      <c r="B428" s="409">
        <f t="shared" ref="B428:C428" si="429">($A428-B$9)/365.25</f>
        <v>93.286789869952088</v>
      </c>
      <c r="C428" s="409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2192</v>
      </c>
      <c r="I428" s="25">
        <f>IF(C428&lt;62,0,'Combined Retirement'!$I$13)</f>
        <v>2420</v>
      </c>
      <c r="J428" s="25">
        <f t="shared" si="263"/>
        <v>7863.2184191855868</v>
      </c>
      <c r="K428" s="25">
        <f t="shared" si="264"/>
        <v>20282.026119384056</v>
      </c>
      <c r="L428" s="25"/>
      <c r="N428" s="25">
        <f>'Combined Retirement'!$C$18/12</f>
        <v>39153.069999999992</v>
      </c>
      <c r="O428" s="25">
        <f t="shared" si="265"/>
        <v>11007.82546143035</v>
      </c>
      <c r="P428" s="25">
        <f t="shared" si="266"/>
        <v>28145.244538569641</v>
      </c>
      <c r="Q428" s="25">
        <f t="array" aca="1" ref="Q428" ca="1">INDEX('Isaac 401k'!L:L,MATCH('Retirement Calculator'!A428,'Isaac 401k'!N:N,0),0)</f>
        <v>839905.54912555462</v>
      </c>
      <c r="R428" s="25">
        <f t="array" aca="1" ref="R428" ca="1">INDEX('Lorri 401b'!L:L,MATCH('Retirement Calculator'!A428,'Lorri 401b'!N:N,0),0)</f>
        <v>2211581.3257611622</v>
      </c>
      <c r="S428" s="25">
        <f t="shared" ca="1" si="267"/>
        <v>3051486.8748867167</v>
      </c>
    </row>
    <row r="429" spans="1:19" ht="15.75" customHeight="1" x14ac:dyDescent="0.3">
      <c r="A429" s="37">
        <v>64010</v>
      </c>
      <c r="B429" s="409">
        <f t="shared" ref="B429:C429" si="430">($A429-B$9)/365.25</f>
        <v>93.371663244353186</v>
      </c>
      <c r="C429" s="409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2192</v>
      </c>
      <c r="I429" s="25">
        <f>IF(C429&lt;62,0,'Combined Retirement'!$I$13)</f>
        <v>2420</v>
      </c>
      <c r="J429" s="25">
        <f t="shared" si="263"/>
        <v>7863.2184191855868</v>
      </c>
      <c r="K429" s="25">
        <f t="shared" si="264"/>
        <v>20282.026119384056</v>
      </c>
      <c r="L429" s="25"/>
      <c r="N429" s="25">
        <f>'Combined Retirement'!$C$18/12</f>
        <v>39153.069999999992</v>
      </c>
      <c r="O429" s="25">
        <f t="shared" si="265"/>
        <v>11007.82546143035</v>
      </c>
      <c r="P429" s="25">
        <f t="shared" si="266"/>
        <v>28145.244538569641</v>
      </c>
      <c r="Q429" s="25">
        <f t="array" aca="1" ref="Q429" ca="1">INDEX('Isaac 401k'!L:L,MATCH('Retirement Calculator'!A429,'Isaac 401k'!N:N,0),0)</f>
        <v>835509.17375097889</v>
      </c>
      <c r="R429" s="25">
        <f t="array" aca="1" ref="R429" ca="1">INDEX('Lorri 401b'!L:L,MATCH('Retirement Calculator'!A429,'Lorri 401b'!N:N,0),0)</f>
        <v>2200429.7133902856</v>
      </c>
      <c r="S429" s="25">
        <f t="shared" ca="1" si="267"/>
        <v>3035938.8871412645</v>
      </c>
    </row>
    <row r="430" spans="1:19" ht="15.75" customHeight="1" x14ac:dyDescent="0.3">
      <c r="A430" s="37">
        <v>64040</v>
      </c>
      <c r="B430" s="409">
        <f t="shared" ref="B430:C430" si="431">($A430-B$9)/365.25</f>
        <v>93.453798767967143</v>
      </c>
      <c r="C430" s="409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2192</v>
      </c>
      <c r="I430" s="25">
        <f>IF(C430&lt;62,0,'Combined Retirement'!$I$13)</f>
        <v>2420</v>
      </c>
      <c r="J430" s="25">
        <f t="shared" si="263"/>
        <v>7863.2184191855868</v>
      </c>
      <c r="K430" s="25">
        <f t="shared" si="264"/>
        <v>20282.026119384056</v>
      </c>
      <c r="L430" s="25"/>
      <c r="N430" s="25">
        <f>'Combined Retirement'!$C$18/12</f>
        <v>39153.069999999992</v>
      </c>
      <c r="O430" s="25">
        <f t="shared" si="265"/>
        <v>11007.82546143035</v>
      </c>
      <c r="P430" s="25">
        <f t="shared" si="266"/>
        <v>28145.244538569641</v>
      </c>
      <c r="Q430" s="25">
        <f t="array" aca="1" ref="Q430" ca="1">INDEX('Isaac 401k'!L:L,MATCH('Retirement Calculator'!A430,'Isaac 401k'!N:N,0),0)</f>
        <v>831094.48014567571</v>
      </c>
      <c r="R430" s="25">
        <f t="array" aca="1" ref="R430" ca="1">INDEX('Lorri 401b'!L:L,MATCH('Retirement Calculator'!A430,'Lorri 401b'!N:N,0),0)</f>
        <v>2189231.6359678637</v>
      </c>
      <c r="S430" s="25">
        <f t="shared" ca="1" si="267"/>
        <v>3020326.1161135393</v>
      </c>
    </row>
    <row r="431" spans="1:19" ht="15.75" customHeight="1" x14ac:dyDescent="0.3">
      <c r="A431" s="37">
        <v>64071</v>
      </c>
      <c r="B431" s="409">
        <f t="shared" ref="B431:C431" si="432">($A431-B$9)/365.25</f>
        <v>93.538672142368242</v>
      </c>
      <c r="C431" s="409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2192</v>
      </c>
      <c r="I431" s="25">
        <f>IF(C431&lt;62,0,'Combined Retirement'!$I$13)</f>
        <v>2420</v>
      </c>
      <c r="J431" s="25">
        <f t="shared" si="263"/>
        <v>7863.2184191855868</v>
      </c>
      <c r="K431" s="25">
        <f t="shared" si="264"/>
        <v>20282.026119384056</v>
      </c>
      <c r="L431" s="25"/>
      <c r="N431" s="25">
        <f>'Combined Retirement'!$C$18/12</f>
        <v>39153.069999999992</v>
      </c>
      <c r="O431" s="25">
        <f t="shared" si="265"/>
        <v>11007.82546143035</v>
      </c>
      <c r="P431" s="25">
        <f t="shared" si="266"/>
        <v>28145.244538569641</v>
      </c>
      <c r="Q431" s="25">
        <f t="array" aca="1" ref="Q431" ca="1">INDEX('Isaac 401k'!L:L,MATCH('Retirement Calculator'!A431,'Isaac 401k'!N:N,0),0)</f>
        <v>826661.3919836838</v>
      </c>
      <c r="R431" s="25">
        <f t="array" aca="1" ref="R431" ca="1">INDEX('Lorri 401b'!L:L,MATCH('Retirement Calculator'!A431,'Lorri 401b'!N:N,0),0)</f>
        <v>2177986.8998895152</v>
      </c>
      <c r="S431" s="25">
        <f t="shared" ca="1" si="267"/>
        <v>3004648.2918731989</v>
      </c>
    </row>
    <row r="432" spans="1:19" ht="15.75" customHeight="1" x14ac:dyDescent="0.3">
      <c r="A432" s="37">
        <v>64101</v>
      </c>
      <c r="B432" s="409">
        <f t="shared" ref="B432:C432" si="433">($A432-B$9)/365.25</f>
        <v>93.620807665982198</v>
      </c>
      <c r="C432" s="409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2192</v>
      </c>
      <c r="I432" s="25">
        <f>IF(C432&lt;62,0,'Combined Retirement'!$I$13)</f>
        <v>2420</v>
      </c>
      <c r="J432" s="25">
        <f t="shared" si="263"/>
        <v>7863.2184191855868</v>
      </c>
      <c r="K432" s="25">
        <f t="shared" si="264"/>
        <v>20282.026119384056</v>
      </c>
      <c r="L432" s="25"/>
      <c r="N432" s="25">
        <f>'Combined Retirement'!$C$18/12</f>
        <v>39153.069999999992</v>
      </c>
      <c r="O432" s="25">
        <f t="shared" si="265"/>
        <v>11007.82546143035</v>
      </c>
      <c r="P432" s="25">
        <f t="shared" si="266"/>
        <v>28145.244538569641</v>
      </c>
      <c r="Q432" s="25">
        <f t="array" aca="1" ref="Q432" ca="1">INDEX('Isaac 401k'!L:L,MATCH('Retirement Calculator'!A432,'Isaac 401k'!N:N,0),0)</f>
        <v>822209.83262101689</v>
      </c>
      <c r="R432" s="25">
        <f t="array" aca="1" ref="R432" ca="1">INDEX('Lorri 401b'!L:L,MATCH('Retirement Calculator'!A432,'Lorri 401b'!N:N,0),0)</f>
        <v>2166695.3107441734</v>
      </c>
      <c r="S432" s="25">
        <f t="shared" ca="1" si="267"/>
        <v>2988905.1433651904</v>
      </c>
    </row>
    <row r="433" spans="1:19" ht="15.75" customHeight="1" x14ac:dyDescent="0.3">
      <c r="A433" s="37">
        <v>64132</v>
      </c>
      <c r="B433" s="409">
        <f t="shared" ref="B433:C433" si="434">($A433-B$9)/365.25</f>
        <v>93.705681040383297</v>
      </c>
      <c r="C433" s="409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2192</v>
      </c>
      <c r="I433" s="25">
        <f>IF(C433&lt;62,0,'Combined Retirement'!$I$13)</f>
        <v>2420</v>
      </c>
      <c r="J433" s="25">
        <f t="shared" si="263"/>
        <v>7863.2184191855868</v>
      </c>
      <c r="K433" s="25">
        <f t="shared" si="264"/>
        <v>20282.026119384056</v>
      </c>
      <c r="L433" s="25"/>
      <c r="N433" s="25">
        <f>'Combined Retirement'!$C$18/12</f>
        <v>39153.069999999992</v>
      </c>
      <c r="O433" s="25">
        <f t="shared" si="265"/>
        <v>11007.82546143035</v>
      </c>
      <c r="P433" s="25">
        <f t="shared" si="266"/>
        <v>28145.244538569641</v>
      </c>
      <c r="Q433" s="25">
        <f t="array" aca="1" ref="Q433" ca="1">INDEX('Isaac 401k'!L:L,MATCH('Retirement Calculator'!A433,'Isaac 401k'!N:N,0),0)</f>
        <v>817739.72509433888</v>
      </c>
      <c r="R433" s="25">
        <f t="array" aca="1" ref="R433" ca="1">INDEX('Lorri 401b'!L:L,MATCH('Retirement Calculator'!A433,'Lorri 401b'!N:N,0),0)</f>
        <v>2155356.6733107259</v>
      </c>
      <c r="S433" s="25">
        <f t="shared" ca="1" si="267"/>
        <v>2973096.3984050648</v>
      </c>
    </row>
    <row r="434" spans="1:19" ht="15.75" customHeight="1" x14ac:dyDescent="0.3">
      <c r="A434" s="37">
        <v>64163</v>
      </c>
      <c r="B434" s="409">
        <f t="shared" ref="B434:C434" si="435">($A434-B$9)/365.25</f>
        <v>93.790554414784395</v>
      </c>
      <c r="C434" s="409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2192</v>
      </c>
      <c r="I434" s="25">
        <f>IF(C434&lt;62,0,'Combined Retirement'!$I$13)</f>
        <v>2420</v>
      </c>
      <c r="J434" s="25">
        <f t="shared" si="263"/>
        <v>7863.2184191855868</v>
      </c>
      <c r="K434" s="25">
        <f t="shared" si="264"/>
        <v>20282.026119384056</v>
      </c>
      <c r="L434" s="25"/>
      <c r="N434" s="25">
        <f>'Combined Retirement'!$C$18/12</f>
        <v>39153.069999999992</v>
      </c>
      <c r="O434" s="25">
        <f t="shared" si="265"/>
        <v>11007.82546143035</v>
      </c>
      <c r="P434" s="25">
        <f t="shared" si="266"/>
        <v>28145.244538569641</v>
      </c>
      <c r="Q434" s="25">
        <f t="array" aca="1" ref="Q434" ca="1">INDEX('Isaac 401k'!L:L,MATCH('Retirement Calculator'!A434,'Isaac 401k'!N:N,0),0)</f>
        <v>813250.99211963313</v>
      </c>
      <c r="R434" s="25">
        <f t="array" aca="1" ref="R434" ca="1">INDEX('Lorri 401b'!L:L,MATCH('Retirement Calculator'!A434,'Lorri 401b'!N:N,0),0)</f>
        <v>2143970.7915546391</v>
      </c>
      <c r="S434" s="25">
        <f t="shared" ca="1" si="267"/>
        <v>2957221.7836742722</v>
      </c>
    </row>
    <row r="435" spans="1:19" ht="15.75" customHeight="1" x14ac:dyDescent="0.3">
      <c r="A435" s="37">
        <v>64193</v>
      </c>
      <c r="B435" s="409">
        <f t="shared" ref="B435:C435" si="436">($A435-B$9)/365.25</f>
        <v>93.872689938398352</v>
      </c>
      <c r="C435" s="409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2192</v>
      </c>
      <c r="I435" s="25">
        <f>IF(C435&lt;62,0,'Combined Retirement'!$I$13)</f>
        <v>2420</v>
      </c>
      <c r="J435" s="25">
        <f t="shared" si="263"/>
        <v>7863.2184191855868</v>
      </c>
      <c r="K435" s="25">
        <f t="shared" si="264"/>
        <v>20282.026119384056</v>
      </c>
      <c r="L435" s="25"/>
      <c r="N435" s="25">
        <f>'Combined Retirement'!$C$18/12</f>
        <v>39153.069999999992</v>
      </c>
      <c r="O435" s="25">
        <f t="shared" si="265"/>
        <v>11007.82546143035</v>
      </c>
      <c r="P435" s="25">
        <f t="shared" si="266"/>
        <v>28145.244538569641</v>
      </c>
      <c r="Q435" s="25">
        <f t="array" aca="1" ref="Q435" ca="1">INDEX('Isaac 401k'!L:L,MATCH('Retirement Calculator'!A435,'Isaac 401k'!N:N,0),0)</f>
        <v>808743.5560908661</v>
      </c>
      <c r="R435" s="25">
        <f t="array" aca="1" ref="R435" ca="1">INDEX('Lorri 401b'!L:L,MATCH('Retirement Calculator'!A435,'Lorri 401b'!N:N,0),0)</f>
        <v>2132537.4686245685</v>
      </c>
      <c r="S435" s="25">
        <f t="shared" ca="1" si="267"/>
        <v>2941281.0247154348</v>
      </c>
    </row>
    <row r="436" spans="1:19" ht="15.75" customHeight="1" x14ac:dyDescent="0.3">
      <c r="A436" s="37">
        <v>64224</v>
      </c>
      <c r="B436" s="409">
        <f t="shared" ref="B436:C436" si="437">($A436-B$9)/365.25</f>
        <v>93.957563312799451</v>
      </c>
      <c r="C436" s="409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2192</v>
      </c>
      <c r="I436" s="25">
        <f>IF(C436&lt;62,0,'Combined Retirement'!$I$13)</f>
        <v>2420</v>
      </c>
      <c r="J436" s="25">
        <f t="shared" si="263"/>
        <v>7863.2184191855868</v>
      </c>
      <c r="K436" s="25">
        <f t="shared" si="264"/>
        <v>20282.026119384056</v>
      </c>
      <c r="L436" s="25"/>
      <c r="N436" s="25">
        <f>'Combined Retirement'!$C$18/12</f>
        <v>39153.069999999992</v>
      </c>
      <c r="O436" s="25">
        <f t="shared" si="265"/>
        <v>11007.82546143035</v>
      </c>
      <c r="P436" s="25">
        <f t="shared" si="266"/>
        <v>28145.244538569641</v>
      </c>
      <c r="Q436" s="25">
        <f t="array" aca="1" ref="Q436" ca="1">INDEX('Isaac 401k'!L:L,MATCH('Retirement Calculator'!A436,'Isaac 401k'!N:N,0),0)</f>
        <v>804217.3390786458</v>
      </c>
      <c r="R436" s="25">
        <f t="array" aca="1" ref="R436" ca="1">INDEX('Lorri 401b'!L:L,MATCH('Retirement Calculator'!A436,'Lorri 401b'!N:N,0),0)</f>
        <v>2121056.506848956</v>
      </c>
      <c r="S436" s="25">
        <f t="shared" ca="1" si="267"/>
        <v>2925273.8459276017</v>
      </c>
    </row>
    <row r="437" spans="1:19" ht="15.75" customHeight="1" x14ac:dyDescent="0.3">
      <c r="A437" s="37">
        <v>64254</v>
      </c>
      <c r="B437" s="409">
        <f t="shared" ref="B437:C437" si="438">($A437-B$9)/365.25</f>
        <v>94.039698836413422</v>
      </c>
      <c r="C437" s="409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2192</v>
      </c>
      <c r="I437" s="25">
        <f>IF(C437&lt;62,0,'Combined Retirement'!$I$13)</f>
        <v>2420</v>
      </c>
      <c r="J437" s="25">
        <f t="shared" si="263"/>
        <v>7863.2184191855868</v>
      </c>
      <c r="K437" s="25">
        <f t="shared" si="264"/>
        <v>20282.026119384056</v>
      </c>
      <c r="L437" s="25"/>
      <c r="N437" s="25">
        <f>'Combined Retirement'!$C$18/12</f>
        <v>39153.069999999992</v>
      </c>
      <c r="O437" s="25">
        <f t="shared" si="265"/>
        <v>11007.82546143035</v>
      </c>
      <c r="P437" s="25">
        <f t="shared" si="266"/>
        <v>28145.244538569641</v>
      </c>
      <c r="Q437" s="25">
        <f t="array" aca="1" ref="Q437" ca="1">INDEX('Isaac 401k'!L:L,MATCH('Retirement Calculator'!A437,'Isaac 401k'!N:N,0),0)</f>
        <v>799672.26282887463</v>
      </c>
      <c r="R437" s="25">
        <f t="array" aca="1" ref="R437" ca="1">INDEX('Lorri 401b'!L:L,MATCH('Retirement Calculator'!A437,'Lorri 401b'!N:N,0),0)</f>
        <v>2109527.7077326118</v>
      </c>
      <c r="S437" s="25">
        <f t="shared" ca="1" si="267"/>
        <v>2909199.9705614867</v>
      </c>
    </row>
    <row r="438" spans="1:19" ht="15.75" customHeight="1" x14ac:dyDescent="0.3">
      <c r="A438" s="37">
        <v>64285</v>
      </c>
      <c r="B438" s="409">
        <f t="shared" ref="B438:C438" si="439">($A438-B$9)/365.25</f>
        <v>94.124572210814506</v>
      </c>
      <c r="C438" s="409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2192</v>
      </c>
      <c r="I438" s="25">
        <f>IF(C438&lt;62,0,'Combined Retirement'!$I$13)</f>
        <v>2420</v>
      </c>
      <c r="J438" s="25">
        <f t="shared" si="263"/>
        <v>7863.2184191855868</v>
      </c>
      <c r="K438" s="25">
        <f t="shared" si="264"/>
        <v>20282.026119384056</v>
      </c>
      <c r="L438" s="25"/>
      <c r="N438" s="25">
        <f>'Combined Retirement'!$C$18/12</f>
        <v>39153.069999999992</v>
      </c>
      <c r="O438" s="25">
        <f t="shared" si="265"/>
        <v>11007.82546143035</v>
      </c>
      <c r="P438" s="25">
        <f t="shared" si="266"/>
        <v>28145.244538569641</v>
      </c>
      <c r="Q438" s="25">
        <f t="array" aca="1" ref="Q438" ca="1">INDEX('Isaac 401k'!L:L,MATCH('Retirement Calculator'!A438,'Isaac 401k'!N:N,0),0)</f>
        <v>795108.24876139604</v>
      </c>
      <c r="R438" s="25">
        <f t="array" aca="1" ref="R438" ca="1">INDEX('Lorri 401b'!L:L,MATCH('Retirement Calculator'!A438,'Lorri 401b'!N:N,0),0)</f>
        <v>2097950.871953283</v>
      </c>
      <c r="S438" s="25">
        <f t="shared" ca="1" si="267"/>
        <v>2893059.1207146789</v>
      </c>
    </row>
    <row r="439" spans="1:19" ht="15.75" customHeight="1" x14ac:dyDescent="0.3">
      <c r="A439" s="37">
        <v>64316</v>
      </c>
      <c r="B439" s="409">
        <f t="shared" ref="B439:C439" si="440">($A439-B$9)/365.25</f>
        <v>94.209445585215605</v>
      </c>
      <c r="C439" s="409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2192</v>
      </c>
      <c r="I439" s="25">
        <f>IF(C439&lt;62,0,'Combined Retirement'!$I$13)</f>
        <v>2420</v>
      </c>
      <c r="J439" s="25">
        <f t="shared" si="263"/>
        <v>7863.2184191855868</v>
      </c>
      <c r="K439" s="25">
        <f t="shared" si="264"/>
        <v>20282.026119384056</v>
      </c>
      <c r="L439" s="25"/>
      <c r="N439" s="25">
        <f>'Combined Retirement'!$C$18/12</f>
        <v>39153.069999999992</v>
      </c>
      <c r="O439" s="25">
        <f t="shared" si="265"/>
        <v>11007.82546143035</v>
      </c>
      <c r="P439" s="25">
        <f t="shared" si="266"/>
        <v>28145.244538569641</v>
      </c>
      <c r="Q439" s="25">
        <f t="array" aca="1" ref="Q439" ca="1">INDEX('Isaac 401k'!L:L,MATCH('Retirement Calculator'!A439,'Isaac 401k'!N:N,0),0)</f>
        <v>790525.21796863631</v>
      </c>
      <c r="R439" s="25">
        <f t="array" aca="1" ref="R439" ca="1">INDEX('Lorri 401b'!L:L,MATCH('Retirement Calculator'!A439,'Lorri 401b'!N:N,0),0)</f>
        <v>2086325.7993582068</v>
      </c>
      <c r="S439" s="25">
        <f t="shared" ca="1" si="267"/>
        <v>2876851.017326843</v>
      </c>
    </row>
    <row r="440" spans="1:19" ht="15.75" customHeight="1" x14ac:dyDescent="0.3">
      <c r="A440" s="37">
        <v>64345</v>
      </c>
      <c r="B440" s="409">
        <f t="shared" ref="B440:C440" si="441">($A440-B$9)/365.25</f>
        <v>94.288843258042434</v>
      </c>
      <c r="C440" s="409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2192</v>
      </c>
      <c r="I440" s="25">
        <f>IF(C440&lt;62,0,'Combined Retirement'!$I$13)</f>
        <v>2420</v>
      </c>
      <c r="J440" s="25">
        <f t="shared" si="263"/>
        <v>7863.2184191855868</v>
      </c>
      <c r="K440" s="25">
        <f t="shared" si="264"/>
        <v>20282.026119384056</v>
      </c>
      <c r="L440" s="25"/>
      <c r="N440" s="25">
        <f>'Combined Retirement'!$C$18/12</f>
        <v>39153.069999999992</v>
      </c>
      <c r="O440" s="25">
        <f t="shared" si="265"/>
        <v>11007.82546143035</v>
      </c>
      <c r="P440" s="25">
        <f t="shared" si="266"/>
        <v>28145.244538569641</v>
      </c>
      <c r="Q440" s="25">
        <f t="array" aca="1" ref="Q440" ca="1">INDEX('Isaac 401k'!L:L,MATCH('Retirement Calculator'!A440,'Isaac 401k'!N:N,0),0)</f>
        <v>785923.09121424006</v>
      </c>
      <c r="R440" s="25">
        <f t="array" aca="1" ref="R440" ca="1">INDEX('Lorri 401b'!L:L,MATCH('Retirement Calculator'!A440,'Lorri 401b'!N:N,0),0)</f>
        <v>2074652.2889606513</v>
      </c>
      <c r="S440" s="25">
        <f t="shared" ca="1" si="267"/>
        <v>2860575.3801748911</v>
      </c>
    </row>
    <row r="441" spans="1:19" ht="15.75" customHeight="1" x14ac:dyDescent="0.3">
      <c r="A441" s="37">
        <v>64376</v>
      </c>
      <c r="B441" s="409">
        <f t="shared" ref="B441:C441" si="442">($A441-B$9)/365.25</f>
        <v>94.373716632443532</v>
      </c>
      <c r="C441" s="409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2192</v>
      </c>
      <c r="I441" s="25">
        <f>IF(C441&lt;62,0,'Combined Retirement'!$I$13)</f>
        <v>2420</v>
      </c>
      <c r="J441" s="25">
        <f t="shared" si="263"/>
        <v>7863.2184191855868</v>
      </c>
      <c r="K441" s="25">
        <f t="shared" si="264"/>
        <v>20282.026119384056</v>
      </c>
      <c r="L441" s="25"/>
      <c r="N441" s="25">
        <f>'Combined Retirement'!$C$18/12</f>
        <v>39153.069999999992</v>
      </c>
      <c r="O441" s="25">
        <f t="shared" si="265"/>
        <v>11007.82546143035</v>
      </c>
      <c r="P441" s="25">
        <f t="shared" si="266"/>
        <v>28145.244538569641</v>
      </c>
      <c r="Q441" s="25">
        <f t="array" aca="1" ref="Q441" ca="1">INDEX('Isaac 401k'!L:L,MATCH('Retirement Calculator'!A441,'Isaac 401k'!N:N,0),0)</f>
        <v>781301.78893170052</v>
      </c>
      <c r="R441" s="25">
        <f t="array" aca="1" ref="R441" ca="1">INDEX('Lorri 401b'!L:L,MATCH('Retirement Calculator'!A441,'Lorri 401b'!N:N,0),0)</f>
        <v>2062930.1389364393</v>
      </c>
      <c r="S441" s="25">
        <f t="shared" ca="1" si="267"/>
        <v>2844231.9278681399</v>
      </c>
    </row>
    <row r="442" spans="1:19" ht="15.75" customHeight="1" x14ac:dyDescent="0.3">
      <c r="A442" s="37">
        <v>64406</v>
      </c>
      <c r="B442" s="409">
        <f t="shared" ref="B442:C442" si="443">($A442-B$9)/365.25</f>
        <v>94.455852156057489</v>
      </c>
      <c r="C442" s="409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2192</v>
      </c>
      <c r="I442" s="25">
        <f>IF(C442&lt;62,0,'Combined Retirement'!$I$13)</f>
        <v>2420</v>
      </c>
      <c r="J442" s="25">
        <f t="shared" si="263"/>
        <v>7863.2184191855868</v>
      </c>
      <c r="K442" s="25">
        <f t="shared" si="264"/>
        <v>20282.026119384056</v>
      </c>
      <c r="L442" s="25"/>
      <c r="N442" s="25">
        <f>'Combined Retirement'!$C$18/12</f>
        <v>39153.069999999992</v>
      </c>
      <c r="O442" s="25">
        <f t="shared" si="265"/>
        <v>11007.82546143035</v>
      </c>
      <c r="P442" s="25">
        <f t="shared" si="266"/>
        <v>28145.244538569641</v>
      </c>
      <c r="Q442" s="25">
        <f t="array" aca="1" ref="Q442" ca="1">INDEX('Isaac 401k'!L:L,MATCH('Retirement Calculator'!A442,'Isaac 401k'!N:N,0),0)</f>
        <v>776661.23122298368</v>
      </c>
      <c r="R442" s="25">
        <f t="array" aca="1" ref="R442" ca="1">INDEX('Lorri 401b'!L:L,MATCH('Retirement Calculator'!A442,'Lorri 401b'!N:N,0),0)</f>
        <v>2051159.1466204596</v>
      </c>
      <c r="S442" s="25">
        <f t="shared" ca="1" si="267"/>
        <v>2827820.3778434433</v>
      </c>
    </row>
    <row r="443" spans="1:19" ht="15.75" customHeight="1" x14ac:dyDescent="0.3">
      <c r="A443" s="37">
        <v>64437</v>
      </c>
      <c r="B443" s="409">
        <f t="shared" ref="B443:C443" si="444">($A443-B$9)/365.25</f>
        <v>94.540725530458587</v>
      </c>
      <c r="C443" s="409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2192</v>
      </c>
      <c r="I443" s="25">
        <f>IF(C443&lt;62,0,'Combined Retirement'!$I$13)</f>
        <v>2420</v>
      </c>
      <c r="J443" s="25">
        <f t="shared" si="263"/>
        <v>7863.2184191855868</v>
      </c>
      <c r="K443" s="25">
        <f t="shared" si="264"/>
        <v>20282.026119384056</v>
      </c>
      <c r="L443" s="25"/>
      <c r="N443" s="25">
        <f>'Combined Retirement'!$C$18/12</f>
        <v>39153.069999999992</v>
      </c>
      <c r="O443" s="25">
        <f t="shared" si="265"/>
        <v>11007.82546143035</v>
      </c>
      <c r="P443" s="25">
        <f t="shared" si="266"/>
        <v>28145.244538569641</v>
      </c>
      <c r="Q443" s="25">
        <f t="array" aca="1" ref="Q443" ca="1">INDEX('Isaac 401k'!L:L,MATCH('Retirement Calculator'!A443,'Isaac 401k'!N:N,0),0)</f>
        <v>772001.33785714721</v>
      </c>
      <c r="R443" s="25">
        <f t="array" aca="1" ref="R443" ca="1">INDEX('Lorri 401b'!L:L,MATCH('Retirement Calculator'!A443,'Lorri 401b'!N:N,0),0)</f>
        <v>2039339.1085031636</v>
      </c>
      <c r="S443" s="25">
        <f t="shared" ca="1" si="267"/>
        <v>2811340.4463603105</v>
      </c>
    </row>
    <row r="444" spans="1:19" ht="15.75" customHeight="1" x14ac:dyDescent="0.3">
      <c r="A444" s="37">
        <v>64467</v>
      </c>
      <c r="B444" s="409">
        <f t="shared" ref="B444:C444" si="445">($A444-B$9)/365.25</f>
        <v>94.622861054072558</v>
      </c>
      <c r="C444" s="409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2192</v>
      </c>
      <c r="I444" s="25">
        <f>IF(C444&lt;62,0,'Combined Retirement'!$I$13)</f>
        <v>2420</v>
      </c>
      <c r="J444" s="25">
        <f t="shared" si="263"/>
        <v>7863.2184191855868</v>
      </c>
      <c r="K444" s="25">
        <f t="shared" si="264"/>
        <v>20282.026119384056</v>
      </c>
      <c r="L444" s="25"/>
      <c r="N444" s="25">
        <f>'Combined Retirement'!$C$18/12</f>
        <v>39153.069999999992</v>
      </c>
      <c r="O444" s="25">
        <f t="shared" si="265"/>
        <v>11007.82546143035</v>
      </c>
      <c r="P444" s="25">
        <f t="shared" si="266"/>
        <v>28145.244538569641</v>
      </c>
      <c r="Q444" s="25">
        <f t="array" aca="1" ref="Q444" ca="1">INDEX('Isaac 401k'!L:L,MATCH('Retirement Calculator'!A444,'Isaac 401k'!N:N,0),0)</f>
        <v>767322.02826895309</v>
      </c>
      <c r="R444" s="25">
        <f t="array" aca="1" ref="R444" ca="1">INDEX('Lorri 401b'!L:L,MATCH('Retirement Calculator'!A444,'Lorri 401b'!N:N,0),0)</f>
        <v>2027469.8202270453</v>
      </c>
      <c r="S444" s="25">
        <f t="shared" ca="1" si="267"/>
        <v>2794791.8484959984</v>
      </c>
    </row>
    <row r="445" spans="1:19" ht="15.75" customHeight="1" x14ac:dyDescent="0.3">
      <c r="A445" s="37">
        <v>64498</v>
      </c>
      <c r="B445" s="409">
        <f t="shared" ref="B445:C445" si="446">($A445-B$9)/365.25</f>
        <v>94.707734428473643</v>
      </c>
      <c r="C445" s="409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2192</v>
      </c>
      <c r="I445" s="25">
        <f>IF(C445&lt;62,0,'Combined Retirement'!$I$13)</f>
        <v>2420</v>
      </c>
      <c r="J445" s="25">
        <f t="shared" si="263"/>
        <v>7863.2184191855868</v>
      </c>
      <c r="K445" s="25">
        <f t="shared" si="264"/>
        <v>20282.026119384056</v>
      </c>
      <c r="L445" s="25"/>
      <c r="N445" s="25">
        <f>'Combined Retirement'!$C$18/12</f>
        <v>39153.069999999992</v>
      </c>
      <c r="O445" s="25">
        <f t="shared" si="265"/>
        <v>11007.82546143035</v>
      </c>
      <c r="P445" s="25">
        <f t="shared" si="266"/>
        <v>28145.244538569641</v>
      </c>
      <c r="Q445" s="25">
        <f t="array" aca="1" ref="Q445" ca="1">INDEX('Isaac 401k'!L:L,MATCH('Retirement Calculator'!A445,'Isaac 401k'!N:N,0),0)</f>
        <v>762623.22155747481</v>
      </c>
      <c r="R445" s="25">
        <f t="array" aca="1" ref="R445" ca="1">INDEX('Lorri 401b'!L:L,MATCH('Retirement Calculator'!A445,'Lorri 401b'!N:N,0),0)</f>
        <v>2015551.07658311</v>
      </c>
      <c r="S445" s="25">
        <f t="shared" ca="1" si="267"/>
        <v>2778174.298140585</v>
      </c>
    </row>
    <row r="446" spans="1:19" ht="15.75" customHeight="1" x14ac:dyDescent="0.3">
      <c r="A446" s="37">
        <v>64529</v>
      </c>
      <c r="B446" s="409">
        <f t="shared" ref="B446:C446" si="447">($A446-B$9)/365.25</f>
        <v>94.792607802874741</v>
      </c>
      <c r="C446" s="409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2192</v>
      </c>
      <c r="I446" s="25">
        <f>IF(C446&lt;62,0,'Combined Retirement'!$I$13)</f>
        <v>2420</v>
      </c>
      <c r="J446" s="25">
        <f t="shared" si="263"/>
        <v>7863.2184191855868</v>
      </c>
      <c r="K446" s="25">
        <f t="shared" si="264"/>
        <v>20282.026119384056</v>
      </c>
      <c r="L446" s="25"/>
      <c r="N446" s="25">
        <f>'Combined Retirement'!$C$18/12</f>
        <v>39153.069999999992</v>
      </c>
      <c r="O446" s="25">
        <f t="shared" si="265"/>
        <v>11007.82546143035</v>
      </c>
      <c r="P446" s="25">
        <f t="shared" si="266"/>
        <v>28145.244538569641</v>
      </c>
      <c r="Q446" s="25">
        <f t="array" aca="1" ref="Q446" ca="1">INDEX('Isaac 401k'!L:L,MATCH('Retirement Calculator'!A446,'Isaac 401k'!N:N,0),0)</f>
        <v>757904.8364846987</v>
      </c>
      <c r="R446" s="25">
        <f t="array" aca="1" ref="R446" ca="1">INDEX('Lorri 401b'!L:L,MATCH('Retirement Calculator'!A446,'Lorri 401b'!N:N,0),0)</f>
        <v>2003582.6715073248</v>
      </c>
      <c r="S446" s="25">
        <f t="shared" ca="1" si="267"/>
        <v>2761487.5079920236</v>
      </c>
    </row>
    <row r="447" spans="1:19" ht="15.75" customHeight="1" x14ac:dyDescent="0.3">
      <c r="A447" s="37">
        <v>64559</v>
      </c>
      <c r="B447" s="409">
        <f t="shared" ref="B447:C447" si="448">($A447-B$9)/365.25</f>
        <v>94.874743326488712</v>
      </c>
      <c r="C447" s="409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2192</v>
      </c>
      <c r="I447" s="25">
        <f>IF(C447&lt;62,0,'Combined Retirement'!$I$13)</f>
        <v>2420</v>
      </c>
      <c r="J447" s="25">
        <f t="shared" si="263"/>
        <v>7863.2184191855868</v>
      </c>
      <c r="K447" s="25">
        <f t="shared" si="264"/>
        <v>20282.026119384056</v>
      </c>
      <c r="L447" s="25"/>
      <c r="N447" s="25">
        <f>'Combined Retirement'!$C$18/12</f>
        <v>39153.069999999992</v>
      </c>
      <c r="O447" s="25">
        <f t="shared" si="265"/>
        <v>11007.82546143035</v>
      </c>
      <c r="P447" s="25">
        <f t="shared" si="266"/>
        <v>28145.244538569641</v>
      </c>
      <c r="Q447" s="25">
        <f t="array" aca="1" ref="Q447" ca="1">INDEX('Isaac 401k'!L:L,MATCH('Retirement Calculator'!A447,'Isaac 401k'!N:N,0),0)</f>
        <v>753166.79147411941</v>
      </c>
      <c r="R447" s="25">
        <f t="array" aca="1" ref="R447" ca="1">INDEX('Lorri 401b'!L:L,MATCH('Retirement Calculator'!A447,'Lorri 401b'!N:N,0),0)</f>
        <v>1991564.3980770572</v>
      </c>
      <c r="S447" s="25">
        <f t="shared" ca="1" si="267"/>
        <v>2744731.1895511765</v>
      </c>
    </row>
    <row r="448" spans="1:19" ht="15.75" customHeight="1" x14ac:dyDescent="0.3">
      <c r="A448" s="37">
        <v>64590</v>
      </c>
      <c r="B448" s="409">
        <f t="shared" ref="B448:C448" si="449">($A448-B$9)/365.25</f>
        <v>94.959616700889796</v>
      </c>
      <c r="C448" s="409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2192</v>
      </c>
      <c r="I448" s="25">
        <f>IF(C448&lt;62,0,'Combined Retirement'!$I$13)</f>
        <v>2420</v>
      </c>
      <c r="J448" s="25">
        <f t="shared" si="263"/>
        <v>7863.2184191855868</v>
      </c>
      <c r="K448" s="25">
        <f t="shared" si="264"/>
        <v>20282.026119384056</v>
      </c>
      <c r="L448" s="25"/>
      <c r="N448" s="25">
        <f>'Combined Retirement'!$C$18/12</f>
        <v>39153.069999999992</v>
      </c>
      <c r="O448" s="25">
        <f t="shared" si="265"/>
        <v>11007.82546143035</v>
      </c>
      <c r="P448" s="25">
        <f t="shared" si="266"/>
        <v>28145.244538569641</v>
      </c>
      <c r="Q448" s="25">
        <f t="array" aca="1" ref="Q448" ca="1">INDEX('Isaac 401k'!L:L,MATCH('Retirement Calculator'!A448,'Isaac 401k'!N:N,0),0)</f>
        <v>748409.00460932939</v>
      </c>
      <c r="R448" s="25">
        <f t="array" aca="1" ref="R448" ca="1">INDEX('Lorri 401b'!L:L,MATCH('Retirement Calculator'!A448,'Lorri 401b'!N:N,0),0)</f>
        <v>1979496.0485074969</v>
      </c>
      <c r="S448" s="25">
        <f t="shared" ca="1" si="267"/>
        <v>2727905.0531168263</v>
      </c>
    </row>
    <row r="449" spans="1:19" ht="15.75" customHeight="1" x14ac:dyDescent="0.3">
      <c r="A449" s="37">
        <v>64620</v>
      </c>
      <c r="B449" s="409">
        <f t="shared" ref="B449:C449" si="450">($A449-B$9)/365.25</f>
        <v>95.041752224503767</v>
      </c>
      <c r="C449" s="409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2192</v>
      </c>
      <c r="I449" s="25">
        <f>IF(C449&lt;62,0,'Combined Retirement'!$I$13)</f>
        <v>2420</v>
      </c>
      <c r="J449" s="25">
        <f t="shared" si="263"/>
        <v>7863.2184191855868</v>
      </c>
      <c r="K449" s="25">
        <f t="shared" si="264"/>
        <v>20282.026119384056</v>
      </c>
      <c r="L449" s="25"/>
      <c r="N449" s="25">
        <f>'Combined Retirement'!$C$18/12</f>
        <v>39153.069999999992</v>
      </c>
      <c r="O449" s="25">
        <f t="shared" si="265"/>
        <v>11007.82546143035</v>
      </c>
      <c r="P449" s="25">
        <f t="shared" si="266"/>
        <v>28145.244538569641</v>
      </c>
      <c r="Q449" s="25">
        <f t="array" aca="1" ref="Q449" ca="1">INDEX('Isaac 401k'!L:L,MATCH('Retirement Calculator'!A449,'Isaac 401k'!N:N,0),0)</f>
        <v>743631.39363260276</v>
      </c>
      <c r="R449" s="25">
        <f t="array" aca="1" ref="R449" ca="1">INDEX('Lorri 401b'!L:L,MATCH('Retirement Calculator'!A449,'Lorri 401b'!N:N,0),0)</f>
        <v>1967377.4141480634</v>
      </c>
      <c r="S449" s="25">
        <f t="shared" ca="1" si="267"/>
        <v>2711008.8077806663</v>
      </c>
    </row>
    <row r="450" spans="1:19" ht="15.75" customHeight="1" x14ac:dyDescent="0.3">
      <c r="A450" s="37">
        <v>64651</v>
      </c>
      <c r="B450" s="409">
        <f t="shared" ref="B450:C450" si="451">($A450-B$9)/365.25</f>
        <v>95.126625598904866</v>
      </c>
      <c r="C450" s="409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2192</v>
      </c>
      <c r="I450" s="25">
        <f>IF(C450&lt;62,0,'Combined Retirement'!$I$13)</f>
        <v>2420</v>
      </c>
      <c r="J450" s="25">
        <f t="shared" si="263"/>
        <v>7863.2184191855868</v>
      </c>
      <c r="K450" s="25">
        <f t="shared" si="264"/>
        <v>20282.026119384056</v>
      </c>
      <c r="L450" s="25"/>
      <c r="N450" s="25">
        <f>'Combined Retirement'!$C$18/12</f>
        <v>39153.069999999992</v>
      </c>
      <c r="O450" s="25">
        <f t="shared" si="265"/>
        <v>11007.82546143035</v>
      </c>
      <c r="P450" s="25">
        <f t="shared" si="266"/>
        <v>28145.244538569641</v>
      </c>
      <c r="Q450" s="25">
        <f t="array" aca="1" ref="Q450" ca="1">INDEX('Isaac 401k'!L:L,MATCH('Retirement Calculator'!A450,'Isaac 401k'!N:N,0),0)</f>
        <v>738833.87594347307</v>
      </c>
      <c r="R450" s="25">
        <f t="array" aca="1" ref="R450" ca="1">INDEX('Lorri 401b'!L:L,MATCH('Retirement Calculator'!A450,'Lorri 401b'!N:N,0),0)</f>
        <v>1955208.2854787989</v>
      </c>
      <c r="S450" s="25">
        <f t="shared" ca="1" si="267"/>
        <v>2694042.1614222722</v>
      </c>
    </row>
    <row r="451" spans="1:19" ht="15.75" customHeight="1" x14ac:dyDescent="0.3">
      <c r="A451" s="37">
        <v>64682</v>
      </c>
      <c r="B451" s="409">
        <f t="shared" ref="B451:C451" si="452">($A451-B$9)/365.25</f>
        <v>95.21149897330595</v>
      </c>
      <c r="C451" s="409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2192</v>
      </c>
      <c r="I451" s="25">
        <f>IF(C451&lt;62,0,'Combined Retirement'!$I$13)</f>
        <v>2420</v>
      </c>
      <c r="J451" s="25">
        <f t="shared" si="263"/>
        <v>7863.2184191855868</v>
      </c>
      <c r="K451" s="25">
        <f t="shared" si="264"/>
        <v>20282.026119384056</v>
      </c>
      <c r="L451" s="25"/>
      <c r="N451" s="25">
        <f>'Combined Retirement'!$C$18/12</f>
        <v>39153.069999999992</v>
      </c>
      <c r="O451" s="25">
        <f t="shared" si="265"/>
        <v>11007.82546143035</v>
      </c>
      <c r="P451" s="25">
        <f t="shared" si="266"/>
        <v>28145.244538569641</v>
      </c>
      <c r="Q451" s="25">
        <f t="array" aca="1" ref="Q451" ca="1">INDEX('Isaac 401k'!L:L,MATCH('Retirement Calculator'!A451,'Isaac 401k'!N:N,0),0)</f>
        <v>734016.36859730538</v>
      </c>
      <c r="R451" s="25">
        <f t="array" aca="1" ref="R451" ca="1">INDEX('Lorri 401b'!L:L,MATCH('Retirement Calculator'!A451,'Lorri 401b'!N:N,0),0)</f>
        <v>1942988.4521067459</v>
      </c>
      <c r="S451" s="25">
        <f t="shared" ca="1" si="267"/>
        <v>2677004.8207040513</v>
      </c>
    </row>
    <row r="452" spans="1:19" ht="15.75" customHeight="1" x14ac:dyDescent="0.3">
      <c r="A452" s="37">
        <v>64710</v>
      </c>
      <c r="B452" s="409">
        <f t="shared" ref="B452:C452" si="453">($A452-B$9)/365.25</f>
        <v>95.288158795345652</v>
      </c>
      <c r="C452" s="409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2192</v>
      </c>
      <c r="I452" s="25">
        <f>IF(C452&lt;62,0,'Combined Retirement'!$I$13)</f>
        <v>2420</v>
      </c>
      <c r="J452" s="25">
        <f t="shared" si="263"/>
        <v>7863.2184191855868</v>
      </c>
      <c r="K452" s="25">
        <f t="shared" si="264"/>
        <v>20282.026119384056</v>
      </c>
      <c r="L452" s="25"/>
      <c r="N452" s="25">
        <f>'Combined Retirement'!$C$18/12</f>
        <v>39153.069999999992</v>
      </c>
      <c r="O452" s="25">
        <f t="shared" si="265"/>
        <v>11007.82546143035</v>
      </c>
      <c r="P452" s="25">
        <f t="shared" si="266"/>
        <v>28145.244538569641</v>
      </c>
      <c r="Q452" s="25">
        <f t="array" aca="1" ref="Q452" ca="1">INDEX('Isaac 401k'!L:L,MATCH('Retirement Calculator'!A452,'Isaac 401k'!N:N,0),0)</f>
        <v>729178.78830386198</v>
      </c>
      <c r="R452" s="25">
        <f t="array" aca="1" ref="R452" ca="1">INDEX('Lorri 401b'!L:L,MATCH('Retirement Calculator'!A452,'Lorri 401b'!N:N,0),0)</f>
        <v>1930717.7027623092</v>
      </c>
      <c r="S452" s="25">
        <f t="shared" ca="1" si="267"/>
        <v>2659896.4910661713</v>
      </c>
    </row>
    <row r="453" spans="1:19" ht="15.75" customHeight="1" x14ac:dyDescent="0.3">
      <c r="A453" s="37">
        <v>64741</v>
      </c>
      <c r="B453" s="409">
        <f t="shared" ref="B453:C453" si="454">($A453-B$9)/365.25</f>
        <v>95.37303216974675</v>
      </c>
      <c r="C453" s="409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2192</v>
      </c>
      <c r="I453" s="25">
        <f>IF(C453&lt;62,0,'Combined Retirement'!$I$13)</f>
        <v>2420</v>
      </c>
      <c r="J453" s="25">
        <f t="shared" si="263"/>
        <v>7863.2184191855868</v>
      </c>
      <c r="K453" s="25">
        <f t="shared" si="264"/>
        <v>20282.026119384056</v>
      </c>
      <c r="L453" s="25"/>
      <c r="N453" s="25">
        <f>'Combined Retirement'!$C$18/12</f>
        <v>39153.069999999992</v>
      </c>
      <c r="O453" s="25">
        <f t="shared" si="265"/>
        <v>11007.82546143035</v>
      </c>
      <c r="P453" s="25">
        <f t="shared" si="266"/>
        <v>28145.244538569641</v>
      </c>
      <c r="Q453" s="25">
        <f t="array" aca="1" ref="Q453" ca="1">INDEX('Isaac 401k'!L:L,MATCH('Retirement Calculator'!A453,'Isaac 401k'!N:N,0),0)</f>
        <v>724321.05142586248</v>
      </c>
      <c r="R453" s="25">
        <f t="array" aca="1" ref="R453" ca="1">INDEX('Lorri 401b'!L:L,MATCH('Retirement Calculator'!A453,'Lorri 401b'!N:N,0),0)</f>
        <v>1918395.8252956041</v>
      </c>
      <c r="S453" s="25">
        <f t="shared" ca="1" si="267"/>
        <v>2642716.8767214664</v>
      </c>
    </row>
    <row r="454" spans="1:19" ht="15.75" customHeight="1" x14ac:dyDescent="0.3">
      <c r="A454" s="37">
        <v>64771</v>
      </c>
      <c r="B454" s="409">
        <f t="shared" ref="B454:C454" si="455">($A454-B$9)/365.25</f>
        <v>95.455167693360707</v>
      </c>
      <c r="C454" s="409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2192</v>
      </c>
      <c r="I454" s="25">
        <f>IF(C454&lt;62,0,'Combined Retirement'!$I$13)</f>
        <v>2420</v>
      </c>
      <c r="J454" s="25">
        <f t="shared" si="263"/>
        <v>7863.2184191855868</v>
      </c>
      <c r="K454" s="25">
        <f t="shared" si="264"/>
        <v>20282.026119384056</v>
      </c>
      <c r="L454" s="25"/>
      <c r="N454" s="25">
        <f>'Combined Retirement'!$C$18/12</f>
        <v>39153.069999999992</v>
      </c>
      <c r="O454" s="25">
        <f t="shared" si="265"/>
        <v>11007.82546143035</v>
      </c>
      <c r="P454" s="25">
        <f t="shared" si="266"/>
        <v>28145.244538569641</v>
      </c>
      <c r="Q454" s="25">
        <f t="array" aca="1" ref="Q454" ca="1">INDEX('Isaac 401k'!L:L,MATCH('Retirement Calculator'!A454,'Isaac 401k'!N:N,0),0)</f>
        <v>719443.07397753804</v>
      </c>
      <c r="R454" s="25">
        <f t="array" aca="1" ref="R454" ca="1">INDEX('Lorri 401b'!L:L,MATCH('Retirement Calculator'!A454,'Lorri 401b'!N:N,0),0)</f>
        <v>1906022.6066727876</v>
      </c>
      <c r="S454" s="25">
        <f t="shared" ca="1" si="267"/>
        <v>2625465.6806503255</v>
      </c>
    </row>
    <row r="455" spans="1:19" ht="15.75" customHeight="1" x14ac:dyDescent="0.3">
      <c r="A455" s="37">
        <v>64802</v>
      </c>
      <c r="B455" s="409">
        <f t="shared" ref="B455:C455" si="456">($A455-B$9)/365.25</f>
        <v>95.540041067761805</v>
      </c>
      <c r="C455" s="409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2192</v>
      </c>
      <c r="I455" s="25">
        <f>IF(C455&lt;62,0,'Combined Retirement'!$I$13)</f>
        <v>2420</v>
      </c>
      <c r="J455" s="25">
        <f t="shared" si="263"/>
        <v>7863.2184191855868</v>
      </c>
      <c r="K455" s="25">
        <f t="shared" si="264"/>
        <v>20282.026119384056</v>
      </c>
      <c r="L455" s="25"/>
      <c r="N455" s="25">
        <f>'Combined Retirement'!$C$18/12</f>
        <v>39153.069999999992</v>
      </c>
      <c r="O455" s="25">
        <f t="shared" si="265"/>
        <v>11007.82546143035</v>
      </c>
      <c r="P455" s="25">
        <f t="shared" si="266"/>
        <v>28145.244538569641</v>
      </c>
      <c r="Q455" s="25">
        <f t="array" aca="1" ref="Q455" ca="1">INDEX('Isaac 401k'!L:L,MATCH('Retirement Calculator'!A455,'Isaac 401k'!N:N,0),0)</f>
        <v>714544.77162317885</v>
      </c>
      <c r="R455" s="25">
        <f t="array" aca="1" ref="R455" ca="1">INDEX('Lorri 401b'!L:L,MATCH('Retirement Calculator'!A455,'Lorri 401b'!N:N,0),0)</f>
        <v>1893597.8329723761</v>
      </c>
      <c r="S455" s="25">
        <f t="shared" ca="1" si="267"/>
        <v>2608142.604595555</v>
      </c>
    </row>
    <row r="456" spans="1:19" ht="15.75" customHeight="1" x14ac:dyDescent="0.3">
      <c r="A456" s="37">
        <v>64832</v>
      </c>
      <c r="B456" s="409">
        <f t="shared" ref="B456:C456" si="457">($A456-B$9)/365.25</f>
        <v>95.622176591375776</v>
      </c>
      <c r="C456" s="409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2192</v>
      </c>
      <c r="I456" s="25">
        <f>IF(C456&lt;62,0,'Combined Retirement'!$I$13)</f>
        <v>2420</v>
      </c>
      <c r="J456" s="25">
        <f t="shared" si="263"/>
        <v>7863.2184191855868</v>
      </c>
      <c r="K456" s="25">
        <f t="shared" si="264"/>
        <v>20282.026119384056</v>
      </c>
      <c r="L456" s="25"/>
      <c r="N456" s="25">
        <f>'Combined Retirement'!$C$18/12</f>
        <v>39153.069999999992</v>
      </c>
      <c r="O456" s="25">
        <f t="shared" si="265"/>
        <v>11007.82546143035</v>
      </c>
      <c r="P456" s="25">
        <f t="shared" si="266"/>
        <v>28145.244538569641</v>
      </c>
      <c r="Q456" s="25">
        <f t="array" aca="1" ref="Q456" ca="1">INDEX('Isaac 401k'!L:L,MATCH('Retirement Calculator'!A456,'Isaac 401k'!N:N,0),0)</f>
        <v>709626.05967567652</v>
      </c>
      <c r="R456" s="25">
        <f t="array" aca="1" ref="R456" ca="1">INDEX('Lorri 401b'!L:L,MATCH('Retirement Calculator'!A456,'Lorri 401b'!N:N,0),0)</f>
        <v>1881121.2893815462</v>
      </c>
      <c r="S456" s="25">
        <f t="shared" ca="1" si="267"/>
        <v>2590747.3490572227</v>
      </c>
    </row>
    <row r="457" spans="1:19" ht="15.75" customHeight="1" x14ac:dyDescent="0.3">
      <c r="A457" s="37">
        <v>64863</v>
      </c>
      <c r="B457" s="409">
        <f t="shared" ref="B457:C457" si="458">($A457-B$9)/365.25</f>
        <v>95.707049965776861</v>
      </c>
      <c r="C457" s="409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2192</v>
      </c>
      <c r="I457" s="25">
        <f>IF(C457&lt;62,0,'Combined Retirement'!$I$13)</f>
        <v>2420</v>
      </c>
      <c r="J457" s="25">
        <f t="shared" si="263"/>
        <v>7863.2184191855868</v>
      </c>
      <c r="K457" s="25">
        <f t="shared" si="264"/>
        <v>20282.026119384056</v>
      </c>
      <c r="L457" s="25"/>
      <c r="N457" s="25">
        <f>'Combined Retirement'!$C$18/12</f>
        <v>39153.069999999992</v>
      </c>
      <c r="O457" s="25">
        <f t="shared" si="265"/>
        <v>11007.82546143035</v>
      </c>
      <c r="P457" s="25">
        <f t="shared" si="266"/>
        <v>28145.244538569641</v>
      </c>
      <c r="Q457" s="25">
        <f t="array" aca="1" ref="Q457" ca="1">INDEX('Isaac 401k'!L:L,MATCH('Retirement Calculator'!A457,'Isaac 401k'!N:N,0),0)</f>
        <v>704686.85309505963</v>
      </c>
      <c r="R457" s="25">
        <f t="array" aca="1" ref="R457" ca="1">INDEX('Lorri 401b'!L:L,MATCH('Retirement Calculator'!A457,'Lorri 401b'!N:N,0),0)</f>
        <v>1868592.7601924213</v>
      </c>
      <c r="S457" s="25">
        <f t="shared" ca="1" si="267"/>
        <v>2573279.613287481</v>
      </c>
    </row>
    <row r="458" spans="1:19" ht="15.75" customHeight="1" x14ac:dyDescent="0.3">
      <c r="A458" s="37">
        <v>64894</v>
      </c>
      <c r="B458" s="409">
        <f t="shared" ref="B458:C458" si="459">($A458-B$9)/365.25</f>
        <v>95.791923340177959</v>
      </c>
      <c r="C458" s="409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2192</v>
      </c>
      <c r="I458" s="25">
        <f>IF(C458&lt;62,0,'Combined Retirement'!$I$13)</f>
        <v>2420</v>
      </c>
      <c r="J458" s="25">
        <f t="shared" si="263"/>
        <v>7863.2184191855868</v>
      </c>
      <c r="K458" s="25">
        <f t="shared" si="264"/>
        <v>20282.026119384056</v>
      </c>
      <c r="L458" s="25"/>
      <c r="N458" s="25">
        <f>'Combined Retirement'!$C$18/12</f>
        <v>39153.069999999992</v>
      </c>
      <c r="O458" s="25">
        <f t="shared" si="265"/>
        <v>11007.82546143035</v>
      </c>
      <c r="P458" s="25">
        <f t="shared" si="266"/>
        <v>28145.244538569641</v>
      </c>
      <c r="Q458" s="25">
        <f t="array" aca="1" ref="Q458" ca="1">INDEX('Isaac 401k'!L:L,MATCH('Retirement Calculator'!A458,'Isaac 401k'!N:N,0),0)</f>
        <v>699727.06648702349</v>
      </c>
      <c r="R458" s="25">
        <f t="array" aca="1" ref="R458" ca="1">INDEX('Lorri 401b'!L:L,MATCH('Retirement Calculator'!A458,'Lorri 401b'!N:N,0),0)</f>
        <v>1856012.0287983415</v>
      </c>
      <c r="S458" s="25">
        <f t="shared" ca="1" si="267"/>
        <v>2555739.0952853649</v>
      </c>
    </row>
    <row r="459" spans="1:19" ht="15.75" customHeight="1" x14ac:dyDescent="0.3">
      <c r="A459" s="37">
        <v>64924</v>
      </c>
      <c r="B459" s="409">
        <f t="shared" ref="B459:C459" si="460">($A459-B$9)/365.25</f>
        <v>95.87405886379193</v>
      </c>
      <c r="C459" s="409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2192</v>
      </c>
      <c r="I459" s="25">
        <f>IF(C459&lt;62,0,'Combined Retirement'!$I$13)</f>
        <v>2420</v>
      </c>
      <c r="J459" s="25">
        <f t="shared" si="263"/>
        <v>7863.2184191855868</v>
      </c>
      <c r="K459" s="25">
        <f t="shared" si="264"/>
        <v>20282.026119384056</v>
      </c>
      <c r="L459" s="25"/>
      <c r="N459" s="25">
        <f>'Combined Retirement'!$C$18/12</f>
        <v>39153.069999999992</v>
      </c>
      <c r="O459" s="25">
        <f t="shared" si="265"/>
        <v>11007.82546143035</v>
      </c>
      <c r="P459" s="25">
        <f t="shared" si="266"/>
        <v>28145.244538569641</v>
      </c>
      <c r="Q459" s="25">
        <f t="array" aca="1" ref="Q459" ca="1">INDEX('Isaac 401k'!L:L,MATCH('Retirement Calculator'!A459,'Isaac 401k'!N:N,0),0)</f>
        <v>694746.61410145392</v>
      </c>
      <c r="R459" s="25">
        <f t="array" aca="1" ref="R459" ca="1">INDEX('Lorri 401b'!L:L,MATCH('Retirement Calculator'!A459,'Lorri 401b'!N:N,0),0)</f>
        <v>1843378.8776901199</v>
      </c>
      <c r="S459" s="25">
        <f t="shared" ca="1" si="267"/>
        <v>2538125.4917915738</v>
      </c>
    </row>
    <row r="460" spans="1:19" ht="15.75" customHeight="1" x14ac:dyDescent="0.3">
      <c r="A460" s="37">
        <v>64955</v>
      </c>
      <c r="B460" s="409">
        <f t="shared" ref="B460:C460" si="461">($A460-B$9)/365.25</f>
        <v>95.958932238193015</v>
      </c>
      <c r="C460" s="409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2192</v>
      </c>
      <c r="I460" s="25">
        <f>IF(C460&lt;62,0,'Combined Retirement'!$I$13)</f>
        <v>2420</v>
      </c>
      <c r="J460" s="25">
        <f t="shared" si="263"/>
        <v>7863.2184191855868</v>
      </c>
      <c r="K460" s="25">
        <f t="shared" si="264"/>
        <v>20282.026119384056</v>
      </c>
      <c r="L460" s="25"/>
      <c r="N460" s="25">
        <f>'Combined Retirement'!$C$18/12</f>
        <v>39153.069999999992</v>
      </c>
      <c r="O460" s="25">
        <f t="shared" si="265"/>
        <v>11007.82546143035</v>
      </c>
      <c r="P460" s="25">
        <f t="shared" si="266"/>
        <v>28145.244538569641</v>
      </c>
      <c r="Q460" s="25">
        <f t="array" aca="1" ref="Q460" ca="1">INDEX('Isaac 401k'!L:L,MATCH('Retirement Calculator'!A460,'Isaac 401k'!N:N,0),0)</f>
        <v>689745.40983094438</v>
      </c>
      <c r="R460" s="25">
        <f t="array" aca="1" ref="R460" ca="1">INDEX('Lorri 401b'!L:L,MATCH('Retirement Calculator'!A460,'Lorri 401b'!N:N,0),0)</f>
        <v>1830693.0884522807</v>
      </c>
      <c r="S460" s="25">
        <f t="shared" ca="1" si="267"/>
        <v>2520438.4982832251</v>
      </c>
    </row>
    <row r="461" spans="1:19" ht="15.75" customHeight="1" x14ac:dyDescent="0.3">
      <c r="A461" s="37">
        <v>64985</v>
      </c>
      <c r="B461" s="409">
        <f t="shared" ref="B461:C461" si="462">($A461-B$9)/365.25</f>
        <v>96.041067761806985</v>
      </c>
      <c r="C461" s="409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2192</v>
      </c>
      <c r="I461" s="25">
        <f>IF(C461&lt;62,0,'Combined Retirement'!$I$13)</f>
        <v>2420</v>
      </c>
      <c r="J461" s="25">
        <f t="shared" si="263"/>
        <v>7863.2184191855868</v>
      </c>
      <c r="K461" s="25">
        <f t="shared" si="264"/>
        <v>20282.026119384056</v>
      </c>
      <c r="L461" s="25"/>
      <c r="N461" s="25">
        <f>'Combined Retirement'!$C$18/12</f>
        <v>39153.069999999992</v>
      </c>
      <c r="O461" s="25">
        <f t="shared" si="265"/>
        <v>11007.82546143035</v>
      </c>
      <c r="P461" s="25">
        <f t="shared" si="266"/>
        <v>28145.244538569641</v>
      </c>
      <c r="Q461" s="25">
        <f t="array" aca="1" ref="Q461" ca="1">INDEX('Isaac 401k'!L:L,MATCH('Retirement Calculator'!A461,'Isaac 401k'!N:N,0),0)</f>
        <v>684723.36720930773</v>
      </c>
      <c r="R461" s="25">
        <f t="array" aca="1" ref="R461" ca="1">INDEX('Lorri 401b'!L:L,MATCH('Retirement Calculator'!A461,'Lorri 401b'!N:N,0),0)</f>
        <v>1817954.4417592839</v>
      </c>
      <c r="S461" s="25">
        <f t="shared" ca="1" si="267"/>
        <v>2502677.8089685915</v>
      </c>
    </row>
    <row r="462" spans="1:19" ht="15.75" customHeight="1" x14ac:dyDescent="0.3">
      <c r="A462" s="37">
        <v>65016</v>
      </c>
      <c r="B462" s="409">
        <f t="shared" ref="B462:C462" si="463">($A462-B$9)/365.25</f>
        <v>96.12594113620807</v>
      </c>
      <c r="C462" s="409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2192</v>
      </c>
      <c r="I462" s="25">
        <f>IF(C462&lt;62,0,'Combined Retirement'!$I$13)</f>
        <v>2420</v>
      </c>
      <c r="J462" s="25">
        <f t="shared" si="263"/>
        <v>7863.2184191855868</v>
      </c>
      <c r="K462" s="25">
        <f t="shared" si="264"/>
        <v>20282.026119384056</v>
      </c>
      <c r="L462" s="25"/>
      <c r="N462" s="25">
        <f>'Combined Retirement'!$C$18/12</f>
        <v>39153.069999999992</v>
      </c>
      <c r="O462" s="25">
        <f t="shared" si="265"/>
        <v>11007.82546143035</v>
      </c>
      <c r="P462" s="25">
        <f t="shared" si="266"/>
        <v>28145.244538569641</v>
      </c>
      <c r="Q462" s="25">
        <f t="array" aca="1" ref="Q462" ca="1">INDEX('Isaac 401k'!L:L,MATCH('Retirement Calculator'!A462,'Isaac 401k'!N:N,0),0)</f>
        <v>679680.39941008098</v>
      </c>
      <c r="R462" s="25">
        <f t="array" aca="1" ref="R462" ca="1">INDEX('Lorri 401b'!L:L,MATCH('Retirement Calculator'!A462,'Lorri 401b'!N:N,0),0)</f>
        <v>1805162.7173717329</v>
      </c>
      <c r="S462" s="25">
        <f t="shared" ca="1" si="267"/>
        <v>2484843.116781814</v>
      </c>
    </row>
    <row r="463" spans="1:19" ht="15.75" customHeight="1" x14ac:dyDescent="0.3">
      <c r="A463" s="37">
        <v>65047</v>
      </c>
      <c r="B463" s="409">
        <f t="shared" ref="B463:C463" si="464">($A463-B$9)/365.25</f>
        <v>96.210814510609168</v>
      </c>
      <c r="C463" s="409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2192</v>
      </c>
      <c r="I463" s="25">
        <f>IF(C463&lt;62,0,'Combined Retirement'!$I$13)</f>
        <v>2420</v>
      </c>
      <c r="J463" s="25">
        <f t="shared" si="263"/>
        <v>7863.2184191855868</v>
      </c>
      <c r="K463" s="25">
        <f t="shared" si="264"/>
        <v>20282.026119384056</v>
      </c>
      <c r="L463" s="25"/>
      <c r="N463" s="25">
        <f>'Combined Retirement'!$C$18/12</f>
        <v>39153.069999999992</v>
      </c>
      <c r="O463" s="25">
        <f t="shared" si="265"/>
        <v>11007.82546143035</v>
      </c>
      <c r="P463" s="25">
        <f t="shared" si="266"/>
        <v>28145.244538569641</v>
      </c>
      <c r="Q463" s="25">
        <f t="array" aca="1" ref="Q463" ca="1">INDEX('Isaac 401k'!L:L,MATCH('Retirement Calculator'!A463,'Isaac 401k'!N:N,0),0)</f>
        <v>674616.4192450241</v>
      </c>
      <c r="R463" s="25">
        <f t="array" aca="1" ref="R463" ca="1">INDEX('Lorri 401b'!L:L,MATCH('Retirement Calculator'!A463,'Lorri 401b'!N:N,0),0)</f>
        <v>1792317.6941325672</v>
      </c>
      <c r="S463" s="25">
        <f t="shared" ca="1" si="267"/>
        <v>2466934.1133775911</v>
      </c>
    </row>
    <row r="464" spans="1:19" ht="15.75" customHeight="1" x14ac:dyDescent="0.3">
      <c r="A464" s="37">
        <v>65075</v>
      </c>
      <c r="B464" s="409">
        <f t="shared" ref="B464:C464" si="465">($A464-B$9)/365.25</f>
        <v>96.28747433264887</v>
      </c>
      <c r="C464" s="409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2192</v>
      </c>
      <c r="I464" s="25">
        <f>IF(C464&lt;62,0,'Combined Retirement'!$I$13)</f>
        <v>2420</v>
      </c>
      <c r="J464" s="25">
        <f t="shared" si="263"/>
        <v>7863.2184191855868</v>
      </c>
      <c r="K464" s="25">
        <f t="shared" si="264"/>
        <v>20282.026119384056</v>
      </c>
      <c r="L464" s="25"/>
      <c r="N464" s="25">
        <f>'Combined Retirement'!$C$18/12</f>
        <v>39153.069999999992</v>
      </c>
      <c r="O464" s="25">
        <f t="shared" si="265"/>
        <v>11007.82546143035</v>
      </c>
      <c r="P464" s="25">
        <f t="shared" si="266"/>
        <v>28145.244538569641</v>
      </c>
      <c r="Q464" s="25">
        <f t="array" aca="1" ref="Q464" ca="1">INDEX('Isaac 401k'!L:L,MATCH('Retirement Calculator'!A464,'Isaac 401k'!N:N,0),0)</f>
        <v>669531.3391626128</v>
      </c>
      <c r="R464" s="25">
        <f t="array" aca="1" ref="R464" ca="1">INDEX('Lorri 401b'!L:L,MATCH('Retirement Calculator'!A464,'Lorri 401b'!N:N,0),0)</f>
        <v>1779419.149963238</v>
      </c>
      <c r="S464" s="25">
        <f t="shared" ca="1" si="267"/>
        <v>2448950.4891258506</v>
      </c>
    </row>
    <row r="465" spans="1:19" ht="15.75" customHeight="1" x14ac:dyDescent="0.3">
      <c r="A465" s="37">
        <v>65106</v>
      </c>
      <c r="B465" s="409">
        <f t="shared" ref="B465:C465" si="466">($A465-B$9)/365.25</f>
        <v>96.372347707049968</v>
      </c>
      <c r="C465" s="409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2192</v>
      </c>
      <c r="I465" s="25">
        <f>IF(C465&lt;62,0,'Combined Retirement'!$I$13)</f>
        <v>2420</v>
      </c>
      <c r="J465" s="25">
        <f t="shared" si="263"/>
        <v>7863.2184191855868</v>
      </c>
      <c r="K465" s="25">
        <f t="shared" si="264"/>
        <v>20282.026119384056</v>
      </c>
      <c r="L465" s="25"/>
      <c r="N465" s="25">
        <f>'Combined Retirement'!$C$18/12</f>
        <v>39153.069999999992</v>
      </c>
      <c r="O465" s="25">
        <f t="shared" si="265"/>
        <v>11007.82546143035</v>
      </c>
      <c r="P465" s="25">
        <f t="shared" si="266"/>
        <v>28145.244538569641</v>
      </c>
      <c r="Q465" s="25">
        <f t="array" aca="1" ref="Q465" ca="1">INDEX('Isaac 401k'!L:L,MATCH('Retirement Calculator'!A465,'Isaac 401k'!N:N,0),0)</f>
        <v>664425.07124652481</v>
      </c>
      <c r="R465" s="25">
        <f t="array" aca="1" ref="R465" ca="1">INDEX('Lorri 401b'!L:L,MATCH('Retirement Calculator'!A465,'Lorri 401b'!N:N,0),0)</f>
        <v>1766466.8618598701</v>
      </c>
      <c r="S465" s="25">
        <f t="shared" ca="1" si="267"/>
        <v>2430891.933106395</v>
      </c>
    </row>
    <row r="466" spans="1:19" ht="15.75" customHeight="1" x14ac:dyDescent="0.3">
      <c r="A466" s="37">
        <v>65136</v>
      </c>
      <c r="B466" s="409">
        <f t="shared" ref="B466:C466" si="467">($A466-B$9)/365.25</f>
        <v>96.454483230663925</v>
      </c>
      <c r="C466" s="409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2192</v>
      </c>
      <c r="I466" s="25">
        <f>IF(C466&lt;62,0,'Combined Retirement'!$I$13)</f>
        <v>2420</v>
      </c>
      <c r="J466" s="25">
        <f t="shared" si="263"/>
        <v>7863.2184191855868</v>
      </c>
      <c r="K466" s="25">
        <f t="shared" si="264"/>
        <v>20282.026119384056</v>
      </c>
      <c r="L466" s="25"/>
      <c r="N466" s="25">
        <f>'Combined Retirement'!$C$18/12</f>
        <v>39153.069999999992</v>
      </c>
      <c r="O466" s="25">
        <f t="shared" si="265"/>
        <v>11007.82546143035</v>
      </c>
      <c r="P466" s="25">
        <f t="shared" si="266"/>
        <v>28145.244538569641</v>
      </c>
      <c r="Q466" s="25">
        <f t="array" aca="1" ref="Q466" ca="1">INDEX('Isaac 401k'!L:L,MATCH('Retirement Calculator'!A466,'Isaac 401k'!N:N,0),0)</f>
        <v>659297.52721411979</v>
      </c>
      <c r="R466" s="25">
        <f t="array" aca="1" ref="R466" ca="1">INDEX('Lorri 401b'!L:L,MATCH('Retirement Calculator'!A466,'Lorri 401b'!N:N,0),0)</f>
        <v>1753460.6058894049</v>
      </c>
      <c r="S466" s="25">
        <f t="shared" ca="1" si="267"/>
        <v>2412758.1331035248</v>
      </c>
    </row>
    <row r="467" spans="1:19" ht="15.75" customHeight="1" x14ac:dyDescent="0.3">
      <c r="A467" s="37">
        <v>65167</v>
      </c>
      <c r="B467" s="409">
        <f t="shared" ref="B467:C467" si="468">($A467-B$9)/365.25</f>
        <v>96.539356605065024</v>
      </c>
      <c r="C467" s="409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2192</v>
      </c>
      <c r="I467" s="25">
        <f>IF(C467&lt;62,0,'Combined Retirement'!$I$13)</f>
        <v>2420</v>
      </c>
      <c r="J467" s="25">
        <f t="shared" si="263"/>
        <v>7863.2184191855868</v>
      </c>
      <c r="K467" s="25">
        <f t="shared" si="264"/>
        <v>20282.026119384056</v>
      </c>
      <c r="L467" s="25"/>
      <c r="N467" s="25">
        <f>'Combined Retirement'!$C$18/12</f>
        <v>39153.069999999992</v>
      </c>
      <c r="O467" s="25">
        <f t="shared" si="265"/>
        <v>11007.82546143035</v>
      </c>
      <c r="P467" s="25">
        <f t="shared" si="266"/>
        <v>28145.244538569641</v>
      </c>
      <c r="Q467" s="25">
        <f t="array" aca="1" ref="Q467" ca="1">INDEX('Isaac 401k'!L:L,MATCH('Retirement Calculator'!A467,'Isaac 401k'!N:N,0),0)</f>
        <v>654148.61841491307</v>
      </c>
      <c r="R467" s="25">
        <f t="array" aca="1" ref="R467" ca="1">INDEX('Lorri 401b'!L:L,MATCH('Retirement Calculator'!A467,'Lorri 401b'!N:N,0),0)</f>
        <v>1740400.1571857294</v>
      </c>
      <c r="S467" s="25">
        <f t="shared" ca="1" si="267"/>
        <v>2394548.7756006424</v>
      </c>
    </row>
    <row r="468" spans="1:19" ht="15.75" customHeight="1" x14ac:dyDescent="0.3">
      <c r="A468" s="37">
        <v>65197</v>
      </c>
      <c r="B468" s="409">
        <f t="shared" ref="B468:C468" si="469">($A468-B$9)/365.25</f>
        <v>96.62149212867898</v>
      </c>
      <c r="C468" s="409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2192</v>
      </c>
      <c r="I468" s="25">
        <f>IF(C468&lt;62,0,'Combined Retirement'!$I$13)</f>
        <v>2420</v>
      </c>
      <c r="J468" s="25">
        <f t="shared" si="263"/>
        <v>7863.2184191855868</v>
      </c>
      <c r="K468" s="25">
        <f t="shared" si="264"/>
        <v>20282.026119384056</v>
      </c>
      <c r="L468" s="25"/>
      <c r="N468" s="25">
        <f>'Combined Retirement'!$C$18/12</f>
        <v>39153.069999999992</v>
      </c>
      <c r="O468" s="25">
        <f t="shared" si="265"/>
        <v>11007.82546143035</v>
      </c>
      <c r="P468" s="25">
        <f t="shared" si="266"/>
        <v>28145.244538569641</v>
      </c>
      <c r="Q468" s="25">
        <f t="array" aca="1" ref="Q468" ca="1">INDEX('Isaac 401k'!L:L,MATCH('Retirement Calculator'!A468,'Isaac 401k'!N:N,0),0)</f>
        <v>648978.25582904299</v>
      </c>
      <c r="R468" s="25">
        <f t="array" aca="1" ref="R468" ca="1">INDEX('Lorri 401b'!L:L,MATCH('Retirement Calculator'!A468,'Lorri 401b'!N:N,0),0)</f>
        <v>1727285.2899457884</v>
      </c>
      <c r="S468" s="25">
        <f t="shared" ca="1" si="267"/>
        <v>2376263.5457748314</v>
      </c>
    </row>
    <row r="469" spans="1:19" ht="15.75" customHeight="1" x14ac:dyDescent="0.3">
      <c r="A469" s="37">
        <v>65228</v>
      </c>
      <c r="B469" s="409">
        <f t="shared" ref="B469:C469" si="470">($A469-B$9)/365.25</f>
        <v>96.706365503080079</v>
      </c>
      <c r="C469" s="409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2192</v>
      </c>
      <c r="I469" s="25">
        <f>IF(C469&lt;62,0,'Combined Retirement'!$I$13)</f>
        <v>2420</v>
      </c>
      <c r="J469" s="25">
        <f t="shared" si="263"/>
        <v>7863.2184191855868</v>
      </c>
      <c r="K469" s="25">
        <f t="shared" si="264"/>
        <v>20282.026119384056</v>
      </c>
      <c r="L469" s="25"/>
      <c r="N469" s="25">
        <f>'Combined Retirement'!$C$18/12</f>
        <v>39153.069999999992</v>
      </c>
      <c r="O469" s="25">
        <f t="shared" si="265"/>
        <v>11007.82546143035</v>
      </c>
      <c r="P469" s="25">
        <f t="shared" si="266"/>
        <v>28145.244538569641</v>
      </c>
      <c r="Q469" s="25">
        <f t="array" aca="1" ref="Q469" ca="1">INDEX('Isaac 401k'!L:L,MATCH('Retirement Calculator'!A469,'Isaac 401k'!N:N,0),0)</f>
        <v>643786.35006573179</v>
      </c>
      <c r="R469" s="25">
        <f t="array" aca="1" ref="R469" ca="1">INDEX('Lorri 401b'!L:L,MATCH('Retirement Calculator'!A469,'Lorri 401b'!N:N,0),0)</f>
        <v>1714115.7774256812</v>
      </c>
      <c r="S469" s="25">
        <f t="shared" ca="1" si="267"/>
        <v>2357902.1274914131</v>
      </c>
    </row>
    <row r="470" spans="1:19" ht="15.75" customHeight="1" x14ac:dyDescent="0.3">
      <c r="A470" s="37">
        <v>65259</v>
      </c>
      <c r="B470" s="409">
        <f t="shared" ref="B470:C470" si="471">($A470-B$9)/365.25</f>
        <v>96.791238877481177</v>
      </c>
      <c r="C470" s="409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2192</v>
      </c>
      <c r="I470" s="25">
        <f>IF(C470&lt;62,0,'Combined Retirement'!$I$13)</f>
        <v>2420</v>
      </c>
      <c r="J470" s="25">
        <f t="shared" si="263"/>
        <v>7863.2184191855868</v>
      </c>
      <c r="K470" s="25">
        <f t="shared" si="264"/>
        <v>20282.026119384056</v>
      </c>
      <c r="L470" s="25"/>
      <c r="N470" s="25">
        <f>'Combined Retirement'!$C$18/12</f>
        <v>39153.069999999992</v>
      </c>
      <c r="O470" s="25">
        <f t="shared" si="265"/>
        <v>11007.82546143035</v>
      </c>
      <c r="P470" s="25">
        <f t="shared" si="266"/>
        <v>28145.244538569641</v>
      </c>
      <c r="Q470" s="25">
        <f t="array" aca="1" ref="Q470" ca="1">INDEX('Isaac 401k'!L:L,MATCH('Retirement Calculator'!A470,'Isaac 401k'!N:N,0),0)</f>
        <v>638572.81136174011</v>
      </c>
      <c r="R470" s="25">
        <f t="array" aca="1" ref="R470" ca="1">INDEX('Lorri 401b'!L:L,MATCH('Retirement Calculator'!A470,'Lorri 401b'!N:N,0),0)</f>
        <v>1700891.3919367401</v>
      </c>
      <c r="S470" s="25">
        <f t="shared" ca="1" si="267"/>
        <v>2339464.2032984802</v>
      </c>
    </row>
    <row r="471" spans="1:19" ht="15.75" customHeight="1" x14ac:dyDescent="0.3">
      <c r="A471" s="37">
        <v>65289</v>
      </c>
      <c r="B471" s="409">
        <f t="shared" ref="B471:C471" si="472">($A471-B$9)/365.25</f>
        <v>96.873374401095134</v>
      </c>
      <c r="C471" s="409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2192</v>
      </c>
      <c r="I471" s="25">
        <f>IF(C471&lt;62,0,'Combined Retirement'!$I$13)</f>
        <v>2420</v>
      </c>
      <c r="J471" s="25">
        <f t="shared" si="263"/>
        <v>7863.2184191855868</v>
      </c>
      <c r="K471" s="25">
        <f t="shared" si="264"/>
        <v>20282.026119384056</v>
      </c>
      <c r="L471" s="25"/>
      <c r="N471" s="25">
        <f>'Combined Retirement'!$C$18/12</f>
        <v>39153.069999999992</v>
      </c>
      <c r="O471" s="25">
        <f t="shared" si="265"/>
        <v>11007.82546143035</v>
      </c>
      <c r="P471" s="25">
        <f t="shared" si="266"/>
        <v>28145.244538569641</v>
      </c>
      <c r="Q471" s="25">
        <f t="array" aca="1" ref="Q471" ca="1">INDEX('Isaac 401k'!L:L,MATCH('Retirement Calculator'!A471,'Isaac 401k'!N:N,0),0)</f>
        <v>633337.54957981512</v>
      </c>
      <c r="R471" s="25">
        <f t="array" aca="1" ref="R471" ca="1">INDEX('Lorri 401b'!L:L,MATCH('Retirement Calculator'!A471,'Lorri 401b'!N:N,0),0)</f>
        <v>1687611.9048415951</v>
      </c>
      <c r="S471" s="25">
        <f t="shared" ca="1" si="267"/>
        <v>2320949.4544214103</v>
      </c>
    </row>
    <row r="472" spans="1:19" ht="15.75" customHeight="1" x14ac:dyDescent="0.3">
      <c r="A472" s="37">
        <v>65320</v>
      </c>
      <c r="B472" s="409">
        <f t="shared" ref="B472:C472" si="473">($A472-B$9)/365.25</f>
        <v>96.958247775496233</v>
      </c>
      <c r="C472" s="409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2192</v>
      </c>
      <c r="I472" s="25">
        <f>IF(C472&lt;62,0,'Combined Retirement'!$I$13)</f>
        <v>2420</v>
      </c>
      <c r="J472" s="25">
        <f t="shared" si="263"/>
        <v>7863.2184191855868</v>
      </c>
      <c r="K472" s="25">
        <f t="shared" si="264"/>
        <v>20282.026119384056</v>
      </c>
      <c r="L472" s="25"/>
      <c r="N472" s="25">
        <f>'Combined Retirement'!$C$18/12</f>
        <v>39153.069999999992</v>
      </c>
      <c r="O472" s="25">
        <f t="shared" si="265"/>
        <v>11007.82546143035</v>
      </c>
      <c r="P472" s="25">
        <f t="shared" si="266"/>
        <v>28145.244538569641</v>
      </c>
      <c r="Q472" s="25">
        <f t="array" aca="1" ref="Q472" ca="1">INDEX('Isaac 401k'!L:L,MATCH('Retirement Calculator'!A472,'Isaac 401k'!N:N,0),0)</f>
        <v>628080.47420713212</v>
      </c>
      <c r="R472" s="25">
        <f t="array" aca="1" ref="R472" ca="1">INDEX('Lorri 401b'!L:L,MATCH('Retirement Calculator'!A472,'Lorri 401b'!N:N,0),0)</f>
        <v>1674277.0865502204</v>
      </c>
      <c r="S472" s="25">
        <f t="shared" ca="1" si="267"/>
        <v>2302357.5607573525</v>
      </c>
    </row>
    <row r="473" spans="1:19" ht="15.75" customHeight="1" x14ac:dyDescent="0.3">
      <c r="A473" s="37">
        <v>65350</v>
      </c>
      <c r="B473" s="409">
        <f t="shared" ref="B473:C473" si="474">($A473-B$9)/365.25</f>
        <v>97.040383299110204</v>
      </c>
      <c r="C473" s="409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2192</v>
      </c>
      <c r="I473" s="25">
        <f>IF(C473&lt;62,0,'Combined Retirement'!$I$13)</f>
        <v>2420</v>
      </c>
      <c r="J473" s="25">
        <f t="shared" si="263"/>
        <v>7863.2184191855868</v>
      </c>
      <c r="K473" s="25">
        <f t="shared" si="264"/>
        <v>20282.026119384056</v>
      </c>
      <c r="L473" s="25"/>
      <c r="N473" s="25">
        <f>'Combined Retirement'!$C$18/12</f>
        <v>39153.069999999992</v>
      </c>
      <c r="O473" s="25">
        <f t="shared" si="265"/>
        <v>11007.82546143035</v>
      </c>
      <c r="P473" s="25">
        <f t="shared" si="266"/>
        <v>28145.244538569641</v>
      </c>
      <c r="Q473" s="25">
        <f t="array" aca="1" ref="Q473" ca="1">INDEX('Isaac 401k'!L:L,MATCH('Retirement Calculator'!A473,'Isaac 401k'!N:N,0),0)</f>
        <v>622801.49435372965</v>
      </c>
      <c r="R473" s="25">
        <f t="array" aca="1" ref="R473" ca="1">INDEX('Lorri 401b'!L:L,MATCH('Retirement Calculator'!A473,'Lorri 401b'!N:N,0),0)</f>
        <v>1660886.7065159648</v>
      </c>
      <c r="S473" s="25">
        <f t="shared" ca="1" si="267"/>
        <v>2283688.2008696944</v>
      </c>
    </row>
    <row r="474" spans="1:19" ht="15.75" customHeight="1" x14ac:dyDescent="0.3">
      <c r="A474" s="37">
        <v>65381</v>
      </c>
      <c r="B474" s="409">
        <f t="shared" ref="B474:C474" si="475">($A474-B$9)/365.25</f>
        <v>97.125256673511288</v>
      </c>
      <c r="C474" s="409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2192</v>
      </c>
      <c r="I474" s="25">
        <f>IF(C474&lt;62,0,'Combined Retirement'!$I$13)</f>
        <v>2420</v>
      </c>
      <c r="J474" s="25">
        <f t="shared" si="263"/>
        <v>7863.2184191855868</v>
      </c>
      <c r="K474" s="25">
        <f t="shared" si="264"/>
        <v>20282.026119384056</v>
      </c>
      <c r="L474" s="25"/>
      <c r="N474" s="25">
        <f>'Combined Retirement'!$C$18/12</f>
        <v>39153.069999999992</v>
      </c>
      <c r="O474" s="25">
        <f t="shared" si="265"/>
        <v>11007.82546143035</v>
      </c>
      <c r="P474" s="25">
        <f t="shared" si="266"/>
        <v>28145.244538569641</v>
      </c>
      <c r="Q474" s="25">
        <f t="array" aca="1" ref="Q474" ca="1">INDEX('Isaac 401k'!L:L,MATCH('Retirement Calculator'!A474,'Isaac 401k'!N:N,0),0)</f>
        <v>617500.518750938</v>
      </c>
      <c r="R474" s="25">
        <f t="array" aca="1" ref="R474" ca="1">INDEX('Lorri 401b'!L:L,MATCH('Retirement Calculator'!A474,'Lorri 401b'!N:N,0),0)</f>
        <v>1647440.5332315667</v>
      </c>
      <c r="S474" s="25">
        <f t="shared" ca="1" si="267"/>
        <v>2264941.0519825048</v>
      </c>
    </row>
    <row r="475" spans="1:19" ht="15.75" customHeight="1" x14ac:dyDescent="0.3">
      <c r="A475" s="37">
        <v>65412</v>
      </c>
      <c r="B475" s="409">
        <f t="shared" ref="B475:C475" si="476">($A475-B$9)/365.25</f>
        <v>97.210130047912386</v>
      </c>
      <c r="C475" s="409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2192</v>
      </c>
      <c r="I475" s="25">
        <f>IF(C475&lt;62,0,'Combined Retirement'!$I$13)</f>
        <v>2420</v>
      </c>
      <c r="J475" s="25">
        <f t="shared" si="263"/>
        <v>7863.2184191855868</v>
      </c>
      <c r="K475" s="25">
        <f t="shared" si="264"/>
        <v>20282.026119384056</v>
      </c>
      <c r="L475" s="25"/>
      <c r="N475" s="25">
        <f>'Combined Retirement'!$C$18/12</f>
        <v>39153.069999999992</v>
      </c>
      <c r="O475" s="25">
        <f t="shared" si="265"/>
        <v>11007.82546143035</v>
      </c>
      <c r="P475" s="25">
        <f t="shared" si="266"/>
        <v>28145.244538569641</v>
      </c>
      <c r="Q475" s="25">
        <f t="array" aca="1" ref="Q475" ca="1">INDEX('Isaac 401k'!L:L,MATCH('Retirement Calculator'!A475,'Isaac 401k'!N:N,0),0)</f>
        <v>612177.45574980136</v>
      </c>
      <c r="R475" s="25">
        <f t="array" aca="1" ref="R475" ca="1">INDEX('Lorri 401b'!L:L,MATCH('Retirement Calculator'!A475,'Lorri 401b'!N:N,0),0)</f>
        <v>1633938.3342251501</v>
      </c>
      <c r="S475" s="25">
        <f t="shared" ca="1" si="267"/>
        <v>2246115.7899749512</v>
      </c>
    </row>
    <row r="476" spans="1:19" ht="15.75" customHeight="1" x14ac:dyDescent="0.3">
      <c r="A476" s="37">
        <v>65440</v>
      </c>
      <c r="B476" s="409">
        <f t="shared" ref="B476:C476" si="477">($A476-B$9)/365.25</f>
        <v>97.286789869952088</v>
      </c>
      <c r="C476" s="409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2192</v>
      </c>
      <c r="I476" s="25">
        <f>IF(C476&lt;62,0,'Combined Retirement'!$I$13)</f>
        <v>2420</v>
      </c>
      <c r="J476" s="25">
        <f t="shared" si="263"/>
        <v>7863.2184191855868</v>
      </c>
      <c r="K476" s="25">
        <f t="shared" si="264"/>
        <v>20282.026119384056</v>
      </c>
      <c r="L476" s="25"/>
      <c r="N476" s="25">
        <f>'Combined Retirement'!$C$18/12</f>
        <v>39153.069999999992</v>
      </c>
      <c r="O476" s="25">
        <f t="shared" si="265"/>
        <v>11007.82546143035</v>
      </c>
      <c r="P476" s="25">
        <f t="shared" si="266"/>
        <v>28145.244538569641</v>
      </c>
      <c r="Q476" s="25">
        <f t="array" aca="1" ref="Q476" ca="1">INDEX('Isaac 401k'!L:L,MATCH('Retirement Calculator'!A476,'Isaac 401k'!N:N,0),0)</f>
        <v>606832.21331949334</v>
      </c>
      <c r="R476" s="25">
        <f t="array" aca="1" ref="R476" ca="1">INDEX('Lorri 401b'!L:L,MATCH('Retirement Calculator'!A476,'Lorri 401b'!N:N,0),0)</f>
        <v>1620379.8760562069</v>
      </c>
      <c r="S476" s="25">
        <f t="shared" ca="1" si="267"/>
        <v>2227212.0893757003</v>
      </c>
    </row>
    <row r="477" spans="1:19" ht="15.75" customHeight="1" x14ac:dyDescent="0.3">
      <c r="A477" s="37">
        <v>65471</v>
      </c>
      <c r="B477" s="409">
        <f t="shared" ref="B477:C477" si="478">($A477-B$9)/365.25</f>
        <v>97.371663244353186</v>
      </c>
      <c r="C477" s="409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2192</v>
      </c>
      <c r="I477" s="25">
        <f>IF(C477&lt;62,0,'Combined Retirement'!$I$13)</f>
        <v>2420</v>
      </c>
      <c r="J477" s="25">
        <f t="shared" si="263"/>
        <v>7863.2184191855868</v>
      </c>
      <c r="K477" s="25">
        <f t="shared" si="264"/>
        <v>20282.026119384056</v>
      </c>
      <c r="L477" s="25"/>
      <c r="N477" s="25">
        <f>'Combined Retirement'!$C$18/12</f>
        <v>39153.069999999992</v>
      </c>
      <c r="O477" s="25">
        <f t="shared" si="265"/>
        <v>11007.82546143035</v>
      </c>
      <c r="P477" s="25">
        <f t="shared" si="266"/>
        <v>28145.244538569641</v>
      </c>
      <c r="Q477" s="25">
        <f t="array" aca="1" ref="Q477" ca="1">INDEX('Isaac 401k'!L:L,MATCH('Retirement Calculator'!A477,'Isaac 401k'!N:N,0),0)</f>
        <v>601464.69904572563</v>
      </c>
      <c r="R477" s="25">
        <f t="array" aca="1" ref="R477" ca="1">INDEX('Lorri 401b'!L:L,MATCH('Retirement Calculator'!A477,'Lorri 401b'!N:N,0),0)</f>
        <v>1606764.9243115596</v>
      </c>
      <c r="S477" s="25">
        <f t="shared" ca="1" si="267"/>
        <v>2208229.6233572853</v>
      </c>
    </row>
    <row r="478" spans="1:19" ht="15.75" customHeight="1" x14ac:dyDescent="0.3">
      <c r="A478" s="37">
        <v>65501</v>
      </c>
      <c r="B478" s="409">
        <f t="shared" ref="B478:C478" si="479">($A478-B$9)/365.25</f>
        <v>97.453798767967143</v>
      </c>
      <c r="C478" s="409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2192</v>
      </c>
      <c r="I478" s="25">
        <f>IF(C478&lt;62,0,'Combined Retirement'!$I$13)</f>
        <v>2420</v>
      </c>
      <c r="J478" s="25">
        <f t="shared" si="263"/>
        <v>7863.2184191855868</v>
      </c>
      <c r="K478" s="25">
        <f t="shared" si="264"/>
        <v>20282.026119384056</v>
      </c>
      <c r="L478" s="25"/>
      <c r="N478" s="25">
        <f>'Combined Retirement'!$C$18/12</f>
        <v>39153.069999999992</v>
      </c>
      <c r="O478" s="25">
        <f t="shared" si="265"/>
        <v>11007.82546143035</v>
      </c>
      <c r="P478" s="25">
        <f t="shared" si="266"/>
        <v>28145.244538569641</v>
      </c>
      <c r="Q478" s="25">
        <f t="array" aca="1" ref="Q478" ca="1">INDEX('Isaac 401k'!L:L,MATCH('Retirement Calculator'!A478,'Isaac 401k'!N:N,0),0)</f>
        <v>596074.82012915064</v>
      </c>
      <c r="R478" s="25">
        <f t="array" aca="1" ref="R478" ca="1">INDEX('Lorri 401b'!L:L,MATCH('Retirement Calculator'!A478,'Lorri 401b'!N:N,0),0)</f>
        <v>1593093.2436013098</v>
      </c>
      <c r="S478" s="25">
        <f t="shared" ca="1" si="267"/>
        <v>2189168.0637304606</v>
      </c>
    </row>
    <row r="479" spans="1:19" ht="15.75" customHeight="1" x14ac:dyDescent="0.3">
      <c r="A479" s="37">
        <v>65532</v>
      </c>
      <c r="B479" s="409">
        <f t="shared" ref="B479:C479" si="480">($A479-B$9)/365.25</f>
        <v>97.538672142368242</v>
      </c>
      <c r="C479" s="409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2192</v>
      </c>
      <c r="I479" s="25">
        <f>IF(C479&lt;62,0,'Combined Retirement'!$I$13)</f>
        <v>2420</v>
      </c>
      <c r="J479" s="25">
        <f t="shared" si="263"/>
        <v>7863.2184191855868</v>
      </c>
      <c r="K479" s="25">
        <f t="shared" si="264"/>
        <v>20282.026119384056</v>
      </c>
      <c r="L479" s="25"/>
      <c r="N479" s="25">
        <f>'Combined Retirement'!$C$18/12</f>
        <v>39153.069999999992</v>
      </c>
      <c r="O479" s="25">
        <f t="shared" si="265"/>
        <v>11007.82546143035</v>
      </c>
      <c r="P479" s="25">
        <f t="shared" si="266"/>
        <v>28145.244538569641</v>
      </c>
      <c r="Q479" s="25">
        <f t="array" aca="1" ref="Q479" ca="1">INDEX('Isaac 401k'!L:L,MATCH('Retirement Calculator'!A479,'Isaac 401k'!N:N,0),0)</f>
        <v>590662.4833837566</v>
      </c>
      <c r="R479" s="25">
        <f t="array" aca="1" ref="R479" ca="1">INDEX('Lorri 401b'!L:L,MATCH('Retirement Calculator'!A479,'Lorri 401b'!N:N,0),0)</f>
        <v>1579364.5975547673</v>
      </c>
      <c r="S479" s="25">
        <f t="shared" ca="1" si="267"/>
        <v>2170027.0809385236</v>
      </c>
    </row>
    <row r="480" spans="1:19" ht="15.75" customHeight="1" x14ac:dyDescent="0.3">
      <c r="A480" s="37">
        <v>65562</v>
      </c>
      <c r="B480" s="409">
        <f t="shared" ref="B480:C480" si="481">($A480-B$9)/365.25</f>
        <v>97.620807665982198</v>
      </c>
      <c r="C480" s="409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2192</v>
      </c>
      <c r="I480" s="25">
        <f>IF(C480&lt;62,0,'Combined Retirement'!$I$13)</f>
        <v>2420</v>
      </c>
      <c r="J480" s="25">
        <f t="shared" si="263"/>
        <v>7863.2184191855868</v>
      </c>
      <c r="K480" s="25">
        <f t="shared" si="264"/>
        <v>20282.026119384056</v>
      </c>
      <c r="L480" s="25"/>
      <c r="N480" s="25">
        <f>'Combined Retirement'!$C$18/12</f>
        <v>39153.069999999992</v>
      </c>
      <c r="O480" s="25">
        <f t="shared" si="265"/>
        <v>11007.82546143035</v>
      </c>
      <c r="P480" s="25">
        <f t="shared" si="266"/>
        <v>28145.244538569641</v>
      </c>
      <c r="Q480" s="25">
        <f t="array" aca="1" ref="Q480" ca="1">INDEX('Isaac 401k'!L:L,MATCH('Retirement Calculator'!A480,'Isaac 401k'!N:N,0),0)</f>
        <v>585227.59523525671</v>
      </c>
      <c r="R480" s="25">
        <f t="array" aca="1" ref="R480" ca="1">INDEX('Lorri 401b'!L:L,MATCH('Retirement Calculator'!A480,'Lorri 401b'!N:N,0),0)</f>
        <v>1565578.748816364</v>
      </c>
      <c r="S480" s="25">
        <f t="shared" ca="1" si="267"/>
        <v>2150806.3440516209</v>
      </c>
    </row>
    <row r="481" spans="1:19" ht="15.75" customHeight="1" x14ac:dyDescent="0.3">
      <c r="A481" s="37">
        <v>65593</v>
      </c>
      <c r="B481" s="409">
        <f t="shared" ref="B481:C481" si="482">($A481-B$9)/365.25</f>
        <v>97.705681040383297</v>
      </c>
      <c r="C481" s="409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2192</v>
      </c>
      <c r="I481" s="25">
        <f>IF(C481&lt;62,0,'Combined Retirement'!$I$13)</f>
        <v>2420</v>
      </c>
      <c r="J481" s="25">
        <f t="shared" si="263"/>
        <v>7863.2184191855868</v>
      </c>
      <c r="K481" s="25">
        <f t="shared" si="264"/>
        <v>20282.026119384056</v>
      </c>
      <c r="L481" s="25"/>
      <c r="N481" s="25">
        <f>'Combined Retirement'!$C$18/12</f>
        <v>39153.069999999992</v>
      </c>
      <c r="O481" s="25">
        <f t="shared" si="265"/>
        <v>11007.82546143035</v>
      </c>
      <c r="P481" s="25">
        <f t="shared" si="266"/>
        <v>28145.244538569641</v>
      </c>
      <c r="Q481" s="25">
        <f t="array" aca="1" ref="Q481" ca="1">INDEX('Isaac 401k'!L:L,MATCH('Retirement Calculator'!A481,'Isaac 401k'!N:N,0),0)</f>
        <v>579770.06171947136</v>
      </c>
      <c r="R481" s="25">
        <f t="array" aca="1" ref="R481" ca="1">INDEX('Lorri 401b'!L:L,MATCH('Retirement Calculator'!A481,'Lorri 401b'!N:N,0),0)</f>
        <v>1551735.4590415508</v>
      </c>
      <c r="S481" s="25">
        <f t="shared" ca="1" si="267"/>
        <v>2131505.5207610223</v>
      </c>
    </row>
    <row r="482" spans="1:19" ht="15.75" customHeight="1" x14ac:dyDescent="0.3">
      <c r="A482" s="37">
        <v>65624</v>
      </c>
      <c r="B482" s="409">
        <f t="shared" ref="B482:C482" si="483">($A482-B$9)/365.25</f>
        <v>97.790554414784395</v>
      </c>
      <c r="C482" s="409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2192</v>
      </c>
      <c r="I482" s="25">
        <f>IF(C482&lt;62,0,'Combined Retirement'!$I$13)</f>
        <v>2420</v>
      </c>
      <c r="J482" s="25">
        <f t="shared" si="263"/>
        <v>7863.2184191855868</v>
      </c>
      <c r="K482" s="25">
        <f t="shared" si="264"/>
        <v>20282.026119384056</v>
      </c>
      <c r="L482" s="25"/>
      <c r="N482" s="25">
        <f>'Combined Retirement'!$C$18/12</f>
        <v>39153.069999999992</v>
      </c>
      <c r="O482" s="25">
        <f t="shared" si="265"/>
        <v>11007.82546143035</v>
      </c>
      <c r="P482" s="25">
        <f t="shared" si="266"/>
        <v>28145.244538569641</v>
      </c>
      <c r="Q482" s="25">
        <f t="array" aca="1" ref="Q482" ca="1">INDEX('Isaac 401k'!L:L,MATCH('Retirement Calculator'!A482,'Isaac 401k'!N:N,0),0)</f>
        <v>574289.7884807036</v>
      </c>
      <c r="R482" s="25">
        <f t="array" aca="1" ref="R482" ca="1">INDEX('Lorri 401b'!L:L,MATCH('Retirement Calculator'!A482,'Lorri 401b'!N:N,0),0)</f>
        <v>1537834.4888926758</v>
      </c>
      <c r="S482" s="25">
        <f t="shared" ca="1" si="267"/>
        <v>2112124.2773733796</v>
      </c>
    </row>
    <row r="483" spans="1:19" ht="15.75" customHeight="1" x14ac:dyDescent="0.3">
      <c r="A483" s="37">
        <v>65654</v>
      </c>
      <c r="B483" s="409">
        <f t="shared" ref="B483:C483" si="484">($A483-B$9)/365.25</f>
        <v>97.872689938398352</v>
      </c>
      <c r="C483" s="409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2192</v>
      </c>
      <c r="I483" s="25">
        <f>IF(C483&lt;62,0,'Combined Retirement'!$I$13)</f>
        <v>2420</v>
      </c>
      <c r="J483" s="25">
        <f t="shared" si="263"/>
        <v>7863.2184191855868</v>
      </c>
      <c r="K483" s="25">
        <f t="shared" si="264"/>
        <v>20282.026119384056</v>
      </c>
      <c r="L483" s="25"/>
      <c r="N483" s="25">
        <f>'Combined Retirement'!$C$18/12</f>
        <v>39153.069999999992</v>
      </c>
      <c r="O483" s="25">
        <f t="shared" si="265"/>
        <v>11007.82546143035</v>
      </c>
      <c r="P483" s="25">
        <f t="shared" si="266"/>
        <v>28145.244538569641</v>
      </c>
      <c r="Q483" s="25">
        <f t="array" aca="1" ref="Q483" ca="1">INDEX('Isaac 401k'!L:L,MATCH('Retirement Calculator'!A483,'Isaac 401k'!N:N,0),0)</f>
        <v>568786.68077010766</v>
      </c>
      <c r="R483" s="25">
        <f t="array" aca="1" ref="R483" ca="1">INDEX('Lorri 401b'!L:L,MATCH('Retirement Calculator'!A483,'Lorri 401b'!N:N,0),0)</f>
        <v>1523875.5980348473</v>
      </c>
      <c r="S483" s="25">
        <f t="shared" ca="1" si="267"/>
        <v>2092662.2788049551</v>
      </c>
    </row>
    <row r="484" spans="1:19" ht="15.75" customHeight="1" x14ac:dyDescent="0.3">
      <c r="A484" s="37">
        <v>65685</v>
      </c>
      <c r="B484" s="409">
        <f t="shared" ref="B484:C484" si="485">($A484-B$9)/365.25</f>
        <v>97.957563312799451</v>
      </c>
      <c r="C484" s="409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2192</v>
      </c>
      <c r="I484" s="25">
        <f>IF(C484&lt;62,0,'Combined Retirement'!$I$13)</f>
        <v>2420</v>
      </c>
      <c r="J484" s="25">
        <f t="shared" si="263"/>
        <v>7863.2184191855868</v>
      </c>
      <c r="K484" s="25">
        <f t="shared" si="264"/>
        <v>20282.026119384056</v>
      </c>
      <c r="L484" s="25"/>
      <c r="N484" s="25">
        <f>'Combined Retirement'!$C$18/12</f>
        <v>39153.069999999992</v>
      </c>
      <c r="O484" s="25">
        <f t="shared" si="265"/>
        <v>11007.82546143035</v>
      </c>
      <c r="P484" s="25">
        <f t="shared" si="266"/>
        <v>28145.244538569641</v>
      </c>
      <c r="Q484" s="25">
        <f t="array" aca="1" ref="Q484" ca="1">INDEX('Isaac 401k'!L:L,MATCH('Retirement Calculator'!A484,'Isaac 401k'!N:N,0),0)</f>
        <v>563260.64344405092</v>
      </c>
      <c r="R484" s="25">
        <f t="array" aca="1" ref="R484" ca="1">INDEX('Lorri 401b'!L:L,MATCH('Retirement Calculator'!A484,'Lorri 401b'!N:N,0),0)</f>
        <v>1509858.5451317776</v>
      </c>
      <c r="S484" s="25">
        <f t="shared" ca="1" si="267"/>
        <v>2073119.1885758284</v>
      </c>
    </row>
    <row r="485" spans="1:19" ht="15.75" customHeight="1" x14ac:dyDescent="0.3">
      <c r="A485" s="37">
        <v>65715</v>
      </c>
      <c r="B485" s="409">
        <f t="shared" ref="B485:C485" si="486">($A485-B$9)/365.25</f>
        <v>98.039698836413422</v>
      </c>
      <c r="C485" s="409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2192</v>
      </c>
      <c r="I485" s="25">
        <f>IF(C485&lt;62,0,'Combined Retirement'!$I$13)</f>
        <v>2420</v>
      </c>
      <c r="J485" s="25">
        <f t="shared" si="263"/>
        <v>7863.2184191855868</v>
      </c>
      <c r="K485" s="25">
        <f t="shared" si="264"/>
        <v>20282.026119384056</v>
      </c>
      <c r="L485" s="25"/>
      <c r="N485" s="25">
        <f>'Combined Retirement'!$C$18/12</f>
        <v>39153.069999999992</v>
      </c>
      <c r="O485" s="25">
        <f t="shared" si="265"/>
        <v>11007.82546143035</v>
      </c>
      <c r="P485" s="25">
        <f t="shared" si="266"/>
        <v>28145.244538569641</v>
      </c>
      <c r="Q485" s="25">
        <f t="array" aca="1" ref="Q485" ca="1">INDEX('Isaac 401k'!L:L,MATCH('Retirement Calculator'!A485,'Isaac 401k'!N:N,0),0)</f>
        <v>557711.58096246887</v>
      </c>
      <c r="R485" s="25">
        <f t="array" aca="1" ref="R485" ca="1">INDEX('Lorri 401b'!L:L,MATCH('Retirement Calculator'!A485,'Lorri 401b'!N:N,0),0)</f>
        <v>1495783.0878416121</v>
      </c>
      <c r="S485" s="25">
        <f t="shared" ca="1" si="267"/>
        <v>2053494.6688040809</v>
      </c>
    </row>
    <row r="486" spans="1:19" ht="15.75" customHeight="1" x14ac:dyDescent="0.3">
      <c r="A486" s="37">
        <v>65746</v>
      </c>
      <c r="B486" s="409">
        <f t="shared" ref="B486:C486" si="487">($A486-B$9)/365.25</f>
        <v>98.124572210814506</v>
      </c>
      <c r="C486" s="409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2192</v>
      </c>
      <c r="I486" s="25">
        <f>IF(C486&lt;62,0,'Combined Retirement'!$I$13)</f>
        <v>2420</v>
      </c>
      <c r="J486" s="25">
        <f t="shared" si="263"/>
        <v>7863.2184191855868</v>
      </c>
      <c r="K486" s="25">
        <f t="shared" si="264"/>
        <v>20282.026119384056</v>
      </c>
      <c r="L486" s="25"/>
      <c r="N486" s="25">
        <f>'Combined Retirement'!$C$18/12</f>
        <v>39153.069999999992</v>
      </c>
      <c r="O486" s="25">
        <f t="shared" si="265"/>
        <v>11007.82546143035</v>
      </c>
      <c r="P486" s="25">
        <f t="shared" si="266"/>
        <v>28145.244538569641</v>
      </c>
      <c r="Q486" s="25">
        <f t="array" aca="1" ref="Q486" ca="1">INDEX('Isaac 401k'!L:L,MATCH('Retirement Calculator'!A486,'Isaac 401k'!N:N,0),0)</f>
        <v>552139.39738721366</v>
      </c>
      <c r="R486" s="25">
        <f t="array" aca="1" ref="R486" ca="1">INDEX('Lorri 401b'!L:L,MATCH('Retirement Calculator'!A486,'Lorri 401b'!N:N,0),0)</f>
        <v>1481648.9828127373</v>
      </c>
      <c r="S486" s="25">
        <f t="shared" ca="1" si="267"/>
        <v>2033788.3801999511</v>
      </c>
    </row>
    <row r="487" spans="1:19" ht="15.75" customHeight="1" x14ac:dyDescent="0.3">
      <c r="A487" s="37">
        <v>65777</v>
      </c>
      <c r="B487" s="409">
        <f t="shared" ref="B487:C487" si="488">($A487-B$9)/365.25</f>
        <v>98.209445585215605</v>
      </c>
      <c r="C487" s="409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2192</v>
      </c>
      <c r="I487" s="25">
        <f>IF(C487&lt;62,0,'Combined Retirement'!$I$13)</f>
        <v>2420</v>
      </c>
      <c r="J487" s="25">
        <f t="shared" si="263"/>
        <v>7863.2184191855868</v>
      </c>
      <c r="K487" s="25">
        <f t="shared" si="264"/>
        <v>20282.026119384056</v>
      </c>
      <c r="L487" s="25"/>
      <c r="N487" s="25">
        <f>'Combined Retirement'!$C$18/12</f>
        <v>39153.069999999992</v>
      </c>
      <c r="O487" s="25">
        <f t="shared" si="265"/>
        <v>11007.82546143035</v>
      </c>
      <c r="P487" s="25">
        <f t="shared" si="266"/>
        <v>28145.244538569641</v>
      </c>
      <c r="Q487" s="25">
        <f t="array" aca="1" ref="Q487" ca="1">INDEX('Isaac 401k'!L:L,MATCH('Retirement Calculator'!A487,'Isaac 401k'!N:N,0),0)</f>
        <v>546543.99638039479</v>
      </c>
      <c r="R487" s="25">
        <f t="array" aca="1" ref="R487" ca="1">INDEX('Lorri 401b'!L:L,MATCH('Retirement Calculator'!A487,'Lorri 401b'!N:N,0),0)</f>
        <v>1467455.9856795757</v>
      </c>
      <c r="S487" s="25">
        <f t="shared" ca="1" si="267"/>
        <v>2013999.9820599705</v>
      </c>
    </row>
    <row r="488" spans="1:19" ht="15.75" customHeight="1" x14ac:dyDescent="0.3">
      <c r="A488" s="37">
        <v>65806</v>
      </c>
      <c r="B488" s="409">
        <f t="shared" ref="B488:C488" si="489">($A488-B$9)/365.25</f>
        <v>98.288843258042434</v>
      </c>
      <c r="C488" s="409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2192</v>
      </c>
      <c r="I488" s="25">
        <f>IF(C488&lt;62,0,'Combined Retirement'!$I$13)</f>
        <v>2420</v>
      </c>
      <c r="J488" s="25">
        <f t="shared" si="263"/>
        <v>7863.2184191855868</v>
      </c>
      <c r="K488" s="25">
        <f t="shared" si="264"/>
        <v>20282.026119384056</v>
      </c>
      <c r="L488" s="25"/>
      <c r="N488" s="25">
        <f>'Combined Retirement'!$C$18/12</f>
        <v>39153.069999999992</v>
      </c>
      <c r="O488" s="25">
        <f t="shared" si="265"/>
        <v>11007.82546143035</v>
      </c>
      <c r="P488" s="25">
        <f t="shared" si="266"/>
        <v>28145.244538569641</v>
      </c>
      <c r="Q488" s="25">
        <f t="array" aca="1" ref="Q488" ca="1">INDEX('Isaac 401k'!L:L,MATCH('Retirement Calculator'!A488,'Isaac 401k'!N:N,0),0)</f>
        <v>540925.28120271419</v>
      </c>
      <c r="R488" s="25">
        <f t="array" aca="1" ref="R488" ca="1">INDEX('Lorri 401b'!L:L,MATCH('Retirement Calculator'!A488,'Lorri 401b'!N:N,0),0)</f>
        <v>1453203.8510583593</v>
      </c>
      <c r="S488" s="25">
        <f t="shared" ca="1" si="267"/>
        <v>1994129.1322610734</v>
      </c>
    </row>
    <row r="489" spans="1:19" ht="15.75" customHeight="1" x14ac:dyDescent="0.3">
      <c r="A489" s="37">
        <v>65837</v>
      </c>
      <c r="B489" s="409">
        <f t="shared" ref="B489:C489" si="490">($A489-B$9)/365.25</f>
        <v>98.373716632443532</v>
      </c>
      <c r="C489" s="409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2192</v>
      </c>
      <c r="I489" s="25">
        <f>IF(C489&lt;62,0,'Combined Retirement'!$I$13)</f>
        <v>2420</v>
      </c>
      <c r="J489" s="25">
        <f t="shared" si="263"/>
        <v>7863.2184191855868</v>
      </c>
      <c r="K489" s="25">
        <f t="shared" si="264"/>
        <v>20282.026119384056</v>
      </c>
      <c r="L489" s="25"/>
      <c r="N489" s="25">
        <f>'Combined Retirement'!$C$18/12</f>
        <v>39153.069999999992</v>
      </c>
      <c r="O489" s="25">
        <f t="shared" si="265"/>
        <v>11007.82546143035</v>
      </c>
      <c r="P489" s="25">
        <f t="shared" si="266"/>
        <v>28145.244538569641</v>
      </c>
      <c r="Q489" s="25">
        <f t="array" aca="1" ref="Q489" ca="1">INDEX('Isaac 401k'!L:L,MATCH('Retirement Calculator'!A489,'Isaac 401k'!N:N,0),0)</f>
        <v>535283.15471179329</v>
      </c>
      <c r="R489" s="25">
        <f t="array" aca="1" ref="R489" ca="1">INDEX('Lorri 401b'!L:L,MATCH('Retirement Calculator'!A489,'Lorri 401b'!N:N,0),0)</f>
        <v>1438892.3325428877</v>
      </c>
      <c r="S489" s="25">
        <f t="shared" ca="1" si="267"/>
        <v>1974175.4872546811</v>
      </c>
    </row>
    <row r="490" spans="1:19" ht="15.75" customHeight="1" x14ac:dyDescent="0.3">
      <c r="A490" s="37">
        <v>65867</v>
      </c>
      <c r="B490" s="409">
        <f t="shared" ref="B490:C490" si="491">($A490-B$9)/365.25</f>
        <v>98.455852156057489</v>
      </c>
      <c r="C490" s="409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2192</v>
      </c>
      <c r="I490" s="25">
        <f>IF(C490&lt;62,0,'Combined Retirement'!$I$13)</f>
        <v>2420</v>
      </c>
      <c r="J490" s="25">
        <f t="shared" si="263"/>
        <v>7863.2184191855868</v>
      </c>
      <c r="K490" s="25">
        <f t="shared" si="264"/>
        <v>20282.026119384056</v>
      </c>
      <c r="L490" s="25"/>
      <c r="N490" s="25">
        <f>'Combined Retirement'!$C$18/12</f>
        <v>39153.069999999992</v>
      </c>
      <c r="O490" s="25">
        <f t="shared" si="265"/>
        <v>11007.82546143035</v>
      </c>
      <c r="P490" s="25">
        <f t="shared" si="266"/>
        <v>28145.244538569641</v>
      </c>
      <c r="Q490" s="25">
        <f t="array" aca="1" ref="Q490" ca="1">INDEX('Isaac 401k'!L:L,MATCH('Retirement Calculator'!A490,'Isaac 401k'!N:N,0),0)</f>
        <v>529617.51936049352</v>
      </c>
      <c r="R490" s="25">
        <f t="array" aca="1" ref="R490" ca="1">INDEX('Lorri 401b'!L:L,MATCH('Retirement Calculator'!A490,'Lorri 401b'!N:N,0),0)</f>
        <v>1424521.1827002682</v>
      </c>
      <c r="S490" s="25">
        <f t="shared" ca="1" si="267"/>
        <v>1954138.7020607619</v>
      </c>
    </row>
    <row r="491" spans="1:19" ht="15.75" customHeight="1" x14ac:dyDescent="0.3">
      <c r="A491" s="37">
        <v>65898</v>
      </c>
      <c r="B491" s="409">
        <f t="shared" ref="B491:C491" si="492">($A491-B$9)/365.25</f>
        <v>98.540725530458587</v>
      </c>
      <c r="C491" s="409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2192</v>
      </c>
      <c r="I491" s="25">
        <f>IF(C491&lt;62,0,'Combined Retirement'!$I$13)</f>
        <v>2420</v>
      </c>
      <c r="J491" s="25">
        <f t="shared" si="263"/>
        <v>7863.2184191855868</v>
      </c>
      <c r="K491" s="25">
        <f t="shared" si="264"/>
        <v>20282.026119384056</v>
      </c>
      <c r="L491" s="25"/>
      <c r="N491" s="25">
        <f>'Combined Retirement'!$C$18/12</f>
        <v>39153.069999999992</v>
      </c>
      <c r="O491" s="25">
        <f t="shared" si="265"/>
        <v>11007.82546143035</v>
      </c>
      <c r="P491" s="25">
        <f t="shared" si="266"/>
        <v>28145.244538569641</v>
      </c>
      <c r="Q491" s="25">
        <f t="array" aca="1" ref="Q491" ca="1">INDEX('Isaac 401k'!L:L,MATCH('Retirement Calculator'!A491,'Isaac 401k'!N:N,0),0)</f>
        <v>523928.27719523001</v>
      </c>
      <c r="R491" s="25">
        <f t="array" aca="1" ref="R491" ca="1">INDEX('Lorri 401b'!L:L,MATCH('Retirement Calculator'!A491,'Lorri 401b'!N:N,0),0)</f>
        <v>1410090.1530666379</v>
      </c>
      <c r="S491" s="25">
        <f t="shared" ca="1" si="267"/>
        <v>1934018.4302618681</v>
      </c>
    </row>
    <row r="492" spans="1:19" ht="15.75" customHeight="1" x14ac:dyDescent="0.3">
      <c r="A492" s="37">
        <v>65928</v>
      </c>
      <c r="B492" s="409">
        <f t="shared" ref="B492:C492" si="493">($A492-B$9)/365.25</f>
        <v>98.622861054072558</v>
      </c>
      <c r="C492" s="409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2192</v>
      </c>
      <c r="I492" s="25">
        <f>IF(C492&lt;62,0,'Combined Retirement'!$I$13)</f>
        <v>2420</v>
      </c>
      <c r="J492" s="25">
        <f t="shared" si="263"/>
        <v>7863.2184191855868</v>
      </c>
      <c r="K492" s="25">
        <f t="shared" si="264"/>
        <v>20282.026119384056</v>
      </c>
      <c r="L492" s="25"/>
      <c r="N492" s="25">
        <f>'Combined Retirement'!$C$18/12</f>
        <v>39153.069999999992</v>
      </c>
      <c r="O492" s="25">
        <f t="shared" si="265"/>
        <v>11007.82546143035</v>
      </c>
      <c r="P492" s="25">
        <f t="shared" si="266"/>
        <v>28145.244538569641</v>
      </c>
      <c r="Q492" s="25">
        <f t="array" aca="1" ref="Q492" ca="1">INDEX('Isaac 401k'!L:L,MATCH('Retirement Calculator'!A492,'Isaac 401k'!N:N,0),0)</f>
        <v>518215.32985427789</v>
      </c>
      <c r="R492" s="25">
        <f t="array" aca="1" ref="R492" ca="1">INDEX('Lorri 401b'!L:L,MATCH('Retirement Calculator'!A492,'Lorri 401b'!N:N,0),0)</f>
        <v>1395598.9941428674</v>
      </c>
      <c r="S492" s="25">
        <f t="shared" ca="1" si="267"/>
        <v>1913814.3239971453</v>
      </c>
    </row>
    <row r="493" spans="1:19" ht="15.75" customHeight="1" x14ac:dyDescent="0.3">
      <c r="A493" s="37">
        <v>65959</v>
      </c>
      <c r="B493" s="409">
        <f t="shared" ref="B493:C493" si="494">($A493-B$9)/365.25</f>
        <v>98.707734428473643</v>
      </c>
      <c r="C493" s="409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2192</v>
      </c>
      <c r="I493" s="25">
        <f>IF(C493&lt;62,0,'Combined Retirement'!$I$13)</f>
        <v>2420</v>
      </c>
      <c r="J493" s="25">
        <f t="shared" si="263"/>
        <v>7863.2184191855868</v>
      </c>
      <c r="K493" s="25">
        <f t="shared" si="264"/>
        <v>20282.026119384056</v>
      </c>
      <c r="L493" s="25"/>
      <c r="N493" s="25">
        <f>'Combined Retirement'!$C$18/12</f>
        <v>39153.069999999992</v>
      </c>
      <c r="O493" s="25">
        <f t="shared" si="265"/>
        <v>11007.82546143035</v>
      </c>
      <c r="P493" s="25">
        <f t="shared" si="266"/>
        <v>28145.244538569641</v>
      </c>
      <c r="Q493" s="25">
        <f t="array" aca="1" ref="Q493" ca="1">INDEX('Isaac 401k'!L:L,MATCH('Retirement Calculator'!A493,'Isaac 401k'!N:N,0),0)</f>
        <v>512478.57856607181</v>
      </c>
      <c r="R493" s="25">
        <f t="array" aca="1" ref="R493" ca="1">INDEX('Lorri 401b'!L:L,MATCH('Retirement Calculator'!A493,'Lorri 401b'!N:N,0),0)</f>
        <v>1381047.455390248</v>
      </c>
      <c r="S493" s="25">
        <f t="shared" ca="1" si="267"/>
        <v>1893526.0339563198</v>
      </c>
    </row>
    <row r="494" spans="1:19" ht="15.75" customHeight="1" x14ac:dyDescent="0.3">
      <c r="A494" s="37">
        <v>65990</v>
      </c>
      <c r="B494" s="409">
        <f t="shared" ref="B494:C494" si="495">($A494-B$9)/365.25</f>
        <v>98.792607802874741</v>
      </c>
      <c r="C494" s="409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2192</v>
      </c>
      <c r="I494" s="25">
        <f>IF(C494&lt;62,0,'Combined Retirement'!$I$13)</f>
        <v>2420</v>
      </c>
      <c r="J494" s="25">
        <f t="shared" si="263"/>
        <v>7863.2184191855868</v>
      </c>
      <c r="K494" s="25">
        <f t="shared" si="264"/>
        <v>20282.026119384056</v>
      </c>
      <c r="L494" s="25"/>
      <c r="N494" s="25">
        <f>'Combined Retirement'!$C$18/12</f>
        <v>39153.069999999992</v>
      </c>
      <c r="O494" s="25">
        <f t="shared" si="265"/>
        <v>11007.82546143035</v>
      </c>
      <c r="P494" s="25">
        <f t="shared" si="266"/>
        <v>28145.244538569641</v>
      </c>
      <c r="Q494" s="25">
        <f t="array" aca="1" ref="Q494" ca="1">INDEX('Isaac 401k'!L:L,MATCH('Retirement Calculator'!A494,'Isaac 401k'!N:N,0),0)</f>
        <v>506717.92414749821</v>
      </c>
      <c r="R494" s="25">
        <f t="array" aca="1" ref="R494" ca="1">INDEX('Lorri 401b'!L:L,MATCH('Retirement Calculator'!A494,'Lorri 401b'!N:N,0),0)</f>
        <v>1366435.2852261593</v>
      </c>
      <c r="S494" s="25">
        <f t="shared" ca="1" si="267"/>
        <v>1873153.2093736576</v>
      </c>
    </row>
    <row r="495" spans="1:19" ht="15.75" customHeight="1" x14ac:dyDescent="0.3">
      <c r="A495" s="37">
        <v>66020</v>
      </c>
      <c r="B495" s="409">
        <f t="shared" ref="B495:C495" si="496">($A495-B$9)/365.25</f>
        <v>98.874743326488712</v>
      </c>
      <c r="C495" s="409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2192</v>
      </c>
      <c r="I495" s="25">
        <f>IF(C495&lt;62,0,'Combined Retirement'!$I$13)</f>
        <v>2420</v>
      </c>
      <c r="J495" s="25">
        <f t="shared" si="263"/>
        <v>7863.2184191855868</v>
      </c>
      <c r="K495" s="25">
        <f t="shared" si="264"/>
        <v>20282.026119384056</v>
      </c>
      <c r="L495" s="25"/>
      <c r="N495" s="25">
        <f>'Combined Retirement'!$C$18/12</f>
        <v>39153.069999999992</v>
      </c>
      <c r="O495" s="25">
        <f t="shared" si="265"/>
        <v>11007.82546143035</v>
      </c>
      <c r="P495" s="25">
        <f t="shared" si="266"/>
        <v>28145.244538569641</v>
      </c>
      <c r="Q495" s="25">
        <f t="array" aca="1" ref="Q495" ca="1">INDEX('Isaac 401k'!L:L,MATCH('Retirement Calculator'!A495,'Isaac 401k'!N:N,0),0)</f>
        <v>500933.26700218057</v>
      </c>
      <c r="R495" s="25">
        <f t="array" aca="1" ref="R495" ca="1">INDEX('Lorri 401b'!L:L,MATCH('Retirement Calculator'!A495,'Lorri 401b'!N:N,0),0)</f>
        <v>1351762.2310197202</v>
      </c>
      <c r="S495" s="25">
        <f t="shared" ca="1" si="267"/>
        <v>1852695.4980219007</v>
      </c>
    </row>
    <row r="496" spans="1:19" ht="15.75" customHeight="1" x14ac:dyDescent="0.3">
      <c r="A496" s="37">
        <v>66051</v>
      </c>
      <c r="B496" s="409">
        <f t="shared" ref="B496:C496" si="497">($A496-B$9)/365.25</f>
        <v>98.959616700889796</v>
      </c>
      <c r="C496" s="409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2192</v>
      </c>
      <c r="I496" s="25">
        <f>IF(C496&lt;62,0,'Combined Retirement'!$I$13)</f>
        <v>2420</v>
      </c>
      <c r="J496" s="25">
        <f t="shared" si="263"/>
        <v>7863.2184191855868</v>
      </c>
      <c r="K496" s="25">
        <f t="shared" si="264"/>
        <v>20282.026119384056</v>
      </c>
      <c r="L496" s="25"/>
      <c r="N496" s="25">
        <f>'Combined Retirement'!$C$18/12</f>
        <v>39153.069999999992</v>
      </c>
      <c r="O496" s="25">
        <f t="shared" si="265"/>
        <v>11007.82546143035</v>
      </c>
      <c r="P496" s="25">
        <f t="shared" si="266"/>
        <v>28145.244538569641</v>
      </c>
      <c r="Q496" s="25">
        <f t="array" aca="1" ref="Q496" ca="1">INDEX('Isaac 401k'!L:L,MATCH('Retirement Calculator'!A496,'Isaac 401k'!N:N,0),0)</f>
        <v>495124.50711875746</v>
      </c>
      <c r="R496" s="25">
        <f t="array" aca="1" ref="R496" ca="1">INDEX('Lorri 401b'!L:L,MATCH('Retirement Calculator'!A496,'Lorri 401b'!N:N,0),0)</f>
        <v>1337028.039087421</v>
      </c>
      <c r="S496" s="25">
        <f t="shared" ca="1" si="267"/>
        <v>1832152.5462061786</v>
      </c>
    </row>
    <row r="497" spans="1:19" ht="15.75" customHeight="1" x14ac:dyDescent="0.3">
      <c r="A497" s="37">
        <v>66081</v>
      </c>
      <c r="B497" s="409">
        <f t="shared" ref="B497:C497" si="498">($A497-B$9)/365.25</f>
        <v>99.041752224503767</v>
      </c>
      <c r="C497" s="409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2192</v>
      </c>
      <c r="I497" s="25">
        <f>IF(C497&lt;62,0,'Combined Retirement'!$I$13)</f>
        <v>2420</v>
      </c>
      <c r="J497" s="25">
        <f t="shared" si="263"/>
        <v>7863.2184191855868</v>
      </c>
      <c r="K497" s="25">
        <f t="shared" si="264"/>
        <v>20282.026119384056</v>
      </c>
      <c r="L497" s="25"/>
      <c r="N497" s="25">
        <f>'Combined Retirement'!$C$18/12</f>
        <v>39153.069999999992</v>
      </c>
      <c r="O497" s="25">
        <f t="shared" si="265"/>
        <v>11007.82546143035</v>
      </c>
      <c r="P497" s="25">
        <f t="shared" si="266"/>
        <v>28145.244538569641</v>
      </c>
      <c r="Q497" s="25">
        <f t="array" aca="1" ref="Q497" ca="1">INDEX('Isaac 401k'!L:L,MATCH('Retirement Calculator'!A497,'Isaac 401k'!N:N,0),0)</f>
        <v>489291.54406915343</v>
      </c>
      <c r="R497" s="25">
        <f t="array" aca="1" ref="R497" ca="1">INDEX('Lorri 401b'!L:L,MATCH('Retirement Calculator'!A497,'Lorri 401b'!N:N,0),0)</f>
        <v>1322232.4546887372</v>
      </c>
      <c r="S497" s="25">
        <f t="shared" ca="1" si="267"/>
        <v>1811523.9987578907</v>
      </c>
    </row>
    <row r="498" spans="1:19" ht="15.75" customHeight="1" x14ac:dyDescent="0.3">
      <c r="A498" s="37">
        <v>66112</v>
      </c>
      <c r="B498" s="409">
        <f t="shared" ref="B498:C498" si="499">($A498-B$9)/365.25</f>
        <v>99.126625598904866</v>
      </c>
      <c r="C498" s="409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2192</v>
      </c>
      <c r="I498" s="25">
        <f>IF(C498&lt;62,0,'Combined Retirement'!$I$13)</f>
        <v>2420</v>
      </c>
      <c r="J498" s="25">
        <f t="shared" si="263"/>
        <v>7863.2184191855868</v>
      </c>
      <c r="K498" s="25">
        <f t="shared" si="264"/>
        <v>20282.026119384056</v>
      </c>
      <c r="L498" s="25"/>
      <c r="N498" s="25">
        <f>'Combined Retirement'!$C$18/12</f>
        <v>39153.069999999992</v>
      </c>
      <c r="O498" s="25">
        <f t="shared" si="265"/>
        <v>11007.82546143035</v>
      </c>
      <c r="P498" s="25">
        <f t="shared" si="266"/>
        <v>28145.244538569641</v>
      </c>
      <c r="Q498" s="25">
        <f t="array" aca="1" ref="Q498" ca="1">INDEX('Isaac 401k'!L:L,MATCH('Retirement Calculator'!A498,'Isaac 401k'!N:N,0),0)</f>
        <v>483434.27700684266</v>
      </c>
      <c r="R498" s="25">
        <f t="array" aca="1" ref="R498" ca="1">INDEX('Lorri 401b'!L:L,MATCH('Retirement Calculator'!A498,'Lorri 401b'!N:N,0),0)</f>
        <v>1307375.2220217255</v>
      </c>
      <c r="S498" s="25">
        <f t="shared" ca="1" si="267"/>
        <v>1790809.4990285682</v>
      </c>
    </row>
    <row r="499" spans="1:19" ht="15.75" customHeight="1" x14ac:dyDescent="0.3">
      <c r="A499" s="37">
        <v>66143</v>
      </c>
      <c r="B499" s="409">
        <f t="shared" ref="B499:C499" si="500">($A499-B$9)/365.25</f>
        <v>99.21149897330595</v>
      </c>
      <c r="C499" s="409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2192</v>
      </c>
      <c r="I499" s="25">
        <f>IF(C499&lt;62,0,'Combined Retirement'!$I$13)</f>
        <v>2420</v>
      </c>
      <c r="J499" s="25">
        <f t="shared" si="263"/>
        <v>7863.2184191855868</v>
      </c>
      <c r="K499" s="25">
        <f t="shared" si="264"/>
        <v>20282.026119384056</v>
      </c>
      <c r="L499" s="25"/>
      <c r="N499" s="25">
        <f>'Combined Retirement'!$C$18/12</f>
        <v>39153.069999999992</v>
      </c>
      <c r="O499" s="25">
        <f t="shared" si="265"/>
        <v>11007.82546143035</v>
      </c>
      <c r="P499" s="25">
        <f t="shared" si="266"/>
        <v>28145.244538569641</v>
      </c>
      <c r="Q499" s="25">
        <f t="array" aca="1" ref="Q499" ca="1">INDEX('Isaac 401k'!L:L,MATCH('Retirement Calculator'!A499,'Isaac 401k'!N:N,0),0)</f>
        <v>477552.60466510564</v>
      </c>
      <c r="R499" s="25">
        <f t="array" aca="1" ref="R499" ca="1">INDEX('Lorri 401b'!L:L,MATCH('Retirement Calculator'!A499,'Lorri 401b'!N:N,0),0)</f>
        <v>1292456.0842186012</v>
      </c>
      <c r="S499" s="25">
        <f t="shared" ca="1" si="267"/>
        <v>1770008.6888837069</v>
      </c>
    </row>
    <row r="500" spans="1:19" ht="15.75" customHeight="1" x14ac:dyDescent="0.3">
      <c r="A500" s="37">
        <v>66171</v>
      </c>
      <c r="B500" s="409">
        <f t="shared" ref="B500:C500" si="501">($A500-B$9)/365.25</f>
        <v>99.288158795345652</v>
      </c>
      <c r="C500" s="409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2192</v>
      </c>
      <c r="I500" s="25">
        <f>IF(C500&lt;62,0,'Combined Retirement'!$I$13)</f>
        <v>2420</v>
      </c>
      <c r="J500" s="25">
        <f t="shared" si="263"/>
        <v>7863.2184191855868</v>
      </c>
      <c r="K500" s="25">
        <f t="shared" si="264"/>
        <v>20282.026119384056</v>
      </c>
      <c r="L500" s="25"/>
      <c r="N500" s="25">
        <f>'Combined Retirement'!$C$18/12</f>
        <v>39153.069999999992</v>
      </c>
      <c r="O500" s="25">
        <f t="shared" si="265"/>
        <v>11007.82546143035</v>
      </c>
      <c r="P500" s="25">
        <f t="shared" si="266"/>
        <v>28145.244538569641</v>
      </c>
      <c r="Q500" s="25">
        <f t="array" aca="1" ref="Q500" ca="1">INDEX('Isaac 401k'!L:L,MATCH('Retirement Calculator'!A500,'Isaac 401k'!N:N,0),0)</f>
        <v>471646.42535527801</v>
      </c>
      <c r="R500" s="25">
        <f t="array" aca="1" ref="R500" ca="1">INDEX('Lorri 401b'!L:L,MATCH('Retirement Calculator'!A500,'Lorri 401b'!N:N,0),0)</f>
        <v>1277474.7833412974</v>
      </c>
      <c r="S500" s="25">
        <f t="shared" ca="1" si="267"/>
        <v>1749121.2086965754</v>
      </c>
    </row>
    <row r="501" spans="1:19" ht="15.75" customHeight="1" x14ac:dyDescent="0.3">
      <c r="A501" s="37">
        <v>66202</v>
      </c>
      <c r="B501" s="409">
        <f t="shared" ref="B501:C501" si="502">($A501-B$9)/365.25</f>
        <v>99.37303216974675</v>
      </c>
      <c r="C501" s="409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2192</v>
      </c>
      <c r="I501" s="25">
        <f>IF(C501&lt;62,0,'Combined Retirement'!$I$13)</f>
        <v>2420</v>
      </c>
      <c r="J501" s="25">
        <f t="shared" si="263"/>
        <v>7863.2184191855868</v>
      </c>
      <c r="K501" s="25">
        <f t="shared" si="264"/>
        <v>20282.026119384056</v>
      </c>
      <c r="L501" s="25"/>
      <c r="N501" s="25">
        <f>'Combined Retirement'!$C$18/12</f>
        <v>39153.069999999992</v>
      </c>
      <c r="O501" s="25">
        <f t="shared" si="265"/>
        <v>11007.82546143035</v>
      </c>
      <c r="P501" s="25">
        <f t="shared" si="266"/>
        <v>28145.244538569641</v>
      </c>
      <c r="Q501" s="25">
        <f t="array" aca="1" ref="Q501" ca="1">INDEX('Isaac 401k'!L:L,MATCH('Retirement Calculator'!A501,'Isaac 401k'!N:N,0),0)</f>
        <v>465715.63696499279</v>
      </c>
      <c r="R501" s="25">
        <f t="array" aca="1" ref="R501" ca="1">INDEX('Lorri 401b'!L:L,MATCH('Retirement Calculator'!A501,'Lorri 401b'!N:N,0),0)</f>
        <v>1262431.0603770048</v>
      </c>
      <c r="S501" s="25">
        <f t="shared" ca="1" si="267"/>
        <v>1728146.6973419976</v>
      </c>
    </row>
    <row r="502" spans="1:19" ht="15.75" customHeight="1" x14ac:dyDescent="0.3">
      <c r="A502" s="37">
        <v>66232</v>
      </c>
      <c r="B502" s="409">
        <f t="shared" ref="B502:C502" si="503">($A502-B$9)/365.25</f>
        <v>99.455167693360707</v>
      </c>
      <c r="C502" s="409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2192</v>
      </c>
      <c r="I502" s="25">
        <f>IF(C502&lt;62,0,'Combined Retirement'!$I$13)</f>
        <v>2420</v>
      </c>
      <c r="J502" s="25">
        <f t="shared" si="263"/>
        <v>7863.2184191855868</v>
      </c>
      <c r="K502" s="25">
        <f t="shared" si="264"/>
        <v>20282.026119384056</v>
      </c>
      <c r="L502" s="25"/>
      <c r="N502" s="25">
        <f>'Combined Retirement'!$C$18/12</f>
        <v>39153.069999999992</v>
      </c>
      <c r="O502" s="25">
        <f t="shared" si="265"/>
        <v>11007.82546143035</v>
      </c>
      <c r="P502" s="25">
        <f t="shared" si="266"/>
        <v>28145.244538569641</v>
      </c>
      <c r="Q502" s="25">
        <f t="array" aca="1" ref="Q502" ca="1">INDEX('Isaac 401k'!L:L,MATCH('Retirement Calculator'!A502,'Isaac 401k'!N:N,0),0)</f>
        <v>459760.13695641473</v>
      </c>
      <c r="R502" s="25">
        <f t="array" aca="1" ref="R502" ca="1">INDEX('Lorri 401b'!L:L,MATCH('Retirement Calculator'!A502,'Lorri 401b'!N:N,0),0)</f>
        <v>1247324.6552336942</v>
      </c>
      <c r="S502" s="25">
        <f t="shared" ca="1" si="267"/>
        <v>1707084.7921901089</v>
      </c>
    </row>
    <row r="503" spans="1:19" ht="15.75" customHeight="1" x14ac:dyDescent="0.3">
      <c r="A503" s="37">
        <v>66263</v>
      </c>
      <c r="B503" s="409">
        <f t="shared" ref="B503:C503" si="504">($A503-B$9)/365.25</f>
        <v>99.540041067761805</v>
      </c>
      <c r="C503" s="409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2192</v>
      </c>
      <c r="I503" s="25">
        <f>IF(C503&lt;62,0,'Combined Retirement'!$I$13)</f>
        <v>2420</v>
      </c>
      <c r="J503" s="25">
        <f t="shared" si="263"/>
        <v>7863.2184191855868</v>
      </c>
      <c r="K503" s="25">
        <f t="shared" si="264"/>
        <v>20282.026119384056</v>
      </c>
      <c r="L503" s="25"/>
      <c r="N503" s="25">
        <f>'Combined Retirement'!$C$18/12</f>
        <v>39153.069999999992</v>
      </c>
      <c r="O503" s="25">
        <f t="shared" si="265"/>
        <v>11007.82546143035</v>
      </c>
      <c r="P503" s="25">
        <f t="shared" si="266"/>
        <v>28145.244538569641</v>
      </c>
      <c r="Q503" s="25">
        <f t="array" aca="1" ref="Q503" ca="1">INDEX('Isaac 401k'!L:L,MATCH('Retirement Calculator'!A503,'Isaac 401k'!N:N,0),0)</f>
        <v>453779.8223644676</v>
      </c>
      <c r="R503" s="25">
        <f t="array" aca="1" ref="R503" ca="1">INDEX('Lorri 401b'!L:L,MATCH('Retirement Calculator'!A503,'Lorri 401b'!N:N,0),0)</f>
        <v>1232155.3067356199</v>
      </c>
      <c r="S503" s="25">
        <f t="shared" ca="1" si="267"/>
        <v>1685935.1291000876</v>
      </c>
    </row>
    <row r="504" spans="1:19" ht="15.75" customHeight="1" x14ac:dyDescent="0.3">
      <c r="A504" s="37">
        <v>66293</v>
      </c>
      <c r="B504" s="409">
        <f t="shared" ref="B504:C504" si="505">($A504-B$9)/365.25</f>
        <v>99.622176591375776</v>
      </c>
      <c r="C504" s="409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2192</v>
      </c>
      <c r="I504" s="25">
        <f>IF(C504&lt;62,0,'Combined Retirement'!$I$13)</f>
        <v>2420</v>
      </c>
      <c r="J504" s="25">
        <f t="shared" si="263"/>
        <v>7863.2184191855868</v>
      </c>
      <c r="K504" s="25">
        <f t="shared" si="264"/>
        <v>20282.026119384056</v>
      </c>
      <c r="L504" s="25"/>
      <c r="N504" s="25">
        <f>'Combined Retirement'!$C$18/12</f>
        <v>39153.069999999992</v>
      </c>
      <c r="O504" s="25">
        <f t="shared" si="265"/>
        <v>11007.82546143035</v>
      </c>
      <c r="P504" s="25">
        <f t="shared" si="266"/>
        <v>28145.244538569641</v>
      </c>
      <c r="Q504" s="25">
        <f t="array" aca="1" ref="Q504" ca="1">INDEX('Isaac 401k'!L:L,MATCH('Retirement Calculator'!A504,'Isaac 401k'!N:N,0),0)</f>
        <v>447774.58979505399</v>
      </c>
      <c r="R504" s="25">
        <f t="array" aca="1" ref="R504" ca="1">INDEX('Lorri 401b'!L:L,MATCH('Retirement Calculator'!A504,'Lorri 401b'!N:N,0),0)</f>
        <v>1216922.7526188036</v>
      </c>
      <c r="S504" s="25">
        <f t="shared" ca="1" si="267"/>
        <v>1664697.3424138576</v>
      </c>
    </row>
    <row r="505" spans="1:19" ht="15.75" customHeight="1" x14ac:dyDescent="0.3">
      <c r="A505" s="37">
        <v>66324</v>
      </c>
      <c r="B505" s="409">
        <f t="shared" ref="B505:C505" si="506">($A505-B$9)/365.25</f>
        <v>99.707049965776861</v>
      </c>
      <c r="C505" s="409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2192</v>
      </c>
      <c r="I505" s="25">
        <f>IF(C505&lt;62,0,'Combined Retirement'!$I$13)</f>
        <v>2420</v>
      </c>
      <c r="J505" s="25">
        <f t="shared" si="263"/>
        <v>7863.2184191855868</v>
      </c>
      <c r="K505" s="25">
        <f t="shared" si="264"/>
        <v>20282.026119384056</v>
      </c>
      <c r="L505" s="25"/>
      <c r="N505" s="25">
        <f>'Combined Retirement'!$C$18/12</f>
        <v>39153.069999999992</v>
      </c>
      <c r="O505" s="25">
        <f t="shared" si="265"/>
        <v>11007.82546143035</v>
      </c>
      <c r="P505" s="25">
        <f t="shared" si="266"/>
        <v>28145.244538569641</v>
      </c>
      <c r="Q505" s="25">
        <f t="array" aca="1" ref="Q505" ca="1">INDEX('Isaac 401k'!L:L,MATCH('Retirement Calculator'!A505,'Isaac 401k'!N:N,0),0)</f>
        <v>441744.33542326785</v>
      </c>
      <c r="R505" s="25">
        <f t="array" aca="1" ref="R505" ca="1">INDEX('Lorri 401b'!L:L,MATCH('Retirement Calculator'!A505,'Lorri 401b'!N:N,0),0)</f>
        <v>1201626.7295265007</v>
      </c>
      <c r="S505" s="25">
        <f t="shared" ca="1" si="267"/>
        <v>1643371.0649497686</v>
      </c>
    </row>
    <row r="506" spans="1:19" ht="15.75" customHeight="1" x14ac:dyDescent="0.3">
      <c r="A506" s="37">
        <v>66355</v>
      </c>
      <c r="B506" s="409">
        <f t="shared" ref="B506:C506" si="507">($A506-B$9)/365.25</f>
        <v>99.791923340177959</v>
      </c>
      <c r="C506" s="409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2192</v>
      </c>
      <c r="I506" s="25">
        <f>IF(C506&lt;62,0,'Combined Retirement'!$I$13)</f>
        <v>2420</v>
      </c>
      <c r="J506" s="25">
        <f t="shared" si="263"/>
        <v>7863.2184191855868</v>
      </c>
      <c r="K506" s="25">
        <f t="shared" si="264"/>
        <v>20282.026119384056</v>
      </c>
      <c r="L506" s="25"/>
      <c r="N506" s="25">
        <f>'Combined Retirement'!$C$18/12</f>
        <v>39153.069999999992</v>
      </c>
      <c r="O506" s="25">
        <f t="shared" si="265"/>
        <v>11007.82546143035</v>
      </c>
      <c r="P506" s="25">
        <f t="shared" si="266"/>
        <v>28145.244538569641</v>
      </c>
      <c r="Q506" s="25">
        <f t="array" aca="1" ref="Q506" ca="1">INDEX('Isaac 401k'!L:L,MATCH('Retirement Calculator'!A506,'Isaac 401k'!N:N,0),0)</f>
        <v>435688.95499159925</v>
      </c>
      <c r="R506" s="25">
        <f t="array" aca="1" ref="R506" ca="1">INDEX('Lorri 401b'!L:L,MATCH('Retirement Calculator'!A506,'Lorri 401b'!N:N,0),0)</f>
        <v>1186266.9730046464</v>
      </c>
      <c r="S506" s="25">
        <f t="shared" ca="1" si="267"/>
        <v>1621955.9279962457</v>
      </c>
    </row>
    <row r="507" spans="1:19" ht="15.75" customHeight="1" x14ac:dyDescent="0.3">
      <c r="A507" s="37">
        <v>66385</v>
      </c>
      <c r="B507" s="409">
        <f t="shared" ref="B507:C507" si="508">($A507-B$9)/365.25</f>
        <v>99.87405886379193</v>
      </c>
      <c r="C507" s="409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2192</v>
      </c>
      <c r="I507" s="25">
        <f>IF(C507&lt;62,0,'Combined Retirement'!$I$13)</f>
        <v>2420</v>
      </c>
      <c r="J507" s="25">
        <f t="shared" si="263"/>
        <v>7863.2184191855868</v>
      </c>
      <c r="K507" s="25">
        <f t="shared" si="264"/>
        <v>20282.026119384056</v>
      </c>
      <c r="L507" s="25"/>
      <c r="N507" s="25">
        <f>'Combined Retirement'!$C$18/12</f>
        <v>39153.069999999992</v>
      </c>
      <c r="O507" s="25">
        <f t="shared" si="265"/>
        <v>11007.82546143035</v>
      </c>
      <c r="P507" s="25">
        <f t="shared" si="266"/>
        <v>28145.244538569641</v>
      </c>
      <c r="Q507" s="25">
        <f t="array" aca="1" ref="Q507" ca="1">INDEX('Isaac 401k'!L:L,MATCH('Retirement Calculator'!A507,'Isaac 401k'!N:N,0),0)</f>
        <v>429608.34380813205</v>
      </c>
      <c r="R507" s="25">
        <f t="array" aca="1" ref="R507" ca="1">INDEX('Lorri 401b'!L:L,MATCH('Retirement Calculator'!A507,'Lorri 401b'!N:N,0),0)</f>
        <v>1170843.2174972843</v>
      </c>
      <c r="S507" s="25">
        <f t="shared" ca="1" si="267"/>
        <v>1600451.5613054163</v>
      </c>
    </row>
    <row r="508" spans="1:19" ht="15.75" customHeight="1" x14ac:dyDescent="0.3">
      <c r="A508" s="37">
        <v>66416</v>
      </c>
      <c r="B508" s="409">
        <f t="shared" ref="B508:C508" si="509">($A508-B$9)/365.25</f>
        <v>99.958932238193015</v>
      </c>
      <c r="C508" s="409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2192</v>
      </c>
      <c r="I508" s="25">
        <f>IF(C508&lt;62,0,'Combined Retirement'!$I$13)</f>
        <v>2420</v>
      </c>
      <c r="J508" s="25">
        <f t="shared" si="263"/>
        <v>7863.2184191855868</v>
      </c>
      <c r="K508" s="25">
        <f t="shared" si="264"/>
        <v>20282.026119384056</v>
      </c>
      <c r="L508" s="25"/>
      <c r="N508" s="25">
        <f>'Combined Retirement'!$C$18/12</f>
        <v>39153.069999999992</v>
      </c>
      <c r="O508" s="25">
        <f t="shared" si="265"/>
        <v>11007.82546143035</v>
      </c>
      <c r="P508" s="25">
        <f t="shared" si="266"/>
        <v>28145.244538569641</v>
      </c>
      <c r="Q508" s="25">
        <f t="array" aca="1" ref="Q508" ca="1">INDEX('Isaac 401k'!L:L,MATCH('Retirement Calculator'!A508,'Isaac 401k'!N:N,0),0)</f>
        <v>423502.39674473373</v>
      </c>
      <c r="R508" s="25">
        <f t="array" aca="1" ref="R508" ca="1">INDEX('Lorri 401b'!L:L,MATCH('Retirement Calculator'!A508,'Lorri 401b'!N:N,0),0)</f>
        <v>1155355.1963419749</v>
      </c>
      <c r="S508" s="25">
        <f t="shared" ca="1" si="267"/>
        <v>1578857.5930867086</v>
      </c>
    </row>
    <row r="509" spans="1:19" ht="15.75" customHeight="1" x14ac:dyDescent="0.3">
      <c r="A509" s="37">
        <v>66446</v>
      </c>
      <c r="B509" s="409">
        <f t="shared" ref="B509:C509" si="510">($A509-B$9)/365.25</f>
        <v>100.04106776180699</v>
      </c>
      <c r="C509" s="409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2192</v>
      </c>
      <c r="I509" s="25">
        <f>IF(C509&lt;62,0,'Combined Retirement'!$I$13)</f>
        <v>2420</v>
      </c>
      <c r="J509" s="25">
        <f t="shared" si="263"/>
        <v>7863.2184191855868</v>
      </c>
      <c r="K509" s="25">
        <f t="shared" si="264"/>
        <v>20282.026119384056</v>
      </c>
      <c r="L509" s="25"/>
      <c r="N509" s="25">
        <f>'Combined Retirement'!$C$18/12</f>
        <v>39153.069999999992</v>
      </c>
      <c r="O509" s="25">
        <f t="shared" si="265"/>
        <v>11007.82546143035</v>
      </c>
      <c r="P509" s="25">
        <f t="shared" si="266"/>
        <v>28145.244538569641</v>
      </c>
      <c r="Q509" s="25">
        <f t="array" aca="1" ref="Q509" ca="1">INDEX('Isaac 401k'!L:L,MATCH('Retirement Calculator'!A509,'Isaac 401k'!N:N,0),0)</f>
        <v>417371.00823523791</v>
      </c>
      <c r="R509" s="25">
        <f t="array" aca="1" ref="R509" ca="1">INDEX('Lorri 401b'!L:L,MATCH('Retirement Calculator'!A509,'Lorri 401b'!N:N,0),0)</f>
        <v>1139802.6417651849</v>
      </c>
      <c r="S509" s="25">
        <f t="shared" ca="1" si="267"/>
        <v>1557173.6500004227</v>
      </c>
    </row>
    <row r="510" spans="1:19" ht="15.75" customHeight="1" x14ac:dyDescent="0.3">
      <c r="A510" s="37">
        <v>66477</v>
      </c>
      <c r="B510" s="409">
        <f t="shared" ref="B510:C510" si="511">($A510-B$9)/365.25</f>
        <v>100.12594113620807</v>
      </c>
      <c r="C510" s="409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2192</v>
      </c>
      <c r="I510" s="25">
        <f>IF(C510&lt;62,0,'Combined Retirement'!$I$13)</f>
        <v>2420</v>
      </c>
      <c r="J510" s="25">
        <f t="shared" si="263"/>
        <v>7863.2184191855868</v>
      </c>
      <c r="K510" s="25">
        <f t="shared" si="264"/>
        <v>20282.026119384056</v>
      </c>
      <c r="L510" s="25"/>
      <c r="N510" s="25">
        <f>'Combined Retirement'!$C$18/12</f>
        <v>39153.069999999992</v>
      </c>
      <c r="O510" s="25">
        <f t="shared" si="265"/>
        <v>11007.82546143035</v>
      </c>
      <c r="P510" s="25">
        <f t="shared" si="266"/>
        <v>28145.244538569641</v>
      </c>
      <c r="Q510" s="25">
        <f t="array" aca="1" ref="Q510" ca="1">INDEX('Isaac 401k'!L:L,MATCH('Retirement Calculator'!A510,'Isaac 401k'!N:N,0),0)</f>
        <v>411214.07227361918</v>
      </c>
      <c r="R510" s="25">
        <f t="array" aca="1" ref="R510" ca="1">INDEX('Lorri 401b'!L:L,MATCH('Retirement Calculator'!A510,'Lorri 401b'!N:N,0),0)</f>
        <v>1124185.2848776584</v>
      </c>
      <c r="S510" s="25">
        <f t="shared" ca="1" si="267"/>
        <v>1535399.3571512776</v>
      </c>
    </row>
    <row r="511" spans="1:19" ht="15.75" customHeight="1" x14ac:dyDescent="0.3">
      <c r="A511" s="37">
        <v>66508</v>
      </c>
      <c r="B511" s="409">
        <f t="shared" ref="B511:C511" si="512">($A511-B$9)/365.25</f>
        <v>100.21081451060917</v>
      </c>
      <c r="C511" s="409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2192</v>
      </c>
      <c r="I511" s="25">
        <f>IF(C511&lt;62,0,'Combined Retirement'!$I$13)</f>
        <v>2420</v>
      </c>
      <c r="J511" s="25">
        <f t="shared" si="263"/>
        <v>7863.2184191855868</v>
      </c>
      <c r="K511" s="25">
        <f t="shared" si="264"/>
        <v>20282.026119384056</v>
      </c>
      <c r="L511" s="25"/>
      <c r="N511" s="25">
        <f>'Combined Retirement'!$C$18/12</f>
        <v>39153.069999999992</v>
      </c>
      <c r="O511" s="25">
        <f t="shared" si="265"/>
        <v>11007.82546143035</v>
      </c>
      <c r="P511" s="25">
        <f t="shared" si="266"/>
        <v>28145.244538569641</v>
      </c>
      <c r="Q511" s="25">
        <f t="array" aca="1" ref="Q511" ca="1">INDEX('Isaac 401k'!L:L,MATCH('Retirement Calculator'!A511,'Isaac 401k'!N:N,0),0)</f>
        <v>405031.48241216037</v>
      </c>
      <c r="R511" s="25">
        <f t="array" aca="1" ref="R511" ca="1">INDEX('Lorri 401b'!L:L,MATCH('Retirement Calculator'!A511,'Lorri 401b'!N:N,0),0)</f>
        <v>1108502.8556697671</v>
      </c>
      <c r="S511" s="25">
        <f t="shared" ca="1" si="267"/>
        <v>1513534.3380819275</v>
      </c>
    </row>
    <row r="512" spans="1:19" ht="15.75" customHeight="1" x14ac:dyDescent="0.3">
      <c r="A512" s="37">
        <v>66536</v>
      </c>
      <c r="B512" s="409">
        <f t="shared" ref="B512:C512" si="513">($A512-B$9)/365.25</f>
        <v>100.28747433264887</v>
      </c>
      <c r="C512" s="409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2192</v>
      </c>
      <c r="I512" s="25">
        <f>IF(C512&lt;62,0,'Combined Retirement'!$I$13)</f>
        <v>2420</v>
      </c>
      <c r="J512" s="25">
        <f t="shared" si="263"/>
        <v>7863.2184191855868</v>
      </c>
      <c r="K512" s="25">
        <f t="shared" si="264"/>
        <v>20282.026119384056</v>
      </c>
      <c r="L512" s="25"/>
      <c r="N512" s="25">
        <f>'Combined Retirement'!$C$18/12</f>
        <v>39153.069999999992</v>
      </c>
      <c r="O512" s="25">
        <f t="shared" si="265"/>
        <v>11007.82546143035</v>
      </c>
      <c r="P512" s="25">
        <f t="shared" si="266"/>
        <v>28145.244538569641</v>
      </c>
      <c r="Q512" s="25">
        <f t="array" aca="1" ref="Q512" ca="1">INDEX('Isaac 401k'!L:L,MATCH('Retirement Calculator'!A512,'Isaac 401k'!N:N,0),0)</f>
        <v>398823.13175961218</v>
      </c>
      <c r="R512" s="25">
        <f t="array" aca="1" ref="R512" ca="1">INDEX('Lorri 401b'!L:L,MATCH('Retirement Calculator'!A512,'Lorri 401b'!N:N,0),0)</f>
        <v>1092755.083006843</v>
      </c>
      <c r="S512" s="25">
        <f t="shared" ca="1" si="267"/>
        <v>1491578.2147664551</v>
      </c>
    </row>
    <row r="513" spans="1:19" ht="15.75" customHeight="1" x14ac:dyDescent="0.3">
      <c r="A513" s="37">
        <v>66567</v>
      </c>
      <c r="B513" s="409">
        <f t="shared" ref="B513:C513" si="514">($A513-B$9)/365.25</f>
        <v>100.37234770704997</v>
      </c>
      <c r="C513" s="409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2192</v>
      </c>
      <c r="I513" s="25">
        <f>IF(C513&lt;62,0,'Combined Retirement'!$I$13)</f>
        <v>2420</v>
      </c>
      <c r="J513" s="25">
        <f t="shared" si="263"/>
        <v>7863.2184191855868</v>
      </c>
      <c r="K513" s="25">
        <f t="shared" si="264"/>
        <v>20282.026119384056</v>
      </c>
      <c r="L513" s="25"/>
      <c r="N513" s="25">
        <f>'Combined Retirement'!$C$18/12</f>
        <v>39153.069999999992</v>
      </c>
      <c r="O513" s="25">
        <f t="shared" si="265"/>
        <v>11007.82546143035</v>
      </c>
      <c r="P513" s="25">
        <f t="shared" si="266"/>
        <v>28145.244538569641</v>
      </c>
      <c r="Q513" s="25">
        <f t="array" aca="1" ref="Q513" ca="1">INDEX('Isaac 401k'!L:L,MATCH('Retirement Calculator'!A513,'Isaac 401k'!N:N,0),0)</f>
        <v>392588.91297934501</v>
      </c>
      <c r="R513" s="25">
        <f t="array" aca="1" ref="R513" ca="1">INDEX('Lorri 401b'!L:L,MATCH('Retirement Calculator'!A513,'Lorri 401b'!N:N,0),0)</f>
        <v>1076941.6946244901</v>
      </c>
      <c r="S513" s="25">
        <f t="shared" ca="1" si="267"/>
        <v>1469530.6076038352</v>
      </c>
    </row>
    <row r="514" spans="1:19" ht="15.75" customHeight="1" x14ac:dyDescent="0.3">
      <c r="A514" s="37">
        <v>66597</v>
      </c>
      <c r="B514" s="409">
        <f t="shared" ref="B514:C514" si="515">($A514-B$9)/365.25</f>
        <v>100.45448323066393</v>
      </c>
      <c r="C514" s="409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2192</v>
      </c>
      <c r="I514" s="25">
        <f>IF(C514&lt;62,0,'Combined Retirement'!$I$13)</f>
        <v>2420</v>
      </c>
      <c r="J514" s="25">
        <f t="shared" si="263"/>
        <v>7863.2184191855868</v>
      </c>
      <c r="K514" s="25">
        <f t="shared" si="264"/>
        <v>20282.026119384056</v>
      </c>
      <c r="L514" s="25"/>
      <c r="N514" s="25">
        <f>'Combined Retirement'!$C$18/12</f>
        <v>39153.069999999992</v>
      </c>
      <c r="O514" s="25">
        <f t="shared" si="265"/>
        <v>11007.82546143035</v>
      </c>
      <c r="P514" s="25">
        <f t="shared" si="266"/>
        <v>28145.244538569641</v>
      </c>
      <c r="Q514" s="25">
        <f t="array" aca="1" ref="Q514" ca="1">INDEX('Isaac 401k'!L:L,MATCH('Retirement Calculator'!A514,'Isaac 401k'!N:N,0),0)</f>
        <v>386328.71828749339</v>
      </c>
      <c r="R514" s="25">
        <f t="array" aca="1" ref="R514" ca="1">INDEX('Lorri 401b'!L:L,MATCH('Retirement Calculator'!A514,'Lorri 401b'!N:N,0),0)</f>
        <v>1061062.4171238774</v>
      </c>
      <c r="S514" s="25">
        <f t="shared" ca="1" si="267"/>
        <v>1447391.1354113708</v>
      </c>
    </row>
    <row r="515" spans="1:19" ht="15.75" customHeight="1" x14ac:dyDescent="0.3">
      <c r="A515" s="37">
        <v>66628</v>
      </c>
      <c r="B515" s="409">
        <f t="shared" ref="B515:C515" si="516">($A515-B$9)/365.25</f>
        <v>100.53935660506502</v>
      </c>
      <c r="C515" s="409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2192</v>
      </c>
      <c r="I515" s="25">
        <f>IF(C515&lt;62,0,'Combined Retirement'!$I$13)</f>
        <v>2420</v>
      </c>
      <c r="J515" s="25">
        <f t="shared" si="263"/>
        <v>7863.2184191855868</v>
      </c>
      <c r="K515" s="25">
        <f t="shared" si="264"/>
        <v>20282.026119384056</v>
      </c>
      <c r="L515" s="25"/>
      <c r="N515" s="25">
        <f>'Combined Retirement'!$C$18/12</f>
        <v>39153.069999999992</v>
      </c>
      <c r="O515" s="25">
        <f t="shared" si="265"/>
        <v>11007.82546143035</v>
      </c>
      <c r="P515" s="25">
        <f t="shared" si="266"/>
        <v>28145.244538569641</v>
      </c>
      <c r="Q515" s="25">
        <f t="array" aca="1" ref="Q515" ca="1">INDEX('Isaac 401k'!L:L,MATCH('Retirement Calculator'!A515,'Isaac 401k'!N:N,0),0)</f>
        <v>380042.43945109239</v>
      </c>
      <c r="R515" s="25">
        <f t="array" aca="1" ref="R515" ca="1">INDEX('Lorri 401b'!L:L,MATCH('Retirement Calculator'!A515,'Lorri 401b'!N:N,0),0)</f>
        <v>1045116.9759670121</v>
      </c>
      <c r="S515" s="25">
        <f t="shared" ca="1" si="267"/>
        <v>1425159.4154181045</v>
      </c>
    </row>
    <row r="516" spans="1:19" ht="15.75" customHeight="1" x14ac:dyDescent="0.3">
      <c r="A516" s="37">
        <v>66658</v>
      </c>
      <c r="B516" s="409">
        <f t="shared" ref="B516:C516" si="517">($A516-B$9)/365.25</f>
        <v>100.62149212867898</v>
      </c>
      <c r="C516" s="409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2192</v>
      </c>
      <c r="I516" s="25">
        <f>IF(C516&lt;62,0,'Combined Retirement'!$I$13)</f>
        <v>2420</v>
      </c>
      <c r="J516" s="25">
        <f t="shared" si="263"/>
        <v>7863.2184191855868</v>
      </c>
      <c r="K516" s="25">
        <f t="shared" si="264"/>
        <v>20282.026119384056</v>
      </c>
      <c r="L516" s="25"/>
      <c r="N516" s="25">
        <f>'Combined Retirement'!$C$18/12</f>
        <v>39153.069999999992</v>
      </c>
      <c r="O516" s="25">
        <f t="shared" si="265"/>
        <v>11007.82546143035</v>
      </c>
      <c r="P516" s="25">
        <f t="shared" si="266"/>
        <v>28145.244538569641</v>
      </c>
      <c r="Q516" s="25">
        <f t="array" aca="1" ref="Q516" ca="1">INDEX('Isaac 401k'!L:L,MATCH('Retirement Calculator'!A516,'Isaac 401k'!N:N,0),0)</f>
        <v>373729.9677862064</v>
      </c>
      <c r="R516" s="25">
        <f t="array" aca="1" ref="R516" ca="1">INDEX('Lorri 401b'!L:L,MATCH('Retirement Calculator'!A516,'Lorri 401b'!N:N,0),0)</f>
        <v>1029105.0954719931</v>
      </c>
      <c r="S516" s="25">
        <f t="shared" ca="1" si="267"/>
        <v>1402835.0632581995</v>
      </c>
    </row>
    <row r="517" spans="1:19" ht="15.75" customHeight="1" x14ac:dyDescent="0.3">
      <c r="A517" s="37">
        <v>66689</v>
      </c>
      <c r="B517" s="409">
        <f t="shared" ref="B517:C517" si="518">($A517-B$9)/365.25</f>
        <v>100.70636550308008</v>
      </c>
      <c r="C517" s="409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2192</v>
      </c>
      <c r="I517" s="25">
        <f>IF(C517&lt;62,0,'Combined Retirement'!$I$13)</f>
        <v>2420</v>
      </c>
      <c r="J517" s="25">
        <f t="shared" si="263"/>
        <v>7863.2184191855868</v>
      </c>
      <c r="K517" s="25">
        <f t="shared" si="264"/>
        <v>20282.026119384056</v>
      </c>
      <c r="L517" s="25"/>
      <c r="N517" s="25">
        <f>'Combined Retirement'!$C$18/12</f>
        <v>39153.069999999992</v>
      </c>
      <c r="O517" s="25">
        <f t="shared" si="265"/>
        <v>11007.82546143035</v>
      </c>
      <c r="P517" s="25">
        <f t="shared" si="266"/>
        <v>28145.244538569641</v>
      </c>
      <c r="Q517" s="25">
        <f t="array" aca="1" ref="Q517" ca="1">INDEX('Isaac 401k'!L:L,MATCH('Retirement Calculator'!A517,'Isaac 401k'!N:N,0),0)</f>
        <v>367391.19415605004</v>
      </c>
      <c r="R517" s="25">
        <f t="array" aca="1" ref="R517" ca="1">INDEX('Lorri 401b'!L:L,MATCH('Retirement Calculator'!A517,'Lorri 401b'!N:N,0),0)</f>
        <v>1013026.4988082448</v>
      </c>
      <c r="S517" s="25">
        <f t="shared" ca="1" si="267"/>
        <v>1380417.6929642949</v>
      </c>
    </row>
    <row r="518" spans="1:19" ht="15.75" customHeight="1" x14ac:dyDescent="0.3">
      <c r="A518" s="37">
        <v>66720</v>
      </c>
      <c r="B518" s="409">
        <f t="shared" ref="B518:C518" si="519">($A518-B$9)/365.25</f>
        <v>100.79123887748118</v>
      </c>
      <c r="C518" s="409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2192</v>
      </c>
      <c r="I518" s="25">
        <f>IF(C518&lt;62,0,'Combined Retirement'!$I$13)</f>
        <v>2420</v>
      </c>
      <c r="J518" s="25">
        <f t="shared" si="263"/>
        <v>7863.2184191855868</v>
      </c>
      <c r="K518" s="25">
        <f t="shared" si="264"/>
        <v>20282.026119384056</v>
      </c>
      <c r="L518" s="25"/>
      <c r="N518" s="25">
        <f>'Combined Retirement'!$C$18/12</f>
        <v>39153.069999999992</v>
      </c>
      <c r="O518" s="25">
        <f t="shared" si="265"/>
        <v>11007.82546143035</v>
      </c>
      <c r="P518" s="25">
        <f t="shared" si="266"/>
        <v>28145.244538569641</v>
      </c>
      <c r="Q518" s="25">
        <f t="array" aca="1" ref="Q518" ca="1">INDEX('Isaac 401k'!L:L,MATCH('Retirement Calculator'!A518,'Isaac 401k'!N:N,0),0)</f>
        <v>361026.00896910136</v>
      </c>
      <c r="R518" s="25">
        <f t="array" aca="1" ref="R518" ca="1">INDEX('Lorri 401b'!L:L,MATCH('Retirement Calculator'!A518,'Lorri 401b'!N:N,0),0)</f>
        <v>996880.90799173096</v>
      </c>
      <c r="S518" s="25">
        <f t="shared" ca="1" si="267"/>
        <v>1357906.9169608322</v>
      </c>
    </row>
    <row r="519" spans="1:19" ht="15.75" customHeight="1" x14ac:dyDescent="0.3">
      <c r="A519" s="37">
        <v>66750</v>
      </c>
      <c r="B519" s="409">
        <f t="shared" ref="B519:C519" si="520">($A519-B$9)/365.25</f>
        <v>100.87337440109513</v>
      </c>
      <c r="C519" s="409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2192</v>
      </c>
      <c r="I519" s="25">
        <f>IF(C519&lt;62,0,'Combined Retirement'!$I$13)</f>
        <v>2420</v>
      </c>
      <c r="J519" s="25">
        <f t="shared" si="263"/>
        <v>7863.2184191855868</v>
      </c>
      <c r="K519" s="25">
        <f t="shared" si="264"/>
        <v>20282.026119384056</v>
      </c>
      <c r="L519" s="25"/>
      <c r="N519" s="25">
        <f>'Combined Retirement'!$C$18/12</f>
        <v>39153.069999999992</v>
      </c>
      <c r="O519" s="25">
        <f t="shared" si="265"/>
        <v>11007.82546143035</v>
      </c>
      <c r="P519" s="25">
        <f t="shared" si="266"/>
        <v>28145.244538569641</v>
      </c>
      <c r="Q519" s="25">
        <f t="array" aca="1" ref="Q519" ca="1">INDEX('Isaac 401k'!L:L,MATCH('Retirement Calculator'!A519,'Isaac 401k'!N:N,0),0)</f>
        <v>354634.30217720708</v>
      </c>
      <c r="R519" s="25">
        <f t="array" aca="1" ref="R519" ca="1">INDEX('Lorri 401b'!L:L,MATCH('Retirement Calculator'!A519,'Lorri 401b'!N:N,0),0)</f>
        <v>980668.04388014833</v>
      </c>
      <c r="S519" s="25">
        <f t="shared" ca="1" si="267"/>
        <v>1335302.3460573554</v>
      </c>
    </row>
    <row r="520" spans="1:19" ht="15.75" customHeight="1" x14ac:dyDescent="0.3">
      <c r="A520" s="37">
        <v>66781</v>
      </c>
      <c r="B520" s="409">
        <f t="shared" ref="B520:C520" si="521">($A520-B$9)/365.25</f>
        <v>100.95824777549623</v>
      </c>
      <c r="C520" s="409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2192</v>
      </c>
      <c r="I520" s="25">
        <f>IF(C520&lt;62,0,'Combined Retirement'!$I$13)</f>
        <v>2420</v>
      </c>
      <c r="J520" s="25">
        <f t="shared" si="263"/>
        <v>7863.2184191855868</v>
      </c>
      <c r="K520" s="25">
        <f t="shared" si="264"/>
        <v>20282.026119384056</v>
      </c>
      <c r="L520" s="25"/>
      <c r="N520" s="25">
        <f>'Combined Retirement'!$C$18/12</f>
        <v>39153.069999999992</v>
      </c>
      <c r="O520" s="25">
        <f t="shared" si="265"/>
        <v>11007.82546143035</v>
      </c>
      <c r="P520" s="25">
        <f t="shared" si="266"/>
        <v>28145.244538569641</v>
      </c>
      <c r="Q520" s="25">
        <f t="array" aca="1" ref="Q520" ca="1">INDEX('Isaac 401k'!L:L,MATCH('Retirement Calculator'!A520,'Isaac 401k'!N:N,0),0)</f>
        <v>348215.9632736799</v>
      </c>
      <c r="R520" s="25">
        <f t="array" aca="1" ref="R520" ca="1">INDEX('Lorri 401b'!L:L,MATCH('Retirement Calculator'!A520,'Lorri 401b'!N:N,0),0)</f>
        <v>964387.62616810075</v>
      </c>
      <c r="S520" s="25">
        <f t="shared" ca="1" si="267"/>
        <v>1312603.5894417807</v>
      </c>
    </row>
    <row r="521" spans="1:19" ht="15.75" customHeight="1" x14ac:dyDescent="0.3">
      <c r="A521" s="37">
        <v>66811</v>
      </c>
      <c r="B521" s="409">
        <f t="shared" ref="B521:C521" si="522">($A521-B$9)/365.25</f>
        <v>101.0403832991102</v>
      </c>
      <c r="C521" s="409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2192</v>
      </c>
      <c r="I521" s="25">
        <f>IF(C521&lt;62,0,'Combined Retirement'!$I$13)</f>
        <v>2420</v>
      </c>
      <c r="J521" s="25">
        <f t="shared" ref="J521:J775" si="523">IF(C521&lt;59.5,P521,P521*$J$7)</f>
        <v>7863.2184191855868</v>
      </c>
      <c r="K521" s="25">
        <f t="shared" ref="K521:K775" si="524">IF(C521&lt;59.5,0,IF(C521&lt;$B$7,0,P521*$K$7))</f>
        <v>20282.026119384056</v>
      </c>
      <c r="L521" s="25"/>
      <c r="N521" s="25">
        <f>'Combined Retirement'!$C$18/12</f>
        <v>39153.069999999992</v>
      </c>
      <c r="O521" s="25">
        <f t="shared" ref="O521:O775" si="525">SUM(E521:I521)</f>
        <v>11007.82546143035</v>
      </c>
      <c r="P521" s="25">
        <f t="shared" ref="P521:P775" si="526">N521-O521</f>
        <v>28145.244538569641</v>
      </c>
      <c r="Q521" s="25">
        <f t="array" aca="1" ref="Q521" ca="1">INDEX('Isaac 401k'!L:L,MATCH('Retirement Calculator'!A521,'Isaac 401k'!N:N,0),0)</f>
        <v>341770.88129138801</v>
      </c>
      <c r="R521" s="25">
        <f t="array" aca="1" ref="R521" ca="1">INDEX('Lorri 401b'!L:L,MATCH('Retirement Calculator'!A521,'Lorri 401b'!N:N,0),0)</f>
        <v>948039.37338225299</v>
      </c>
      <c r="S521" s="25">
        <f t="shared" ref="S521:S775" ca="1" si="527">SUM(Q521:R521)</f>
        <v>1289810.2546736409</v>
      </c>
    </row>
    <row r="522" spans="1:19" ht="15.75" customHeight="1" x14ac:dyDescent="0.3">
      <c r="A522" s="37">
        <v>66842</v>
      </c>
      <c r="B522" s="409">
        <f t="shared" ref="B522:C522" si="528">($A522-B$9)/365.25</f>
        <v>101.12525667351129</v>
      </c>
      <c r="C522" s="409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2192</v>
      </c>
      <c r="I522" s="25">
        <f>IF(C522&lt;62,0,'Combined Retirement'!$I$13)</f>
        <v>2420</v>
      </c>
      <c r="J522" s="25">
        <f t="shared" si="523"/>
        <v>7863.2184191855868</v>
      </c>
      <c r="K522" s="25">
        <f t="shared" si="524"/>
        <v>20282.026119384056</v>
      </c>
      <c r="L522" s="25"/>
      <c r="N522" s="25">
        <f>'Combined Retirement'!$C$18/12</f>
        <v>39153.069999999992</v>
      </c>
      <c r="O522" s="25">
        <f t="shared" si="525"/>
        <v>11007.82546143035</v>
      </c>
      <c r="P522" s="25">
        <f t="shared" si="526"/>
        <v>28145.244538569641</v>
      </c>
      <c r="Q522" s="25">
        <f t="array" aca="1" ref="Q522" ca="1">INDEX('Isaac 401k'!L:L,MATCH('Retirement Calculator'!A522,'Isaac 401k'!N:N,0),0)</f>
        <v>335298.94480083656</v>
      </c>
      <c r="R522" s="25">
        <f t="array" aca="1" ref="R522" ca="1">INDEX('Lorri 401b'!L:L,MATCH('Retirement Calculator'!A522,'Lorri 401b'!N:N,0),0)</f>
        <v>931623.00287646416</v>
      </c>
      <c r="S522" s="25">
        <f t="shared" ca="1" si="527"/>
        <v>1266921.9476773008</v>
      </c>
    </row>
    <row r="523" spans="1:19" ht="15.75" customHeight="1" x14ac:dyDescent="0.3">
      <c r="A523" s="37">
        <v>66873</v>
      </c>
      <c r="B523" s="409">
        <f t="shared" ref="B523:C523" si="529">($A523-B$9)/365.25</f>
        <v>101.21013004791239</v>
      </c>
      <c r="C523" s="409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2192</v>
      </c>
      <c r="I523" s="25">
        <f>IF(C523&lt;62,0,'Combined Retirement'!$I$13)</f>
        <v>2420</v>
      </c>
      <c r="J523" s="25">
        <f t="shared" si="523"/>
        <v>7863.2184191855868</v>
      </c>
      <c r="K523" s="25">
        <f t="shared" si="524"/>
        <v>20282.026119384056</v>
      </c>
      <c r="L523" s="25"/>
      <c r="N523" s="25">
        <f>'Combined Retirement'!$C$18/12</f>
        <v>39153.069999999992</v>
      </c>
      <c r="O523" s="25">
        <f t="shared" si="525"/>
        <v>11007.82546143035</v>
      </c>
      <c r="P523" s="25">
        <f t="shared" si="526"/>
        <v>28145.244538569641</v>
      </c>
      <c r="Q523" s="25">
        <f t="array" aca="1" ref="Q523" ca="1">INDEX('Isaac 401k'!L:L,MATCH('Retirement Calculator'!A523,'Isaac 401k'!N:N,0),0)</f>
        <v>328800.04190824117</v>
      </c>
      <c r="R523" s="25">
        <f t="array" aca="1" ref="R523" ca="1">INDEX('Lorri 401b'!L:L,MATCH('Retirement Calculator'!A523,'Lorri 401b'!N:N,0),0)</f>
        <v>915138.23082690127</v>
      </c>
      <c r="S523" s="25">
        <f t="shared" ca="1" si="527"/>
        <v>1243938.2727351424</v>
      </c>
    </row>
    <row r="524" spans="1:19" ht="15.75" customHeight="1" x14ac:dyDescent="0.3">
      <c r="A524" s="37">
        <v>66901</v>
      </c>
      <c r="B524" s="409">
        <f t="shared" ref="B524:C524" si="530">($A524-B$9)/365.25</f>
        <v>101.28678986995209</v>
      </c>
      <c r="C524" s="409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2192</v>
      </c>
      <c r="I524" s="25">
        <f>IF(C524&lt;62,0,'Combined Retirement'!$I$13)</f>
        <v>2420</v>
      </c>
      <c r="J524" s="25">
        <f t="shared" si="523"/>
        <v>7863.2184191855868</v>
      </c>
      <c r="K524" s="25">
        <f t="shared" si="524"/>
        <v>20282.026119384056</v>
      </c>
      <c r="L524" s="25"/>
      <c r="N524" s="25">
        <f>'Combined Retirement'!$C$18/12</f>
        <v>39153.069999999992</v>
      </c>
      <c r="O524" s="25">
        <f t="shared" si="525"/>
        <v>11007.82546143035</v>
      </c>
      <c r="P524" s="25">
        <f t="shared" si="526"/>
        <v>28145.244538569641</v>
      </c>
      <c r="Q524" s="25">
        <f t="array" aca="1" ref="Q524" ca="1">INDEX('Isaac 401k'!L:L,MATCH('Retirement Calculator'!A524,'Isaac 401k'!N:N,0),0)</f>
        <v>322274.06025359331</v>
      </c>
      <c r="R524" s="25">
        <f t="array" aca="1" ref="R524" ca="1">INDEX('Lorri 401b'!L:L,MATCH('Retirement Calculator'!A524,'Lorri 401b'!N:N,0),0)</f>
        <v>898584.77222713188</v>
      </c>
      <c r="S524" s="25">
        <f t="shared" ca="1" si="527"/>
        <v>1220858.8324807251</v>
      </c>
    </row>
    <row r="525" spans="1:19" ht="15.75" customHeight="1" x14ac:dyDescent="0.3">
      <c r="A525" s="37">
        <v>66932</v>
      </c>
      <c r="B525" s="409">
        <f t="shared" ref="B525:C525" si="531">($A525-B$9)/365.25</f>
        <v>101.37166324435319</v>
      </c>
      <c r="C525" s="409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2192</v>
      </c>
      <c r="I525" s="25">
        <f>IF(C525&lt;62,0,'Combined Retirement'!$I$13)</f>
        <v>2420</v>
      </c>
      <c r="J525" s="25">
        <f t="shared" si="523"/>
        <v>7863.2184191855868</v>
      </c>
      <c r="K525" s="25">
        <f t="shared" si="524"/>
        <v>20282.026119384056</v>
      </c>
      <c r="L525" s="25"/>
      <c r="N525" s="25">
        <f>'Combined Retirement'!$C$18/12</f>
        <v>39153.069999999992</v>
      </c>
      <c r="O525" s="25">
        <f t="shared" si="525"/>
        <v>11007.82546143035</v>
      </c>
      <c r="P525" s="25">
        <f t="shared" si="526"/>
        <v>28145.244538569641</v>
      </c>
      <c r="Q525" s="25">
        <f t="array" aca="1" ref="Q525" ca="1">INDEX('Isaac 401k'!L:L,MATCH('Retirement Calculator'!A525,'Isaac 401k'!N:N,0),0)</f>
        <v>315720.88700871775</v>
      </c>
      <c r="R525" s="25">
        <f t="array" aca="1" ref="R525" ca="1">INDEX('Lorri 401b'!L:L,MATCH('Retirement Calculator'!A525,'Lorri 401b'!N:N,0),0)</f>
        <v>881962.34088319668</v>
      </c>
      <c r="S525" s="25">
        <f t="shared" ca="1" si="527"/>
        <v>1197683.2278919145</v>
      </c>
    </row>
    <row r="526" spans="1:19" ht="15.75" customHeight="1" x14ac:dyDescent="0.3">
      <c r="A526" s="37">
        <v>66962</v>
      </c>
      <c r="B526" s="409">
        <f t="shared" ref="B526:C526" si="532">($A526-B$9)/365.25</f>
        <v>101.45379876796714</v>
      </c>
      <c r="C526" s="409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2192</v>
      </c>
      <c r="I526" s="25">
        <f>IF(C526&lt;62,0,'Combined Retirement'!$I$13)</f>
        <v>2420</v>
      </c>
      <c r="J526" s="25">
        <f t="shared" si="523"/>
        <v>7863.2184191855868</v>
      </c>
      <c r="K526" s="25">
        <f t="shared" si="524"/>
        <v>20282.026119384056</v>
      </c>
      <c r="L526" s="25"/>
      <c r="N526" s="25">
        <f>'Combined Retirement'!$C$18/12</f>
        <v>39153.069999999992</v>
      </c>
      <c r="O526" s="25">
        <f t="shared" si="525"/>
        <v>11007.82546143035</v>
      </c>
      <c r="P526" s="25">
        <f t="shared" si="526"/>
        <v>28145.244538569641</v>
      </c>
      <c r="Q526" s="25">
        <f t="array" aca="1" ref="Q526" ca="1">INDEX('Isaac 401k'!L:L,MATCH('Retirement Calculator'!A526,'Isaac 401k'!N:N,0),0)</f>
        <v>309140.40887532185</v>
      </c>
      <c r="R526" s="25">
        <f t="array" aca="1" ref="R526" ca="1">INDEX('Lorri 401b'!L:L,MATCH('Retirement Calculator'!A526,'Lorri 401b'!N:N,0),0)</f>
        <v>865270.64940866176</v>
      </c>
      <c r="S526" s="25">
        <f t="shared" ca="1" si="527"/>
        <v>1174411.0582839837</v>
      </c>
    </row>
    <row r="527" spans="1:19" ht="15.75" customHeight="1" x14ac:dyDescent="0.3">
      <c r="A527" s="37">
        <v>66993</v>
      </c>
      <c r="B527" s="409">
        <f t="shared" ref="B527:C527" si="533">($A527-B$9)/365.25</f>
        <v>101.53867214236824</v>
      </c>
      <c r="C527" s="409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2192</v>
      </c>
      <c r="I527" s="25">
        <f>IF(C527&lt;62,0,'Combined Retirement'!$I$13)</f>
        <v>2420</v>
      </c>
      <c r="J527" s="25">
        <f t="shared" si="523"/>
        <v>7863.2184191855868</v>
      </c>
      <c r="K527" s="25">
        <f t="shared" si="524"/>
        <v>20282.026119384056</v>
      </c>
      <c r="L527" s="25"/>
      <c r="N527" s="25">
        <f>'Combined Retirement'!$C$18/12</f>
        <v>39153.069999999992</v>
      </c>
      <c r="O527" s="25">
        <f t="shared" si="525"/>
        <v>11007.82546143035</v>
      </c>
      <c r="P527" s="25">
        <f t="shared" si="526"/>
        <v>28145.244538569641</v>
      </c>
      <c r="Q527" s="25">
        <f t="array" aca="1" ref="Q527" ca="1">INDEX('Isaac 401k'!L:L,MATCH('Retirement Calculator'!A527,'Isaac 401k'!N:N,0),0)</f>
        <v>302532.51208303683</v>
      </c>
      <c r="R527" s="25">
        <f t="array" aca="1" ref="R527" ca="1">INDEX('Lorri 401b'!L:L,MATCH('Retirement Calculator'!A527,'Lorri 401b'!N:N,0),0)</f>
        <v>848509.40921964962</v>
      </c>
      <c r="S527" s="25">
        <f t="shared" ca="1" si="527"/>
        <v>1151041.9213026864</v>
      </c>
    </row>
    <row r="528" spans="1:19" ht="15.75" customHeight="1" x14ac:dyDescent="0.3">
      <c r="A528" s="37">
        <v>67023</v>
      </c>
      <c r="B528" s="409">
        <f t="shared" ref="B528:C528" si="534">($A528-B$9)/365.25</f>
        <v>101.6208076659822</v>
      </c>
      <c r="C528" s="409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2192</v>
      </c>
      <c r="I528" s="25">
        <f>IF(C528&lt;62,0,'Combined Retirement'!$I$13)</f>
        <v>2420</v>
      </c>
      <c r="J528" s="25">
        <f t="shared" si="523"/>
        <v>7863.2184191855868</v>
      </c>
      <c r="K528" s="25">
        <f t="shared" si="524"/>
        <v>20282.026119384056</v>
      </c>
      <c r="L528" s="25"/>
      <c r="N528" s="25">
        <f>'Combined Retirement'!$C$18/12</f>
        <v>39153.069999999992</v>
      </c>
      <c r="O528" s="25">
        <f t="shared" si="525"/>
        <v>11007.82546143035</v>
      </c>
      <c r="P528" s="25">
        <f t="shared" si="526"/>
        <v>28145.244538569641</v>
      </c>
      <c r="Q528" s="25">
        <f t="array" aca="1" ref="Q528" ca="1">INDEX('Isaac 401k'!L:L,MATCH('Retirement Calculator'!A528,'Isaac 401k'!N:N,0),0)</f>
        <v>295897.08238745062</v>
      </c>
      <c r="R528" s="25">
        <f t="array" aca="1" ref="R528" ca="1">INDEX('Lorri 401b'!L:L,MATCH('Retirement Calculator'!A528,'Lorri 401b'!N:N,0),0)</f>
        <v>831678.33052984998</v>
      </c>
      <c r="S528" s="25">
        <f t="shared" ca="1" si="527"/>
        <v>1127575.4129173006</v>
      </c>
    </row>
    <row r="529" spans="1:19" ht="15.75" customHeight="1" x14ac:dyDescent="0.3">
      <c r="A529" s="37">
        <v>67054</v>
      </c>
      <c r="B529" s="409">
        <f t="shared" ref="B529:C529" si="535">($A529-B$9)/365.25</f>
        <v>101.7056810403833</v>
      </c>
      <c r="C529" s="409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2192</v>
      </c>
      <c r="I529" s="25">
        <f>IF(C529&lt;62,0,'Combined Retirement'!$I$13)</f>
        <v>2420</v>
      </c>
      <c r="J529" s="25">
        <f t="shared" si="523"/>
        <v>7863.2184191855868</v>
      </c>
      <c r="K529" s="25">
        <f t="shared" si="524"/>
        <v>20282.026119384056</v>
      </c>
      <c r="L529" s="25"/>
      <c r="N529" s="25">
        <f>'Combined Retirement'!$C$18/12</f>
        <v>39153.069999999992</v>
      </c>
      <c r="O529" s="25">
        <f t="shared" si="525"/>
        <v>11007.82546143035</v>
      </c>
      <c r="P529" s="25">
        <f t="shared" si="526"/>
        <v>28145.244538569641</v>
      </c>
      <c r="Q529" s="25">
        <f t="array" aca="1" ref="Q529" ca="1">INDEX('Isaac 401k'!L:L,MATCH('Retirement Calculator'!A529,'Isaac 401k'!N:N,0),0)</f>
        <v>289234.00506813277</v>
      </c>
      <c r="R529" s="25">
        <f t="array" aca="1" ref="R529" ca="1">INDEX('Lorri 401b'!L:L,MATCH('Retirement Calculator'!A529,'Lorri 401b'!N:N,0),0)</f>
        <v>814777.12234550947</v>
      </c>
      <c r="S529" s="25">
        <f t="shared" ca="1" si="527"/>
        <v>1104011.1274136421</v>
      </c>
    </row>
    <row r="530" spans="1:19" ht="15.75" customHeight="1" x14ac:dyDescent="0.3">
      <c r="A530" s="37">
        <v>67085</v>
      </c>
      <c r="B530" s="409">
        <f t="shared" ref="B530:C530" si="536">($A530-B$9)/365.25</f>
        <v>101.7905544147844</v>
      </c>
      <c r="C530" s="409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2192</v>
      </c>
      <c r="I530" s="25">
        <f>IF(C530&lt;62,0,'Combined Retirement'!$I$13)</f>
        <v>2420</v>
      </c>
      <c r="J530" s="25">
        <f t="shared" si="523"/>
        <v>7863.2184191855868</v>
      </c>
      <c r="K530" s="25">
        <f t="shared" si="524"/>
        <v>20282.026119384056</v>
      </c>
      <c r="L530" s="25"/>
      <c r="N530" s="25">
        <f>'Combined Retirement'!$C$18/12</f>
        <v>39153.069999999992</v>
      </c>
      <c r="O530" s="25">
        <f t="shared" si="525"/>
        <v>11007.82546143035</v>
      </c>
      <c r="P530" s="25">
        <f t="shared" si="526"/>
        <v>28145.244538569641</v>
      </c>
      <c r="Q530" s="25">
        <f t="array" aca="1" ref="Q530" ca="1">INDEX('Isaac 401k'!L:L,MATCH('Retirement Calculator'!A530,'Isaac 401k'!N:N,0),0)</f>
        <v>282543.16492665111</v>
      </c>
      <c r="R530" s="25">
        <f t="array" aca="1" ref="R530" ca="1">INDEX('Lorri 401b'!L:L,MATCH('Retirement Calculator'!A530,'Lorri 401b'!N:N,0),0)</f>
        <v>797805.49246040091</v>
      </c>
      <c r="S530" s="25">
        <f t="shared" ca="1" si="527"/>
        <v>1080348.657387052</v>
      </c>
    </row>
    <row r="531" spans="1:19" ht="15.75" customHeight="1" x14ac:dyDescent="0.3">
      <c r="A531" s="37">
        <v>67115</v>
      </c>
      <c r="B531" s="409">
        <f t="shared" ref="B531:C531" si="537">($A531-B$9)/365.25</f>
        <v>101.87268993839835</v>
      </c>
      <c r="C531" s="409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2192</v>
      </c>
      <c r="I531" s="25">
        <f>IF(C531&lt;62,0,'Combined Retirement'!$I$13)</f>
        <v>2420</v>
      </c>
      <c r="J531" s="25">
        <f t="shared" si="523"/>
        <v>7863.2184191855868</v>
      </c>
      <c r="K531" s="25">
        <f t="shared" si="524"/>
        <v>20282.026119384056</v>
      </c>
      <c r="L531" s="25"/>
      <c r="N531" s="25">
        <f>'Combined Retirement'!$C$18/12</f>
        <v>39153.069999999992</v>
      </c>
      <c r="O531" s="25">
        <f t="shared" si="525"/>
        <v>11007.82546143035</v>
      </c>
      <c r="P531" s="25">
        <f t="shared" si="526"/>
        <v>28145.244538569641</v>
      </c>
      <c r="Q531" s="25">
        <f t="array" aca="1" ref="Q531" ca="1">INDEX('Isaac 401k'!L:L,MATCH('Retirement Calculator'!A531,'Isaac 401k'!N:N,0),0)</f>
        <v>275824.44628457993</v>
      </c>
      <c r="R531" s="25">
        <f t="array" aca="1" ref="R531" ca="1">INDEX('Lorri 401b'!L:L,MATCH('Retirement Calculator'!A531,'Lorri 401b'!N:N,0),0)</f>
        <v>780763.14745077107</v>
      </c>
      <c r="S531" s="25">
        <f t="shared" ca="1" si="527"/>
        <v>1056587.593735351</v>
      </c>
    </row>
    <row r="532" spans="1:19" ht="15.75" customHeight="1" x14ac:dyDescent="0.3">
      <c r="A532" s="37">
        <v>67146</v>
      </c>
      <c r="B532" s="409">
        <f t="shared" ref="B532:C532" si="538">($A532-B$9)/365.25</f>
        <v>101.95756331279945</v>
      </c>
      <c r="C532" s="409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2192</v>
      </c>
      <c r="I532" s="25">
        <f>IF(C532&lt;62,0,'Combined Retirement'!$I$13)</f>
        <v>2420</v>
      </c>
      <c r="J532" s="25">
        <f t="shared" si="523"/>
        <v>7863.2184191855868</v>
      </c>
      <c r="K532" s="25">
        <f t="shared" si="524"/>
        <v>20282.026119384056</v>
      </c>
      <c r="L532" s="25"/>
      <c r="N532" s="25">
        <f>'Combined Retirement'!$C$18/12</f>
        <v>39153.069999999992</v>
      </c>
      <c r="O532" s="25">
        <f t="shared" si="525"/>
        <v>11007.82546143035</v>
      </c>
      <c r="P532" s="25">
        <f t="shared" si="526"/>
        <v>28145.244538569641</v>
      </c>
      <c r="Q532" s="25">
        <f t="array" aca="1" ref="Q532" ca="1">INDEX('Isaac 401k'!L:L,MATCH('Retirement Calculator'!A532,'Isaac 401k'!N:N,0),0)</f>
        <v>269077.73298150016</v>
      </c>
      <c r="R532" s="25">
        <f t="array" aca="1" ref="R532" ca="1">INDEX('Lorri 401b'!L:L,MATCH('Retirement Calculator'!A532,'Lorri 401b'!N:N,0),0)</f>
        <v>763649.79267026775</v>
      </c>
      <c r="S532" s="25">
        <f t="shared" ca="1" si="527"/>
        <v>1032727.5256517678</v>
      </c>
    </row>
    <row r="533" spans="1:19" ht="15.75" customHeight="1" x14ac:dyDescent="0.3">
      <c r="A533" s="37">
        <v>67176</v>
      </c>
      <c r="B533" s="409">
        <f t="shared" ref="B533:C533" si="539">($A533-B$9)/365.25</f>
        <v>102.03969883641342</v>
      </c>
      <c r="C533" s="409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2192</v>
      </c>
      <c r="I533" s="25">
        <f>IF(C533&lt;62,0,'Combined Retirement'!$I$13)</f>
        <v>2420</v>
      </c>
      <c r="J533" s="25">
        <f t="shared" si="523"/>
        <v>7863.2184191855868</v>
      </c>
      <c r="K533" s="25">
        <f t="shared" si="524"/>
        <v>20282.026119384056</v>
      </c>
      <c r="L533" s="25"/>
      <c r="N533" s="25">
        <f>'Combined Retirement'!$C$18/12</f>
        <v>39153.069999999992</v>
      </c>
      <c r="O533" s="25">
        <f t="shared" si="525"/>
        <v>11007.82546143035</v>
      </c>
      <c r="P533" s="25">
        <f t="shared" si="526"/>
        <v>28145.244538569641</v>
      </c>
      <c r="Q533" s="25">
        <f t="array" aca="1" ref="Q533" ca="1">INDEX('Isaac 401k'!L:L,MATCH('Retirement Calculator'!A533,'Isaac 401k'!N:N,0),0)</f>
        <v>262302.9083729909</v>
      </c>
      <c r="R533" s="25">
        <f t="array" aca="1" ref="R533" ca="1">INDEX('Lorri 401b'!L:L,MATCH('Retirement Calculator'!A533,'Lorri 401b'!N:N,0),0)</f>
        <v>746465.13224484562</v>
      </c>
      <c r="S533" s="25">
        <f t="shared" ca="1" si="527"/>
        <v>1008768.0406178365</v>
      </c>
    </row>
    <row r="534" spans="1:19" ht="15.75" customHeight="1" x14ac:dyDescent="0.3">
      <c r="A534" s="37">
        <v>67207</v>
      </c>
      <c r="B534" s="409">
        <f t="shared" ref="B534:C534" si="540">($A534-B$9)/365.25</f>
        <v>102.12457221081451</v>
      </c>
      <c r="C534" s="409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2192</v>
      </c>
      <c r="I534" s="25">
        <f>IF(C534&lt;62,0,'Combined Retirement'!$I$13)</f>
        <v>2420</v>
      </c>
      <c r="J534" s="25">
        <f t="shared" si="523"/>
        <v>7863.2184191855868</v>
      </c>
      <c r="K534" s="25">
        <f t="shared" si="524"/>
        <v>20282.026119384056</v>
      </c>
      <c r="L534" s="25"/>
      <c r="N534" s="25">
        <f>'Combined Retirement'!$C$18/12</f>
        <v>39153.069999999992</v>
      </c>
      <c r="O534" s="25">
        <f t="shared" si="525"/>
        <v>11007.82546143035</v>
      </c>
      <c r="P534" s="25">
        <f t="shared" si="526"/>
        <v>28145.244538569641</v>
      </c>
      <c r="Q534" s="25">
        <f t="array" aca="1" ref="Q534" ca="1">INDEX('Isaac 401k'!L:L,MATCH('Retirement Calculator'!A534,'Isaac 401k'!N:N,0),0)</f>
        <v>255499.85532861284</v>
      </c>
      <c r="R534" s="25">
        <f t="array" aca="1" ref="R534" ca="1">INDEX('Lorri 401b'!L:L,MATCH('Retirement Calculator'!A534,'Lorri 401b'!N:N,0),0)</f>
        <v>729208.86906765099</v>
      </c>
      <c r="S534" s="25">
        <f t="shared" ca="1" si="527"/>
        <v>984708.72439626383</v>
      </c>
    </row>
    <row r="535" spans="1:19" ht="15.75" customHeight="1" x14ac:dyDescent="0.3">
      <c r="A535" s="37">
        <v>67238</v>
      </c>
      <c r="B535" s="409">
        <f t="shared" ref="B535:C535" si="541">($A535-B$9)/365.25</f>
        <v>102.2094455852156</v>
      </c>
      <c r="C535" s="409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2192</v>
      </c>
      <c r="I535" s="25">
        <f>IF(C535&lt;62,0,'Combined Retirement'!$I$13)</f>
        <v>2420</v>
      </c>
      <c r="J535" s="25">
        <f t="shared" si="523"/>
        <v>7863.2184191855868</v>
      </c>
      <c r="K535" s="25">
        <f t="shared" si="524"/>
        <v>20282.026119384056</v>
      </c>
      <c r="L535" s="25"/>
      <c r="N535" s="25">
        <f>'Combined Retirement'!$C$18/12</f>
        <v>39153.069999999992</v>
      </c>
      <c r="O535" s="25">
        <f t="shared" si="525"/>
        <v>11007.82546143035</v>
      </c>
      <c r="P535" s="25">
        <f t="shared" si="526"/>
        <v>28145.244538569641</v>
      </c>
      <c r="Q535" s="25">
        <f t="array" aca="1" ref="Q535" ca="1">INDEX('Isaac 401k'!L:L,MATCH('Retirement Calculator'!A535,'Isaac 401k'!N:N,0),0)</f>
        <v>248668.45622988322</v>
      </c>
      <c r="R535" s="25">
        <f t="array" aca="1" ref="R535" ca="1">INDEX('Lorri 401b'!L:L,MATCH('Retirement Calculator'!A535,'Lorri 401b'!N:N,0),0)</f>
        <v>711880.70479388465</v>
      </c>
      <c r="S535" s="25">
        <f t="shared" ca="1" si="527"/>
        <v>960549.1610237679</v>
      </c>
    </row>
    <row r="536" spans="1:19" ht="15.75" customHeight="1" x14ac:dyDescent="0.3">
      <c r="A536" s="37">
        <v>67267</v>
      </c>
      <c r="B536" s="409">
        <f t="shared" ref="B536:C536" si="542">($A536-B$9)/365.25</f>
        <v>102.28884325804243</v>
      </c>
      <c r="C536" s="409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2192</v>
      </c>
      <c r="I536" s="25">
        <f>IF(C536&lt;62,0,'Combined Retirement'!$I$13)</f>
        <v>2420</v>
      </c>
      <c r="J536" s="25">
        <f t="shared" si="523"/>
        <v>7863.2184191855868</v>
      </c>
      <c r="K536" s="25">
        <f t="shared" si="524"/>
        <v>20282.026119384056</v>
      </c>
      <c r="L536" s="25"/>
      <c r="N536" s="25">
        <f>'Combined Retirement'!$C$18/12</f>
        <v>39153.069999999992</v>
      </c>
      <c r="O536" s="25">
        <f t="shared" si="525"/>
        <v>11007.82546143035</v>
      </c>
      <c r="P536" s="25">
        <f t="shared" si="526"/>
        <v>28145.244538569641</v>
      </c>
      <c r="Q536" s="25">
        <f t="array" aca="1" ref="Q536" ca="1">INDEX('Isaac 401k'!L:L,MATCH('Retirement Calculator'!A536,'Isaac 401k'!N:N,0),0)</f>
        <v>241808.59296824221</v>
      </c>
      <c r="R536" s="25">
        <f t="array" aca="1" ref="R536" ca="1">INDEX('Lorri 401b'!L:L,MATCH('Retirement Calculator'!A536,'Lorri 401b'!N:N,0),0)</f>
        <v>694480.33983564435</v>
      </c>
      <c r="S536" s="25">
        <f t="shared" ca="1" si="527"/>
        <v>936288.93280388659</v>
      </c>
    </row>
    <row r="537" spans="1:19" ht="15.75" customHeight="1" x14ac:dyDescent="0.3">
      <c r="A537" s="37">
        <v>67298</v>
      </c>
      <c r="B537" s="409">
        <f t="shared" ref="B537:C537" si="543">($A537-B$9)/365.25</f>
        <v>102.37371663244353</v>
      </c>
      <c r="C537" s="409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2192</v>
      </c>
      <c r="I537" s="25">
        <f>IF(C537&lt;62,0,'Combined Retirement'!$I$13)</f>
        <v>2420</v>
      </c>
      <c r="J537" s="25">
        <f t="shared" si="523"/>
        <v>7863.2184191855868</v>
      </c>
      <c r="K537" s="25">
        <f t="shared" si="524"/>
        <v>20282.026119384056</v>
      </c>
      <c r="L537" s="25"/>
      <c r="N537" s="25">
        <f>'Combined Retirement'!$C$18/12</f>
        <v>39153.069999999992</v>
      </c>
      <c r="O537" s="25">
        <f t="shared" si="525"/>
        <v>11007.82546143035</v>
      </c>
      <c r="P537" s="25">
        <f t="shared" si="526"/>
        <v>28145.244538569641</v>
      </c>
      <c r="Q537" s="25">
        <f t="array" aca="1" ref="Q537" ca="1">INDEX('Isaac 401k'!L:L,MATCH('Retirement Calculator'!A537,'Isaac 401k'!N:N,0),0)</f>
        <v>234920.14694301103</v>
      </c>
      <c r="R537" s="25">
        <f t="array" aca="1" ref="R537" ca="1">INDEX('Lorri 401b'!L:L,MATCH('Retirement Calculator'!A537,'Lorri 401b'!N:N,0),0)</f>
        <v>677007.47335674462</v>
      </c>
      <c r="S537" s="25">
        <f t="shared" ca="1" si="527"/>
        <v>911927.6202997556</v>
      </c>
    </row>
    <row r="538" spans="1:19" ht="15.75" customHeight="1" x14ac:dyDescent="0.3">
      <c r="A538" s="37">
        <v>67328</v>
      </c>
      <c r="B538" s="409">
        <f t="shared" ref="B538:C538" si="544">($A538-B$9)/365.25</f>
        <v>102.45585215605749</v>
      </c>
      <c r="C538" s="409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2192</v>
      </c>
      <c r="I538" s="25">
        <f>IF(C538&lt;62,0,'Combined Retirement'!$I$13)</f>
        <v>2420</v>
      </c>
      <c r="J538" s="25">
        <f t="shared" si="523"/>
        <v>7863.2184191855868</v>
      </c>
      <c r="K538" s="25">
        <f t="shared" si="524"/>
        <v>20282.026119384056</v>
      </c>
      <c r="L538" s="25"/>
      <c r="N538" s="25">
        <f>'Combined Retirement'!$C$18/12</f>
        <v>39153.069999999992</v>
      </c>
      <c r="O538" s="25">
        <f t="shared" si="525"/>
        <v>11007.82546143035</v>
      </c>
      <c r="P538" s="25">
        <f t="shared" si="526"/>
        <v>28145.244538569641</v>
      </c>
      <c r="Q538" s="25">
        <f t="array" aca="1" ref="Q538" ca="1">INDEX('Isaac 401k'!L:L,MATCH('Retirement Calculator'!A538,'Isaac 401k'!N:N,0),0)</f>
        <v>228002.99905934138</v>
      </c>
      <c r="R538" s="25">
        <f t="array" aca="1" ref="R538" ca="1">INDEX('Lorri 401b'!L:L,MATCH('Retirement Calculator'!A538,'Lorri 401b'!N:N,0),0)</f>
        <v>659461.8032675162</v>
      </c>
      <c r="S538" s="25">
        <f t="shared" ca="1" si="527"/>
        <v>887464.80232685758</v>
      </c>
    </row>
    <row r="539" spans="1:19" ht="15.75" customHeight="1" x14ac:dyDescent="0.3">
      <c r="A539" s="37">
        <v>67359</v>
      </c>
      <c r="B539" s="409">
        <f t="shared" ref="B539:C539" si="545">($A539-B$9)/365.25</f>
        <v>102.54072553045859</v>
      </c>
      <c r="C539" s="409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2192</v>
      </c>
      <c r="I539" s="25">
        <f>IF(C539&lt;62,0,'Combined Retirement'!$I$13)</f>
        <v>2420</v>
      </c>
      <c r="J539" s="25">
        <f t="shared" si="523"/>
        <v>7863.2184191855868</v>
      </c>
      <c r="K539" s="25">
        <f t="shared" si="524"/>
        <v>20282.026119384056</v>
      </c>
      <c r="L539" s="25"/>
      <c r="N539" s="25">
        <f>'Combined Retirement'!$C$18/12</f>
        <v>39153.069999999992</v>
      </c>
      <c r="O539" s="25">
        <f t="shared" si="525"/>
        <v>11007.82546143035</v>
      </c>
      <c r="P539" s="25">
        <f t="shared" si="526"/>
        <v>28145.244538569641</v>
      </c>
      <c r="Q539" s="25">
        <f t="array" aca="1" ref="Q539" ca="1">INDEX('Isaac 401k'!L:L,MATCH('Retirement Calculator'!A539,'Isaac 401k'!N:N,0),0)</f>
        <v>221057.02972615644</v>
      </c>
      <c r="R539" s="25">
        <f t="array" aca="1" ref="R539" ca="1">INDEX('Lorri 401b'!L:L,MATCH('Retirement Calculator'!A539,'Lorri 401b'!N:N,0),0)</f>
        <v>641843.02621958265</v>
      </c>
      <c r="S539" s="25">
        <f t="shared" ca="1" si="527"/>
        <v>862900.05594573915</v>
      </c>
    </row>
    <row r="540" spans="1:19" ht="15.75" customHeight="1" x14ac:dyDescent="0.3">
      <c r="A540" s="37">
        <v>67389</v>
      </c>
      <c r="B540" s="409">
        <f t="shared" ref="B540:C540" si="546">($A540-B$9)/365.25</f>
        <v>102.62286105407256</v>
      </c>
      <c r="C540" s="409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2192</v>
      </c>
      <c r="I540" s="25">
        <f>IF(C540&lt;62,0,'Combined Retirement'!$I$13)</f>
        <v>2420</v>
      </c>
      <c r="J540" s="25">
        <f t="shared" si="523"/>
        <v>7863.2184191855868</v>
      </c>
      <c r="K540" s="25">
        <f t="shared" si="524"/>
        <v>20282.026119384056</v>
      </c>
      <c r="L540" s="25"/>
      <c r="N540" s="25">
        <f>'Combined Retirement'!$C$18/12</f>
        <v>39153.069999999992</v>
      </c>
      <c r="O540" s="25">
        <f t="shared" si="525"/>
        <v>11007.82546143035</v>
      </c>
      <c r="P540" s="25">
        <f t="shared" si="526"/>
        <v>28145.244538569641</v>
      </c>
      <c r="Q540" s="25">
        <f t="array" aca="1" ref="Q540" ca="1">INDEX('Isaac 401k'!L:L,MATCH('Retirement Calculator'!A540,'Isaac 401k'!N:N,0),0)</f>
        <v>214082.11885408324</v>
      </c>
      <c r="R540" s="25">
        <f t="array" aca="1" ref="R540" ca="1">INDEX('Lorri 401b'!L:L,MATCH('Retirement Calculator'!A540,'Lorri 401b'!N:N,0),0)</f>
        <v>624150.83760061604</v>
      </c>
      <c r="S540" s="25">
        <f t="shared" ca="1" si="527"/>
        <v>838232.95645469928</v>
      </c>
    </row>
    <row r="541" spans="1:19" ht="15.75" customHeight="1" x14ac:dyDescent="0.3">
      <c r="A541" s="37">
        <v>67420</v>
      </c>
      <c r="B541" s="409">
        <f t="shared" ref="B541:C541" si="547">($A541-B$9)/365.25</f>
        <v>102.70773442847364</v>
      </c>
      <c r="C541" s="409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2192</v>
      </c>
      <c r="I541" s="25">
        <f>IF(C541&lt;62,0,'Combined Retirement'!$I$13)</f>
        <v>2420</v>
      </c>
      <c r="J541" s="25">
        <f t="shared" si="523"/>
        <v>7863.2184191855868</v>
      </c>
      <c r="K541" s="25">
        <f t="shared" si="524"/>
        <v>20282.026119384056</v>
      </c>
      <c r="L541" s="25"/>
      <c r="N541" s="25">
        <f>'Combined Retirement'!$C$18/12</f>
        <v>39153.069999999992</v>
      </c>
      <c r="O541" s="25">
        <f t="shared" si="525"/>
        <v>11007.82546143035</v>
      </c>
      <c r="P541" s="25">
        <f t="shared" si="526"/>
        <v>28145.244538569641</v>
      </c>
      <c r="Q541" s="25">
        <f t="array" aca="1" ref="Q541" ca="1">INDEX('Isaac 401k'!L:L,MATCH('Retirement Calculator'!A541,'Isaac 401k'!N:N,0),0)</f>
        <v>207078.14585337639</v>
      </c>
      <c r="R541" s="25">
        <f t="array" aca="1" ref="R541" ca="1">INDEX('Lorri 401b'!L:L,MATCH('Retirement Calculator'!A541,'Lorri 401b'!N:N,0),0)</f>
        <v>606384.93152907037</v>
      </c>
      <c r="S541" s="25">
        <f t="shared" ca="1" si="527"/>
        <v>813463.07738244673</v>
      </c>
    </row>
    <row r="542" spans="1:19" ht="15.75" customHeight="1" x14ac:dyDescent="0.3">
      <c r="A542" s="37">
        <v>67451</v>
      </c>
      <c r="B542" s="409">
        <f t="shared" ref="B542:C542" si="548">($A542-B$9)/365.25</f>
        <v>102.79260780287474</v>
      </c>
      <c r="C542" s="409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2192</v>
      </c>
      <c r="I542" s="25">
        <f>IF(C542&lt;62,0,'Combined Retirement'!$I$13)</f>
        <v>2420</v>
      </c>
      <c r="J542" s="25">
        <f t="shared" si="523"/>
        <v>7863.2184191855868</v>
      </c>
      <c r="K542" s="25">
        <f t="shared" si="524"/>
        <v>20282.026119384056</v>
      </c>
      <c r="L542" s="25"/>
      <c r="N542" s="25">
        <f>'Combined Retirement'!$C$18/12</f>
        <v>39153.069999999992</v>
      </c>
      <c r="O542" s="25">
        <f t="shared" si="525"/>
        <v>11007.82546143035</v>
      </c>
      <c r="P542" s="25">
        <f t="shared" si="526"/>
        <v>28145.244538569641</v>
      </c>
      <c r="Q542" s="25">
        <f t="array" aca="1" ref="Q542" ca="1">INDEX('Isaac 401k'!L:L,MATCH('Retirement Calculator'!A542,'Isaac 401k'!N:N,0),0)</f>
        <v>200044.98963183328</v>
      </c>
      <c r="R542" s="25">
        <f t="array" aca="1" ref="R542" ca="1">INDEX('Lorri 401b'!L:L,MATCH('Retirement Calculator'!A542,'Lorri 401b'!N:N,0),0)</f>
        <v>588545.00084889331</v>
      </c>
      <c r="S542" s="25">
        <f t="shared" ca="1" si="527"/>
        <v>788589.99048072658</v>
      </c>
    </row>
    <row r="543" spans="1:19" ht="15.75" customHeight="1" x14ac:dyDescent="0.3">
      <c r="A543" s="37">
        <v>67481</v>
      </c>
      <c r="B543" s="409">
        <f t="shared" ref="B543:C543" si="549">($A543-B$9)/365.25</f>
        <v>102.87474332648871</v>
      </c>
      <c r="C543" s="409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2192</v>
      </c>
      <c r="I543" s="25">
        <f>IF(C543&lt;62,0,'Combined Retirement'!$I$13)</f>
        <v>2420</v>
      </c>
      <c r="J543" s="25">
        <f t="shared" si="523"/>
        <v>7863.2184191855868</v>
      </c>
      <c r="K543" s="25">
        <f t="shared" si="524"/>
        <v>20282.026119384056</v>
      </c>
      <c r="L543" s="25"/>
      <c r="N543" s="25">
        <f>'Combined Retirement'!$C$18/12</f>
        <v>39153.069999999992</v>
      </c>
      <c r="O543" s="25">
        <f t="shared" si="525"/>
        <v>11007.82546143035</v>
      </c>
      <c r="P543" s="25">
        <f t="shared" si="526"/>
        <v>28145.244538569641</v>
      </c>
      <c r="Q543" s="25">
        <f t="array" aca="1" ref="Q543" ca="1">INDEX('Isaac 401k'!L:L,MATCH('Retirement Calculator'!A543,'Isaac 401k'!N:N,0),0)</f>
        <v>192982.5285927004</v>
      </c>
      <c r="R543" s="25">
        <f t="array" aca="1" ref="R543" ca="1">INDEX('Lorri 401b'!L:L,MATCH('Retirement Calculator'!A543,'Lorri 401b'!N:N,0),0)</f>
        <v>570630.73712421546</v>
      </c>
      <c r="S543" s="25">
        <f t="shared" ca="1" si="527"/>
        <v>763613.26571691583</v>
      </c>
    </row>
    <row r="544" spans="1:19" ht="15.75" customHeight="1" x14ac:dyDescent="0.3">
      <c r="A544" s="37">
        <v>67512</v>
      </c>
      <c r="B544" s="409">
        <f t="shared" ref="B544:C544" si="550">($A544-B$9)/365.25</f>
        <v>102.9596167008898</v>
      </c>
      <c r="C544" s="409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2192</v>
      </c>
      <c r="I544" s="25">
        <f>IF(C544&lt;62,0,'Combined Retirement'!$I$13)</f>
        <v>2420</v>
      </c>
      <c r="J544" s="25">
        <f t="shared" si="523"/>
        <v>7863.2184191855868</v>
      </c>
      <c r="K544" s="25">
        <f t="shared" si="524"/>
        <v>20282.026119384056</v>
      </c>
      <c r="L544" s="25"/>
      <c r="N544" s="25">
        <f>'Combined Retirement'!$C$18/12</f>
        <v>39153.069999999992</v>
      </c>
      <c r="O544" s="25">
        <f t="shared" si="525"/>
        <v>11007.82546143035</v>
      </c>
      <c r="P544" s="25">
        <f t="shared" si="526"/>
        <v>28145.244538569641</v>
      </c>
      <c r="Q544" s="25">
        <f t="array" aca="1" ref="Q544" ca="1">INDEX('Isaac 401k'!L:L,MATCH('Retirement Calculator'!A544,'Isaac 401k'!N:N,0),0)</f>
        <v>185890.64063257113</v>
      </c>
      <c r="R544" s="25">
        <f t="array" aca="1" ref="R544" ca="1">INDEX('Lorri 401b'!L:L,MATCH('Retirement Calculator'!A544,'Lorri 401b'!N:N,0),0)</f>
        <v>552641.83063401817</v>
      </c>
      <c r="S544" s="25">
        <f t="shared" ca="1" si="527"/>
        <v>738532.47126658936</v>
      </c>
    </row>
    <row r="545" spans="1:19" ht="15.75" customHeight="1" x14ac:dyDescent="0.3">
      <c r="A545" s="37">
        <v>67542</v>
      </c>
      <c r="B545" s="409">
        <f t="shared" ref="B545:C545" si="551">($A545-B$9)/365.25</f>
        <v>103.04175222450377</v>
      </c>
      <c r="C545" s="409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2192</v>
      </c>
      <c r="I545" s="25">
        <f>IF(C545&lt;62,0,'Combined Retirement'!$I$13)</f>
        <v>2420</v>
      </c>
      <c r="J545" s="25">
        <f t="shared" si="523"/>
        <v>7863.2184191855868</v>
      </c>
      <c r="K545" s="25">
        <f t="shared" si="524"/>
        <v>20282.026119384056</v>
      </c>
      <c r="L545" s="25"/>
      <c r="N545" s="25">
        <f>'Combined Retirement'!$C$18/12</f>
        <v>39153.069999999992</v>
      </c>
      <c r="O545" s="25">
        <f t="shared" si="525"/>
        <v>11007.82546143035</v>
      </c>
      <c r="P545" s="25">
        <f t="shared" si="526"/>
        <v>28145.244538569641</v>
      </c>
      <c r="Q545" s="25">
        <f t="array" aca="1" ref="Q545" ca="1">INDEX('Isaac 401k'!L:L,MATCH('Retirement Calculator'!A545,'Isaac 401k'!N:N,0),0)</f>
        <v>178769.20313927464</v>
      </c>
      <c r="R545" s="25">
        <f t="array" aca="1" ref="R545" ca="1">INDEX('Lorri 401b'!L:L,MATCH('Retirement Calculator'!A545,'Lorri 401b'!N:N,0),0)</f>
        <v>534577.97036677843</v>
      </c>
      <c r="S545" s="25">
        <f t="shared" ca="1" si="527"/>
        <v>713347.17350605305</v>
      </c>
    </row>
    <row r="546" spans="1:19" ht="15.75" customHeight="1" x14ac:dyDescent="0.3">
      <c r="A546" s="37">
        <v>67573</v>
      </c>
      <c r="B546" s="409">
        <f t="shared" ref="B546:C546" si="552">($A546-B$9)/365.25</f>
        <v>103.12662559890487</v>
      </c>
      <c r="C546" s="409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2192</v>
      </c>
      <c r="I546" s="25">
        <f>IF(C546&lt;62,0,'Combined Retirement'!$I$13)</f>
        <v>2420</v>
      </c>
      <c r="J546" s="25">
        <f t="shared" si="523"/>
        <v>7863.2184191855868</v>
      </c>
      <c r="K546" s="25">
        <f t="shared" si="524"/>
        <v>20282.026119384056</v>
      </c>
      <c r="L546" s="25"/>
      <c r="N546" s="25">
        <f>'Combined Retirement'!$C$18/12</f>
        <v>39153.069999999992</v>
      </c>
      <c r="O546" s="25">
        <f t="shared" si="525"/>
        <v>11007.82546143035</v>
      </c>
      <c r="P546" s="25">
        <f t="shared" si="526"/>
        <v>28145.244538569641</v>
      </c>
      <c r="Q546" s="25">
        <f t="array" aca="1" ref="Q546" ca="1">INDEX('Isaac 401k'!L:L,MATCH('Retirement Calculator'!A546,'Isaac 401k'!N:N,0),0)</f>
        <v>171618.09298975611</v>
      </c>
      <c r="R546" s="25">
        <f t="array" aca="1" ref="R546" ca="1">INDEX('Lorri 401b'!L:L,MATCH('Retirement Calculator'!A546,'Lorri 401b'!N:N,0),0)</f>
        <v>516438.84401509189</v>
      </c>
      <c r="S546" s="25">
        <f t="shared" ca="1" si="527"/>
        <v>688056.93700484803</v>
      </c>
    </row>
    <row r="547" spans="1:19" ht="15.75" customHeight="1" x14ac:dyDescent="0.3">
      <c r="A547" s="37">
        <v>67604</v>
      </c>
      <c r="B547" s="409">
        <f t="shared" ref="B547:C547" si="553">($A547-B$9)/365.25</f>
        <v>103.21149897330595</v>
      </c>
      <c r="C547" s="409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2192</v>
      </c>
      <c r="I547" s="25">
        <f>IF(C547&lt;62,0,'Combined Retirement'!$I$13)</f>
        <v>2420</v>
      </c>
      <c r="J547" s="25">
        <f t="shared" si="523"/>
        <v>7863.2184191855868</v>
      </c>
      <c r="K547" s="25">
        <f t="shared" si="524"/>
        <v>20282.026119384056</v>
      </c>
      <c r="L547" s="25"/>
      <c r="N547" s="25">
        <f>'Combined Retirement'!$C$18/12</f>
        <v>39153.069999999992</v>
      </c>
      <c r="O547" s="25">
        <f t="shared" si="525"/>
        <v>11007.82546143035</v>
      </c>
      <c r="P547" s="25">
        <f t="shared" si="526"/>
        <v>28145.244538569641</v>
      </c>
      <c r="Q547" s="25">
        <f t="array" aca="1" ref="Q547" ca="1">INDEX('Isaac 401k'!L:L,MATCH('Retirement Calculator'!A547,'Isaac 401k'!N:N,0),0)</f>
        <v>164437.1865479479</v>
      </c>
      <c r="R547" s="25">
        <f t="array" aca="1" ref="R547" ca="1">INDEX('Lorri 401b'!L:L,MATCH('Retirement Calculator'!A547,'Lorri 401b'!N:N,0),0)</f>
        <v>498224.13797027332</v>
      </c>
      <c r="S547" s="25">
        <f t="shared" ca="1" si="527"/>
        <v>662661.3245182212</v>
      </c>
    </row>
    <row r="548" spans="1:19" ht="15.75" customHeight="1" x14ac:dyDescent="0.3">
      <c r="A548" s="37">
        <v>67632</v>
      </c>
      <c r="B548" s="409">
        <f t="shared" ref="B548:C548" si="554">($A548-B$9)/365.25</f>
        <v>103.28815879534565</v>
      </c>
      <c r="C548" s="409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2192</v>
      </c>
      <c r="I548" s="25">
        <f>IF(C548&lt;62,0,'Combined Retirement'!$I$13)</f>
        <v>2420</v>
      </c>
      <c r="J548" s="25">
        <f t="shared" si="523"/>
        <v>7863.2184191855868</v>
      </c>
      <c r="K548" s="25">
        <f t="shared" si="524"/>
        <v>20282.026119384056</v>
      </c>
      <c r="L548" s="25"/>
      <c r="N548" s="25">
        <f>'Combined Retirement'!$C$18/12</f>
        <v>39153.069999999992</v>
      </c>
      <c r="O548" s="25">
        <f t="shared" si="525"/>
        <v>11007.82546143035</v>
      </c>
      <c r="P548" s="25">
        <f t="shared" si="526"/>
        <v>28145.244538569641</v>
      </c>
      <c r="Q548" s="25">
        <f t="array" aca="1" ref="Q548" ca="1">INDEX('Isaac 401k'!L:L,MATCH('Retirement Calculator'!A548,'Isaac 401k'!N:N,0),0)</f>
        <v>157226.35966263217</v>
      </c>
      <c r="R548" s="25">
        <f t="array" aca="1" ref="R548" ca="1">INDEX('Lorri 401b'!L:L,MATCH('Retirement Calculator'!A548,'Lorri 401b'!N:N,0),0)</f>
        <v>479933.53731693467</v>
      </c>
      <c r="S548" s="25">
        <f t="shared" ca="1" si="527"/>
        <v>637159.8969795669</v>
      </c>
    </row>
    <row r="549" spans="1:19" ht="15.75" customHeight="1" x14ac:dyDescent="0.3">
      <c r="A549" s="37">
        <v>67663</v>
      </c>
      <c r="B549" s="409">
        <f t="shared" ref="B549:C549" si="555">($A549-B$9)/365.25</f>
        <v>103.37303216974675</v>
      </c>
      <c r="C549" s="409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2192</v>
      </c>
      <c r="I549" s="25">
        <f>IF(C549&lt;62,0,'Combined Retirement'!$I$13)</f>
        <v>2420</v>
      </c>
      <c r="J549" s="25">
        <f t="shared" si="523"/>
        <v>7863.2184191855868</v>
      </c>
      <c r="K549" s="25">
        <f t="shared" si="524"/>
        <v>20282.026119384056</v>
      </c>
      <c r="L549" s="25"/>
      <c r="N549" s="25">
        <f>'Combined Retirement'!$C$18/12</f>
        <v>39153.069999999992</v>
      </c>
      <c r="O549" s="25">
        <f t="shared" si="525"/>
        <v>11007.82546143035</v>
      </c>
      <c r="P549" s="25">
        <f t="shared" si="526"/>
        <v>28145.244538569641</v>
      </c>
      <c r="Q549" s="25">
        <f t="array" aca="1" ref="Q549" ca="1">INDEX('Isaac 401k'!L:L,MATCH('Retirement Calculator'!A549,'Isaac 401k'!N:N,0),0)</f>
        <v>149985.48766529429</v>
      </c>
      <c r="R549" s="25">
        <f t="array" aca="1" ref="R549" ca="1">INDEX('Lorri 401b'!L:L,MATCH('Retirement Calculator'!A549,'Lorri 401b'!N:N,0),0)</f>
        <v>461566.72582754045</v>
      </c>
      <c r="S549" s="25">
        <f t="shared" ca="1" si="527"/>
        <v>611552.21349283471</v>
      </c>
    </row>
    <row r="550" spans="1:19" ht="15.75" customHeight="1" x14ac:dyDescent="0.3">
      <c r="A550" s="37">
        <v>67693</v>
      </c>
      <c r="B550" s="409">
        <f t="shared" ref="B550:C550" si="556">($A550-B$9)/365.25</f>
        <v>103.45516769336071</v>
      </c>
      <c r="C550" s="409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2192</v>
      </c>
      <c r="I550" s="25">
        <f>IF(C550&lt;62,0,'Combined Retirement'!$I$13)</f>
        <v>2420</v>
      </c>
      <c r="J550" s="25">
        <f t="shared" si="523"/>
        <v>7863.2184191855868</v>
      </c>
      <c r="K550" s="25">
        <f t="shared" si="524"/>
        <v>20282.026119384056</v>
      </c>
      <c r="L550" s="25"/>
      <c r="N550" s="25">
        <f>'Combined Retirement'!$C$18/12</f>
        <v>39153.069999999992</v>
      </c>
      <c r="O550" s="25">
        <f t="shared" si="525"/>
        <v>11007.82546143035</v>
      </c>
      <c r="P550" s="25">
        <f t="shared" si="526"/>
        <v>28145.244538569641</v>
      </c>
      <c r="Q550" s="25">
        <f t="array" aca="1" ref="Q550" ca="1">INDEX('Isaac 401k'!L:L,MATCH('Retirement Calculator'!A550,'Isaac 401k'!N:N,0),0)</f>
        <v>142714.44536796751</v>
      </c>
      <c r="R550" s="25">
        <f t="array" aca="1" ref="R550" ca="1">INDEX('Lorri 401b'!L:L,MATCH('Retirement Calculator'!A550,'Lorri 401b'!N:N,0),0)</f>
        <v>443123.38595694042</v>
      </c>
      <c r="S550" s="25">
        <f t="shared" ca="1" si="527"/>
        <v>585837.83132490795</v>
      </c>
    </row>
    <row r="551" spans="1:19" ht="15.75" customHeight="1" x14ac:dyDescent="0.3">
      <c r="A551" s="37">
        <v>67724</v>
      </c>
      <c r="B551" s="409">
        <f t="shared" ref="B551:C551" si="557">($A551-B$9)/365.25</f>
        <v>103.54004106776181</v>
      </c>
      <c r="C551" s="409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2192</v>
      </c>
      <c r="I551" s="25">
        <f>IF(C551&lt;62,0,'Combined Retirement'!$I$13)</f>
        <v>2420</v>
      </c>
      <c r="J551" s="25">
        <f t="shared" si="523"/>
        <v>7863.2184191855868</v>
      </c>
      <c r="K551" s="25">
        <f t="shared" si="524"/>
        <v>20282.026119384056</v>
      </c>
      <c r="L551" s="25"/>
      <c r="N551" s="25">
        <f>'Combined Retirement'!$C$18/12</f>
        <v>39153.069999999992</v>
      </c>
      <c r="O551" s="25">
        <f t="shared" si="525"/>
        <v>11007.82546143035</v>
      </c>
      <c r="P551" s="25">
        <f t="shared" si="526"/>
        <v>28145.244538569641</v>
      </c>
      <c r="Q551" s="25">
        <f t="array" aca="1" ref="Q551" ca="1">INDEX('Isaac 401k'!L:L,MATCH('Retirement Calculator'!A551,'Isaac 401k'!N:N,0),0)</f>
        <v>135413.10706106853</v>
      </c>
      <c r="R551" s="25">
        <f t="array" aca="1" ref="R551" ca="1">INDEX('Lorri 401b'!L:L,MATCH('Retirement Calculator'!A551,'Lorri 401b'!N:N,0),0)</f>
        <v>424603.19883687951</v>
      </c>
      <c r="S551" s="25">
        <f t="shared" ca="1" si="527"/>
        <v>560016.3058979481</v>
      </c>
    </row>
    <row r="552" spans="1:19" ht="15.75" customHeight="1" x14ac:dyDescent="0.3">
      <c r="A552" s="37">
        <v>67754</v>
      </c>
      <c r="B552" s="409">
        <f t="shared" ref="B552:C552" si="558">($A552-B$9)/365.25</f>
        <v>103.62217659137578</v>
      </c>
      <c r="C552" s="409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2192</v>
      </c>
      <c r="I552" s="25">
        <f>IF(C552&lt;62,0,'Combined Retirement'!$I$13)</f>
        <v>2420</v>
      </c>
      <c r="J552" s="25">
        <f t="shared" si="523"/>
        <v>7863.2184191855868</v>
      </c>
      <c r="K552" s="25">
        <f t="shared" si="524"/>
        <v>20282.026119384056</v>
      </c>
      <c r="L552" s="25"/>
      <c r="N552" s="25">
        <f>'Combined Retirement'!$C$18/12</f>
        <v>39153.069999999992</v>
      </c>
      <c r="O552" s="25">
        <f t="shared" si="525"/>
        <v>11007.82546143035</v>
      </c>
      <c r="P552" s="25">
        <f t="shared" si="526"/>
        <v>28145.244538569641</v>
      </c>
      <c r="Q552" s="25">
        <f t="array" aca="1" ref="Q552" ca="1">INDEX('Isaac 401k'!L:L,MATCH('Retirement Calculator'!A552,'Isaac 401k'!N:N,0),0)</f>
        <v>128081.34651122411</v>
      </c>
      <c r="R552" s="25">
        <f t="array" aca="1" ref="R552" ca="1">INDEX('Lorri 401b'!L:L,MATCH('Retirement Calculator'!A552,'Lorri 401b'!N:N,0),0)</f>
        <v>406005.84427048505</v>
      </c>
      <c r="S552" s="25">
        <f t="shared" ca="1" si="527"/>
        <v>534087.19078170916</v>
      </c>
    </row>
    <row r="553" spans="1:19" ht="15.75" customHeight="1" x14ac:dyDescent="0.3">
      <c r="A553" s="37">
        <v>67785</v>
      </c>
      <c r="B553" s="409">
        <f t="shared" ref="B553:C553" si="559">($A553-B$9)/365.25</f>
        <v>103.70704996577686</v>
      </c>
      <c r="C553" s="409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2192</v>
      </c>
      <c r="I553" s="25">
        <f>IF(C553&lt;62,0,'Combined Retirement'!$I$13)</f>
        <v>2420</v>
      </c>
      <c r="J553" s="25">
        <f t="shared" si="523"/>
        <v>7863.2184191855868</v>
      </c>
      <c r="K553" s="25">
        <f t="shared" si="524"/>
        <v>20282.026119384056</v>
      </c>
      <c r="L553" s="25"/>
      <c r="N553" s="25">
        <f>'Combined Retirement'!$C$18/12</f>
        <v>39153.069999999992</v>
      </c>
      <c r="O553" s="25">
        <f t="shared" si="525"/>
        <v>11007.82546143035</v>
      </c>
      <c r="P553" s="25">
        <f t="shared" si="526"/>
        <v>28145.244538569641</v>
      </c>
      <c r="Q553" s="25">
        <f t="array" aca="1" ref="Q553" ca="1">INDEX('Isaac 401k'!L:L,MATCH('Retirement Calculator'!A553,'Isaac 401k'!N:N,0),0)</f>
        <v>120719.03695908868</v>
      </c>
      <c r="R553" s="25">
        <f t="array" aca="1" ref="R553" ca="1">INDEX('Lorri 401b'!L:L,MATCH('Retirement Calculator'!A553,'Lorri 401b'!N:N,0),0)</f>
        <v>387331.00072673056</v>
      </c>
      <c r="S553" s="25">
        <f t="shared" ca="1" si="527"/>
        <v>508050.03768581926</v>
      </c>
    </row>
    <row r="554" spans="1:19" ht="15.75" customHeight="1" x14ac:dyDescent="0.3">
      <c r="A554" s="37">
        <v>67816</v>
      </c>
      <c r="B554" s="409">
        <f t="shared" ref="B554:C554" si="560">($A554-B$9)/365.25</f>
        <v>103.79192334017796</v>
      </c>
      <c r="C554" s="409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2192</v>
      </c>
      <c r="I554" s="25">
        <f>IF(C554&lt;62,0,'Combined Retirement'!$I$13)</f>
        <v>2420</v>
      </c>
      <c r="J554" s="25">
        <f t="shared" si="523"/>
        <v>7863.2184191855868</v>
      </c>
      <c r="K554" s="25">
        <f t="shared" si="524"/>
        <v>20282.026119384056</v>
      </c>
      <c r="L554" s="25"/>
      <c r="N554" s="25">
        <f>'Combined Retirement'!$C$18/12</f>
        <v>39153.069999999992</v>
      </c>
      <c r="O554" s="25">
        <f t="shared" si="525"/>
        <v>11007.82546143035</v>
      </c>
      <c r="P554" s="25">
        <f t="shared" si="526"/>
        <v>28145.244538569641</v>
      </c>
      <c r="Q554" s="25">
        <f t="array" aca="1" ref="Q554" ca="1">INDEX('Isaac 401k'!L:L,MATCH('Retirement Calculator'!A554,'Isaac 401k'!N:N,0),0)</f>
        <v>113326.05111715269</v>
      </c>
      <c r="R554" s="25">
        <f t="array" aca="1" ref="R554" ca="1">INDEX('Lorri 401b'!L:L,MATCH('Retirement Calculator'!A554,'Lorri 401b'!N:N,0),0)</f>
        <v>368578.34533487714</v>
      </c>
      <c r="S554" s="25">
        <f t="shared" ca="1" si="527"/>
        <v>481904.39645202982</v>
      </c>
    </row>
    <row r="555" spans="1:19" ht="15.75" customHeight="1" x14ac:dyDescent="0.3">
      <c r="A555" s="37">
        <v>67846</v>
      </c>
      <c r="B555" s="409">
        <f t="shared" ref="B555:C555" si="561">($A555-B$9)/365.25</f>
        <v>103.87405886379193</v>
      </c>
      <c r="C555" s="409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2192</v>
      </c>
      <c r="I555" s="25">
        <f>IF(C555&lt;62,0,'Combined Retirement'!$I$13)</f>
        <v>2420</v>
      </c>
      <c r="J555" s="25">
        <f t="shared" si="523"/>
        <v>7863.2184191855868</v>
      </c>
      <c r="K555" s="25">
        <f t="shared" si="524"/>
        <v>20282.026119384056</v>
      </c>
      <c r="L555" s="25"/>
      <c r="N555" s="25">
        <f>'Combined Retirement'!$C$18/12</f>
        <v>39153.069999999992</v>
      </c>
      <c r="O555" s="25">
        <f t="shared" si="525"/>
        <v>11007.82546143035</v>
      </c>
      <c r="P555" s="25">
        <f t="shared" si="526"/>
        <v>28145.244538569641</v>
      </c>
      <c r="Q555" s="25">
        <f t="array" aca="1" ref="Q555" ca="1">INDEX('Isaac 401k'!L:L,MATCH('Retirement Calculator'!A555,'Isaac 401k'!N:N,0),0)</f>
        <v>105902.26116754196</v>
      </c>
      <c r="R555" s="25">
        <f t="array" aca="1" ref="R555" ca="1">INDEX('Lorri 401b'!L:L,MATCH('Retirement Calculator'!A555,'Lorri 401b'!N:N,0),0)</f>
        <v>349747.55387889099</v>
      </c>
      <c r="S555" s="25">
        <f t="shared" ca="1" si="527"/>
        <v>455649.81504643295</v>
      </c>
    </row>
    <row r="556" spans="1:19" ht="15.75" customHeight="1" x14ac:dyDescent="0.3">
      <c r="A556" s="37">
        <v>67877</v>
      </c>
      <c r="B556" s="409">
        <f t="shared" ref="B556:C556" si="562">($A556-B$9)/365.25</f>
        <v>103.95893223819301</v>
      </c>
      <c r="C556" s="409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2192</v>
      </c>
      <c r="I556" s="25">
        <f>IF(C556&lt;62,0,'Combined Retirement'!$I$13)</f>
        <v>2420</v>
      </c>
      <c r="J556" s="25">
        <f t="shared" si="523"/>
        <v>7863.2184191855868</v>
      </c>
      <c r="K556" s="25">
        <f t="shared" si="524"/>
        <v>20282.026119384056</v>
      </c>
      <c r="L556" s="25"/>
      <c r="N556" s="25">
        <f>'Combined Retirement'!$C$18/12</f>
        <v>39153.069999999992</v>
      </c>
      <c r="O556" s="25">
        <f t="shared" si="525"/>
        <v>11007.82546143035</v>
      </c>
      <c r="P556" s="25">
        <f t="shared" si="526"/>
        <v>28145.244538569641</v>
      </c>
      <c r="Q556" s="25">
        <f t="array" aca="1" ref="Q556" ca="1">INDEX('Isaac 401k'!L:L,MATCH('Retirement Calculator'!A556,'Isaac 401k'!N:N,0),0)</f>
        <v>98447.538759807852</v>
      </c>
      <c r="R556" s="25">
        <f t="array" aca="1" ref="R556" ca="1">INDEX('Lorri 401b'!L:L,MATCH('Retirement Calculator'!A556,'Lorri 401b'!N:N,0),0)</f>
        <v>330838.30079183821</v>
      </c>
      <c r="S556" s="25">
        <f t="shared" ca="1" si="527"/>
        <v>429285.83955164603</v>
      </c>
    </row>
    <row r="557" spans="1:19" ht="15.75" customHeight="1" x14ac:dyDescent="0.3">
      <c r="A557" s="37">
        <v>67907</v>
      </c>
      <c r="B557" s="409">
        <f t="shared" ref="B557:C557" si="563">($A557-B$9)/365.25</f>
        <v>104.04106776180699</v>
      </c>
      <c r="C557" s="409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2192</v>
      </c>
      <c r="I557" s="25">
        <f>IF(C557&lt;62,0,'Combined Retirement'!$I$13)</f>
        <v>2420</v>
      </c>
      <c r="J557" s="25">
        <f t="shared" si="523"/>
        <v>7863.2184191855868</v>
      </c>
      <c r="K557" s="25">
        <f t="shared" si="524"/>
        <v>20282.026119384056</v>
      </c>
      <c r="L557" s="25"/>
      <c r="N557" s="25">
        <f>'Combined Retirement'!$C$18/12</f>
        <v>39153.069999999992</v>
      </c>
      <c r="O557" s="25">
        <f t="shared" si="525"/>
        <v>11007.82546143035</v>
      </c>
      <c r="P557" s="25">
        <f t="shared" si="526"/>
        <v>28145.244538569641</v>
      </c>
      <c r="Q557" s="25">
        <f t="array" aca="1" ref="Q557" ca="1">INDEX('Isaac 401k'!L:L,MATCH('Retirement Calculator'!A557,'Isaac 401k'!N:N,0),0)</f>
        <v>90961.755008708191</v>
      </c>
      <c r="R557" s="25">
        <f t="array" aca="1" ref="R557" ca="1">INDEX('Lorri 401b'!L:L,MATCH('Retirement Calculator'!A557,'Lorri 401b'!N:N,0),0)</f>
        <v>311850.25915025605</v>
      </c>
      <c r="S557" s="25">
        <f t="shared" ca="1" si="527"/>
        <v>402812.01415896427</v>
      </c>
    </row>
    <row r="558" spans="1:19" ht="15.75" customHeight="1" x14ac:dyDescent="0.3">
      <c r="A558" s="37">
        <v>67938</v>
      </c>
      <c r="B558" s="409">
        <f t="shared" ref="B558:C558" si="564">($A558-B$9)/365.25</f>
        <v>104.12594113620807</v>
      </c>
      <c r="C558" s="409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2192</v>
      </c>
      <c r="I558" s="25">
        <f>IF(C558&lt;62,0,'Combined Retirement'!$I$13)</f>
        <v>2420</v>
      </c>
      <c r="J558" s="25">
        <f t="shared" si="523"/>
        <v>7863.2184191855868</v>
      </c>
      <c r="K558" s="25">
        <f t="shared" si="524"/>
        <v>20282.026119384056</v>
      </c>
      <c r="L558" s="25"/>
      <c r="N558" s="25">
        <f>'Combined Retirement'!$C$18/12</f>
        <v>39153.069999999992</v>
      </c>
      <c r="O558" s="25">
        <f t="shared" si="525"/>
        <v>11007.82546143035</v>
      </c>
      <c r="P558" s="25">
        <f t="shared" si="526"/>
        <v>28145.244538569641</v>
      </c>
      <c r="Q558" s="25">
        <f t="array" aca="1" ref="Q558" ca="1">INDEX('Isaac 401k'!L:L,MATCH('Retirement Calculator'!A558,'Isaac 401k'!N:N,0),0)</f>
        <v>83444.780491978949</v>
      </c>
      <c r="R558" s="25">
        <f t="array" aca="1" ref="R558" ca="1">INDEX('Lorri 401b'!L:L,MATCH('Retirement Calculator'!A558,'Lorri 401b'!N:N,0),0)</f>
        <v>292783.10066850064</v>
      </c>
      <c r="S558" s="25">
        <f t="shared" ca="1" si="527"/>
        <v>376227.88116047962</v>
      </c>
    </row>
    <row r="559" spans="1:19" ht="15.75" customHeight="1" x14ac:dyDescent="0.3">
      <c r="A559" s="37">
        <v>67969</v>
      </c>
      <c r="B559" s="409">
        <f t="shared" ref="B559:C559" si="565">($A559-B$9)/365.25</f>
        <v>104.21081451060917</v>
      </c>
      <c r="C559" s="409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2192</v>
      </c>
      <c r="I559" s="25">
        <f>IF(C559&lt;62,0,'Combined Retirement'!$I$13)</f>
        <v>2420</v>
      </c>
      <c r="J559" s="25">
        <f t="shared" si="523"/>
        <v>7863.2184191855868</v>
      </c>
      <c r="K559" s="25">
        <f t="shared" si="524"/>
        <v>20282.026119384056</v>
      </c>
      <c r="L559" s="25"/>
      <c r="N559" s="25">
        <f>'Combined Retirement'!$C$18/12</f>
        <v>39153.069999999992</v>
      </c>
      <c r="O559" s="25">
        <f t="shared" si="525"/>
        <v>11007.82546143035</v>
      </c>
      <c r="P559" s="25">
        <f t="shared" si="526"/>
        <v>28145.244538569641</v>
      </c>
      <c r="Q559" s="25">
        <f t="array" aca="1" ref="Q559" ca="1">INDEX('Isaac 401k'!L:L,MATCH('Retirement Calculator'!A559,'Isaac 401k'!N:N,0),0)</f>
        <v>75896.485248096666</v>
      </c>
      <c r="R559" s="25">
        <f t="array" aca="1" ref="R559" ca="1">INDEX('Lorri 401b'!L:L,MATCH('Retirement Calculator'!A559,'Lorri 401b'!N:N,0),0)</f>
        <v>273636.49569307128</v>
      </c>
      <c r="S559" s="25">
        <f t="shared" ca="1" si="527"/>
        <v>349532.98094116792</v>
      </c>
    </row>
    <row r="560" spans="1:19" ht="15.75" customHeight="1" x14ac:dyDescent="0.3">
      <c r="A560" s="37">
        <v>67997</v>
      </c>
      <c r="B560" s="409">
        <f t="shared" ref="B560:C560" si="566">($A560-B$9)/365.25</f>
        <v>104.28747433264887</v>
      </c>
      <c r="C560" s="409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2192</v>
      </c>
      <c r="I560" s="25">
        <f>IF(C560&lt;62,0,'Combined Retirement'!$I$13)</f>
        <v>2420</v>
      </c>
      <c r="J560" s="25">
        <f t="shared" si="523"/>
        <v>7863.2184191855868</v>
      </c>
      <c r="K560" s="25">
        <f t="shared" si="524"/>
        <v>20282.026119384056</v>
      </c>
      <c r="L560" s="25"/>
      <c r="N560" s="25">
        <f>'Combined Retirement'!$C$18/12</f>
        <v>39153.069999999992</v>
      </c>
      <c r="O560" s="25">
        <f t="shared" si="525"/>
        <v>11007.82546143035</v>
      </c>
      <c r="P560" s="25">
        <f t="shared" si="526"/>
        <v>28145.244538569641</v>
      </c>
      <c r="Q560" s="25">
        <f t="array" aca="1" ref="Q560" ca="1">INDEX('Isaac 401k'!L:L,MATCH('Retirement Calculator'!A560,'Isaac 401k'!N:N,0),0)</f>
        <v>68316.738774031532</v>
      </c>
      <c r="R560" s="25">
        <f t="array" aca="1" ref="R560" ca="1">INDEX('Lorri 401b'!L:L,MATCH('Retirement Calculator'!A560,'Lorri 401b'!N:N,0),0)</f>
        <v>254410.11319691094</v>
      </c>
      <c r="S560" s="25">
        <f t="shared" ca="1" si="527"/>
        <v>322726.85197094246</v>
      </c>
    </row>
    <row r="561" spans="1:19" ht="15.75" customHeight="1" x14ac:dyDescent="0.3">
      <c r="A561" s="37">
        <v>68028</v>
      </c>
      <c r="B561" s="409">
        <f t="shared" ref="B561:C561" si="567">($A561-B$9)/365.25</f>
        <v>104.37234770704997</v>
      </c>
      <c r="C561" s="409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2192</v>
      </c>
      <c r="I561" s="25">
        <f>IF(C561&lt;62,0,'Combined Retirement'!$I$13)</f>
        <v>2420</v>
      </c>
      <c r="J561" s="25">
        <f t="shared" si="523"/>
        <v>7863.2184191855868</v>
      </c>
      <c r="K561" s="25">
        <f t="shared" si="524"/>
        <v>20282.026119384056</v>
      </c>
      <c r="L561" s="25"/>
      <c r="N561" s="25">
        <f>'Combined Retirement'!$C$18/12</f>
        <v>39153.069999999992</v>
      </c>
      <c r="O561" s="25">
        <f t="shared" si="525"/>
        <v>11007.82546143035</v>
      </c>
      <c r="P561" s="25">
        <f t="shared" si="526"/>
        <v>28145.244538569641</v>
      </c>
      <c r="Q561" s="25">
        <f t="array" aca="1" ref="Q561" ca="1">INDEX('Isaac 401k'!L:L,MATCH('Retirement Calculator'!A561,'Isaac 401k'!N:N,0),0)</f>
        <v>60705.410022991135</v>
      </c>
      <c r="R561" s="25">
        <f t="array" aca="1" ref="R561" ca="1">INDEX('Lorri 401b'!L:L,MATCH('Retirement Calculator'!A561,'Lorri 401b'!N:N,0),0)</f>
        <v>235103.62077368327</v>
      </c>
      <c r="S561" s="25">
        <f t="shared" ca="1" si="527"/>
        <v>295809.03079667443</v>
      </c>
    </row>
    <row r="562" spans="1:19" ht="15.75" customHeight="1" x14ac:dyDescent="0.3">
      <c r="A562" s="37">
        <v>68058</v>
      </c>
      <c r="B562" s="409">
        <f t="shared" ref="B562:C562" si="568">($A562-B$9)/365.25</f>
        <v>104.45448323066393</v>
      </c>
      <c r="C562" s="409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2192</v>
      </c>
      <c r="I562" s="25">
        <f>IF(C562&lt;62,0,'Combined Retirement'!$I$13)</f>
        <v>2420</v>
      </c>
      <c r="J562" s="25">
        <f t="shared" si="523"/>
        <v>7863.2184191855868</v>
      </c>
      <c r="K562" s="25">
        <f t="shared" si="524"/>
        <v>20282.026119384056</v>
      </c>
      <c r="L562" s="25"/>
      <c r="N562" s="25">
        <f>'Combined Retirement'!$C$18/12</f>
        <v>39153.069999999992</v>
      </c>
      <c r="O562" s="25">
        <f t="shared" si="525"/>
        <v>11007.82546143035</v>
      </c>
      <c r="P562" s="25">
        <f t="shared" si="526"/>
        <v>28145.244538569641</v>
      </c>
      <c r="Q562" s="25">
        <f t="array" aca="1" ref="Q562" ca="1">INDEX('Isaac 401k'!L:L,MATCH('Retirement Calculator'!A562,'Isaac 401k'!N:N,0),0)</f>
        <v>53062.367402154741</v>
      </c>
      <c r="R562" s="25">
        <f t="array" aca="1" ref="R562" ca="1">INDEX('Lorri 401b'!L:L,MATCH('Retirement Calculator'!A562,'Lorri 401b'!N:N,0),0)</f>
        <v>215716.68463202546</v>
      </c>
      <c r="S562" s="25">
        <f t="shared" ca="1" si="527"/>
        <v>268779.0520341802</v>
      </c>
    </row>
    <row r="563" spans="1:19" ht="15.75" customHeight="1" x14ac:dyDescent="0.3">
      <c r="A563" s="37">
        <v>68089</v>
      </c>
      <c r="B563" s="409">
        <f t="shared" ref="B563:C563" si="569">($A563-B$9)/365.25</f>
        <v>104.53935660506502</v>
      </c>
      <c r="C563" s="409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2192</v>
      </c>
      <c r="I563" s="25">
        <f>IF(C563&lt;62,0,'Combined Retirement'!$I$13)</f>
        <v>2420</v>
      </c>
      <c r="J563" s="25">
        <f t="shared" si="523"/>
        <v>7863.2184191855868</v>
      </c>
      <c r="K563" s="25">
        <f t="shared" si="524"/>
        <v>20282.026119384056</v>
      </c>
      <c r="L563" s="25"/>
      <c r="N563" s="25">
        <f>'Combined Retirement'!$C$18/12</f>
        <v>39153.069999999992</v>
      </c>
      <c r="O563" s="25">
        <f t="shared" si="525"/>
        <v>11007.82546143035</v>
      </c>
      <c r="P563" s="25">
        <f t="shared" si="526"/>
        <v>28145.244538569641</v>
      </c>
      <c r="Q563" s="25">
        <f t="array" aca="1" ref="Q563" ca="1">INDEX('Isaac 401k'!L:L,MATCH('Retirement Calculator'!A563,'Isaac 401k'!N:N,0),0)</f>
        <v>45387.478770398193</v>
      </c>
      <c r="R563" s="25">
        <f t="array" aca="1" ref="R563" ca="1">INDEX('Lorri 401b'!L:L,MATCH('Retirement Calculator'!A563,'Lorri 401b'!N:N,0),0)</f>
        <v>196248.96958977738</v>
      </c>
      <c r="S563" s="25">
        <f t="shared" ca="1" si="527"/>
        <v>241636.44836017556</v>
      </c>
    </row>
    <row r="564" spans="1:19" ht="15.75" customHeight="1" x14ac:dyDescent="0.3">
      <c r="A564" s="37">
        <v>68119</v>
      </c>
      <c r="B564" s="409">
        <f t="shared" ref="B564:C564" si="570">($A564-B$9)/365.25</f>
        <v>104.62149212867898</v>
      </c>
      <c r="C564" s="409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2192</v>
      </c>
      <c r="I564" s="25">
        <f>IF(C564&lt;62,0,'Combined Retirement'!$I$13)</f>
        <v>2420</v>
      </c>
      <c r="J564" s="25">
        <f t="shared" si="523"/>
        <v>7863.2184191855868</v>
      </c>
      <c r="K564" s="25">
        <f t="shared" si="524"/>
        <v>20282.026119384056</v>
      </c>
      <c r="L564" s="25"/>
      <c r="N564" s="25">
        <f>'Combined Retirement'!$C$18/12</f>
        <v>39153.069999999992</v>
      </c>
      <c r="O564" s="25">
        <f t="shared" si="525"/>
        <v>11007.82546143035</v>
      </c>
      <c r="P564" s="25">
        <f t="shared" si="526"/>
        <v>28145.244538569641</v>
      </c>
      <c r="Q564" s="25">
        <f t="array" aca="1" ref="Q564" ca="1">INDEX('Isaac 401k'!L:L,MATCH('Retirement Calculator'!A564,'Isaac 401k'!N:N,0),0)</f>
        <v>37680.611436009327</v>
      </c>
      <c r="R564" s="25">
        <f t="array" aca="1" ref="R564" ca="1">INDEX('Lorri 401b'!L:L,MATCH('Retirement Calculator'!A564,'Lorri 401b'!N:N,0),0)</f>
        <v>176700.1390681866</v>
      </c>
      <c r="S564" s="25">
        <f t="shared" ca="1" si="527"/>
        <v>214380.75050419592</v>
      </c>
    </row>
    <row r="565" spans="1:19" ht="15.75" customHeight="1" x14ac:dyDescent="0.3">
      <c r="A565" s="37">
        <v>68150</v>
      </c>
      <c r="B565" s="409">
        <f t="shared" ref="B565:C565" si="571">($A565-B$9)/365.25</f>
        <v>104.70636550308008</v>
      </c>
      <c r="C565" s="409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2192</v>
      </c>
      <c r="I565" s="25">
        <f>IF(C565&lt;62,0,'Combined Retirement'!$I$13)</f>
        <v>2420</v>
      </c>
      <c r="J565" s="25">
        <f t="shared" si="523"/>
        <v>7863.2184191855868</v>
      </c>
      <c r="K565" s="25">
        <f t="shared" si="524"/>
        <v>20282.026119384056</v>
      </c>
      <c r="L565" s="25"/>
      <c r="N565" s="25">
        <f>'Combined Retirement'!$C$18/12</f>
        <v>39153.069999999992</v>
      </c>
      <c r="O565" s="25">
        <f t="shared" si="525"/>
        <v>11007.82546143035</v>
      </c>
      <c r="P565" s="25">
        <f t="shared" si="526"/>
        <v>28145.244538569641</v>
      </c>
      <c r="Q565" s="25">
        <f t="array" aca="1" ref="Q565" ca="1">INDEX('Isaac 401k'!L:L,MATCH('Retirement Calculator'!A565,'Isaac 401k'!N:N,0),0)</f>
        <v>29941.632154393839</v>
      </c>
      <c r="R565" s="25">
        <f t="array" aca="1" ref="R565" ca="1">INDEX('Lorri 401b'!L:L,MATCH('Retirement Calculator'!A565,'Lorri 401b'!N:N,0),0)</f>
        <v>157069.8550860892</v>
      </c>
      <c r="S565" s="25">
        <f t="shared" ca="1" si="527"/>
        <v>187011.48724048305</v>
      </c>
    </row>
    <row r="566" spans="1:19" ht="15.75" customHeight="1" x14ac:dyDescent="0.3">
      <c r="A566" s="37">
        <v>68181</v>
      </c>
      <c r="B566" s="409">
        <f t="shared" ref="B566:C566" si="572">($A566-B$9)/365.25</f>
        <v>104.79123887748118</v>
      </c>
      <c r="C566" s="409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2192</v>
      </c>
      <c r="I566" s="25">
        <f>IF(C566&lt;62,0,'Combined Retirement'!$I$13)</f>
        <v>2420</v>
      </c>
      <c r="J566" s="25">
        <f t="shared" si="523"/>
        <v>7863.2184191855868</v>
      </c>
      <c r="K566" s="25">
        <f t="shared" si="524"/>
        <v>20282.026119384056</v>
      </c>
      <c r="L566" s="25"/>
      <c r="N566" s="25">
        <f>'Combined Retirement'!$C$18/12</f>
        <v>39153.069999999992</v>
      </c>
      <c r="O566" s="25">
        <f t="shared" si="525"/>
        <v>11007.82546143035</v>
      </c>
      <c r="P566" s="25">
        <f t="shared" si="526"/>
        <v>28145.244538569641</v>
      </c>
      <c r="Q566" s="25">
        <f t="array" aca="1" ref="Q566" ca="1">INDEX('Isaac 401k'!L:L,MATCH('Retirement Calculator'!A566,'Isaac 401k'!N:N,0),0)</f>
        <v>22170.40712577162</v>
      </c>
      <c r="R566" s="25">
        <f t="array" aca="1" ref="R566" ca="1">INDEX('Lorri 401b'!L:L,MATCH('Retirement Calculator'!A566,'Lorri 401b'!N:N,0),0)</f>
        <v>137357.77825406639</v>
      </c>
      <c r="S566" s="25">
        <f t="shared" ca="1" si="527"/>
        <v>159528.18537983802</v>
      </c>
    </row>
    <row r="567" spans="1:19" ht="15.75" customHeight="1" x14ac:dyDescent="0.3">
      <c r="A567" s="37">
        <v>68211</v>
      </c>
      <c r="B567" s="409">
        <f t="shared" ref="B567:C567" si="573">($A567-B$9)/365.25</f>
        <v>104.87337440109513</v>
      </c>
      <c r="C567" s="409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2192</v>
      </c>
      <c r="I567" s="25">
        <f>IF(C567&lt;62,0,'Combined Retirement'!$I$13)</f>
        <v>2420</v>
      </c>
      <c r="J567" s="25">
        <f t="shared" si="523"/>
        <v>7863.2184191855868</v>
      </c>
      <c r="K567" s="25">
        <f t="shared" si="524"/>
        <v>20282.026119384056</v>
      </c>
      <c r="L567" s="25"/>
      <c r="N567" s="25">
        <f>'Combined Retirement'!$C$18/12</f>
        <v>39153.069999999992</v>
      </c>
      <c r="O567" s="25">
        <f t="shared" si="525"/>
        <v>11007.82546143035</v>
      </c>
      <c r="P567" s="25">
        <f t="shared" si="526"/>
        <v>28145.244538569641</v>
      </c>
      <c r="Q567" s="25">
        <f t="array" aca="1" ref="Q567" ca="1">INDEX('Isaac 401k'!L:L,MATCH('Retirement Calculator'!A567,'Isaac 401k'!N:N,0),0)</f>
        <v>14366.801992863475</v>
      </c>
      <c r="R567" s="25">
        <f t="array" aca="1" ref="R567" ca="1">INDEX('Lorri 401b'!L:L,MATCH('Retirement Calculator'!A567,'Lorri 401b'!N:N,0),0)</f>
        <v>117563.56776857685</v>
      </c>
      <c r="S567" s="25">
        <f t="shared" ca="1" si="527"/>
        <v>131930.36976144032</v>
      </c>
    </row>
    <row r="568" spans="1:19" ht="15.75" customHeight="1" x14ac:dyDescent="0.3">
      <c r="A568" s="37">
        <v>68242</v>
      </c>
      <c r="B568" s="409">
        <f t="shared" ref="B568:C568" si="574">($A568-B$9)/365.25</f>
        <v>104.95824777549623</v>
      </c>
      <c r="C568" s="409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2192</v>
      </c>
      <c r="I568" s="25">
        <f>IF(C568&lt;62,0,'Combined Retirement'!$I$13)</f>
        <v>2420</v>
      </c>
      <c r="J568" s="25">
        <f t="shared" si="523"/>
        <v>7863.2184191855868</v>
      </c>
      <c r="K568" s="25">
        <f t="shared" si="524"/>
        <v>20282.026119384056</v>
      </c>
      <c r="L568" s="25"/>
      <c r="N568" s="25">
        <f>'Combined Retirement'!$C$18/12</f>
        <v>39153.069999999992</v>
      </c>
      <c r="O568" s="25">
        <f t="shared" si="525"/>
        <v>11007.82546143035</v>
      </c>
      <c r="P568" s="25">
        <f t="shared" si="526"/>
        <v>28145.244538569641</v>
      </c>
      <c r="Q568" s="25">
        <f t="array" aca="1" ref="Q568" ca="1">INDEX('Isaac 401k'!L:L,MATCH('Retirement Calculator'!A568,'Isaac 401k'!N:N,0),0)</f>
        <v>6530.6818385682127</v>
      </c>
      <c r="R568" s="25">
        <f t="array" aca="1" ref="R568" ca="1">INDEX('Lorri 401b'!L:L,MATCH('Retirement Calculator'!A568,'Lorri 401b'!N:N,0),0)</f>
        <v>97686.881406064422</v>
      </c>
      <c r="S568" s="25">
        <f t="shared" ca="1" si="527"/>
        <v>104217.56324463263</v>
      </c>
    </row>
    <row r="569" spans="1:19" ht="15.75" customHeight="1" x14ac:dyDescent="0.3">
      <c r="A569" s="37">
        <v>68272</v>
      </c>
      <c r="B569" s="409">
        <f t="shared" ref="B569:C569" si="575">($A569-B$9)/365.25</f>
        <v>105.0403832991102</v>
      </c>
      <c r="C569" s="409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2192</v>
      </c>
      <c r="I569" s="25">
        <f>IF(C569&lt;62,0,'Combined Retirement'!$I$13)</f>
        <v>2420</v>
      </c>
      <c r="J569" s="25">
        <f t="shared" si="523"/>
        <v>7863.2184191855868</v>
      </c>
      <c r="K569" s="25">
        <f t="shared" si="524"/>
        <v>20282.026119384056</v>
      </c>
      <c r="L569" s="25"/>
      <c r="N569" s="25">
        <f>'Combined Retirement'!$C$18/12</f>
        <v>39153.069999999992</v>
      </c>
      <c r="O569" s="25">
        <f t="shared" si="525"/>
        <v>11007.82546143035</v>
      </c>
      <c r="P569" s="25">
        <f t="shared" si="526"/>
        <v>28145.244538569641</v>
      </c>
      <c r="Q569" s="25">
        <f t="array" aca="1" ref="Q569" ca="1">INDEX('Isaac 401k'!L:L,MATCH('Retirement Calculator'!A569,'Isaac 401k'!N:N,0),0)</f>
        <v>-1338.0888163699465</v>
      </c>
      <c r="R569" s="25">
        <f t="array" aca="1" ref="R569" ca="1">INDEX('Lorri 401b'!L:L,MATCH('Retirement Calculator'!A569,'Lorri 401b'!N:N,0),0)</f>
        <v>77727.375517041539</v>
      </c>
      <c r="S569" s="25">
        <f t="shared" ca="1" si="527"/>
        <v>76389.286700671597</v>
      </c>
    </row>
    <row r="570" spans="1:19" ht="15.75" customHeight="1" x14ac:dyDescent="0.3">
      <c r="A570" s="37">
        <v>68303</v>
      </c>
      <c r="B570" s="409">
        <f t="shared" ref="B570:C570" si="576">($A570-B$9)/365.25</f>
        <v>105.12525667351129</v>
      </c>
      <c r="C570" s="409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2192</v>
      </c>
      <c r="I570" s="25">
        <f>IF(C570&lt;62,0,'Combined Retirement'!$I$13)</f>
        <v>2420</v>
      </c>
      <c r="J570" s="25">
        <f t="shared" si="523"/>
        <v>7863.2184191855868</v>
      </c>
      <c r="K570" s="25">
        <f t="shared" si="524"/>
        <v>20282.026119384056</v>
      </c>
      <c r="L570" s="25"/>
      <c r="N570" s="25">
        <f>'Combined Retirement'!$C$18/12</f>
        <v>39153.069999999992</v>
      </c>
      <c r="O570" s="25">
        <f t="shared" si="525"/>
        <v>11007.82546143035</v>
      </c>
      <c r="P570" s="25">
        <f t="shared" si="526"/>
        <v>28145.244538569641</v>
      </c>
      <c r="Q570" s="25">
        <f t="array" aca="1" ref="Q570" ca="1">INDEX('Isaac 401k'!L:L,MATCH('Retirement Calculator'!A570,'Isaac 401k'!N:N,0),0)</f>
        <v>-9239.6460157036818</v>
      </c>
      <c r="R570" s="25">
        <f t="array" aca="1" ref="R570" ca="1">INDEX('Lorri 401b'!L:L,MATCH('Retirement Calculator'!A570,'Lorri 401b'!N:N,0),0)</f>
        <v>57684.705020147725</v>
      </c>
      <c r="S570" s="25">
        <f t="shared" ca="1" si="527"/>
        <v>48445.059004444047</v>
      </c>
    </row>
    <row r="571" spans="1:19" ht="15.75" customHeight="1" x14ac:dyDescent="0.3">
      <c r="A571" s="37">
        <v>68334</v>
      </c>
      <c r="B571" s="409">
        <f t="shared" ref="B571:C571" si="577">($A571-B$9)/365.25</f>
        <v>105.21013004791239</v>
      </c>
      <c r="C571" s="409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2192</v>
      </c>
      <c r="I571" s="25">
        <f>IF(C571&lt;62,0,'Combined Retirement'!$I$13)</f>
        <v>2420</v>
      </c>
      <c r="J571" s="25">
        <f t="shared" si="523"/>
        <v>7863.2184191855868</v>
      </c>
      <c r="K571" s="25">
        <f t="shared" si="524"/>
        <v>20282.026119384056</v>
      </c>
      <c r="L571" s="25"/>
      <c r="N571" s="25">
        <f>'Combined Retirement'!$C$18/12</f>
        <v>39153.069999999992</v>
      </c>
      <c r="O571" s="25">
        <f t="shared" si="525"/>
        <v>11007.82546143035</v>
      </c>
      <c r="P571" s="25">
        <f t="shared" si="526"/>
        <v>28145.244538569641</v>
      </c>
      <c r="Q571" s="25">
        <f t="array" aca="1" ref="Q571" ca="1">INDEX('Isaac 401k'!L:L,MATCH('Retirement Calculator'!A571,'Isaac 401k'!N:N,0),0)</f>
        <v>-17174.126370034643</v>
      </c>
      <c r="R571" s="25">
        <f t="array" aca="1" ref="R571" ca="1">INDEX('Lorri 401b'!L:L,MATCH('Retirement Calculator'!A571,'Lorri 401b'!N:N,0),0)</f>
        <v>37558.523396183518</v>
      </c>
      <c r="S571" s="25">
        <f t="shared" ca="1" si="527"/>
        <v>20384.397026148876</v>
      </c>
    </row>
    <row r="572" spans="1:19" ht="15.75" customHeight="1" x14ac:dyDescent="0.3">
      <c r="A572" s="37">
        <v>68362</v>
      </c>
      <c r="B572" s="409">
        <f t="shared" ref="B572:C572" si="578">($A572-B$9)/365.25</f>
        <v>105.28678986995209</v>
      </c>
      <c r="C572" s="409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2192</v>
      </c>
      <c r="I572" s="25">
        <f>IF(C572&lt;62,0,'Combined Retirement'!$I$13)</f>
        <v>2420</v>
      </c>
      <c r="J572" s="25">
        <f t="shared" si="523"/>
        <v>7863.2184191855868</v>
      </c>
      <c r="K572" s="25">
        <f t="shared" si="524"/>
        <v>20282.026119384056</v>
      </c>
      <c r="L572" s="25"/>
      <c r="N572" s="25">
        <f>'Combined Retirement'!$C$18/12</f>
        <v>39153.069999999992</v>
      </c>
      <c r="O572" s="25">
        <f t="shared" si="525"/>
        <v>11007.82546143035</v>
      </c>
      <c r="P572" s="25">
        <f t="shared" si="526"/>
        <v>28145.244538569641</v>
      </c>
      <c r="Q572" s="25">
        <f t="array" aca="1" ref="Q572" ca="1">INDEX('Isaac 401k'!L:L,MATCH('Retirement Calculator'!A572,'Isaac 401k'!N:N,0),0)</f>
        <v>-25141.667059175317</v>
      </c>
      <c r="R572" s="25">
        <f t="array" aca="1" ref="R572" ca="1">INDEX('Lorri 401b'!L:L,MATCH('Retirement Calculator'!A572,'Lorri 401b'!N:N,0),0)</f>
        <v>17348.482682119458</v>
      </c>
      <c r="S572" s="25">
        <f t="shared" ca="1" si="527"/>
        <v>-7793.1843770558589</v>
      </c>
    </row>
    <row r="573" spans="1:19" ht="15.75" customHeight="1" x14ac:dyDescent="0.3">
      <c r="A573" s="37">
        <v>68393</v>
      </c>
      <c r="B573" s="409">
        <f t="shared" ref="B573:C573" si="579">($A573-B$9)/365.25</f>
        <v>105.37166324435319</v>
      </c>
      <c r="C573" s="409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2192</v>
      </c>
      <c r="I573" s="25">
        <f>IF(C573&lt;62,0,'Combined Retirement'!$I$13)</f>
        <v>2420</v>
      </c>
      <c r="J573" s="25">
        <f t="shared" si="523"/>
        <v>7863.2184191855868</v>
      </c>
      <c r="K573" s="25">
        <f t="shared" si="524"/>
        <v>20282.026119384056</v>
      </c>
      <c r="L573" s="25"/>
      <c r="N573" s="25">
        <f>'Combined Retirement'!$C$18/12</f>
        <v>39153.069999999992</v>
      </c>
      <c r="O573" s="25">
        <f t="shared" si="525"/>
        <v>11007.82546143035</v>
      </c>
      <c r="P573" s="25">
        <f t="shared" si="526"/>
        <v>28145.244538569641</v>
      </c>
      <c r="Q573" s="25">
        <f t="array" aca="1" ref="Q573" ca="1">INDEX('Isaac 401k'!L:L,MATCH('Retirement Calculator'!A573,'Isaac 401k'!N:N,0),0)</f>
        <v>-33142.405834520745</v>
      </c>
      <c r="R573" s="25">
        <f t="array" aca="1" ref="R573" ca="1">INDEX('Lorri 401b'!L:L,MATCH('Retirement Calculator'!A573,'Lorri 401b'!N:N,0),0)</f>
        <v>-2945.7665349198669</v>
      </c>
      <c r="S573" s="25">
        <f t="shared" ca="1" si="527"/>
        <v>-36088.17236944061</v>
      </c>
    </row>
    <row r="574" spans="1:19" ht="15.75" customHeight="1" x14ac:dyDescent="0.3">
      <c r="A574" s="37">
        <v>68423</v>
      </c>
      <c r="B574" s="409">
        <f t="shared" ref="B574:C574" si="580">($A574-B$9)/365.25</f>
        <v>105.45379876796714</v>
      </c>
      <c r="C574" s="409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2192</v>
      </c>
      <c r="I574" s="25">
        <f>IF(C574&lt;62,0,'Combined Retirement'!$I$13)</f>
        <v>2420</v>
      </c>
      <c r="J574" s="25">
        <f t="shared" si="523"/>
        <v>7863.2184191855868</v>
      </c>
      <c r="K574" s="25">
        <f t="shared" si="524"/>
        <v>20282.026119384056</v>
      </c>
      <c r="L574" s="25"/>
      <c r="N574" s="25">
        <f>'Combined Retirement'!$C$18/12</f>
        <v>39153.069999999992</v>
      </c>
      <c r="O574" s="25">
        <f t="shared" si="525"/>
        <v>11007.82546143035</v>
      </c>
      <c r="P574" s="25">
        <f t="shared" si="526"/>
        <v>28145.244538569641</v>
      </c>
      <c r="Q574" s="25">
        <f t="array" aca="1" ref="Q574" ca="1">INDEX('Isaac 401k'!L:L,MATCH('Retirement Calculator'!A574,'Isaac 401k'!N:N,0),0)</f>
        <v>-41176.481021430103</v>
      </c>
      <c r="R574" s="25">
        <f t="array" aca="1" ref="R574" ca="1">INDEX('Lorri 401b'!L:L,MATCH('Retirement Calculator'!A574,'Lorri 401b'!N:N,0),0)</f>
        <v>-23324.575123696854</v>
      </c>
      <c r="S574" s="25">
        <f t="shared" ca="1" si="527"/>
        <v>-64501.05614512696</v>
      </c>
    </row>
    <row r="575" spans="1:19" ht="15.75" customHeight="1" x14ac:dyDescent="0.3">
      <c r="A575" s="37">
        <v>68454</v>
      </c>
      <c r="B575" s="409">
        <f t="shared" ref="B575:C575" si="581">($A575-B$9)/365.25</f>
        <v>105.53867214236824</v>
      </c>
      <c r="C575" s="409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2192</v>
      </c>
      <c r="I575" s="25">
        <f>IF(C575&lt;62,0,'Combined Retirement'!$I$13)</f>
        <v>2420</v>
      </c>
      <c r="J575" s="25">
        <f t="shared" si="523"/>
        <v>7863.2184191855868</v>
      </c>
      <c r="K575" s="25">
        <f t="shared" si="524"/>
        <v>20282.026119384056</v>
      </c>
      <c r="L575" s="25"/>
      <c r="N575" s="25">
        <f>'Combined Retirement'!$C$18/12</f>
        <v>39153.069999999992</v>
      </c>
      <c r="O575" s="25">
        <f t="shared" si="525"/>
        <v>11007.82546143035</v>
      </c>
      <c r="P575" s="25">
        <f t="shared" si="526"/>
        <v>28145.244538569641</v>
      </c>
      <c r="Q575" s="25">
        <f t="array" aca="1" ref="Q575" ca="1">INDEX('Isaac 401k'!L:L,MATCH('Retirement Calculator'!A575,'Isaac 401k'!N:N,0),0)</f>
        <v>-49244.031521618257</v>
      </c>
      <c r="R575" s="25">
        <f t="array" aca="1" ref="R575" ca="1">INDEX('Lorri 401b'!L:L,MATCH('Retirement Calculator'!A575,'Lorri 401b'!N:N,0),0)</f>
        <v>-43788.295414927074</v>
      </c>
      <c r="S575" s="25">
        <f t="shared" ca="1" si="527"/>
        <v>-93032.326936545331</v>
      </c>
    </row>
    <row r="576" spans="1:19" ht="15.75" customHeight="1" x14ac:dyDescent="0.3">
      <c r="A576" s="37">
        <v>68484</v>
      </c>
      <c r="B576" s="409">
        <f t="shared" ref="B576:C576" si="582">($A576-B$9)/365.25</f>
        <v>105.6208076659822</v>
      </c>
      <c r="C576" s="409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2192</v>
      </c>
      <c r="I576" s="25">
        <f>IF(C576&lt;62,0,'Combined Retirement'!$I$13)</f>
        <v>2420</v>
      </c>
      <c r="J576" s="25">
        <f t="shared" si="523"/>
        <v>7863.2184191855868</v>
      </c>
      <c r="K576" s="25">
        <f t="shared" si="524"/>
        <v>20282.026119384056</v>
      </c>
      <c r="L576" s="25"/>
      <c r="N576" s="25">
        <f>'Combined Retirement'!$C$18/12</f>
        <v>39153.069999999992</v>
      </c>
      <c r="O576" s="25">
        <f t="shared" si="525"/>
        <v>11007.82546143035</v>
      </c>
      <c r="P576" s="25">
        <f t="shared" si="526"/>
        <v>28145.244538569641</v>
      </c>
      <c r="Q576" s="25">
        <f t="array" aca="1" ref="Q576" ca="1">INDEX('Isaac 401k'!L:L,MATCH('Retirement Calculator'!A576,'Isaac 401k'!N:N,0),0)</f>
        <v>-57345.196815557189</v>
      </c>
      <c r="R576" s="25">
        <f t="array" aca="1" ref="R576" ca="1">INDEX('Lorri 401b'!L:L,MATCH('Retirement Calculator'!A576,'Lorri 401b'!N:N,0),0)</f>
        <v>-64337.281207370761</v>
      </c>
      <c r="S576" s="25">
        <f t="shared" ca="1" si="527"/>
        <v>-121682.47802292794</v>
      </c>
    </row>
    <row r="577" spans="1:19" ht="15.75" customHeight="1" x14ac:dyDescent="0.3">
      <c r="A577" s="37">
        <v>68515</v>
      </c>
      <c r="B577" s="409">
        <f t="shared" ref="B577:C577" si="583">($A577-B$9)/365.25</f>
        <v>105.7056810403833</v>
      </c>
      <c r="C577" s="409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2192</v>
      </c>
      <c r="I577" s="25">
        <f>IF(C577&lt;62,0,'Combined Retirement'!$I$13)</f>
        <v>2420</v>
      </c>
      <c r="J577" s="25">
        <f t="shared" si="523"/>
        <v>7863.2184191855868</v>
      </c>
      <c r="K577" s="25">
        <f t="shared" si="524"/>
        <v>20282.026119384056</v>
      </c>
      <c r="L577" s="25"/>
      <c r="N577" s="25">
        <f>'Combined Retirement'!$C$18/12</f>
        <v>39153.069999999992</v>
      </c>
      <c r="O577" s="25">
        <f t="shared" si="525"/>
        <v>11007.82546143035</v>
      </c>
      <c r="P577" s="25">
        <f t="shared" si="526"/>
        <v>28145.244538569641</v>
      </c>
      <c r="Q577" s="25">
        <f t="array" aca="1" ref="Q577" ca="1">INDEX('Isaac 401k'!L:L,MATCH('Retirement Calculator'!A577,'Isaac 401k'!N:N,0),0)</f>
        <v>-65480.116964887537</v>
      </c>
      <c r="R577" s="25">
        <f t="array" aca="1" ref="R577" ca="1">INDEX('Lorri 401b'!L:L,MATCH('Retirement Calculator'!A577,'Lorri 401b'!N:N,0),0)</f>
        <v>-84971.887773949624</v>
      </c>
      <c r="S577" s="25">
        <f t="shared" ca="1" si="527"/>
        <v>-150452.00473883716</v>
      </c>
    </row>
    <row r="578" spans="1:19" ht="15.75" customHeight="1" x14ac:dyDescent="0.3">
      <c r="A578" s="37">
        <v>68546</v>
      </c>
      <c r="B578" s="409">
        <f t="shared" ref="B578:C578" si="584">($A578-B$9)/365.25</f>
        <v>105.7905544147844</v>
      </c>
      <c r="C578" s="409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2192</v>
      </c>
      <c r="I578" s="25">
        <f>IF(C578&lt;62,0,'Combined Retirement'!$I$13)</f>
        <v>2420</v>
      </c>
      <c r="J578" s="25">
        <f t="shared" si="523"/>
        <v>7863.2184191855868</v>
      </c>
      <c r="K578" s="25">
        <f t="shared" si="524"/>
        <v>20282.026119384056</v>
      </c>
      <c r="L578" s="25"/>
      <c r="N578" s="25">
        <f>'Combined Retirement'!$C$18/12</f>
        <v>39153.069999999992</v>
      </c>
      <c r="O578" s="25">
        <f t="shared" si="525"/>
        <v>11007.82546143035</v>
      </c>
      <c r="P578" s="25">
        <f t="shared" si="526"/>
        <v>28145.244538569641</v>
      </c>
      <c r="Q578" s="25">
        <f t="array" aca="1" ref="Q578" ca="1">INDEX('Isaac 401k'!L:L,MATCH('Retirement Calculator'!A578,'Isaac 401k'!N:N,0),0)</f>
        <v>-73648.932614840101</v>
      </c>
      <c r="R578" s="25">
        <f t="array" aca="1" ref="R578" ca="1">INDEX('Lorri 401b'!L:L,MATCH('Retirement Calculator'!A578,'Lorri 401b'!N:N,0),0)</f>
        <v>-105692.47186788924</v>
      </c>
      <c r="S578" s="25">
        <f t="shared" ca="1" si="527"/>
        <v>-179341.40448272933</v>
      </c>
    </row>
    <row r="579" spans="1:19" ht="15.75" customHeight="1" x14ac:dyDescent="0.3">
      <c r="A579" s="37">
        <v>68576</v>
      </c>
      <c r="B579" s="409">
        <f t="shared" ref="B579:C579" si="585">($A579-B$9)/365.25</f>
        <v>105.87268993839835</v>
      </c>
      <c r="C579" s="409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2192</v>
      </c>
      <c r="I579" s="25">
        <f>IF(C579&lt;62,0,'Combined Retirement'!$I$13)</f>
        <v>2420</v>
      </c>
      <c r="J579" s="25">
        <f t="shared" si="523"/>
        <v>7863.2184191855868</v>
      </c>
      <c r="K579" s="25">
        <f t="shared" si="524"/>
        <v>20282.026119384056</v>
      </c>
      <c r="L579" s="25"/>
      <c r="N579" s="25">
        <f>'Combined Retirement'!$C$18/12</f>
        <v>39153.069999999992</v>
      </c>
      <c r="O579" s="25">
        <f t="shared" si="525"/>
        <v>11007.82546143035</v>
      </c>
      <c r="P579" s="25">
        <f t="shared" si="526"/>
        <v>28145.244538569641</v>
      </c>
      <c r="Q579" s="25">
        <f t="array" aca="1" ref="Q579" ca="1">INDEX('Isaac 401k'!L:L,MATCH('Retirement Calculator'!A579,'Isaac 401k'!N:N,0),0)</f>
        <v>-81851.784996667469</v>
      </c>
      <c r="R579" s="25">
        <f t="array" aca="1" ref="R579" ca="1">INDEX('Lorri 401b'!L:L,MATCH('Retirement Calculator'!A579,'Lorri 401b'!N:N,0),0)</f>
        <v>-126499.39172888693</v>
      </c>
      <c r="S579" s="25">
        <f t="shared" ca="1" si="527"/>
        <v>-208351.1767255544</v>
      </c>
    </row>
    <row r="580" spans="1:19" ht="15.75" customHeight="1" x14ac:dyDescent="0.3">
      <c r="A580" s="37">
        <v>68607</v>
      </c>
      <c r="B580" s="409">
        <f t="shared" ref="B580:C580" si="586">($A580-B$9)/365.25</f>
        <v>105.95756331279945</v>
      </c>
      <c r="C580" s="409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2192</v>
      </c>
      <c r="I580" s="25">
        <f>IF(C580&lt;62,0,'Combined Retirement'!$I$13)</f>
        <v>2420</v>
      </c>
      <c r="J580" s="25">
        <f t="shared" si="523"/>
        <v>7863.2184191855868</v>
      </c>
      <c r="K580" s="25">
        <f t="shared" si="524"/>
        <v>20282.026119384056</v>
      </c>
      <c r="L580" s="25"/>
      <c r="N580" s="25">
        <f>'Combined Retirement'!$C$18/12</f>
        <v>39153.069999999992</v>
      </c>
      <c r="O580" s="25">
        <f t="shared" si="525"/>
        <v>11007.82546143035</v>
      </c>
      <c r="P580" s="25">
        <f t="shared" si="526"/>
        <v>28145.244538569641</v>
      </c>
      <c r="Q580" s="25">
        <f t="array" aca="1" ref="Q580" ca="1">INDEX('Isaac 401k'!L:L,MATCH('Retirement Calculator'!A580,'Isaac 401k'!N:N,0),0)</f>
        <v>-90088.815930085781</v>
      </c>
      <c r="R580" s="25">
        <f t="array" aca="1" ref="R580" ca="1">INDEX('Lorri 401b'!L:L,MATCH('Retirement Calculator'!A580,'Lorri 401b'!N:N,0),0)</f>
        <v>-147393.00708930544</v>
      </c>
      <c r="S580" s="25">
        <f t="shared" ca="1" si="527"/>
        <v>-237481.82301939122</v>
      </c>
    </row>
    <row r="581" spans="1:19" ht="15.75" customHeight="1" x14ac:dyDescent="0.3">
      <c r="A581" s="37">
        <v>68637</v>
      </c>
      <c r="B581" s="409">
        <f t="shared" ref="B581:C581" si="587">($A581-B$9)/365.25</f>
        <v>106.03969883641342</v>
      </c>
      <c r="C581" s="409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2192</v>
      </c>
      <c r="I581" s="25">
        <f>IF(C581&lt;62,0,'Combined Retirement'!$I$13)</f>
        <v>2420</v>
      </c>
      <c r="J581" s="25">
        <f t="shared" si="523"/>
        <v>7863.2184191855868</v>
      </c>
      <c r="K581" s="25">
        <f t="shared" si="524"/>
        <v>20282.026119384056</v>
      </c>
      <c r="L581" s="25"/>
      <c r="N581" s="25">
        <f>'Combined Retirement'!$C$18/12</f>
        <v>39153.069999999992</v>
      </c>
      <c r="O581" s="25">
        <f t="shared" si="525"/>
        <v>11007.82546143035</v>
      </c>
      <c r="P581" s="25">
        <f t="shared" si="526"/>
        <v>28145.244538569641</v>
      </c>
      <c r="Q581" s="25">
        <f t="array" aca="1" ref="Q581" ca="1">INDEX('Isaac 401k'!L:L,MATCH('Retirement Calculator'!A581,'Isaac 401k'!N:N,0),0)</f>
        <v>-98360.167825726676</v>
      </c>
      <c r="R581" s="25">
        <f t="array" aca="1" ref="R581" ca="1">INDEX('Lorri 401b'!L:L,MATCH('Retirement Calculator'!A581,'Lorri 401b'!N:N,0),0)</f>
        <v>-168373.67918039236</v>
      </c>
      <c r="S581" s="25">
        <f t="shared" ca="1" si="527"/>
        <v>-266733.84700611903</v>
      </c>
    </row>
    <row r="582" spans="1:19" ht="15.75" customHeight="1" x14ac:dyDescent="0.3">
      <c r="A582" s="37">
        <v>68668</v>
      </c>
      <c r="B582" s="409">
        <f t="shared" ref="B582:C582" si="588">($A582-B$9)/365.25</f>
        <v>106.12457221081451</v>
      </c>
      <c r="C582" s="409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2192</v>
      </c>
      <c r="I582" s="25">
        <f>IF(C582&lt;62,0,'Combined Retirement'!$I$13)</f>
        <v>2420</v>
      </c>
      <c r="J582" s="25">
        <f t="shared" si="523"/>
        <v>7863.2184191855868</v>
      </c>
      <c r="K582" s="25">
        <f t="shared" si="524"/>
        <v>20282.026119384056</v>
      </c>
      <c r="L582" s="25"/>
      <c r="N582" s="25">
        <f>'Combined Retirement'!$C$18/12</f>
        <v>39153.069999999992</v>
      </c>
      <c r="O582" s="25">
        <f t="shared" si="525"/>
        <v>11007.82546143035</v>
      </c>
      <c r="P582" s="25">
        <f t="shared" si="526"/>
        <v>28145.244538569641</v>
      </c>
      <c r="Q582" s="25">
        <f t="array" aca="1" ref="Q582" ca="1">INDEX('Isaac 401k'!L:L,MATCH('Retirement Calculator'!A582,'Isaac 401k'!N:N,0),0)</f>
        <v>-106665.98368759941</v>
      </c>
      <c r="R582" s="25">
        <f t="array" aca="1" ref="R582" ca="1">INDEX('Lorri 401b'!L:L,MATCH('Retirement Calculator'!A582,'Lorri 401b'!N:N,0),0)</f>
        <v>-189441.77073852546</v>
      </c>
      <c r="S582" s="25">
        <f t="shared" ca="1" si="527"/>
        <v>-296107.75442612485</v>
      </c>
    </row>
    <row r="583" spans="1:19" ht="15.75" customHeight="1" x14ac:dyDescent="0.3">
      <c r="A583" s="37">
        <v>68699</v>
      </c>
      <c r="B583" s="409">
        <f t="shared" ref="B583:C583" si="589">($A583-B$9)/365.25</f>
        <v>106.2094455852156</v>
      </c>
      <c r="C583" s="409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2192</v>
      </c>
      <c r="I583" s="25">
        <f>IF(C583&lt;62,0,'Combined Retirement'!$I$13)</f>
        <v>2420</v>
      </c>
      <c r="J583" s="25">
        <f t="shared" si="523"/>
        <v>7863.2184191855868</v>
      </c>
      <c r="K583" s="25">
        <f t="shared" si="524"/>
        <v>20282.026119384056</v>
      </c>
      <c r="L583" s="25"/>
      <c r="N583" s="25">
        <f>'Combined Retirement'!$C$18/12</f>
        <v>39153.069999999992</v>
      </c>
      <c r="O583" s="25">
        <f t="shared" si="525"/>
        <v>11007.82546143035</v>
      </c>
      <c r="P583" s="25">
        <f t="shared" si="526"/>
        <v>28145.244538569641</v>
      </c>
      <c r="Q583" s="25">
        <f t="array" aca="1" ref="Q583" ca="1">INDEX('Isaac 401k'!L:L,MATCH('Retirement Calculator'!A583,'Isaac 401k'!N:N,0),0)</f>
        <v>-115006.40711556327</v>
      </c>
      <c r="R583" s="25">
        <f t="array" aca="1" ref="R583" ca="1">INDEX('Lorri 401b'!L:L,MATCH('Retirement Calculator'!A583,'Lorri 401b'!N:N,0),0)</f>
        <v>-210597.64601148415</v>
      </c>
      <c r="S583" s="25">
        <f t="shared" ca="1" si="527"/>
        <v>-325604.05312704743</v>
      </c>
    </row>
    <row r="584" spans="1:19" ht="15.75" customHeight="1" x14ac:dyDescent="0.3">
      <c r="A584" s="37">
        <v>68728</v>
      </c>
      <c r="B584" s="409">
        <f t="shared" ref="B584:C584" si="590">($A584-B$9)/365.25</f>
        <v>106.28884325804243</v>
      </c>
      <c r="C584" s="409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2192</v>
      </c>
      <c r="I584" s="25">
        <f>IF(C584&lt;62,0,'Combined Retirement'!$I$13)</f>
        <v>2420</v>
      </c>
      <c r="J584" s="25">
        <f t="shared" si="523"/>
        <v>7863.2184191855868</v>
      </c>
      <c r="K584" s="25">
        <f t="shared" si="524"/>
        <v>20282.026119384056</v>
      </c>
      <c r="L584" s="25"/>
      <c r="N584" s="25">
        <f>'Combined Retirement'!$C$18/12</f>
        <v>39153.069999999992</v>
      </c>
      <c r="O584" s="25">
        <f t="shared" si="525"/>
        <v>11007.82546143035</v>
      </c>
      <c r="P584" s="25">
        <f t="shared" si="526"/>
        <v>28145.244538569641</v>
      </c>
      <c r="Q584" s="25">
        <f t="array" aca="1" ref="Q584" ca="1">INDEX('Isaac 401k'!L:L,MATCH('Retirement Calculator'!A584,'Isaac 401k'!N:N,0),0)</f>
        <v>-123381.58230781031</v>
      </c>
      <c r="R584" s="25">
        <f t="array" aca="1" ref="R584" ca="1">INDEX('Lorri 401b'!L:L,MATCH('Retirement Calculator'!A584,'Lorri 401b'!N:N,0),0)</f>
        <v>-231841.67076474681</v>
      </c>
      <c r="S584" s="25">
        <f t="shared" ca="1" si="527"/>
        <v>-355223.25307255716</v>
      </c>
    </row>
    <row r="585" spans="1:19" ht="15.75" customHeight="1" x14ac:dyDescent="0.3">
      <c r="A585" s="37">
        <v>68759</v>
      </c>
      <c r="B585" s="409">
        <f t="shared" ref="B585:C585" si="591">($A585-B$9)/365.25</f>
        <v>106.37371663244353</v>
      </c>
      <c r="C585" s="409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2192</v>
      </c>
      <c r="I585" s="25">
        <f>IF(C585&lt;62,0,'Combined Retirement'!$I$13)</f>
        <v>2420</v>
      </c>
      <c r="J585" s="25">
        <f t="shared" si="523"/>
        <v>7863.2184191855868</v>
      </c>
      <c r="K585" s="25">
        <f t="shared" si="524"/>
        <v>20282.026119384056</v>
      </c>
      <c r="L585" s="25"/>
      <c r="N585" s="25">
        <f>'Combined Retirement'!$C$18/12</f>
        <v>39153.069999999992</v>
      </c>
      <c r="O585" s="25">
        <f t="shared" si="525"/>
        <v>11007.82546143035</v>
      </c>
      <c r="P585" s="25">
        <f t="shared" si="526"/>
        <v>28145.244538569641</v>
      </c>
      <c r="Q585" s="25">
        <f t="array" aca="1" ref="Q585" ca="1">INDEX('Isaac 401k'!L:L,MATCH('Retirement Calculator'!A585,'Isaac 401k'!N:N,0),0)</f>
        <v>-131791.65406335838</v>
      </c>
      <c r="R585" s="25">
        <f t="array" aca="1" ref="R585" ca="1">INDEX('Lorri 401b'!L:L,MATCH('Retirement Calculator'!A585,'Lorri 401b'!N:N,0),0)</f>
        <v>-253174.21228781476</v>
      </c>
      <c r="S585" s="25">
        <f t="shared" ca="1" si="527"/>
        <v>-384965.86635117314</v>
      </c>
    </row>
    <row r="586" spans="1:19" ht="15.75" customHeight="1" x14ac:dyDescent="0.3">
      <c r="A586" s="37">
        <v>68789</v>
      </c>
      <c r="B586" s="409">
        <f t="shared" ref="B586:C586" si="592">($A586-B$9)/365.25</f>
        <v>106.45585215605749</v>
      </c>
      <c r="C586" s="409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2192</v>
      </c>
      <c r="I586" s="25">
        <f>IF(C586&lt;62,0,'Combined Retirement'!$I$13)</f>
        <v>2420</v>
      </c>
      <c r="J586" s="25">
        <f t="shared" si="523"/>
        <v>7863.2184191855868</v>
      </c>
      <c r="K586" s="25">
        <f t="shared" si="524"/>
        <v>20282.026119384056</v>
      </c>
      <c r="L586" s="25"/>
      <c r="N586" s="25">
        <f>'Combined Retirement'!$C$18/12</f>
        <v>39153.069999999992</v>
      </c>
      <c r="O586" s="25">
        <f t="shared" si="525"/>
        <v>11007.82546143035</v>
      </c>
      <c r="P586" s="25">
        <f t="shared" si="526"/>
        <v>28145.244538569641</v>
      </c>
      <c r="Q586" s="25">
        <f t="array" aca="1" ref="Q586" ca="1">INDEX('Isaac 401k'!L:L,MATCH('Retirement Calculator'!A586,'Isaac 401k'!N:N,0),0)</f>
        <v>-140236.76778455457</v>
      </c>
      <c r="R586" s="25">
        <f t="array" aca="1" ref="R586" ca="1">INDEX('Lorri 401b'!L:L,MATCH('Retirement Calculator'!A586,'Lorri 401b'!N:N,0),0)</f>
        <v>-274595.63940056216</v>
      </c>
      <c r="S586" s="25">
        <f t="shared" ca="1" si="527"/>
        <v>-414832.40718511672</v>
      </c>
    </row>
    <row r="587" spans="1:19" ht="15.75" customHeight="1" x14ac:dyDescent="0.3">
      <c r="A587" s="37">
        <v>68820</v>
      </c>
      <c r="B587" s="409">
        <f t="shared" ref="B587:C587" si="593">($A587-B$9)/365.25</f>
        <v>106.54072553045859</v>
      </c>
      <c r="C587" s="409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2192</v>
      </c>
      <c r="I587" s="25">
        <f>IF(C587&lt;62,0,'Combined Retirement'!$I$13)</f>
        <v>2420</v>
      </c>
      <c r="J587" s="25">
        <f t="shared" si="523"/>
        <v>7863.2184191855868</v>
      </c>
      <c r="K587" s="25">
        <f t="shared" si="524"/>
        <v>20282.026119384056</v>
      </c>
      <c r="L587" s="25"/>
      <c r="N587" s="25">
        <f>'Combined Retirement'!$C$18/12</f>
        <v>39153.069999999992</v>
      </c>
      <c r="O587" s="25">
        <f t="shared" si="525"/>
        <v>11007.82546143035</v>
      </c>
      <c r="P587" s="25">
        <f t="shared" si="526"/>
        <v>28145.244538569641</v>
      </c>
      <c r="Q587" s="25">
        <f t="array" aca="1" ref="Q587" ca="1">INDEX('Isaac 401k'!L:L,MATCH('Retirement Calculator'!A587,'Isaac 401k'!N:N,0),0)</f>
        <v>-148717.06947958906</v>
      </c>
      <c r="R587" s="25">
        <f t="array" aca="1" ref="R587" ca="1">INDEX('Lorri 401b'!L:L,MATCH('Retirement Calculator'!A587,'Lorri 401b'!N:N,0),0)</f>
        <v>-296106.32245961262</v>
      </c>
      <c r="S587" s="25">
        <f t="shared" ca="1" si="527"/>
        <v>-444823.39193920168</v>
      </c>
    </row>
    <row r="588" spans="1:19" ht="15.75" customHeight="1" x14ac:dyDescent="0.3">
      <c r="A588" s="37">
        <v>68850</v>
      </c>
      <c r="B588" s="409">
        <f t="shared" ref="B588:C588" si="594">($A588-B$9)/365.25</f>
        <v>106.62286105407256</v>
      </c>
      <c r="C588" s="409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2192</v>
      </c>
      <c r="I588" s="25">
        <f>IF(C588&lt;62,0,'Combined Retirement'!$I$13)</f>
        <v>2420</v>
      </c>
      <c r="J588" s="25">
        <f t="shared" si="523"/>
        <v>7863.2184191855868</v>
      </c>
      <c r="K588" s="25">
        <f t="shared" si="524"/>
        <v>20282.026119384056</v>
      </c>
      <c r="L588" s="25"/>
      <c r="N588" s="25">
        <f>'Combined Retirement'!$C$18/12</f>
        <v>39153.069999999992</v>
      </c>
      <c r="O588" s="25">
        <f t="shared" si="525"/>
        <v>11007.82546143035</v>
      </c>
      <c r="P588" s="25">
        <f t="shared" si="526"/>
        <v>28145.244538569641</v>
      </c>
      <c r="Q588" s="25">
        <f t="array" aca="1" ref="Q588" ca="1">INDEX('Isaac 401k'!L:L,MATCH('Retirement Calculator'!A588,'Isaac 401k'!N:N,0),0)</f>
        <v>-157232.70576501952</v>
      </c>
      <c r="R588" s="25">
        <f t="array" aca="1" ref="R588" ca="1">INDEX('Lorri 401b'!L:L,MATCH('Retirement Calculator'!A588,'Lorri 401b'!N:N,0),0)</f>
        <v>-317706.63336474251</v>
      </c>
      <c r="S588" s="25">
        <f t="shared" ca="1" si="527"/>
        <v>-474939.33912976203</v>
      </c>
    </row>
    <row r="589" spans="1:19" ht="15.75" customHeight="1" x14ac:dyDescent="0.3">
      <c r="A589" s="37">
        <v>68881</v>
      </c>
      <c r="B589" s="409">
        <f t="shared" ref="B589:C589" si="595">($A589-B$9)/365.25</f>
        <v>106.70773442847364</v>
      </c>
      <c r="C589" s="409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2192</v>
      </c>
      <c r="I589" s="25">
        <f>IF(C589&lt;62,0,'Combined Retirement'!$I$13)</f>
        <v>2420</v>
      </c>
      <c r="J589" s="25">
        <f t="shared" si="523"/>
        <v>7863.2184191855868</v>
      </c>
      <c r="K589" s="25">
        <f t="shared" si="524"/>
        <v>20282.026119384056</v>
      </c>
      <c r="L589" s="25"/>
      <c r="N589" s="25">
        <f>'Combined Retirement'!$C$18/12</f>
        <v>39153.069999999992</v>
      </c>
      <c r="O589" s="25">
        <f t="shared" si="525"/>
        <v>11007.82546143035</v>
      </c>
      <c r="P589" s="25">
        <f t="shared" si="526"/>
        <v>28145.244538569641</v>
      </c>
      <c r="Q589" s="25">
        <f t="array" aca="1" ref="Q589" ca="1">INDEX('Isaac 401k'!L:L,MATCH('Retirement Calculator'!A589,'Isaac 401k'!N:N,0),0)</f>
        <v>-165783.82386830595</v>
      </c>
      <c r="R589" s="25">
        <f t="array" aca="1" ref="R589" ca="1">INDEX('Lorri 401b'!L:L,MATCH('Retirement Calculator'!A589,'Lorri 401b'!N:N,0),0)</f>
        <v>-339396.94556531042</v>
      </c>
      <c r="S589" s="25">
        <f t="shared" ca="1" si="527"/>
        <v>-505180.76943361637</v>
      </c>
    </row>
    <row r="590" spans="1:19" ht="15.75" customHeight="1" x14ac:dyDescent="0.3">
      <c r="A590" s="37">
        <v>68912</v>
      </c>
      <c r="B590" s="409">
        <f t="shared" ref="B590:C590" si="596">($A590-B$9)/365.25</f>
        <v>106.79260780287474</v>
      </c>
      <c r="C590" s="409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2192</v>
      </c>
      <c r="I590" s="25">
        <f>IF(C590&lt;62,0,'Combined Retirement'!$I$13)</f>
        <v>2420</v>
      </c>
      <c r="J590" s="25">
        <f t="shared" si="523"/>
        <v>7863.2184191855868</v>
      </c>
      <c r="K590" s="25">
        <f t="shared" si="524"/>
        <v>20282.026119384056</v>
      </c>
      <c r="L590" s="25"/>
      <c r="N590" s="25">
        <f>'Combined Retirement'!$C$18/12</f>
        <v>39153.069999999992</v>
      </c>
      <c r="O590" s="25">
        <f t="shared" si="525"/>
        <v>11007.82546143035</v>
      </c>
      <c r="P590" s="25">
        <f t="shared" si="526"/>
        <v>28145.244538569641</v>
      </c>
      <c r="Q590" s="25">
        <f t="array" aca="1" ref="Q590" ca="1">INDEX('Isaac 401k'!L:L,MATCH('Retirement Calculator'!A590,'Isaac 401k'!N:N,0),0)</f>
        <v>-174370.57163035608</v>
      </c>
      <c r="R590" s="25">
        <f t="array" aca="1" ref="R590" ca="1">INDEX('Lorri 401b'!L:L,MATCH('Retirement Calculator'!A590,'Lorri 401b'!N:N,0),0)</f>
        <v>-361177.63406671403</v>
      </c>
      <c r="S590" s="25">
        <f t="shared" ca="1" si="527"/>
        <v>-535548.20569707011</v>
      </c>
    </row>
    <row r="591" spans="1:19" ht="15.75" customHeight="1" x14ac:dyDescent="0.3">
      <c r="A591" s="37">
        <v>68942</v>
      </c>
      <c r="B591" s="409">
        <f t="shared" ref="B591:C591" si="597">($A591-B$9)/365.25</f>
        <v>106.87474332648871</v>
      </c>
      <c r="C591" s="409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2192</v>
      </c>
      <c r="I591" s="25">
        <f>IF(C591&lt;62,0,'Combined Retirement'!$I$13)</f>
        <v>2420</v>
      </c>
      <c r="J591" s="25">
        <f t="shared" si="523"/>
        <v>7863.2184191855868</v>
      </c>
      <c r="K591" s="25">
        <f t="shared" si="524"/>
        <v>20282.026119384056</v>
      </c>
      <c r="L591" s="25"/>
      <c r="N591" s="25">
        <f>'Combined Retirement'!$C$18/12</f>
        <v>39153.069999999992</v>
      </c>
      <c r="O591" s="25">
        <f t="shared" si="525"/>
        <v>11007.82546143035</v>
      </c>
      <c r="P591" s="25">
        <f t="shared" si="526"/>
        <v>28145.244538569641</v>
      </c>
      <c r="Q591" s="25">
        <f t="array" aca="1" ref="Q591" ca="1">INDEX('Isaac 401k'!L:L,MATCH('Retirement Calculator'!A591,'Isaac 401k'!N:N,0),0)</f>
        <v>-182993.09750808141</v>
      </c>
      <c r="R591" s="25">
        <f t="array" aca="1" ref="R591" ca="1">INDEX('Lorri 401b'!L:L,MATCH('Retirement Calculator'!A591,'Lorri 401b'!N:N,0),0)</f>
        <v>-383049.07543687348</v>
      </c>
      <c r="S591" s="25">
        <f t="shared" ca="1" si="527"/>
        <v>-566042.17294495483</v>
      </c>
    </row>
    <row r="592" spans="1:19" ht="15.75" customHeight="1" x14ac:dyDescent="0.3">
      <c r="A592" s="37">
        <v>68973</v>
      </c>
      <c r="B592" s="409">
        <f t="shared" ref="B592:C592" si="598">($A592-B$9)/365.25</f>
        <v>106.9596167008898</v>
      </c>
      <c r="C592" s="409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2192</v>
      </c>
      <c r="I592" s="25">
        <f>IF(C592&lt;62,0,'Combined Retirement'!$I$13)</f>
        <v>2420</v>
      </c>
      <c r="J592" s="25">
        <f t="shared" si="523"/>
        <v>7863.2184191855868</v>
      </c>
      <c r="K592" s="25">
        <f t="shared" si="524"/>
        <v>20282.026119384056</v>
      </c>
      <c r="L592" s="25"/>
      <c r="N592" s="25">
        <f>'Combined Retirement'!$C$18/12</f>
        <v>39153.069999999992</v>
      </c>
      <c r="O592" s="25">
        <f t="shared" si="525"/>
        <v>11007.82546143035</v>
      </c>
      <c r="P592" s="25">
        <f t="shared" si="526"/>
        <v>28145.244538569641</v>
      </c>
      <c r="Q592" s="25">
        <f t="array" aca="1" ref="Q592" ca="1">INDEX('Isaac 401k'!L:L,MATCH('Retirement Calculator'!A592,'Isaac 401k'!N:N,0),0)</f>
        <v>-191651.55057696393</v>
      </c>
      <c r="R592" s="25">
        <f t="array" aca="1" ref="R592" ca="1">INDEX('Lorri 401b'!L:L,MATCH('Retirement Calculator'!A592,'Lorri 401b'!N:N,0),0)</f>
        <v>-405011.64781274193</v>
      </c>
      <c r="S592" s="25">
        <f t="shared" ca="1" si="527"/>
        <v>-596663.19838970585</v>
      </c>
    </row>
    <row r="593" spans="1:19" ht="15.75" customHeight="1" x14ac:dyDescent="0.3">
      <c r="A593" s="37">
        <v>69003</v>
      </c>
      <c r="B593" s="409">
        <f t="shared" ref="B593:C593" si="599">($A593-B$9)/365.25</f>
        <v>107.04175222450377</v>
      </c>
      <c r="C593" s="409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2192</v>
      </c>
      <c r="I593" s="25">
        <f>IF(C593&lt;62,0,'Combined Retirement'!$I$13)</f>
        <v>2420</v>
      </c>
      <c r="J593" s="25">
        <f t="shared" si="523"/>
        <v>7863.2184191855868</v>
      </c>
      <c r="K593" s="25">
        <f t="shared" si="524"/>
        <v>20282.026119384056</v>
      </c>
      <c r="L593" s="25"/>
      <c r="N593" s="25">
        <f>'Combined Retirement'!$C$18/12</f>
        <v>39153.069999999992</v>
      </c>
      <c r="O593" s="25">
        <f t="shared" si="525"/>
        <v>11007.82546143035</v>
      </c>
      <c r="P593" s="25">
        <f t="shared" si="526"/>
        <v>28145.244538569641</v>
      </c>
      <c r="Q593" s="25">
        <f t="array" aca="1" ref="Q593" ca="1">INDEX('Isaac 401k'!L:L,MATCH('Retirement Calculator'!A593,'Isaac 401k'!N:N,0),0)</f>
        <v>-200346.08053363347</v>
      </c>
      <c r="R593" s="25">
        <f t="array" aca="1" ref="R593" ca="1">INDEX('Lorri 401b'!L:L,MATCH('Retirement Calculator'!A593,'Lorri 401b'!N:N,0),0)</f>
        <v>-427065.73090684315</v>
      </c>
      <c r="S593" s="25">
        <f t="shared" ca="1" si="527"/>
        <v>-627411.81144047668</v>
      </c>
    </row>
    <row r="594" spans="1:19" ht="15.75" customHeight="1" x14ac:dyDescent="0.3">
      <c r="A594" s="37">
        <v>69034</v>
      </c>
      <c r="B594" s="409">
        <f t="shared" ref="B594:C594" si="600">($A594-B$9)/365.25</f>
        <v>107.12662559890487</v>
      </c>
      <c r="C594" s="409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2192</v>
      </c>
      <c r="I594" s="25">
        <f>IF(C594&lt;62,0,'Combined Retirement'!$I$13)</f>
        <v>2420</v>
      </c>
      <c r="J594" s="25">
        <f t="shared" si="523"/>
        <v>7863.2184191855868</v>
      </c>
      <c r="K594" s="25">
        <f t="shared" si="524"/>
        <v>20282.026119384056</v>
      </c>
      <c r="L594" s="25"/>
      <c r="N594" s="25">
        <f>'Combined Retirement'!$C$18/12</f>
        <v>39153.069999999992</v>
      </c>
      <c r="O594" s="25">
        <f t="shared" si="525"/>
        <v>11007.82546143035</v>
      </c>
      <c r="P594" s="25">
        <f t="shared" si="526"/>
        <v>28145.244538569641</v>
      </c>
      <c r="Q594" s="25">
        <f t="array" aca="1" ref="Q594" ca="1">INDEX('Isaac 401k'!L:L,MATCH('Retirement Calculator'!A594,'Isaac 401k'!N:N,0),0)</f>
        <v>-209076.83769845578</v>
      </c>
      <c r="R594" s="25">
        <f t="array" aca="1" ref="R594" ca="1">INDEX('Lorri 401b'!L:L,MATCH('Retirement Calculator'!A594,'Lorri 401b'!N:N,0),0)</f>
        <v>-449211.70601383649</v>
      </c>
      <c r="S594" s="25">
        <f t="shared" ca="1" si="527"/>
        <v>-658288.54371229233</v>
      </c>
    </row>
    <row r="595" spans="1:19" ht="15.75" customHeight="1" x14ac:dyDescent="0.3">
      <c r="A595" s="37">
        <v>69065</v>
      </c>
      <c r="B595" s="409">
        <f t="shared" ref="B595:C595" si="601">($A595-B$9)/365.25</f>
        <v>107.21149897330595</v>
      </c>
      <c r="C595" s="409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2192</v>
      </c>
      <c r="I595" s="25">
        <f>IF(C595&lt;62,0,'Combined Retirement'!$I$13)</f>
        <v>2420</v>
      </c>
      <c r="J595" s="25">
        <f t="shared" si="523"/>
        <v>7863.2184191855868</v>
      </c>
      <c r="K595" s="25">
        <f t="shared" si="524"/>
        <v>20282.026119384056</v>
      </c>
      <c r="L595" s="25"/>
      <c r="N595" s="25">
        <f>'Combined Retirement'!$C$18/12</f>
        <v>39153.069999999992</v>
      </c>
      <c r="O595" s="25">
        <f t="shared" si="525"/>
        <v>11007.82546143035</v>
      </c>
      <c r="P595" s="25">
        <f t="shared" si="526"/>
        <v>28145.244538569641</v>
      </c>
      <c r="Q595" s="25">
        <f t="array" aca="1" ref="Q595" ca="1">INDEX('Isaac 401k'!L:L,MATCH('Retirement Calculator'!A595,'Isaac 401k'!N:N,0),0)</f>
        <v>-217843.97301813154</v>
      </c>
      <c r="R595" s="25">
        <f t="array" aca="1" ref="R595" ca="1">INDEX('Lorri 401b'!L:L,MATCH('Retirement Calculator'!A595,'Lorri 401b'!N:N,0),0)</f>
        <v>-471449.95601710893</v>
      </c>
      <c r="S595" s="25">
        <f t="shared" ca="1" si="527"/>
        <v>-689293.92903524044</v>
      </c>
    </row>
    <row r="596" spans="1:19" ht="15.75" customHeight="1" x14ac:dyDescent="0.3">
      <c r="A596" s="37">
        <v>69093</v>
      </c>
      <c r="B596" s="409">
        <f t="shared" ref="B596:C596" si="602">($A596-B$9)/365.25</f>
        <v>107.28815879534565</v>
      </c>
      <c r="C596" s="409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2192</v>
      </c>
      <c r="I596" s="25">
        <f>IF(C596&lt;62,0,'Combined Retirement'!$I$13)</f>
        <v>2420</v>
      </c>
      <c r="J596" s="25">
        <f t="shared" si="523"/>
        <v>7863.2184191855868</v>
      </c>
      <c r="K596" s="25">
        <f t="shared" si="524"/>
        <v>20282.026119384056</v>
      </c>
      <c r="L596" s="25"/>
      <c r="N596" s="25">
        <f>'Combined Retirement'!$C$18/12</f>
        <v>39153.069999999992</v>
      </c>
      <c r="O596" s="25">
        <f t="shared" si="525"/>
        <v>11007.82546143035</v>
      </c>
      <c r="P596" s="25">
        <f t="shared" si="526"/>
        <v>28145.244538569641</v>
      </c>
      <c r="Q596" s="25">
        <f t="array" aca="1" ref="Q596" ca="1">INDEX('Isaac 401k'!L:L,MATCH('Retirement Calculator'!A596,'Isaac 401k'!N:N,0),0)</f>
        <v>-226647.63806830594</v>
      </c>
      <c r="R596" s="25">
        <f t="array" aca="1" ref="R596" ca="1">INDEX('Lorri 401b'!L:L,MATCH('Retirement Calculator'!A596,'Lorri 401b'!N:N,0),0)</f>
        <v>-493780.86539539503</v>
      </c>
      <c r="S596" s="25">
        <f t="shared" ca="1" si="527"/>
        <v>-720428.503463701</v>
      </c>
    </row>
    <row r="597" spans="1:19" ht="15.75" customHeight="1" x14ac:dyDescent="0.3">
      <c r="A597" s="37">
        <v>69124</v>
      </c>
      <c r="B597" s="409">
        <f t="shared" ref="B597:C597" si="603">($A597-B$9)/365.25</f>
        <v>107.37303216974675</v>
      </c>
      <c r="C597" s="409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2192</v>
      </c>
      <c r="I597" s="25">
        <f>IF(C597&lt;62,0,'Combined Retirement'!$I$13)</f>
        <v>2420</v>
      </c>
      <c r="J597" s="25">
        <f t="shared" si="523"/>
        <v>7863.2184191855868</v>
      </c>
      <c r="K597" s="25">
        <f t="shared" si="524"/>
        <v>20282.026119384056</v>
      </c>
      <c r="L597" s="25"/>
      <c r="N597" s="25">
        <f>'Combined Retirement'!$C$18/12</f>
        <v>39153.069999999992</v>
      </c>
      <c r="O597" s="25">
        <f t="shared" si="525"/>
        <v>11007.82546143035</v>
      </c>
      <c r="P597" s="25">
        <f t="shared" si="526"/>
        <v>28145.244538569641</v>
      </c>
      <c r="Q597" s="25">
        <f t="array" aca="1" ref="Q597" ca="1">INDEX('Isaac 401k'!L:L,MATCH('Retirement Calculator'!A597,'Isaac 401k'!N:N,0),0)</f>
        <v>-235487.98505618941</v>
      </c>
      <c r="R597" s="25">
        <f t="array" aca="1" ref="R597" ca="1">INDEX('Lorri 401b'!L:L,MATCH('Retirement Calculator'!A597,'Lorri 401b'!N:N,0),0)</f>
        <v>-516204.82022942399</v>
      </c>
      <c r="S597" s="25">
        <f t="shared" ca="1" si="527"/>
        <v>-751692.8052856134</v>
      </c>
    </row>
    <row r="598" spans="1:19" ht="15.75" customHeight="1" x14ac:dyDescent="0.3">
      <c r="A598" s="37">
        <v>69154</v>
      </c>
      <c r="B598" s="409">
        <f t="shared" ref="B598:C598" si="604">($A598-B$9)/365.25</f>
        <v>107.45516769336071</v>
      </c>
      <c r="C598" s="409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2192</v>
      </c>
      <c r="I598" s="25">
        <f>IF(C598&lt;62,0,'Combined Retirement'!$I$13)</f>
        <v>2420</v>
      </c>
      <c r="J598" s="25">
        <f t="shared" si="523"/>
        <v>7863.2184191855868</v>
      </c>
      <c r="K598" s="25">
        <f t="shared" si="524"/>
        <v>20282.026119384056</v>
      </c>
      <c r="L598" s="25"/>
      <c r="N598" s="25">
        <f>'Combined Retirement'!$C$18/12</f>
        <v>39153.069999999992</v>
      </c>
      <c r="O598" s="25">
        <f t="shared" si="525"/>
        <v>11007.82546143035</v>
      </c>
      <c r="P598" s="25">
        <f t="shared" si="526"/>
        <v>28145.244538569641</v>
      </c>
      <c r="Q598" s="25">
        <f t="array" aca="1" ref="Q598" ca="1">INDEX('Isaac 401k'!L:L,MATCH('Retirement Calculator'!A598,'Isaac 401k'!N:N,0),0)</f>
        <v>-244365.16682318907</v>
      </c>
      <c r="R598" s="25">
        <f t="array" aca="1" ref="R598" ca="1">INDEX('Lorri 401b'!L:L,MATCH('Retirement Calculator'!A598,'Lorri 401b'!N:N,0),0)</f>
        <v>-538722.2082085947</v>
      </c>
      <c r="S598" s="25">
        <f t="shared" ca="1" si="527"/>
        <v>-783087.37503178371</v>
      </c>
    </row>
    <row r="599" spans="1:19" ht="15.75" customHeight="1" x14ac:dyDescent="0.3">
      <c r="A599" s="37">
        <v>69185</v>
      </c>
      <c r="B599" s="409">
        <f t="shared" ref="B599:C599" si="605">($A599-B$9)/365.25</f>
        <v>107.54004106776181</v>
      </c>
      <c r="C599" s="409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2192</v>
      </c>
      <c r="I599" s="25">
        <f>IF(C599&lt;62,0,'Combined Retirement'!$I$13)</f>
        <v>2420</v>
      </c>
      <c r="J599" s="25">
        <f t="shared" si="523"/>
        <v>7863.2184191855868</v>
      </c>
      <c r="K599" s="25">
        <f t="shared" si="524"/>
        <v>20282.026119384056</v>
      </c>
      <c r="L599" s="25"/>
      <c r="N599" s="25">
        <f>'Combined Retirement'!$C$18/12</f>
        <v>39153.069999999992</v>
      </c>
      <c r="O599" s="25">
        <f t="shared" si="525"/>
        <v>11007.82546143035</v>
      </c>
      <c r="P599" s="25">
        <f t="shared" si="526"/>
        <v>28145.244538569641</v>
      </c>
      <c r="Q599" s="25">
        <f t="array" aca="1" ref="Q599" ca="1">INDEX('Isaac 401k'!L:L,MATCH('Retirement Calculator'!A599,'Isaac 401k'!N:N,0),0)</f>
        <v>-253279.3368475512</v>
      </c>
      <c r="R599" s="25">
        <f t="array" aca="1" ref="R599" ca="1">INDEX('Lorri 401b'!L:L,MATCH('Retirement Calculator'!A599,'Lorri 401b'!N:N,0),0)</f>
        <v>-561333.41863767873</v>
      </c>
      <c r="S599" s="25">
        <f t="shared" ca="1" si="527"/>
        <v>-814612.75548522989</v>
      </c>
    </row>
    <row r="600" spans="1:19" ht="15.75" customHeight="1" x14ac:dyDescent="0.3">
      <c r="A600" s="37">
        <v>69215</v>
      </c>
      <c r="B600" s="409">
        <f t="shared" ref="B600:C600" si="606">($A600-B$9)/365.25</f>
        <v>107.62217659137578</v>
      </c>
      <c r="C600" s="409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2192</v>
      </c>
      <c r="I600" s="25">
        <f>IF(C600&lt;62,0,'Combined Retirement'!$I$13)</f>
        <v>2420</v>
      </c>
      <c r="J600" s="25">
        <f t="shared" si="523"/>
        <v>7863.2184191855868</v>
      </c>
      <c r="K600" s="25">
        <f t="shared" si="524"/>
        <v>20282.026119384056</v>
      </c>
      <c r="L600" s="25"/>
      <c r="N600" s="25">
        <f>'Combined Retirement'!$C$18/12</f>
        <v>39153.069999999992</v>
      </c>
      <c r="O600" s="25">
        <f t="shared" si="525"/>
        <v>11007.82546143035</v>
      </c>
      <c r="P600" s="25">
        <f t="shared" si="526"/>
        <v>28145.244538569641</v>
      </c>
      <c r="Q600" s="25">
        <f t="array" aca="1" ref="Q600" ca="1">INDEX('Isaac 401k'!L:L,MATCH('Retirement Calculator'!A600,'Isaac 401k'!N:N,0),0)</f>
        <v>-262230.64924701484</v>
      </c>
      <c r="R600" s="25">
        <f t="array" aca="1" ref="R600" ca="1">INDEX('Lorri 401b'!L:L,MATCH('Retirement Calculator'!A600,'Lorri 401b'!N:N,0),0)</f>
        <v>-584038.84244355059</v>
      </c>
      <c r="S600" s="25">
        <f t="shared" ca="1" si="527"/>
        <v>-846269.49169056537</v>
      </c>
    </row>
    <row r="601" spans="1:19" ht="15.75" customHeight="1" x14ac:dyDescent="0.3">
      <c r="A601" s="37">
        <v>69246</v>
      </c>
      <c r="B601" s="409">
        <f t="shared" ref="B601:C601" si="607">($A601-B$9)/365.25</f>
        <v>107.70704996577686</v>
      </c>
      <c r="C601" s="409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2192</v>
      </c>
      <c r="I601" s="25">
        <f>IF(C601&lt;62,0,'Combined Retirement'!$I$13)</f>
        <v>2420</v>
      </c>
      <c r="J601" s="25">
        <f t="shared" si="523"/>
        <v>7863.2184191855868</v>
      </c>
      <c r="K601" s="25">
        <f t="shared" si="524"/>
        <v>20282.026119384056</v>
      </c>
      <c r="L601" s="25"/>
      <c r="N601" s="25">
        <f>'Combined Retirement'!$C$18/12</f>
        <v>39153.069999999992</v>
      </c>
      <c r="O601" s="25">
        <f t="shared" si="525"/>
        <v>11007.82546143035</v>
      </c>
      <c r="P601" s="25">
        <f t="shared" si="526"/>
        <v>28145.244538569641</v>
      </c>
      <c r="Q601" s="25">
        <f t="array" aca="1" ref="Q601" ca="1">INDEX('Isaac 401k'!L:L,MATCH('Retirement Calculator'!A601,'Isaac 401k'!N:N,0),0)</f>
        <v>-271219.2587814763</v>
      </c>
      <c r="R601" s="25">
        <f t="array" aca="1" ref="R601" ca="1">INDEX('Lorri 401b'!L:L,MATCH('Retirement Calculator'!A601,'Lorri 401b'!N:N,0),0)</f>
        <v>-606838.87218194688</v>
      </c>
      <c r="S601" s="25">
        <f t="shared" ca="1" si="527"/>
        <v>-878058.13096342317</v>
      </c>
    </row>
    <row r="602" spans="1:19" ht="15.75" customHeight="1" x14ac:dyDescent="0.3">
      <c r="A602" s="37">
        <v>69277</v>
      </c>
      <c r="B602" s="409">
        <f t="shared" ref="B602:C602" si="608">($A602-B$9)/365.25</f>
        <v>107.79192334017796</v>
      </c>
      <c r="C602" s="409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2192</v>
      </c>
      <c r="I602" s="25">
        <f>IF(C602&lt;62,0,'Combined Retirement'!$I$13)</f>
        <v>2420</v>
      </c>
      <c r="J602" s="25">
        <f t="shared" si="523"/>
        <v>7863.2184191855868</v>
      </c>
      <c r="K602" s="25">
        <f t="shared" si="524"/>
        <v>20282.026119384056</v>
      </c>
      <c r="L602" s="25"/>
      <c r="N602" s="25">
        <f>'Combined Retirement'!$C$18/12</f>
        <v>39153.069999999992</v>
      </c>
      <c r="O602" s="25">
        <f t="shared" si="525"/>
        <v>11007.82546143035</v>
      </c>
      <c r="P602" s="25">
        <f t="shared" si="526"/>
        <v>28145.244538569641</v>
      </c>
      <c r="Q602" s="25">
        <f t="array" aca="1" ref="Q602" ca="1">INDEX('Isaac 401k'!L:L,MATCH('Retirement Calculator'!A602,'Isaac 401k'!N:N,0),0)</f>
        <v>-280245.32085566467</v>
      </c>
      <c r="R602" s="25">
        <f t="array" aca="1" ref="R602" ca="1">INDEX('Lorri 401b'!L:L,MATCH('Retirement Calculator'!A602,'Lorri 401b'!N:N,0),0)</f>
        <v>-629733.90204425319</v>
      </c>
      <c r="S602" s="25">
        <f t="shared" ca="1" si="527"/>
        <v>-909979.22289991786</v>
      </c>
    </row>
    <row r="603" spans="1:19" ht="15.75" customHeight="1" x14ac:dyDescent="0.3">
      <c r="A603" s="37">
        <v>69307</v>
      </c>
      <c r="B603" s="409">
        <f t="shared" ref="B603:C603" si="609">($A603-B$9)/365.25</f>
        <v>107.87405886379193</v>
      </c>
      <c r="C603" s="409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2192</v>
      </c>
      <c r="I603" s="25">
        <f>IF(C603&lt;62,0,'Combined Retirement'!$I$13)</f>
        <v>2420</v>
      </c>
      <c r="J603" s="25">
        <f t="shared" si="523"/>
        <v>7863.2184191855868</v>
      </c>
      <c r="K603" s="25">
        <f t="shared" si="524"/>
        <v>20282.026119384056</v>
      </c>
      <c r="L603" s="25"/>
      <c r="N603" s="25">
        <f>'Combined Retirement'!$C$18/12</f>
        <v>39153.069999999992</v>
      </c>
      <c r="O603" s="25">
        <f t="shared" si="525"/>
        <v>11007.82546143035</v>
      </c>
      <c r="P603" s="25">
        <f t="shared" si="526"/>
        <v>28145.244538569641</v>
      </c>
      <c r="Q603" s="25">
        <f t="array" aca="1" ref="Q603" ca="1">INDEX('Isaac 401k'!L:L,MATCH('Retirement Calculator'!A603,'Isaac 401k'!N:N,0),0)</f>
        <v>-289308.99152182881</v>
      </c>
      <c r="R603" s="25">
        <f t="array" aca="1" ref="R603" ca="1">INDEX('Lorri 401b'!L:L,MATCH('Retirement Calculator'!A603,'Lorri 401b'!N:N,0),0)</f>
        <v>-652724.32786431909</v>
      </c>
      <c r="S603" s="25">
        <f t="shared" ca="1" si="527"/>
        <v>-942033.31938614789</v>
      </c>
    </row>
    <row r="604" spans="1:19" ht="15.75" customHeight="1" x14ac:dyDescent="0.3">
      <c r="A604" s="37">
        <v>69338</v>
      </c>
      <c r="B604" s="409">
        <f t="shared" ref="B604:C604" si="610">($A604-B$9)/365.25</f>
        <v>107.95893223819301</v>
      </c>
      <c r="C604" s="409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2192</v>
      </c>
      <c r="I604" s="25">
        <f>IF(C604&lt;62,0,'Combined Retirement'!$I$13)</f>
        <v>2420</v>
      </c>
      <c r="J604" s="25">
        <f t="shared" si="523"/>
        <v>7863.2184191855868</v>
      </c>
      <c r="K604" s="25">
        <f t="shared" si="524"/>
        <v>20282.026119384056</v>
      </c>
      <c r="L604" s="25"/>
      <c r="N604" s="25">
        <f>'Combined Retirement'!$C$18/12</f>
        <v>39153.069999999992</v>
      </c>
      <c r="O604" s="25">
        <f t="shared" si="525"/>
        <v>11007.82546143035</v>
      </c>
      <c r="P604" s="25">
        <f t="shared" si="526"/>
        <v>28145.244538569641</v>
      </c>
      <c r="Q604" s="25">
        <f t="array" aca="1" ref="Q604" ca="1">INDEX('Isaac 401k'!L:L,MATCH('Retirement Calculator'!A604,'Isaac 401k'!N:N,0),0)</f>
        <v>-298410.42748243531</v>
      </c>
      <c r="R604" s="25">
        <f t="array" aca="1" ref="R604" ca="1">INDEX('Lorri 401b'!L:L,MATCH('Retirement Calculator'!A604,'Lorri 401b'!N:N,0),0)</f>
        <v>-675810.54712530191</v>
      </c>
      <c r="S604" s="25">
        <f t="shared" ca="1" si="527"/>
        <v>-974220.97460773727</v>
      </c>
    </row>
    <row r="605" spans="1:19" ht="15.75" customHeight="1" x14ac:dyDescent="0.3">
      <c r="A605" s="37">
        <v>69368</v>
      </c>
      <c r="B605" s="409">
        <f t="shared" ref="B605:C605" si="611">($A605-B$9)/365.25</f>
        <v>108.04106776180699</v>
      </c>
      <c r="C605" s="409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2192</v>
      </c>
      <c r="I605" s="25">
        <f>IF(C605&lt;62,0,'Combined Retirement'!$I$13)</f>
        <v>2420</v>
      </c>
      <c r="J605" s="25">
        <f t="shared" si="523"/>
        <v>7863.2184191855868</v>
      </c>
      <c r="K605" s="25">
        <f t="shared" si="524"/>
        <v>20282.026119384056</v>
      </c>
      <c r="L605" s="25"/>
      <c r="N605" s="25">
        <f>'Combined Retirement'!$C$18/12</f>
        <v>39153.069999999992</v>
      </c>
      <c r="O605" s="25">
        <f t="shared" si="525"/>
        <v>11007.82546143035</v>
      </c>
      <c r="P605" s="25">
        <f t="shared" si="526"/>
        <v>28145.244538569641</v>
      </c>
      <c r="Q605" s="25">
        <f t="array" aca="1" ref="Q605" ca="1">INDEX('Isaac 401k'!L:L,MATCH('Retirement Calculator'!A605,'Isaac 401k'!N:N,0),0)</f>
        <v>-307549.78609287768</v>
      </c>
      <c r="R605" s="25">
        <f t="array" aca="1" ref="R605" ca="1">INDEX('Lorri 401b'!L:L,MATCH('Retirement Calculator'!A605,'Lorri 401b'!N:N,0),0)</f>
        <v>-698992.95896653889</v>
      </c>
      <c r="S605" s="25">
        <f t="shared" ca="1" si="527"/>
        <v>-1006542.7450594166</v>
      </c>
    </row>
    <row r="606" spans="1:19" ht="15.75" customHeight="1" x14ac:dyDescent="0.3">
      <c r="A606" s="37">
        <v>69399</v>
      </c>
      <c r="B606" s="409">
        <f t="shared" ref="B606:C606" si="612">($A606-B$9)/365.25</f>
        <v>108.12594113620807</v>
      </c>
      <c r="C606" s="409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2192</v>
      </c>
      <c r="I606" s="25">
        <f>IF(C606&lt;62,0,'Combined Retirement'!$I$13)</f>
        <v>2420</v>
      </c>
      <c r="J606" s="25">
        <f t="shared" si="523"/>
        <v>7863.2184191855868</v>
      </c>
      <c r="K606" s="25">
        <f t="shared" si="524"/>
        <v>20282.026119384056</v>
      </c>
      <c r="L606" s="25"/>
      <c r="N606" s="25">
        <f>'Combined Retirement'!$C$18/12</f>
        <v>39153.069999999992</v>
      </c>
      <c r="O606" s="25">
        <f t="shared" si="525"/>
        <v>11007.82546143035</v>
      </c>
      <c r="P606" s="25">
        <f t="shared" si="526"/>
        <v>28145.244538569641</v>
      </c>
      <c r="Q606" s="25">
        <f t="array" aca="1" ref="Q606" ca="1">INDEX('Isaac 401k'!L:L,MATCH('Retirement Calculator'!A606,'Isaac 401k'!N:N,0),0)</f>
        <v>-316727.22536419687</v>
      </c>
      <c r="R606" s="25">
        <f t="array" aca="1" ref="R606" ca="1">INDEX('Lorri 401b'!L:L,MATCH('Retirement Calculator'!A606,'Lorri 401b'!N:N,0),0)</f>
        <v>-722271.9641904477</v>
      </c>
      <c r="S606" s="25">
        <f t="shared" ca="1" si="527"/>
        <v>-1038999.1895546445</v>
      </c>
    </row>
    <row r="607" spans="1:19" ht="15.75" customHeight="1" x14ac:dyDescent="0.3">
      <c r="A607" s="37">
        <v>69430</v>
      </c>
      <c r="B607" s="409">
        <f t="shared" ref="B607:C607" si="613">($A607-B$9)/365.25</f>
        <v>108.21081451060917</v>
      </c>
      <c r="C607" s="409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2192</v>
      </c>
      <c r="I607" s="25">
        <f>IF(C607&lt;62,0,'Combined Retirement'!$I$13)</f>
        <v>2420</v>
      </c>
      <c r="J607" s="25">
        <f t="shared" si="523"/>
        <v>7863.2184191855868</v>
      </c>
      <c r="K607" s="25">
        <f t="shared" si="524"/>
        <v>20282.026119384056</v>
      </c>
      <c r="L607" s="25"/>
      <c r="N607" s="25">
        <f>'Combined Retirement'!$C$18/12</f>
        <v>39153.069999999992</v>
      </c>
      <c r="O607" s="25">
        <f t="shared" si="525"/>
        <v>11007.82546143035</v>
      </c>
      <c r="P607" s="25">
        <f t="shared" si="526"/>
        <v>28145.244538569641</v>
      </c>
      <c r="Q607" s="25">
        <f t="array" aca="1" ref="Q607" ca="1">INDEX('Isaac 401k'!L:L,MATCH('Retirement Calculator'!A607,'Isaac 401k'!N:N,0),0)</f>
        <v>-325942.90396581322</v>
      </c>
      <c r="R607" s="25">
        <f t="array" aca="1" ref="R607" ca="1">INDEX('Lorri 401b'!L:L,MATCH('Retirement Calculator'!A607,'Lorri 401b'!N:N,0),0)</f>
        <v>-745647.96526945615</v>
      </c>
      <c r="S607" s="25">
        <f t="shared" ca="1" si="527"/>
        <v>-1071590.8692352693</v>
      </c>
    </row>
    <row r="608" spans="1:19" ht="15.75" customHeight="1" x14ac:dyDescent="0.3">
      <c r="A608" s="37">
        <v>69458</v>
      </c>
      <c r="B608" s="409">
        <f t="shared" ref="B608:C608" si="614">($A608-B$9)/365.25</f>
        <v>108.28747433264887</v>
      </c>
      <c r="C608" s="409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2192</v>
      </c>
      <c r="I608" s="25">
        <f>IF(C608&lt;62,0,'Combined Retirement'!$I$13)</f>
        <v>2420</v>
      </c>
      <c r="J608" s="25">
        <f t="shared" si="523"/>
        <v>7863.2184191855868</v>
      </c>
      <c r="K608" s="25">
        <f t="shared" si="524"/>
        <v>20282.026119384056</v>
      </c>
      <c r="L608" s="25"/>
      <c r="N608" s="25">
        <f>'Combined Retirement'!$C$18/12</f>
        <v>39153.069999999992</v>
      </c>
      <c r="O608" s="25">
        <f t="shared" si="525"/>
        <v>11007.82546143035</v>
      </c>
      <c r="P608" s="25">
        <f t="shared" si="526"/>
        <v>28145.244538569641</v>
      </c>
      <c r="Q608" s="25">
        <f t="array" aca="1" ref="Q608" ca="1">INDEX('Isaac 401k'!L:L,MATCH('Retirement Calculator'!A608,'Isaac 401k'!N:N,0),0)</f>
        <v>-335196.98122826964</v>
      </c>
      <c r="R608" s="25">
        <f t="array" aca="1" ref="R608" ca="1">INDEX('Lorri 401b'!L:L,MATCH('Retirement Calculator'!A608,'Lorri 401b'!N:N,0),0)</f>
        <v>-769121.36635296047</v>
      </c>
      <c r="S608" s="25">
        <f t="shared" ca="1" si="527"/>
        <v>-1104318.3475812301</v>
      </c>
    </row>
    <row r="609" spans="1:19" ht="15.75" customHeight="1" x14ac:dyDescent="0.3">
      <c r="A609" s="37">
        <v>69489</v>
      </c>
      <c r="B609" s="409">
        <f t="shared" ref="B609:C609" si="615">($A609-B$9)/365.25</f>
        <v>108.37234770704997</v>
      </c>
      <c r="C609" s="409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2192</v>
      </c>
      <c r="I609" s="25">
        <f>IF(C609&lt;62,0,'Combined Retirement'!$I$13)</f>
        <v>2420</v>
      </c>
      <c r="J609" s="25">
        <f t="shared" si="523"/>
        <v>7863.2184191855868</v>
      </c>
      <c r="K609" s="25">
        <f t="shared" si="524"/>
        <v>20282.026119384056</v>
      </c>
      <c r="L609" s="25"/>
      <c r="N609" s="25">
        <f>'Combined Retirement'!$C$18/12</f>
        <v>39153.069999999992</v>
      </c>
      <c r="O609" s="25">
        <f t="shared" si="525"/>
        <v>11007.82546143035</v>
      </c>
      <c r="P609" s="25">
        <f t="shared" si="526"/>
        <v>28145.244538569641</v>
      </c>
      <c r="Q609" s="25">
        <f t="array" aca="1" ref="Q609" ca="1">INDEX('Isaac 401k'!L:L,MATCH('Retirement Calculator'!A609,'Isaac 401k'!N:N,0),0)</f>
        <v>-344489.6171459863</v>
      </c>
      <c r="R609" s="25">
        <f t="array" aca="1" ref="R609" ca="1">INDEX('Lorri 401b'!L:L,MATCH('Retirement Calculator'!A609,'Lorri 401b'!N:N,0),0)</f>
        <v>-792692.57327431266</v>
      </c>
      <c r="S609" s="25">
        <f t="shared" ca="1" si="527"/>
        <v>-1137182.1904202988</v>
      </c>
    </row>
    <row r="610" spans="1:19" ht="15.75" customHeight="1" x14ac:dyDescent="0.3">
      <c r="A610" s="37">
        <v>69519</v>
      </c>
      <c r="B610" s="409">
        <f t="shared" ref="B610:C610" si="616">($A610-B$9)/365.25</f>
        <v>108.45448323066393</v>
      </c>
      <c r="C610" s="409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2192</v>
      </c>
      <c r="I610" s="25">
        <f>IF(C610&lt;62,0,'Combined Retirement'!$I$13)</f>
        <v>2420</v>
      </c>
      <c r="J610" s="25">
        <f t="shared" si="523"/>
        <v>7863.2184191855868</v>
      </c>
      <c r="K610" s="25">
        <f t="shared" si="524"/>
        <v>20282.026119384056</v>
      </c>
      <c r="L610" s="25"/>
      <c r="N610" s="25">
        <f>'Combined Retirement'!$C$18/12</f>
        <v>39153.069999999992</v>
      </c>
      <c r="O610" s="25">
        <f t="shared" si="525"/>
        <v>11007.82546143035</v>
      </c>
      <c r="P610" s="25">
        <f t="shared" si="526"/>
        <v>28145.244538569641</v>
      </c>
      <c r="Q610" s="25">
        <f t="array" aca="1" ref="Q610" ca="1">INDEX('Isaac 401k'!L:L,MATCH('Retirement Calculator'!A610,'Isaac 401k'!N:N,0),0)</f>
        <v>-353820.97238002677</v>
      </c>
      <c r="R610" s="25">
        <f t="array" aca="1" ref="R610" ca="1">INDEX('Lorri 401b'!L:L,MATCH('Retirement Calculator'!A610,'Lorri 401b'!N:N,0),0)</f>
        <v>-816361.99355783721</v>
      </c>
      <c r="S610" s="25">
        <f t="shared" ca="1" si="527"/>
        <v>-1170182.965937864</v>
      </c>
    </row>
    <row r="611" spans="1:19" ht="15.75" customHeight="1" x14ac:dyDescent="0.3">
      <c r="A611" s="37">
        <v>69550</v>
      </c>
      <c r="B611" s="409">
        <f t="shared" ref="B611:C611" si="617">($A611-B$9)/365.25</f>
        <v>108.53935660506502</v>
      </c>
      <c r="C611" s="409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2192</v>
      </c>
      <c r="I611" s="25">
        <f>IF(C611&lt;62,0,'Combined Retirement'!$I$13)</f>
        <v>2420</v>
      </c>
      <c r="J611" s="25">
        <f t="shared" si="523"/>
        <v>7863.2184191855868</v>
      </c>
      <c r="K611" s="25">
        <f t="shared" si="524"/>
        <v>20282.026119384056</v>
      </c>
      <c r="L611" s="25"/>
      <c r="N611" s="25">
        <f>'Combined Retirement'!$C$18/12</f>
        <v>39153.069999999992</v>
      </c>
      <c r="O611" s="25">
        <f t="shared" si="525"/>
        <v>11007.82546143035</v>
      </c>
      <c r="P611" s="25">
        <f t="shared" si="526"/>
        <v>28145.244538569641</v>
      </c>
      <c r="Q611" s="25">
        <f t="array" aca="1" ref="Q611" ca="1">INDEX('Isaac 401k'!L:L,MATCH('Retirement Calculator'!A611,'Isaac 401k'!N:N,0),0)</f>
        <v>-363191.20826087578</v>
      </c>
      <c r="R611" s="25">
        <f t="array" aca="1" ref="R611" ca="1">INDEX('Lorri 401b'!L:L,MATCH('Retirement Calculator'!A611,'Lorri 401b'!N:N,0),0)</f>
        <v>-840130.03642587643</v>
      </c>
      <c r="S611" s="25">
        <f t="shared" ca="1" si="527"/>
        <v>-1203321.2446867521</v>
      </c>
    </row>
    <row r="612" spans="1:19" ht="15.75" customHeight="1" x14ac:dyDescent="0.3">
      <c r="A612" s="37">
        <v>69580</v>
      </c>
      <c r="B612" s="409">
        <f t="shared" ref="B612:C612" si="618">($A612-B$9)/365.25</f>
        <v>108.62149212867898</v>
      </c>
      <c r="C612" s="409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2192</v>
      </c>
      <c r="I612" s="25">
        <f>IF(C612&lt;62,0,'Combined Retirement'!$I$13)</f>
        <v>2420</v>
      </c>
      <c r="J612" s="25">
        <f t="shared" si="523"/>
        <v>7863.2184191855868</v>
      </c>
      <c r="K612" s="25">
        <f t="shared" si="524"/>
        <v>20282.026119384056</v>
      </c>
      <c r="L612" s="25"/>
      <c r="N612" s="25">
        <f>'Combined Retirement'!$C$18/12</f>
        <v>39153.069999999992</v>
      </c>
      <c r="O612" s="25">
        <f t="shared" si="525"/>
        <v>11007.82546143035</v>
      </c>
      <c r="P612" s="25">
        <f t="shared" si="526"/>
        <v>28145.244538569641</v>
      </c>
      <c r="Q612" s="25">
        <f t="array" aca="1" ref="Q612" ca="1">INDEX('Isaac 401k'!L:L,MATCH('Retirement Calculator'!A612,'Isaac 401k'!N:N,0),0)</f>
        <v>-372600.48679122829</v>
      </c>
      <c r="R612" s="25">
        <f t="array" aca="1" ref="R612" ca="1">INDEX('Lorri 401b'!L:L,MATCH('Retirement Calculator'!A612,'Lorri 401b'!N:N,0),0)</f>
        <v>-863997.11280586582</v>
      </c>
      <c r="S612" s="25">
        <f t="shared" ca="1" si="527"/>
        <v>-1236597.5995970941</v>
      </c>
    </row>
    <row r="613" spans="1:19" ht="15.75" customHeight="1" x14ac:dyDescent="0.3">
      <c r="A613" s="37">
        <v>69611</v>
      </c>
      <c r="B613" s="409">
        <f t="shared" ref="B613:C613" si="619">($A613-B$9)/365.25</f>
        <v>108.70636550308008</v>
      </c>
      <c r="C613" s="409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2192</v>
      </c>
      <c r="I613" s="25">
        <f>IF(C613&lt;62,0,'Combined Retirement'!$I$13)</f>
        <v>2420</v>
      </c>
      <c r="J613" s="25">
        <f t="shared" si="523"/>
        <v>7863.2184191855868</v>
      </c>
      <c r="K613" s="25">
        <f t="shared" si="524"/>
        <v>20282.026119384056</v>
      </c>
      <c r="L613" s="25"/>
      <c r="N613" s="25">
        <f>'Combined Retirement'!$C$18/12</f>
        <v>39153.069999999992</v>
      </c>
      <c r="O613" s="25">
        <f t="shared" si="525"/>
        <v>11007.82546143035</v>
      </c>
      <c r="P613" s="25">
        <f t="shared" si="526"/>
        <v>28145.244538569641</v>
      </c>
      <c r="Q613" s="25">
        <f t="array" aca="1" ref="Q613" ca="1">INDEX('Isaac 401k'!L:L,MATCH('Retirement Calculator'!A613,'Isaac 401k'!N:N,0),0)</f>
        <v>-382048.97064879065</v>
      </c>
      <c r="R613" s="25">
        <f t="array" aca="1" ref="R613" ca="1">INDEX('Lorri 401b'!L:L,MATCH('Retirement Calculator'!A613,'Lorri 401b'!N:N,0),0)</f>
        <v>-887963.63533743843</v>
      </c>
      <c r="S613" s="25">
        <f t="shared" ca="1" si="527"/>
        <v>-1270012.6059862291</v>
      </c>
    </row>
    <row r="614" spans="1:19" ht="15.75" customHeight="1" x14ac:dyDescent="0.3">
      <c r="A614" s="37">
        <v>69642</v>
      </c>
      <c r="B614" s="409">
        <f t="shared" ref="B614:C614" si="620">($A614-B$9)/365.25</f>
        <v>108.79123887748118</v>
      </c>
      <c r="C614" s="409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2192</v>
      </c>
      <c r="I614" s="25">
        <f>IF(C614&lt;62,0,'Combined Retirement'!$I$13)</f>
        <v>2420</v>
      </c>
      <c r="J614" s="25">
        <f t="shared" si="523"/>
        <v>7863.2184191855868</v>
      </c>
      <c r="K614" s="25">
        <f t="shared" si="524"/>
        <v>20282.026119384056</v>
      </c>
      <c r="L614" s="25"/>
      <c r="N614" s="25">
        <f>'Combined Retirement'!$C$18/12</f>
        <v>39153.069999999992</v>
      </c>
      <c r="O614" s="25">
        <f t="shared" si="525"/>
        <v>11007.82546143035</v>
      </c>
      <c r="P614" s="25">
        <f t="shared" si="526"/>
        <v>28145.244538569641</v>
      </c>
      <c r="Q614" s="25">
        <f t="array" aca="1" ref="Q614" ca="1">INDEX('Isaac 401k'!L:L,MATCH('Retirement Calculator'!A614,'Isaac 401k'!N:N,0),0)</f>
        <v>-391536.8231890928</v>
      </c>
      <c r="R614" s="25">
        <f t="array" aca="1" ref="R614" ca="1">INDEX('Lorri 401b'!L:L,MATCH('Retirement Calculator'!A614,'Lorri 401b'!N:N,0),0)</f>
        <v>-912030.01837955927</v>
      </c>
      <c r="S614" s="25">
        <f t="shared" ca="1" si="527"/>
        <v>-1303566.8415686521</v>
      </c>
    </row>
    <row r="615" spans="1:19" ht="15.75" customHeight="1" x14ac:dyDescent="0.3">
      <c r="A615" s="37">
        <v>69672</v>
      </c>
      <c r="B615" s="409">
        <f t="shared" ref="B615:C615" si="621">($A615-B$9)/365.25</f>
        <v>108.87337440109513</v>
      </c>
      <c r="C615" s="409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2192</v>
      </c>
      <c r="I615" s="25">
        <f>IF(C615&lt;62,0,'Combined Retirement'!$I$13)</f>
        <v>2420</v>
      </c>
      <c r="J615" s="25">
        <f t="shared" si="523"/>
        <v>7863.2184191855868</v>
      </c>
      <c r="K615" s="25">
        <f t="shared" si="524"/>
        <v>20282.026119384056</v>
      </c>
      <c r="L615" s="25"/>
      <c r="N615" s="25">
        <f>'Combined Retirement'!$C$18/12</f>
        <v>39153.069999999992</v>
      </c>
      <c r="O615" s="25">
        <f t="shared" si="525"/>
        <v>11007.82546143035</v>
      </c>
      <c r="P615" s="25">
        <f t="shared" si="526"/>
        <v>28145.244538569641</v>
      </c>
      <c r="Q615" s="25">
        <f t="array" aca="1" ref="Q615" ca="1">INDEX('Isaac 401k'!L:L,MATCH('Retirement Calculator'!A615,'Isaac 401k'!N:N,0),0)</f>
        <v>-401064.20844831289</v>
      </c>
      <c r="R615" s="25">
        <f t="array" aca="1" ref="R615" ca="1">INDEX('Lorri 401b'!L:L,MATCH('Retirement Calculator'!A615,'Lorri 401b'!N:N,0),0)</f>
        <v>-936196.67801768892</v>
      </c>
      <c r="S615" s="25">
        <f t="shared" ca="1" si="527"/>
        <v>-1337260.8864660019</v>
      </c>
    </row>
    <row r="616" spans="1:19" ht="15.75" customHeight="1" x14ac:dyDescent="0.3">
      <c r="A616" s="37">
        <v>69703</v>
      </c>
      <c r="B616" s="409">
        <f t="shared" ref="B616:C616" si="622">($A616-B$9)/365.25</f>
        <v>108.95824777549623</v>
      </c>
      <c r="C616" s="409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2192</v>
      </c>
      <c r="I616" s="25">
        <f>IF(C616&lt;62,0,'Combined Retirement'!$I$13)</f>
        <v>2420</v>
      </c>
      <c r="J616" s="25">
        <f t="shared" si="523"/>
        <v>7863.2184191855868</v>
      </c>
      <c r="K616" s="25">
        <f t="shared" si="524"/>
        <v>20282.026119384056</v>
      </c>
      <c r="L616" s="25"/>
      <c r="N616" s="25">
        <f>'Combined Retirement'!$C$18/12</f>
        <v>39153.069999999992</v>
      </c>
      <c r="O616" s="25">
        <f t="shared" si="525"/>
        <v>11007.82546143035</v>
      </c>
      <c r="P616" s="25">
        <f t="shared" si="526"/>
        <v>28145.244538569641</v>
      </c>
      <c r="Q616" s="25">
        <f t="array" aca="1" ref="Q616" ca="1">INDEX('Isaac 401k'!L:L,MATCH('Retirement Calculator'!A616,'Isaac 401k'!N:N,0),0)</f>
        <v>-410631.29114611307</v>
      </c>
      <c r="R616" s="25">
        <f t="array" aca="1" ref="R616" ca="1">INDEX('Lorri 401b'!L:L,MATCH('Retirement Calculator'!A616,'Lorri 401b'!N:N,0),0)</f>
        <v>-960464.0320709775</v>
      </c>
      <c r="S616" s="25">
        <f t="shared" ca="1" si="527"/>
        <v>-1371095.3232170907</v>
      </c>
    </row>
    <row r="617" spans="1:19" ht="15.75" customHeight="1" x14ac:dyDescent="0.3">
      <c r="A617" s="37">
        <v>69733</v>
      </c>
      <c r="B617" s="409">
        <f t="shared" ref="B617:C617" si="623">($A617-B$9)/365.25</f>
        <v>109.0403832991102</v>
      </c>
      <c r="C617" s="409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2192</v>
      </c>
      <c r="I617" s="25">
        <f>IF(C617&lt;62,0,'Combined Retirement'!$I$13)</f>
        <v>2420</v>
      </c>
      <c r="J617" s="25">
        <f t="shared" si="523"/>
        <v>7863.2184191855868</v>
      </c>
      <c r="K617" s="25">
        <f t="shared" si="524"/>
        <v>20282.026119384056</v>
      </c>
      <c r="L617" s="25"/>
      <c r="N617" s="25">
        <f>'Combined Retirement'!$C$18/12</f>
        <v>39153.069999999992</v>
      </c>
      <c r="O617" s="25">
        <f t="shared" si="525"/>
        <v>11007.82546143035</v>
      </c>
      <c r="P617" s="25">
        <f t="shared" si="526"/>
        <v>28145.244538569641</v>
      </c>
      <c r="Q617" s="25">
        <f t="array" aca="1" ref="Q617" ca="1">INDEX('Isaac 401k'!L:L,MATCH('Retirement Calculator'!A617,'Isaac 401k'!N:N,0),0)</f>
        <v>-420238.23668848741</v>
      </c>
      <c r="R617" s="25">
        <f t="array" aca="1" ref="R617" ca="1">INDEX('Lorri 401b'!L:L,MATCH('Retirement Calculator'!A617,'Lorri 401b'!N:N,0),0)</f>
        <v>-984832.50009948807</v>
      </c>
      <c r="S617" s="25">
        <f t="shared" ca="1" si="527"/>
        <v>-1405070.7367879755</v>
      </c>
    </row>
    <row r="618" spans="1:19" ht="15.75" customHeight="1" x14ac:dyDescent="0.3">
      <c r="A618" s="37">
        <v>69764</v>
      </c>
      <c r="B618" s="409">
        <f t="shared" ref="B618:C618" si="624">($A618-B$9)/365.25</f>
        <v>109.12525667351129</v>
      </c>
      <c r="C618" s="409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2192</v>
      </c>
      <c r="I618" s="25">
        <f>IF(C618&lt;62,0,'Combined Retirement'!$I$13)</f>
        <v>2420</v>
      </c>
      <c r="J618" s="25">
        <f t="shared" si="523"/>
        <v>7863.2184191855868</v>
      </c>
      <c r="K618" s="25">
        <f t="shared" si="524"/>
        <v>20282.026119384056</v>
      </c>
      <c r="L618" s="25"/>
      <c r="N618" s="25">
        <f>'Combined Retirement'!$C$18/12</f>
        <v>39153.069999999992</v>
      </c>
      <c r="O618" s="25">
        <f t="shared" si="525"/>
        <v>11007.82546143035</v>
      </c>
      <c r="P618" s="25">
        <f t="shared" si="526"/>
        <v>28145.244538569641</v>
      </c>
      <c r="Q618" s="25">
        <f t="array" aca="1" ref="Q618" ca="1">INDEX('Isaac 401k'!L:L,MATCH('Retirement Calculator'!A618,'Isaac 401k'!N:N,0),0)</f>
        <v>-429885.21117062162</v>
      </c>
      <c r="R618" s="25">
        <f t="array" aca="1" ref="R618" ca="1">INDEX('Lorri 401b'!L:L,MATCH('Retirement Calculator'!A618,'Lorri 401b'!N:N,0),0)</f>
        <v>-1009302.5034114508</v>
      </c>
      <c r="S618" s="25">
        <f t="shared" ca="1" si="527"/>
        <v>-1439187.7145820723</v>
      </c>
    </row>
    <row r="619" spans="1:19" ht="15.75" customHeight="1" x14ac:dyDescent="0.3">
      <c r="A619" s="37">
        <v>69795</v>
      </c>
      <c r="B619" s="409">
        <f t="shared" ref="B619:C619" si="625">($A619-B$9)/365.25</f>
        <v>109.21013004791239</v>
      </c>
      <c r="C619" s="409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2192</v>
      </c>
      <c r="I619" s="25">
        <f>IF(C619&lt;62,0,'Combined Retirement'!$I$13)</f>
        <v>2420</v>
      </c>
      <c r="J619" s="25">
        <f t="shared" si="523"/>
        <v>7863.2184191855868</v>
      </c>
      <c r="K619" s="25">
        <f t="shared" si="524"/>
        <v>20282.026119384056</v>
      </c>
      <c r="L619" s="25"/>
      <c r="N619" s="25">
        <f>'Combined Retirement'!$C$18/12</f>
        <v>39153.069999999992</v>
      </c>
      <c r="O619" s="25">
        <f t="shared" si="525"/>
        <v>11007.82546143035</v>
      </c>
      <c r="P619" s="25">
        <f t="shared" si="526"/>
        <v>28145.244538569641</v>
      </c>
      <c r="Q619" s="25">
        <f t="array" aca="1" ref="Q619" ca="1">INDEX('Isaac 401k'!L:L,MATCH('Retirement Calculator'!A619,'Isaac 401k'!N:N,0),0)</f>
        <v>-439572.38137976476</v>
      </c>
      <c r="R619" s="25">
        <f t="array" aca="1" ref="R619" ca="1">INDEX('Lorri 401b'!L:L,MATCH('Retirement Calculator'!A619,'Lorri 401b'!N:N,0),0)</f>
        <v>-1033874.4650705467</v>
      </c>
      <c r="S619" s="25">
        <f t="shared" ca="1" si="527"/>
        <v>-1473446.8464503116</v>
      </c>
    </row>
    <row r="620" spans="1:19" ht="15.75" customHeight="1" x14ac:dyDescent="0.3">
      <c r="A620" s="37">
        <v>69823</v>
      </c>
      <c r="B620" s="409">
        <f t="shared" ref="B620:C620" si="626">($A620-B$9)/365.25</f>
        <v>109.28678986995209</v>
      </c>
      <c r="C620" s="409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2192</v>
      </c>
      <c r="I620" s="25">
        <f>IF(C620&lt;62,0,'Combined Retirement'!$I$13)</f>
        <v>2420</v>
      </c>
      <c r="J620" s="25">
        <f t="shared" si="523"/>
        <v>7863.2184191855868</v>
      </c>
      <c r="K620" s="25">
        <f t="shared" si="524"/>
        <v>20282.026119384056</v>
      </c>
      <c r="L620" s="25"/>
      <c r="N620" s="25">
        <f>'Combined Retirement'!$C$18/12</f>
        <v>39153.069999999992</v>
      </c>
      <c r="O620" s="25">
        <f t="shared" si="525"/>
        <v>11007.82546143035</v>
      </c>
      <c r="P620" s="25">
        <f t="shared" si="526"/>
        <v>28145.244538569641</v>
      </c>
      <c r="Q620" s="25">
        <f t="array" aca="1" ref="Q620" ca="1">INDEX('Isaac 401k'!L:L,MATCH('Retirement Calculator'!A620,'Isaac 401k'!N:N,0),0)</f>
        <v>-449299.91479811264</v>
      </c>
      <c r="R620" s="25">
        <f t="array" aca="1" ref="R620" ca="1">INDEX('Lorri 401b'!L:L,MATCH('Retirement Calculator'!A620,'Lorri 401b'!N:N,0),0)</f>
        <v>-1058548.8099032221</v>
      </c>
      <c r="S620" s="25">
        <f t="shared" ca="1" si="527"/>
        <v>-1507848.7247013347</v>
      </c>
    </row>
    <row r="621" spans="1:19" ht="15.75" customHeight="1" x14ac:dyDescent="0.3">
      <c r="A621" s="37">
        <v>69854</v>
      </c>
      <c r="B621" s="409">
        <f t="shared" ref="B621:C621" si="627">($A621-B$9)/365.25</f>
        <v>109.37166324435319</v>
      </c>
      <c r="C621" s="409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2192</v>
      </c>
      <c r="I621" s="25">
        <f>IF(C621&lt;62,0,'Combined Retirement'!$I$13)</f>
        <v>2420</v>
      </c>
      <c r="J621" s="25">
        <f t="shared" si="523"/>
        <v>7863.2184191855868</v>
      </c>
      <c r="K621" s="25">
        <f t="shared" si="524"/>
        <v>20282.026119384056</v>
      </c>
      <c r="L621" s="25"/>
      <c r="N621" s="25">
        <f>'Combined Retirement'!$C$18/12</f>
        <v>39153.069999999992</v>
      </c>
      <c r="O621" s="25">
        <f t="shared" si="525"/>
        <v>11007.82546143035</v>
      </c>
      <c r="P621" s="25">
        <f t="shared" si="526"/>
        <v>28145.244538569641</v>
      </c>
      <c r="Q621" s="25">
        <f t="array" aca="1" ref="Q621" ca="1">INDEX('Isaac 401k'!L:L,MATCH('Retirement Calculator'!A621,'Isaac 401k'!N:N,0),0)</f>
        <v>-459067.97960570367</v>
      </c>
      <c r="R621" s="25">
        <f t="array" aca="1" ref="R621" ca="1">INDEX('Lorri 401b'!L:L,MATCH('Retirement Calculator'!A621,'Lorri 401b'!N:N,0),0)</f>
        <v>-1083325.9645060336</v>
      </c>
      <c r="S621" s="25">
        <f t="shared" ca="1" si="527"/>
        <v>-1542393.9441117372</v>
      </c>
    </row>
    <row r="622" spans="1:19" ht="15.75" customHeight="1" x14ac:dyDescent="0.3">
      <c r="A622" s="37">
        <v>69884</v>
      </c>
      <c r="B622" s="409">
        <f t="shared" ref="B622:C622" si="628">($A622-B$9)/365.25</f>
        <v>109.45379876796714</v>
      </c>
      <c r="C622" s="409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2192</v>
      </c>
      <c r="I622" s="25">
        <f>IF(C622&lt;62,0,'Combined Retirement'!$I$13)</f>
        <v>2420</v>
      </c>
      <c r="J622" s="25">
        <f t="shared" si="523"/>
        <v>7863.2184191855868</v>
      </c>
      <c r="K622" s="25">
        <f t="shared" si="524"/>
        <v>20282.026119384056</v>
      </c>
      <c r="L622" s="25"/>
      <c r="N622" s="25">
        <f>'Combined Retirement'!$C$18/12</f>
        <v>39153.069999999992</v>
      </c>
      <c r="O622" s="25">
        <f t="shared" si="525"/>
        <v>11007.82546143035</v>
      </c>
      <c r="P622" s="25">
        <f t="shared" si="526"/>
        <v>28145.244538569641</v>
      </c>
      <c r="Q622" s="25">
        <f t="array" aca="1" ref="Q622" ca="1">INDEX('Isaac 401k'!L:L,MATCH('Retirement Calculator'!A622,'Isaac 401k'!N:N,0),0)</f>
        <v>-468876.74468332634</v>
      </c>
      <c r="R622" s="25">
        <f t="array" aca="1" ref="R622" ca="1">INDEX('Lorri 401b'!L:L,MATCH('Retirement Calculator'!A622,'Lorri 401b'!N:N,0),0)</f>
        <v>-1108206.3572530234</v>
      </c>
      <c r="S622" s="25">
        <f t="shared" ca="1" si="527"/>
        <v>-1577083.1019363496</v>
      </c>
    </row>
    <row r="623" spans="1:19" ht="15.75" customHeight="1" x14ac:dyDescent="0.3">
      <c r="A623" s="37">
        <v>69915</v>
      </c>
      <c r="B623" s="409">
        <f t="shared" ref="B623:C623" si="629">($A623-B$9)/365.25</f>
        <v>109.53867214236824</v>
      </c>
      <c r="C623" s="409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2192</v>
      </c>
      <c r="I623" s="25">
        <f>IF(C623&lt;62,0,'Combined Retirement'!$I$13)</f>
        <v>2420</v>
      </c>
      <c r="J623" s="25">
        <f t="shared" si="523"/>
        <v>7863.2184191855868</v>
      </c>
      <c r="K623" s="25">
        <f t="shared" si="524"/>
        <v>20282.026119384056</v>
      </c>
      <c r="L623" s="25"/>
      <c r="N623" s="25">
        <f>'Combined Retirement'!$C$18/12</f>
        <v>39153.069999999992</v>
      </c>
      <c r="O623" s="25">
        <f t="shared" si="525"/>
        <v>11007.82546143035</v>
      </c>
      <c r="P623" s="25">
        <f t="shared" si="526"/>
        <v>28145.244538569641</v>
      </c>
      <c r="Q623" s="25">
        <f t="array" aca="1" ref="Q623" ca="1">INDEX('Isaac 401k'!L:L,MATCH('Retirement Calculator'!A623,'Isaac 401k'!N:N,0),0)</f>
        <v>-478726.3796154391</v>
      </c>
      <c r="R623" s="25">
        <f t="array" aca="1" ref="R623" ca="1">INDEX('Lorri 401b'!L:L,MATCH('Retirement Calculator'!A623,'Lorri 401b'!N:N,0),0)</f>
        <v>-1133190.4183031258</v>
      </c>
      <c r="S623" s="25">
        <f t="shared" ca="1" si="527"/>
        <v>-1611916.7979185649</v>
      </c>
    </row>
    <row r="624" spans="1:19" ht="15.75" customHeight="1" x14ac:dyDescent="0.3">
      <c r="A624" s="37">
        <v>69945</v>
      </c>
      <c r="B624" s="409">
        <f t="shared" ref="B624:C624" si="630">($A624-B$9)/365.25</f>
        <v>109.6208076659822</v>
      </c>
      <c r="C624" s="409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2192</v>
      </c>
      <c r="I624" s="25">
        <f>IF(C624&lt;62,0,'Combined Retirement'!$I$13)</f>
        <v>2420</v>
      </c>
      <c r="J624" s="25">
        <f t="shared" si="523"/>
        <v>7863.2184191855868</v>
      </c>
      <c r="K624" s="25">
        <f t="shared" si="524"/>
        <v>20282.026119384056</v>
      </c>
      <c r="L624" s="25"/>
      <c r="N624" s="25">
        <f>'Combined Retirement'!$C$18/12</f>
        <v>39153.069999999992</v>
      </c>
      <c r="O624" s="25">
        <f t="shared" si="525"/>
        <v>11007.82546143035</v>
      </c>
      <c r="P624" s="25">
        <f t="shared" si="526"/>
        <v>28145.244538569641</v>
      </c>
      <c r="Q624" s="25">
        <f t="array" aca="1" ref="Q624" ca="1">INDEX('Isaac 401k'!L:L,MATCH('Retirement Calculator'!A624,'Isaac 401k'!N:N,0),0)</f>
        <v>-488617.05469310231</v>
      </c>
      <c r="R624" s="25">
        <f t="array" aca="1" ref="R624" ca="1">INDEX('Lorri 401b'!L:L,MATCH('Retirement Calculator'!A624,'Lorri 401b'!N:N,0),0)</f>
        <v>-1158278.5796076036</v>
      </c>
      <c r="S624" s="25">
        <f t="shared" ca="1" si="527"/>
        <v>-1646895.634300706</v>
      </c>
    </row>
    <row r="625" spans="1:19" ht="15.75" customHeight="1" x14ac:dyDescent="0.3">
      <c r="A625" s="37">
        <v>69976</v>
      </c>
      <c r="B625" s="409">
        <f t="shared" ref="B625:C625" si="631">($A625-B$9)/365.25</f>
        <v>109.7056810403833</v>
      </c>
      <c r="C625" s="409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2192</v>
      </c>
      <c r="I625" s="25">
        <f>IF(C625&lt;62,0,'Combined Retirement'!$I$13)</f>
        <v>2420</v>
      </c>
      <c r="J625" s="25">
        <f t="shared" si="523"/>
        <v>7863.2184191855868</v>
      </c>
      <c r="K625" s="25">
        <f t="shared" si="524"/>
        <v>20282.026119384056</v>
      </c>
      <c r="L625" s="25"/>
      <c r="N625" s="25">
        <f>'Combined Retirement'!$C$18/12</f>
        <v>39153.069999999992</v>
      </c>
      <c r="O625" s="25">
        <f t="shared" si="525"/>
        <v>11007.82546143035</v>
      </c>
      <c r="P625" s="25">
        <f t="shared" si="526"/>
        <v>28145.244538569641</v>
      </c>
      <c r="Q625" s="25">
        <f t="array" aca="1" ref="Q625" ca="1">INDEX('Isaac 401k'!L:L,MATCH('Retirement Calculator'!A625,'Isaac 401k'!N:N,0),0)</f>
        <v>-498548.94091692247</v>
      </c>
      <c r="R625" s="25">
        <f t="array" aca="1" ref="R625" ca="1">INDEX('Lorri 401b'!L:L,MATCH('Retirement Calculator'!A625,'Lorri 401b'!N:N,0),0)</f>
        <v>-1183471.2749175166</v>
      </c>
      <c r="S625" s="25">
        <f t="shared" ca="1" si="527"/>
        <v>-1682020.215834439</v>
      </c>
    </row>
    <row r="626" spans="1:19" ht="15.75" customHeight="1" x14ac:dyDescent="0.3">
      <c r="A626" s="37">
        <v>70007</v>
      </c>
      <c r="B626" s="409">
        <f t="shared" ref="B626:C626" si="632">($A626-B$9)/365.25</f>
        <v>109.7905544147844</v>
      </c>
      <c r="C626" s="409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2192</v>
      </c>
      <c r="I626" s="25">
        <f>IF(C626&lt;62,0,'Combined Retirement'!$I$13)</f>
        <v>2420</v>
      </c>
      <c r="J626" s="25">
        <f t="shared" si="523"/>
        <v>7863.2184191855868</v>
      </c>
      <c r="K626" s="25">
        <f t="shared" si="524"/>
        <v>20282.026119384056</v>
      </c>
      <c r="L626" s="25"/>
      <c r="N626" s="25">
        <f>'Combined Retirement'!$C$18/12</f>
        <v>39153.069999999992</v>
      </c>
      <c r="O626" s="25">
        <f t="shared" si="525"/>
        <v>11007.82546143035</v>
      </c>
      <c r="P626" s="25">
        <f t="shared" si="526"/>
        <v>28145.244538569641</v>
      </c>
      <c r="Q626" s="25">
        <f t="array" aca="1" ref="Q626" ca="1">INDEX('Isaac 401k'!L:L,MATCH('Retirement Calculator'!A626,'Isaac 401k'!N:N,0),0)</f>
        <v>-508522.21000000852</v>
      </c>
      <c r="R626" s="25">
        <f t="array" aca="1" ref="R626" ca="1">INDEX('Lorri 401b'!L:L,MATCH('Retirement Calculator'!A626,'Lorri 401b'!N:N,0),0)</f>
        <v>-1208768.9397912209</v>
      </c>
      <c r="S626" s="25">
        <f t="shared" ca="1" si="527"/>
        <v>-1717291.1497912295</v>
      </c>
    </row>
    <row r="627" spans="1:19" ht="15.75" customHeight="1" x14ac:dyDescent="0.3">
      <c r="A627" s="37">
        <v>70037</v>
      </c>
      <c r="B627" s="409">
        <f t="shared" ref="B627:C627" si="633">($A627-B$9)/365.25</f>
        <v>109.87268993839835</v>
      </c>
      <c r="C627" s="409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2192</v>
      </c>
      <c r="I627" s="25">
        <f>IF(C627&lt;62,0,'Combined Retirement'!$I$13)</f>
        <v>2420</v>
      </c>
      <c r="J627" s="25">
        <f t="shared" si="523"/>
        <v>7863.2184191855868</v>
      </c>
      <c r="K627" s="25">
        <f t="shared" si="524"/>
        <v>20282.026119384056</v>
      </c>
      <c r="L627" s="25"/>
      <c r="N627" s="25">
        <f>'Combined Retirement'!$C$18/12</f>
        <v>39153.069999999992</v>
      </c>
      <c r="O627" s="25">
        <f t="shared" si="525"/>
        <v>11007.82546143035</v>
      </c>
      <c r="P627" s="25">
        <f t="shared" si="526"/>
        <v>28145.244538569641</v>
      </c>
      <c r="Q627" s="25">
        <f t="array" aca="1" ref="Q627" ca="1">INDEX('Isaac 401k'!L:L,MATCH('Retirement Calculator'!A627,'Isaac 401k'!N:N,0),0)</f>
        <v>-518537.03437094076</v>
      </c>
      <c r="R627" s="25">
        <f t="array" aca="1" ref="R627" ca="1">INDEX('Lorri 401b'!L:L,MATCH('Retirement Calculator'!A627,'Lorri 401b'!N:N,0),0)</f>
        <v>-1234172.0116018991</v>
      </c>
      <c r="S627" s="25">
        <f t="shared" ca="1" si="527"/>
        <v>-1752709.0459728399</v>
      </c>
    </row>
    <row r="628" spans="1:19" ht="15.75" customHeight="1" x14ac:dyDescent="0.3">
      <c r="A628" s="37">
        <v>70068</v>
      </c>
      <c r="B628" s="409">
        <f t="shared" ref="B628:C628" si="634">($A628-B$9)/365.25</f>
        <v>109.95756331279945</v>
      </c>
      <c r="C628" s="409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2192</v>
      </c>
      <c r="I628" s="25">
        <f>IF(C628&lt;62,0,'Combined Retirement'!$I$13)</f>
        <v>2420</v>
      </c>
      <c r="J628" s="25">
        <f t="shared" si="523"/>
        <v>7863.2184191855868</v>
      </c>
      <c r="K628" s="25">
        <f t="shared" si="524"/>
        <v>20282.026119384056</v>
      </c>
      <c r="L628" s="25"/>
      <c r="N628" s="25">
        <f>'Combined Retirement'!$C$18/12</f>
        <v>39153.069999999992</v>
      </c>
      <c r="O628" s="25">
        <f t="shared" si="525"/>
        <v>11007.82546143035</v>
      </c>
      <c r="P628" s="25">
        <f t="shared" si="526"/>
        <v>28145.244538569641</v>
      </c>
      <c r="Q628" s="25">
        <f t="array" aca="1" ref="Q628" ca="1">INDEX('Isaac 401k'!L:L,MATCH('Retirement Calculator'!A628,'Isaac 401k'!N:N,0),0)</f>
        <v>-528593.58717675193</v>
      </c>
      <c r="R628" s="25">
        <f t="array" aca="1" ref="R628" ca="1">INDEX('Lorri 401b'!L:L,MATCH('Retirement Calculator'!A628,'Lorri 401b'!N:N,0),0)</f>
        <v>-1259680.9295451217</v>
      </c>
      <c r="S628" s="25">
        <f t="shared" ca="1" si="527"/>
        <v>-1788274.5167218735</v>
      </c>
    </row>
    <row r="629" spans="1:19" ht="15.75" customHeight="1" x14ac:dyDescent="0.3">
      <c r="A629" s="37">
        <v>70098</v>
      </c>
      <c r="B629" s="409">
        <f t="shared" ref="B629:C629" si="635">($A629-B$9)/365.25</f>
        <v>110.03969883641342</v>
      </c>
      <c r="C629" s="409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2192</v>
      </c>
      <c r="I629" s="25">
        <f>IF(C629&lt;62,0,'Combined Retirement'!$I$13)</f>
        <v>2420</v>
      </c>
      <c r="J629" s="25">
        <f t="shared" si="523"/>
        <v>7863.2184191855868</v>
      </c>
      <c r="K629" s="25">
        <f t="shared" si="524"/>
        <v>20282.026119384056</v>
      </c>
      <c r="L629" s="25"/>
      <c r="N629" s="25">
        <f>'Combined Retirement'!$C$18/12</f>
        <v>39153.069999999992</v>
      </c>
      <c r="O629" s="25">
        <f t="shared" si="525"/>
        <v>11007.82546143035</v>
      </c>
      <c r="P629" s="25">
        <f t="shared" si="526"/>
        <v>28145.244538569641</v>
      </c>
      <c r="Q629" s="25">
        <f t="array" aca="1" ref="Q629" ca="1">INDEX('Isaac 401k'!L:L,MATCH('Retirement Calculator'!A629,'Isaac 401k'!N:N,0),0)</f>
        <v>-538692.04228592059</v>
      </c>
      <c r="R629" s="25">
        <f t="array" aca="1" ref="R629" ca="1">INDEX('Lorri 401b'!L:L,MATCH('Retirement Calculator'!A629,'Lorri 401b'!N:N,0),0)</f>
        <v>-1285296.1346464411</v>
      </c>
      <c r="S629" s="25">
        <f t="shared" ca="1" si="527"/>
        <v>-1823988.1769323617</v>
      </c>
    </row>
    <row r="630" spans="1:19" ht="15.75" customHeight="1" x14ac:dyDescent="0.3">
      <c r="A630" s="37">
        <v>70129</v>
      </c>
      <c r="B630" s="409">
        <f t="shared" ref="B630:C630" si="636">($A630-B$9)/365.25</f>
        <v>110.12457221081451</v>
      </c>
      <c r="C630" s="409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2192</v>
      </c>
      <c r="I630" s="25">
        <f>IF(C630&lt;62,0,'Combined Retirement'!$I$13)</f>
        <v>2420</v>
      </c>
      <c r="J630" s="25">
        <f t="shared" si="523"/>
        <v>7863.2184191855868</v>
      </c>
      <c r="K630" s="25">
        <f t="shared" si="524"/>
        <v>20282.026119384056</v>
      </c>
      <c r="L630" s="25"/>
      <c r="N630" s="25">
        <f>'Combined Retirement'!$C$18/12</f>
        <v>39153.069999999992</v>
      </c>
      <c r="O630" s="25">
        <f t="shared" si="525"/>
        <v>11007.82546143035</v>
      </c>
      <c r="P630" s="25">
        <f t="shared" si="526"/>
        <v>28145.244538569641</v>
      </c>
      <c r="Q630" s="25">
        <f t="array" aca="1" ref="Q630" ca="1">INDEX('Isaac 401k'!L:L,MATCH('Retirement Calculator'!A630,'Isaac 401k'!N:N,0),0)</f>
        <v>-548832.57429137744</v>
      </c>
      <c r="R630" s="25">
        <f t="array" aca="1" ref="R630" ca="1">INDEX('Lorri 401b'!L:L,MATCH('Retirement Calculator'!A630,'Lorri 401b'!N:N,0),0)</f>
        <v>-1311018.069769016</v>
      </c>
      <c r="S630" s="25">
        <f t="shared" ca="1" si="527"/>
        <v>-1859850.6440603933</v>
      </c>
    </row>
    <row r="631" spans="1:19" ht="15.75" customHeight="1" x14ac:dyDescent="0.3">
      <c r="A631" s="37">
        <v>70160</v>
      </c>
      <c r="B631" s="409">
        <f t="shared" ref="B631:C631" si="637">($A631-B$9)/365.25</f>
        <v>110.2094455852156</v>
      </c>
      <c r="C631" s="409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2192</v>
      </c>
      <c r="I631" s="25">
        <f>IF(C631&lt;62,0,'Combined Retirement'!$I$13)</f>
        <v>2420</v>
      </c>
      <c r="J631" s="25">
        <f t="shared" si="523"/>
        <v>7863.2184191855868</v>
      </c>
      <c r="K631" s="25">
        <f t="shared" si="524"/>
        <v>20282.026119384056</v>
      </c>
      <c r="L631" s="25"/>
      <c r="N631" s="25">
        <f>'Combined Retirement'!$C$18/12</f>
        <v>39153.069999999992</v>
      </c>
      <c r="O631" s="25">
        <f t="shared" si="525"/>
        <v>11007.82546143035</v>
      </c>
      <c r="P631" s="25">
        <f t="shared" si="526"/>
        <v>28145.244538569641</v>
      </c>
      <c r="Q631" s="25">
        <f t="array" aca="1" ref="Q631" ca="1">INDEX('Isaac 401k'!L:L,MATCH('Retirement Calculator'!A631,'Isaac 401k'!N:N,0),0)</f>
        <v>-559015.35851352371</v>
      </c>
      <c r="R631" s="25">
        <f t="array" aca="1" ref="R631" ca="1">INDEX('Lorri 401b'!L:L,MATCH('Retirement Calculator'!A631,'Lorri 401b'!N:N,0),0)</f>
        <v>-1336847.1796212683</v>
      </c>
      <c r="S631" s="25">
        <f t="shared" ca="1" si="527"/>
        <v>-1895862.5381347919</v>
      </c>
    </row>
    <row r="632" spans="1:19" ht="15.75" customHeight="1" x14ac:dyDescent="0.3">
      <c r="A632" s="37">
        <v>70189</v>
      </c>
      <c r="B632" s="409">
        <f t="shared" ref="B632:C632" si="638">($A632-B$9)/365.25</f>
        <v>110.28884325804243</v>
      </c>
      <c r="C632" s="409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2192</v>
      </c>
      <c r="I632" s="25">
        <f>IF(C632&lt;62,0,'Combined Retirement'!$I$13)</f>
        <v>2420</v>
      </c>
      <c r="J632" s="25">
        <f t="shared" si="523"/>
        <v>7863.2184191855868</v>
      </c>
      <c r="K632" s="25">
        <f t="shared" si="524"/>
        <v>20282.026119384056</v>
      </c>
      <c r="L632" s="25"/>
      <c r="N632" s="25">
        <f>'Combined Retirement'!$C$18/12</f>
        <v>39153.069999999992</v>
      </c>
      <c r="O632" s="25">
        <f t="shared" si="525"/>
        <v>11007.82546143035</v>
      </c>
      <c r="P632" s="25">
        <f t="shared" si="526"/>
        <v>28145.244538569641</v>
      </c>
      <c r="Q632" s="25">
        <f t="array" aca="1" ref="Q632" ca="1">INDEX('Isaac 401k'!L:L,MATCH('Retirement Calculator'!A632,'Isaac 401k'!N:N,0),0)</f>
        <v>-569240.5710032623</v>
      </c>
      <c r="R632" s="25">
        <f t="array" aca="1" ref="R632" ca="1">INDEX('Lorri 401b'!L:L,MATCH('Retirement Calculator'!A632,'Lorri 401b'!N:N,0),0)</f>
        <v>-1362783.9107645717</v>
      </c>
      <c r="S632" s="25">
        <f t="shared" ca="1" si="527"/>
        <v>-1932024.4817678342</v>
      </c>
    </row>
    <row r="633" spans="1:19" ht="15.75" customHeight="1" x14ac:dyDescent="0.3">
      <c r="A633" s="37">
        <v>70220</v>
      </c>
      <c r="B633" s="409">
        <f t="shared" ref="B633:C633" si="639">($A633-B$9)/365.25</f>
        <v>110.37371663244353</v>
      </c>
      <c r="C633" s="409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2192</v>
      </c>
      <c r="I633" s="25">
        <f>IF(C633&lt;62,0,'Combined Retirement'!$I$13)</f>
        <v>2420</v>
      </c>
      <c r="J633" s="25">
        <f t="shared" si="523"/>
        <v>7863.2184191855868</v>
      </c>
      <c r="K633" s="25">
        <f t="shared" si="524"/>
        <v>20282.026119384056</v>
      </c>
      <c r="L633" s="25"/>
      <c r="N633" s="25">
        <f>'Combined Retirement'!$C$18/12</f>
        <v>39153.069999999992</v>
      </c>
      <c r="O633" s="25">
        <f t="shared" si="525"/>
        <v>11007.82546143035</v>
      </c>
      <c r="P633" s="25">
        <f t="shared" si="526"/>
        <v>28145.244538569641</v>
      </c>
      <c r="Q633" s="25">
        <f t="array" aca="1" ref="Q633" ca="1">INDEX('Isaac 401k'!L:L,MATCH('Retirement Calculator'!A633,'Isaac 401k'!N:N,0),0)</f>
        <v>-579508.38854504144</v>
      </c>
      <c r="R633" s="25">
        <f t="array" aca="1" ref="R633" ca="1">INDEX('Lorri 401b'!L:L,MATCH('Retirement Calculator'!A633,'Lorri 401b'!N:N,0),0)</f>
        <v>-1388828.7116209723</v>
      </c>
      <c r="S633" s="25">
        <f t="shared" ca="1" si="527"/>
        <v>-1968337.1001660137</v>
      </c>
    </row>
    <row r="634" spans="1:19" ht="15.75" customHeight="1" x14ac:dyDescent="0.3">
      <c r="A634" s="37">
        <v>70250</v>
      </c>
      <c r="B634" s="409">
        <f t="shared" ref="B634:C634" si="640">($A634-B$9)/365.25</f>
        <v>110.45585215605749</v>
      </c>
      <c r="C634" s="409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2192</v>
      </c>
      <c r="I634" s="25">
        <f>IF(C634&lt;62,0,'Combined Retirement'!$I$13)</f>
        <v>2420</v>
      </c>
      <c r="J634" s="25">
        <f t="shared" si="523"/>
        <v>7863.2184191855868</v>
      </c>
      <c r="K634" s="25">
        <f t="shared" si="524"/>
        <v>20282.026119384056</v>
      </c>
      <c r="L634" s="25"/>
      <c r="N634" s="25">
        <f>'Combined Retirement'!$C$18/12</f>
        <v>39153.069999999992</v>
      </c>
      <c r="O634" s="25">
        <f t="shared" si="525"/>
        <v>11007.82546143035</v>
      </c>
      <c r="P634" s="25">
        <f t="shared" si="526"/>
        <v>28145.244538569641</v>
      </c>
      <c r="Q634" s="25">
        <f t="array" aca="1" ref="Q634" ca="1">INDEX('Isaac 401k'!L:L,MATCH('Retirement Calculator'!A634,'Isaac 401k'!N:N,0),0)</f>
        <v>-589818.98865991132</v>
      </c>
      <c r="R634" s="25">
        <f t="array" aca="1" ref="R634" ca="1">INDEX('Lorri 401b'!L:L,MATCH('Retirement Calculator'!A634,'Lorri 401b'!N:N,0),0)</f>
        <v>-1414982.0324809412</v>
      </c>
      <c r="S634" s="25">
        <f t="shared" ca="1" si="527"/>
        <v>-2004801.0211408525</v>
      </c>
    </row>
    <row r="635" spans="1:19" ht="15.75" customHeight="1" x14ac:dyDescent="0.3">
      <c r="A635" s="37">
        <v>70281</v>
      </c>
      <c r="B635" s="409">
        <f t="shared" ref="B635:C635" si="641">($A635-B$9)/365.25</f>
        <v>110.54072553045859</v>
      </c>
      <c r="C635" s="409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2192</v>
      </c>
      <c r="I635" s="25">
        <f>IF(C635&lt;62,0,'Combined Retirement'!$I$13)</f>
        <v>2420</v>
      </c>
      <c r="J635" s="25">
        <f t="shared" si="523"/>
        <v>7863.2184191855868</v>
      </c>
      <c r="K635" s="25">
        <f t="shared" si="524"/>
        <v>20282.026119384056</v>
      </c>
      <c r="L635" s="25"/>
      <c r="N635" s="25">
        <f>'Combined Retirement'!$C$18/12</f>
        <v>39153.069999999992</v>
      </c>
      <c r="O635" s="25">
        <f t="shared" si="525"/>
        <v>11007.82546143035</v>
      </c>
      <c r="P635" s="25">
        <f t="shared" si="526"/>
        <v>28145.244538569641</v>
      </c>
      <c r="Q635" s="25">
        <f t="array" aca="1" ref="Q635" ca="1">INDEX('Isaac 401k'!L:L,MATCH('Retirement Calculator'!A635,'Isaac 401k'!N:N,0),0)</f>
        <v>-600172.54960859322</v>
      </c>
      <c r="R635" s="25">
        <f t="array" aca="1" ref="R635" ca="1">INDEX('Lorri 401b'!L:L,MATCH('Retirement Calculator'!A635,'Lorri 401b'!N:N,0),0)</f>
        <v>-1441244.3255111598</v>
      </c>
      <c r="S635" s="25">
        <f t="shared" ca="1" si="527"/>
        <v>-2041416.8751197532</v>
      </c>
    </row>
    <row r="636" spans="1:19" ht="15.75" customHeight="1" x14ac:dyDescent="0.3">
      <c r="A636" s="37">
        <v>70311</v>
      </c>
      <c r="B636" s="409">
        <f t="shared" ref="B636:C636" si="642">($A636-B$9)/365.25</f>
        <v>110.62286105407256</v>
      </c>
      <c r="C636" s="409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2192</v>
      </c>
      <c r="I636" s="25">
        <f>IF(C636&lt;62,0,'Combined Retirement'!$I$13)</f>
        <v>2420</v>
      </c>
      <c r="J636" s="25">
        <f t="shared" si="523"/>
        <v>7863.2184191855868</v>
      </c>
      <c r="K636" s="25">
        <f t="shared" si="524"/>
        <v>20282.026119384056</v>
      </c>
      <c r="L636" s="25"/>
      <c r="N636" s="25">
        <f>'Combined Retirement'!$C$18/12</f>
        <v>39153.069999999992</v>
      </c>
      <c r="O636" s="25">
        <f t="shared" si="525"/>
        <v>11007.82546143035</v>
      </c>
      <c r="P636" s="25">
        <f t="shared" si="526"/>
        <v>28145.244538569641</v>
      </c>
      <c r="Q636" s="25">
        <f t="array" aca="1" ref="Q636" ca="1">INDEX('Isaac 401k'!L:L,MATCH('Retirement Calculator'!A636,'Isaac 401k'!N:N,0),0)</f>
        <v>-610569.25039456121</v>
      </c>
      <c r="R636" s="25">
        <f t="array" aca="1" ref="R636" ca="1">INDEX('Lorri 401b'!L:L,MATCH('Retirement Calculator'!A636,'Lorri 401b'!N:N,0),0)</f>
        <v>-1467616.0447623378</v>
      </c>
      <c r="S636" s="25">
        <f t="shared" ca="1" si="527"/>
        <v>-2078185.2951568989</v>
      </c>
    </row>
    <row r="637" spans="1:19" ht="15.75" customHeight="1" x14ac:dyDescent="0.3">
      <c r="A637" s="37">
        <v>70342</v>
      </c>
      <c r="B637" s="409">
        <f t="shared" ref="B637:C637" si="643">($A637-B$9)/365.25</f>
        <v>110.70773442847364</v>
      </c>
      <c r="C637" s="409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2192</v>
      </c>
      <c r="I637" s="25">
        <f>IF(C637&lt;62,0,'Combined Retirement'!$I$13)</f>
        <v>2420</v>
      </c>
      <c r="J637" s="25">
        <f t="shared" si="523"/>
        <v>7863.2184191855868</v>
      </c>
      <c r="K637" s="25">
        <f t="shared" si="524"/>
        <v>20282.026119384056</v>
      </c>
      <c r="L637" s="25"/>
      <c r="N637" s="25">
        <f>'Combined Retirement'!$C$18/12</f>
        <v>39153.069999999992</v>
      </c>
      <c r="O637" s="25">
        <f t="shared" si="525"/>
        <v>11007.82546143035</v>
      </c>
      <c r="P637" s="25">
        <f t="shared" si="526"/>
        <v>28145.244538569641</v>
      </c>
      <c r="Q637" s="25">
        <f t="array" aca="1" ref="Q637" ca="1">INDEX('Isaac 401k'!L:L,MATCH('Retirement Calculator'!A637,'Isaac 401k'!N:N,0),0)</f>
        <v>-621009.27076713741</v>
      </c>
      <c r="R637" s="25">
        <f t="array" aca="1" ref="R637" ca="1">INDEX('Lorri 401b'!L:L,MATCH('Retirement Calculator'!A637,'Lorri 401b'!N:N,0),0)</f>
        <v>-1494097.6461770623</v>
      </c>
      <c r="S637" s="25">
        <f t="shared" ca="1" si="527"/>
        <v>-2115106.9169441997</v>
      </c>
    </row>
    <row r="638" spans="1:19" ht="15.75" customHeight="1" x14ac:dyDescent="0.3">
      <c r="A638" s="37">
        <v>70373</v>
      </c>
      <c r="B638" s="409">
        <f t="shared" ref="B638:C638" si="644">($A638-B$9)/365.25</f>
        <v>110.79260780287474</v>
      </c>
      <c r="C638" s="409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2192</v>
      </c>
      <c r="I638" s="25">
        <f>IF(C638&lt;62,0,'Combined Retirement'!$I$13)</f>
        <v>2420</v>
      </c>
      <c r="J638" s="25">
        <f t="shared" si="523"/>
        <v>7863.2184191855868</v>
      </c>
      <c r="K638" s="25">
        <f t="shared" si="524"/>
        <v>20282.026119384056</v>
      </c>
      <c r="L638" s="25"/>
      <c r="N638" s="25">
        <f>'Combined Retirement'!$C$18/12</f>
        <v>39153.069999999992</v>
      </c>
      <c r="O638" s="25">
        <f t="shared" si="525"/>
        <v>11007.82546143035</v>
      </c>
      <c r="P638" s="25">
        <f t="shared" si="526"/>
        <v>28145.244538569641</v>
      </c>
      <c r="Q638" s="25">
        <f t="array" aca="1" ref="Q638" ca="1">INDEX('Isaac 401k'!L:L,MATCH('Retirement Calculator'!A638,'Isaac 401k'!N:N,0),0)</f>
        <v>-631492.79122459935</v>
      </c>
      <c r="R638" s="25">
        <f t="array" aca="1" ref="R638" ca="1">INDEX('Lorri 401b'!L:L,MATCH('Retirement Calculator'!A638,'Lorri 401b'!N:N,0),0)</f>
        <v>-1520689.5875976814</v>
      </c>
      <c r="S638" s="25">
        <f t="shared" ca="1" si="527"/>
        <v>-2152182.378822281</v>
      </c>
    </row>
    <row r="639" spans="1:19" ht="15.75" customHeight="1" x14ac:dyDescent="0.3">
      <c r="A639" s="37">
        <v>70403</v>
      </c>
      <c r="B639" s="409">
        <f t="shared" ref="B639:C639" si="645">($A639-B$9)/365.25</f>
        <v>110.87474332648871</v>
      </c>
      <c r="C639" s="409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2192</v>
      </c>
      <c r="I639" s="25">
        <f>IF(C639&lt;62,0,'Combined Retirement'!$I$13)</f>
        <v>2420</v>
      </c>
      <c r="J639" s="25">
        <f t="shared" si="523"/>
        <v>7863.2184191855868</v>
      </c>
      <c r="K639" s="25">
        <f t="shared" si="524"/>
        <v>20282.026119384056</v>
      </c>
      <c r="L639" s="25"/>
      <c r="N639" s="25">
        <f>'Combined Retirement'!$C$18/12</f>
        <v>39153.069999999992</v>
      </c>
      <c r="O639" s="25">
        <f t="shared" si="525"/>
        <v>11007.82546143035</v>
      </c>
      <c r="P639" s="25">
        <f t="shared" si="526"/>
        <v>28145.244538569641</v>
      </c>
      <c r="Q639" s="25">
        <f t="array" aca="1" ref="Q639" ca="1">INDEX('Isaac 401k'!L:L,MATCH('Retirement Calculator'!A639,'Isaac 401k'!N:N,0),0)</f>
        <v>-642019.99301730073</v>
      </c>
      <c r="R639" s="25">
        <f t="array" aca="1" ref="R639" ca="1">INDEX('Lorri 401b'!L:L,MATCH('Retirement Calculator'!A639,'Lorri 401b'!N:N,0),0)</f>
        <v>-1547392.3287742198</v>
      </c>
      <c r="S639" s="25">
        <f t="shared" ca="1" si="527"/>
        <v>-2189412.3217915203</v>
      </c>
    </row>
    <row r="640" spans="1:19" ht="15.75" customHeight="1" x14ac:dyDescent="0.3">
      <c r="A640" s="37">
        <v>70434</v>
      </c>
      <c r="B640" s="409">
        <f t="shared" ref="B640:C640" si="646">($A640-B$9)/365.25</f>
        <v>110.9596167008898</v>
      </c>
      <c r="C640" s="409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2192</v>
      </c>
      <c r="I640" s="25">
        <f>IF(C640&lt;62,0,'Combined Retirement'!$I$13)</f>
        <v>2420</v>
      </c>
      <c r="J640" s="25">
        <f t="shared" si="523"/>
        <v>7863.2184191855868</v>
      </c>
      <c r="K640" s="25">
        <f t="shared" si="524"/>
        <v>20282.026119384056</v>
      </c>
      <c r="L640" s="25"/>
      <c r="N640" s="25">
        <f>'Combined Retirement'!$C$18/12</f>
        <v>39153.069999999992</v>
      </c>
      <c r="O640" s="25">
        <f t="shared" si="525"/>
        <v>11007.82546143035</v>
      </c>
      <c r="P640" s="25">
        <f t="shared" si="526"/>
        <v>28145.244538569641</v>
      </c>
      <c r="Q640" s="25">
        <f t="array" aca="1" ref="Q640" ca="1">INDEX('Isaac 401k'!L:L,MATCH('Retirement Calculator'!A640,'Isaac 401k'!N:N,0),0)</f>
        <v>-652591.05815080507</v>
      </c>
      <c r="R640" s="25">
        <f t="array" aca="1" ref="R640" ca="1">INDEX('Lorri 401b'!L:L,MATCH('Retirement Calculator'!A640,'Lorri 401b'!N:N,0),0)</f>
        <v>-1574206.3313723272</v>
      </c>
      <c r="S640" s="25">
        <f t="shared" ca="1" si="527"/>
        <v>-2226797.3895231322</v>
      </c>
    </row>
    <row r="641" spans="1:19" ht="15.75" customHeight="1" x14ac:dyDescent="0.3">
      <c r="A641" s="37">
        <v>70464</v>
      </c>
      <c r="B641" s="409">
        <f t="shared" ref="B641:C641" si="647">($A641-B$9)/365.25</f>
        <v>111.04175222450377</v>
      </c>
      <c r="C641" s="409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2192</v>
      </c>
      <c r="I641" s="25">
        <f>IF(C641&lt;62,0,'Combined Retirement'!$I$13)</f>
        <v>2420</v>
      </c>
      <c r="J641" s="25">
        <f t="shared" si="523"/>
        <v>7863.2184191855868</v>
      </c>
      <c r="K641" s="25">
        <f t="shared" si="524"/>
        <v>20282.026119384056</v>
      </c>
      <c r="L641" s="25"/>
      <c r="N641" s="25">
        <f>'Combined Retirement'!$C$18/12</f>
        <v>39153.069999999992</v>
      </c>
      <c r="O641" s="25">
        <f t="shared" si="525"/>
        <v>11007.82546143035</v>
      </c>
      <c r="P641" s="25">
        <f t="shared" si="526"/>
        <v>28145.244538569641</v>
      </c>
      <c r="Q641" s="25">
        <f t="array" aca="1" ref="Q641" ca="1">INDEX('Isaac 401k'!L:L,MATCH('Retirement Calculator'!A641,'Isaac 401k'!N:N,0),0)</f>
        <v>-663206.16938903229</v>
      </c>
      <c r="R641" s="25">
        <f t="array" aca="1" ref="R641" ca="1">INDEX('Lorri 401b'!L:L,MATCH('Retirement Calculator'!A641,'Lorri 401b'!N:N,0),0)</f>
        <v>-1601132.0589812601</v>
      </c>
      <c r="S641" s="25">
        <f t="shared" ca="1" si="527"/>
        <v>-2264338.2283702921</v>
      </c>
    </row>
    <row r="642" spans="1:19" ht="15.75" customHeight="1" x14ac:dyDescent="0.3">
      <c r="A642" s="37">
        <v>70495</v>
      </c>
      <c r="B642" s="409">
        <f t="shared" ref="B642:C642" si="648">($A642-B$9)/365.25</f>
        <v>111.12662559890487</v>
      </c>
      <c r="C642" s="409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2192</v>
      </c>
      <c r="I642" s="25">
        <f>IF(C642&lt;62,0,'Combined Retirement'!$I$13)</f>
        <v>2420</v>
      </c>
      <c r="J642" s="25">
        <f t="shared" si="523"/>
        <v>7863.2184191855868</v>
      </c>
      <c r="K642" s="25">
        <f t="shared" si="524"/>
        <v>20282.026119384056</v>
      </c>
      <c r="L642" s="25"/>
      <c r="N642" s="25">
        <f>'Combined Retirement'!$C$18/12</f>
        <v>39153.069999999992</v>
      </c>
      <c r="O642" s="25">
        <f t="shared" si="525"/>
        <v>11007.82546143035</v>
      </c>
      <c r="P642" s="25">
        <f t="shared" si="526"/>
        <v>28145.244538569641</v>
      </c>
      <c r="Q642" s="25">
        <f t="array" aca="1" ref="Q642" ca="1">INDEX('Isaac 401k'!L:L,MATCH('Retirement Calculator'!A642,'Isaac 401k'!N:N,0),0)</f>
        <v>-673865.51025741885</v>
      </c>
      <c r="R642" s="25">
        <f t="array" aca="1" ref="R642" ca="1">INDEX('Lorri 401b'!L:L,MATCH('Retirement Calculator'!A642,'Lorri 401b'!N:N,0),0)</f>
        <v>-1628169.9771218968</v>
      </c>
      <c r="S642" s="25">
        <f t="shared" ca="1" si="527"/>
        <v>-2302035.4873793158</v>
      </c>
    </row>
    <row r="643" spans="1:19" ht="15.75" customHeight="1" x14ac:dyDescent="0.3">
      <c r="A643" s="37">
        <v>70526</v>
      </c>
      <c r="B643" s="409">
        <f t="shared" ref="B643:C643" si="649">($A643-B$9)/365.25</f>
        <v>111.21149897330595</v>
      </c>
      <c r="C643" s="409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2192</v>
      </c>
      <c r="I643" s="25">
        <f>IF(C643&lt;62,0,'Combined Retirement'!$I$13)</f>
        <v>2420</v>
      </c>
      <c r="J643" s="25">
        <f t="shared" si="523"/>
        <v>7863.2184191855868</v>
      </c>
      <c r="K643" s="25">
        <f t="shared" si="524"/>
        <v>20282.026119384056</v>
      </c>
      <c r="L643" s="25"/>
      <c r="N643" s="25">
        <f>'Combined Retirement'!$C$18/12</f>
        <v>39153.069999999992</v>
      </c>
      <c r="O643" s="25">
        <f t="shared" si="525"/>
        <v>11007.82546143035</v>
      </c>
      <c r="P643" s="25">
        <f t="shared" si="526"/>
        <v>28145.244538569641</v>
      </c>
      <c r="Q643" s="25">
        <f t="array" aca="1" ref="Q643" ca="1">INDEX('Isaac 401k'!L:L,MATCH('Retirement Calculator'!A643,'Isaac 401k'!N:N,0),0)</f>
        <v>-684569.26504609035</v>
      </c>
      <c r="R643" s="25">
        <f t="array" aca="1" ref="R643" ca="1">INDEX('Lorri 401b'!L:L,MATCH('Retirement Calculator'!A643,'Lorri 401b'!N:N,0),0)</f>
        <v>-1655320.5532547862</v>
      </c>
      <c r="S643" s="25">
        <f t="shared" ca="1" si="527"/>
        <v>-2339889.8183008768</v>
      </c>
    </row>
    <row r="644" spans="1:19" ht="15.75" customHeight="1" x14ac:dyDescent="0.3">
      <c r="A644" s="37">
        <v>70554</v>
      </c>
      <c r="B644" s="409">
        <f t="shared" ref="B644:C644" si="650">($A644-B$9)/365.25</f>
        <v>111.28815879534565</v>
      </c>
      <c r="C644" s="409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2192</v>
      </c>
      <c r="I644" s="25">
        <f>IF(C644&lt;62,0,'Combined Retirement'!$I$13)</f>
        <v>2420</v>
      </c>
      <c r="J644" s="25">
        <f t="shared" si="523"/>
        <v>7863.2184191855868</v>
      </c>
      <c r="K644" s="25">
        <f t="shared" si="524"/>
        <v>20282.026119384056</v>
      </c>
      <c r="L644" s="25"/>
      <c r="N644" s="25">
        <f>'Combined Retirement'!$C$18/12</f>
        <v>39153.069999999992</v>
      </c>
      <c r="O644" s="25">
        <f t="shared" si="525"/>
        <v>11007.82546143035</v>
      </c>
      <c r="P644" s="25">
        <f t="shared" si="526"/>
        <v>28145.244538569641</v>
      </c>
      <c r="Q644" s="25">
        <f t="array" aca="1" ref="Q644" ca="1">INDEX('Isaac 401k'!L:L,MATCH('Retirement Calculator'!A644,'Isaac 401k'!N:N,0),0)</f>
        <v>-695317.618813048</v>
      </c>
      <c r="R644" s="25">
        <f t="array" aca="1" ref="R644" ca="1">INDEX('Lorri 401b'!L:L,MATCH('Retirement Calculator'!A644,'Lorri 401b'!N:N,0),0)</f>
        <v>-1682584.2567882291</v>
      </c>
      <c r="S644" s="25">
        <f t="shared" ca="1" si="527"/>
        <v>-2377901.8756012772</v>
      </c>
    </row>
    <row r="645" spans="1:19" ht="15.75" customHeight="1" x14ac:dyDescent="0.3">
      <c r="A645" s="37">
        <v>70585</v>
      </c>
      <c r="B645" s="409">
        <f t="shared" ref="B645:C645" si="651">($A645-B$9)/365.25</f>
        <v>111.37303216974675</v>
      </c>
      <c r="C645" s="409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2192</v>
      </c>
      <c r="I645" s="25">
        <f>IF(C645&lt;62,0,'Combined Retirement'!$I$13)</f>
        <v>2420</v>
      </c>
      <c r="J645" s="25">
        <f t="shared" si="523"/>
        <v>7863.2184191855868</v>
      </c>
      <c r="K645" s="25">
        <f t="shared" si="524"/>
        <v>20282.026119384056</v>
      </c>
      <c r="L645" s="25"/>
      <c r="N645" s="25">
        <f>'Combined Retirement'!$C$18/12</f>
        <v>39153.069999999992</v>
      </c>
      <c r="O645" s="25">
        <f t="shared" si="525"/>
        <v>11007.82546143035</v>
      </c>
      <c r="P645" s="25">
        <f t="shared" si="526"/>
        <v>28145.244538569641</v>
      </c>
      <c r="Q645" s="25">
        <f t="array" aca="1" ref="Q645" ca="1">INDEX('Isaac 401k'!L:L,MATCH('Retirement Calculator'!A645,'Isaac 401k'!N:N,0),0)</f>
        <v>-706110.75738736789</v>
      </c>
      <c r="R645" s="25">
        <f t="array" aca="1" ref="R645" ca="1">INDEX('Lorri 401b'!L:L,MATCH('Retirement Calculator'!A645,'Lorri 401b'!N:N,0),0)</f>
        <v>-1709961.5590863947</v>
      </c>
      <c r="S645" s="25">
        <f t="shared" ca="1" si="527"/>
        <v>-2416072.3164737625</v>
      </c>
    </row>
    <row r="646" spans="1:19" ht="15.75" customHeight="1" x14ac:dyDescent="0.3">
      <c r="A646" s="37">
        <v>70615</v>
      </c>
      <c r="B646" s="409">
        <f t="shared" ref="B646:C646" si="652">($A646-B$9)/365.25</f>
        <v>111.45516769336071</v>
      </c>
      <c r="C646" s="409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2192</v>
      </c>
      <c r="I646" s="25">
        <f>IF(C646&lt;62,0,'Combined Retirement'!$I$13)</f>
        <v>2420</v>
      </c>
      <c r="J646" s="25">
        <f t="shared" si="523"/>
        <v>7863.2184191855868</v>
      </c>
      <c r="K646" s="25">
        <f t="shared" si="524"/>
        <v>20282.026119384056</v>
      </c>
      <c r="L646" s="25"/>
      <c r="N646" s="25">
        <f>'Combined Retirement'!$C$18/12</f>
        <v>39153.069999999992</v>
      </c>
      <c r="O646" s="25">
        <f t="shared" si="525"/>
        <v>11007.82546143035</v>
      </c>
      <c r="P646" s="25">
        <f t="shared" si="526"/>
        <v>28145.244538569641</v>
      </c>
      <c r="Q646" s="25">
        <f t="array" aca="1" ref="Q646" ca="1">INDEX('Isaac 401k'!L:L,MATCH('Retirement Calculator'!A646,'Isaac 401k'!N:N,0),0)</f>
        <v>-716948.8673724141</v>
      </c>
      <c r="R646" s="25">
        <f t="array" aca="1" ref="R646" ca="1">INDEX('Lorri 401b'!L:L,MATCH('Retirement Calculator'!A646,'Lorri 401b'!N:N,0),0)</f>
        <v>-1737452.9334774695</v>
      </c>
      <c r="S646" s="25">
        <f t="shared" ca="1" si="527"/>
        <v>-2454401.8008498838</v>
      </c>
    </row>
    <row r="647" spans="1:19" ht="15.75" customHeight="1" x14ac:dyDescent="0.3">
      <c r="A647" s="37">
        <v>70646</v>
      </c>
      <c r="B647" s="409">
        <f t="shared" ref="B647:C647" si="653">($A647-B$9)/365.25</f>
        <v>111.54004106776181</v>
      </c>
      <c r="C647" s="409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2192</v>
      </c>
      <c r="I647" s="25">
        <f>IF(C647&lt;62,0,'Combined Retirement'!$I$13)</f>
        <v>2420</v>
      </c>
      <c r="J647" s="25">
        <f t="shared" si="523"/>
        <v>7863.2184191855868</v>
      </c>
      <c r="K647" s="25">
        <f t="shared" si="524"/>
        <v>20282.026119384056</v>
      </c>
      <c r="L647" s="25"/>
      <c r="N647" s="25">
        <f>'Combined Retirement'!$C$18/12</f>
        <v>39153.069999999992</v>
      </c>
      <c r="O647" s="25">
        <f t="shared" si="525"/>
        <v>11007.82546143035</v>
      </c>
      <c r="P647" s="25">
        <f t="shared" si="526"/>
        <v>28145.244538569641</v>
      </c>
      <c r="Q647" s="25">
        <f t="array" aca="1" ref="Q647" ca="1">INDEX('Isaac 401k'!L:L,MATCH('Retirement Calculator'!A647,'Isaac 401k'!N:N,0),0)</f>
        <v>-727832.13614906475</v>
      </c>
      <c r="R647" s="25">
        <f t="array" aca="1" ref="R647" ca="1">INDEX('Lorri 401b'!L:L,MATCH('Retirement Calculator'!A647,'Lorri 401b'!N:N,0),0)</f>
        <v>-1765058.8552618404</v>
      </c>
      <c r="S647" s="25">
        <f t="shared" ca="1" si="527"/>
        <v>-2492890.991410905</v>
      </c>
    </row>
    <row r="648" spans="1:19" ht="15.75" customHeight="1" x14ac:dyDescent="0.3">
      <c r="A648" s="37">
        <v>70676</v>
      </c>
      <c r="B648" s="409">
        <f t="shared" ref="B648:C648" si="654">($A648-B$9)/365.25</f>
        <v>111.62217659137578</v>
      </c>
      <c r="C648" s="409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2192</v>
      </c>
      <c r="I648" s="25">
        <f>IF(C648&lt;62,0,'Combined Retirement'!$I$13)</f>
        <v>2420</v>
      </c>
      <c r="J648" s="25">
        <f t="shared" si="523"/>
        <v>7863.2184191855868</v>
      </c>
      <c r="K648" s="25">
        <f t="shared" si="524"/>
        <v>20282.026119384056</v>
      </c>
      <c r="L648" s="25"/>
      <c r="N648" s="25">
        <f>'Combined Retirement'!$C$18/12</f>
        <v>39153.069999999992</v>
      </c>
      <c r="O648" s="25">
        <f t="shared" si="525"/>
        <v>11007.82546143035</v>
      </c>
      <c r="P648" s="25">
        <f t="shared" si="526"/>
        <v>28145.244538569641</v>
      </c>
      <c r="Q648" s="25">
        <f t="array" aca="1" ref="Q648" ca="1">INDEX('Isaac 401k'!L:L,MATCH('Retirement Calculator'!A648,'Isaac 401k'!N:N,0),0)</f>
        <v>-738760.75187895144</v>
      </c>
      <c r="R648" s="25">
        <f t="array" aca="1" ref="R648" ca="1">INDEX('Lorri 401b'!L:L,MATCH('Retirement Calculator'!A648,'Lorri 401b'!N:N,0),0)</f>
        <v>-1792779.8017203128</v>
      </c>
      <c r="S648" s="25">
        <f t="shared" ca="1" si="527"/>
        <v>-2531540.5535992645</v>
      </c>
    </row>
    <row r="649" spans="1:19" ht="15.75" customHeight="1" x14ac:dyDescent="0.3">
      <c r="A649" s="37">
        <v>70707</v>
      </c>
      <c r="B649" s="409">
        <f t="shared" ref="B649:C649" si="655">($A649-B$9)/365.25</f>
        <v>111.70704996577686</v>
      </c>
      <c r="C649" s="409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2192</v>
      </c>
      <c r="I649" s="25">
        <f>IF(C649&lt;62,0,'Combined Retirement'!$I$13)</f>
        <v>2420</v>
      </c>
      <c r="J649" s="25">
        <f t="shared" si="523"/>
        <v>7863.2184191855868</v>
      </c>
      <c r="K649" s="25">
        <f t="shared" si="524"/>
        <v>20282.026119384056</v>
      </c>
      <c r="L649" s="25"/>
      <c r="N649" s="25">
        <f>'Combined Retirement'!$C$18/12</f>
        <v>39153.069999999992</v>
      </c>
      <c r="O649" s="25">
        <f t="shared" si="525"/>
        <v>11007.82546143035</v>
      </c>
      <c r="P649" s="25">
        <f t="shared" si="526"/>
        <v>28145.244538569641</v>
      </c>
      <c r="Q649" s="25">
        <f t="array" aca="1" ref="Q649" ca="1">INDEX('Isaac 401k'!L:L,MATCH('Retirement Calculator'!A649,'Isaac 401k'!N:N,0),0)</f>
        <v>-749734.90350771265</v>
      </c>
      <c r="R649" s="25">
        <f t="array" aca="1" ref="R649" ca="1">INDEX('Lorri 401b'!L:L,MATCH('Retirement Calculator'!A649,'Lorri 401b'!N:N,0),0)</f>
        <v>-1820616.2521223621</v>
      </c>
      <c r="S649" s="25">
        <f t="shared" ca="1" si="527"/>
        <v>-2570351.1556300749</v>
      </c>
    </row>
    <row r="650" spans="1:19" ht="15.75" customHeight="1" x14ac:dyDescent="0.3">
      <c r="A650" s="37">
        <v>70738</v>
      </c>
      <c r="B650" s="409">
        <f t="shared" ref="B650:C650" si="656">($A650-B$9)/365.25</f>
        <v>111.79192334017796</v>
      </c>
      <c r="C650" s="409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2192</v>
      </c>
      <c r="I650" s="25">
        <f>IF(C650&lt;62,0,'Combined Retirement'!$I$13)</f>
        <v>2420</v>
      </c>
      <c r="J650" s="25">
        <f t="shared" si="523"/>
        <v>7863.2184191855868</v>
      </c>
      <c r="K650" s="25">
        <f t="shared" si="524"/>
        <v>20282.026119384056</v>
      </c>
      <c r="L650" s="25"/>
      <c r="N650" s="25">
        <f>'Combined Retirement'!$C$18/12</f>
        <v>39153.069999999992</v>
      </c>
      <c r="O650" s="25">
        <f t="shared" si="525"/>
        <v>11007.82546143035</v>
      </c>
      <c r="P650" s="25">
        <f t="shared" si="526"/>
        <v>28145.244538569641</v>
      </c>
      <c r="Q650" s="25">
        <f t="array" aca="1" ref="Q650" ca="1">INDEX('Isaac 401k'!L:L,MATCH('Retirement Calculator'!A650,'Isaac 401k'!N:N,0),0)</f>
        <v>-760754.78076826036</v>
      </c>
      <c r="R650" s="25">
        <f t="array" aca="1" ref="R650" ca="1">INDEX('Lorri 401b'!L:L,MATCH('Retirement Calculator'!A650,'Lorri 401b'!N:N,0),0)</f>
        <v>-1848568.6877344202</v>
      </c>
      <c r="S650" s="25">
        <f t="shared" ca="1" si="527"/>
        <v>-2609323.4685026808</v>
      </c>
    </row>
    <row r="651" spans="1:19" ht="15.75" customHeight="1" x14ac:dyDescent="0.3">
      <c r="A651" s="37">
        <v>70768</v>
      </c>
      <c r="B651" s="409">
        <f t="shared" ref="B651:C651" si="657">($A651-B$9)/365.25</f>
        <v>111.87405886379193</v>
      </c>
      <c r="C651" s="409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2192</v>
      </c>
      <c r="I651" s="25">
        <f>IF(C651&lt;62,0,'Combined Retirement'!$I$13)</f>
        <v>2420</v>
      </c>
      <c r="J651" s="25">
        <f t="shared" si="523"/>
        <v>7863.2184191855868</v>
      </c>
      <c r="K651" s="25">
        <f t="shared" si="524"/>
        <v>20282.026119384056</v>
      </c>
      <c r="L651" s="25"/>
      <c r="N651" s="25">
        <f>'Combined Retirement'!$C$18/12</f>
        <v>39153.069999999992</v>
      </c>
      <c r="O651" s="25">
        <f t="shared" si="525"/>
        <v>11007.82546143035</v>
      </c>
      <c r="P651" s="25">
        <f t="shared" si="526"/>
        <v>28145.244538569641</v>
      </c>
      <c r="Q651" s="25">
        <f t="array" aca="1" ref="Q651" ca="1">INDEX('Isaac 401k'!L:L,MATCH('Retirement Calculator'!A651,'Isaac 401k'!N:N,0),0)</f>
        <v>-771820.57418406033</v>
      </c>
      <c r="R651" s="25">
        <f t="array" aca="1" ref="R651" ca="1">INDEX('Lorri 401b'!L:L,MATCH('Retirement Calculator'!A651,'Lorri 401b'!N:N,0),0)</f>
        <v>-1876637.5918281949</v>
      </c>
      <c r="S651" s="25">
        <f t="shared" ca="1" si="527"/>
        <v>-2648458.1660122555</v>
      </c>
    </row>
    <row r="652" spans="1:19" ht="15.75" customHeight="1" x14ac:dyDescent="0.3">
      <c r="A652" s="37">
        <v>70799</v>
      </c>
      <c r="B652" s="409">
        <f t="shared" ref="B652:C652" si="658">($A652-B$9)/365.25</f>
        <v>111.95893223819301</v>
      </c>
      <c r="C652" s="409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2192</v>
      </c>
      <c r="I652" s="25">
        <f>IF(C652&lt;62,0,'Combined Retirement'!$I$13)</f>
        <v>2420</v>
      </c>
      <c r="J652" s="25">
        <f t="shared" si="523"/>
        <v>7863.2184191855868</v>
      </c>
      <c r="K652" s="25">
        <f t="shared" si="524"/>
        <v>20282.026119384056</v>
      </c>
      <c r="L652" s="25"/>
      <c r="N652" s="25">
        <f>'Combined Retirement'!$C$18/12</f>
        <v>39153.069999999992</v>
      </c>
      <c r="O652" s="25">
        <f t="shared" si="525"/>
        <v>11007.82546143035</v>
      </c>
      <c r="P652" s="25">
        <f t="shared" si="526"/>
        <v>28145.244538569641</v>
      </c>
      <c r="Q652" s="25">
        <f t="array" aca="1" ref="Q652" ca="1">INDEX('Isaac 401k'!L:L,MATCH('Retirement Calculator'!A652,'Isaac 401k'!N:N,0),0)</f>
        <v>-782932.47507242614</v>
      </c>
      <c r="R652" s="25">
        <f t="array" aca="1" ref="R652" ca="1">INDEX('Lorri 401b'!L:L,MATCH('Retirement Calculator'!A652,'Lorri 401b'!N:N,0),0)</f>
        <v>-1904823.4496890272</v>
      </c>
      <c r="S652" s="25">
        <f t="shared" ca="1" si="527"/>
        <v>-2687755.9247614532</v>
      </c>
    </row>
    <row r="653" spans="1:19" ht="15.75" customHeight="1" x14ac:dyDescent="0.3">
      <c r="A653" s="37">
        <v>70829</v>
      </c>
      <c r="B653" s="409">
        <f t="shared" ref="B653:C653" si="659">($A653-B$9)/365.25</f>
        <v>112.04106776180699</v>
      </c>
      <c r="C653" s="409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2192</v>
      </c>
      <c r="I653" s="25">
        <f>IF(C653&lt;62,0,'Combined Retirement'!$I$13)</f>
        <v>2420</v>
      </c>
      <c r="J653" s="25">
        <f t="shared" si="523"/>
        <v>7863.2184191855868</v>
      </c>
      <c r="K653" s="25">
        <f t="shared" si="524"/>
        <v>20282.026119384056</v>
      </c>
      <c r="L653" s="25"/>
      <c r="N653" s="25">
        <f>'Combined Retirement'!$C$18/12</f>
        <v>39153.069999999992</v>
      </c>
      <c r="O653" s="25">
        <f t="shared" si="525"/>
        <v>11007.82546143035</v>
      </c>
      <c r="P653" s="25">
        <f t="shared" si="526"/>
        <v>28145.244538569641</v>
      </c>
      <c r="Q653" s="25">
        <f t="array" aca="1" ref="Q653" ca="1">INDEX('Isaac 401k'!L:L,MATCH('Retirement Calculator'!A653,'Isaac 401k'!N:N,0),0)</f>
        <v>-794090.6755478268</v>
      </c>
      <c r="R653" s="25">
        <f t="array" aca="1" ref="R653" ca="1">INDEX('Lorri 401b'!L:L,MATCH('Retirement Calculator'!A653,'Lorri 401b'!N:N,0),0)</f>
        <v>-1933126.7486242796</v>
      </c>
      <c r="S653" s="25">
        <f t="shared" ca="1" si="527"/>
        <v>-2727217.4241721062</v>
      </c>
    </row>
    <row r="654" spans="1:19" ht="15.75" customHeight="1" x14ac:dyDescent="0.3">
      <c r="A654" s="37">
        <v>70860</v>
      </c>
      <c r="B654" s="409">
        <f t="shared" ref="B654:C654" si="660">($A654-B$9)/365.25</f>
        <v>112.12594113620807</v>
      </c>
      <c r="C654" s="409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2192</v>
      </c>
      <c r="I654" s="25">
        <f>IF(C654&lt;62,0,'Combined Retirement'!$I$13)</f>
        <v>2420</v>
      </c>
      <c r="J654" s="25">
        <f t="shared" si="523"/>
        <v>7863.2184191855868</v>
      </c>
      <c r="K654" s="25">
        <f t="shared" si="524"/>
        <v>20282.026119384056</v>
      </c>
      <c r="L654" s="25"/>
      <c r="N654" s="25">
        <f>'Combined Retirement'!$C$18/12</f>
        <v>39153.069999999992</v>
      </c>
      <c r="O654" s="25">
        <f t="shared" si="525"/>
        <v>11007.82546143035</v>
      </c>
      <c r="P654" s="25">
        <f t="shared" si="526"/>
        <v>28145.244538569641</v>
      </c>
      <c r="Q654" s="25">
        <f t="array" aca="1" ref="Q654" ca="1">INDEX('Isaac 401k'!L:L,MATCH('Retirement Calculator'!A654,'Isaac 401k'!N:N,0),0)</f>
        <v>-805295.36852520832</v>
      </c>
      <c r="R654" s="25">
        <f t="array" aca="1" ref="R654" ca="1">INDEX('Lorri 401b'!L:L,MATCH('Retirement Calculator'!A654,'Lorri 401b'!N:N,0),0)</f>
        <v>-1961547.9779717622</v>
      </c>
      <c r="S654" s="25">
        <f t="shared" ca="1" si="527"/>
        <v>-2766843.3464969704</v>
      </c>
    </row>
    <row r="655" spans="1:19" ht="15.75" customHeight="1" x14ac:dyDescent="0.3">
      <c r="A655" s="37">
        <v>70891</v>
      </c>
      <c r="B655" s="409">
        <f t="shared" ref="B655:C655" si="661">($A655-B$9)/365.25</f>
        <v>112.21081451060917</v>
      </c>
      <c r="C655" s="409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2192</v>
      </c>
      <c r="I655" s="25">
        <f>IF(C655&lt;62,0,'Combined Retirement'!$I$13)</f>
        <v>2420</v>
      </c>
      <c r="J655" s="25">
        <f t="shared" si="523"/>
        <v>7863.2184191855868</v>
      </c>
      <c r="K655" s="25">
        <f t="shared" si="524"/>
        <v>20282.026119384056</v>
      </c>
      <c r="L655" s="25"/>
      <c r="N655" s="25">
        <f>'Combined Retirement'!$C$18/12</f>
        <v>39153.069999999992</v>
      </c>
      <c r="O655" s="25">
        <f t="shared" si="525"/>
        <v>11007.82546143035</v>
      </c>
      <c r="P655" s="25">
        <f t="shared" si="526"/>
        <v>28145.244538569641</v>
      </c>
      <c r="Q655" s="25">
        <f t="array" aca="1" ref="Q655" ca="1">INDEX('Isaac 401k'!L:L,MATCH('Retirement Calculator'!A655,'Isaac 401k'!N:N,0),0)</f>
        <v>-816546.74772332888</v>
      </c>
      <c r="R655" s="25">
        <f t="array" aca="1" ref="R655" ca="1">INDEX('Lorri 401b'!L:L,MATCH('Retirement Calculator'!A655,'Lorri 401b'!N:N,0),0)</f>
        <v>-1990087.6291081926</v>
      </c>
      <c r="S655" s="25">
        <f t="shared" ca="1" si="527"/>
        <v>-2806634.3768315213</v>
      </c>
    </row>
    <row r="656" spans="1:19" ht="15.75" customHeight="1" x14ac:dyDescent="0.3">
      <c r="A656" s="37">
        <v>70919</v>
      </c>
      <c r="B656" s="409">
        <f t="shared" ref="B656:C656" si="662">($A656-B$9)/365.25</f>
        <v>112.28747433264887</v>
      </c>
      <c r="C656" s="409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2192</v>
      </c>
      <c r="I656" s="25">
        <f>IF(C656&lt;62,0,'Combined Retirement'!$I$13)</f>
        <v>2420</v>
      </c>
      <c r="J656" s="25">
        <f t="shared" si="523"/>
        <v>7863.2184191855868</v>
      </c>
      <c r="K656" s="25">
        <f t="shared" si="524"/>
        <v>20282.026119384056</v>
      </c>
      <c r="L656" s="25"/>
      <c r="N656" s="25">
        <f>'Combined Retirement'!$C$18/12</f>
        <v>39153.069999999992</v>
      </c>
      <c r="O656" s="25">
        <f t="shared" si="525"/>
        <v>11007.82546143035</v>
      </c>
      <c r="P656" s="25">
        <f t="shared" si="526"/>
        <v>28145.244538569641</v>
      </c>
      <c r="Q656" s="25">
        <f t="array" aca="1" ref="Q656" ca="1">INDEX('Isaac 401k'!L:L,MATCH('Retirement Calculator'!A656,'Isaac 401k'!N:N,0),0)</f>
        <v>-827845.00766810833</v>
      </c>
      <c r="R656" s="25">
        <f t="array" aca="1" ref="R656" ca="1">INDEX('Lorri 401b'!L:L,MATCH('Retirement Calculator'!A656,'Lorri 401b'!N:N,0),0)</f>
        <v>-2018746.1954576916</v>
      </c>
      <c r="S656" s="25">
        <f t="shared" ca="1" si="527"/>
        <v>-2846591.2031258</v>
      </c>
    </row>
    <row r="657" spans="1:19" ht="15.75" customHeight="1" x14ac:dyDescent="0.3">
      <c r="A657" s="37">
        <v>70950</v>
      </c>
      <c r="B657" s="409">
        <f t="shared" ref="B657:C657" si="663">($A657-B$9)/365.25</f>
        <v>112.37234770704997</v>
      </c>
      <c r="C657" s="409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2192</v>
      </c>
      <c r="I657" s="25">
        <f>IF(C657&lt;62,0,'Combined Retirement'!$I$13)</f>
        <v>2420</v>
      </c>
      <c r="J657" s="25">
        <f t="shared" si="523"/>
        <v>7863.2184191855868</v>
      </c>
      <c r="K657" s="25">
        <f t="shared" si="524"/>
        <v>20282.026119384056</v>
      </c>
      <c r="L657" s="25"/>
      <c r="N657" s="25">
        <f>'Combined Retirement'!$C$18/12</f>
        <v>39153.069999999992</v>
      </c>
      <c r="O657" s="25">
        <f t="shared" si="525"/>
        <v>11007.82546143035</v>
      </c>
      <c r="P657" s="25">
        <f t="shared" si="526"/>
        <v>28145.244538569641</v>
      </c>
      <c r="Q657" s="25">
        <f t="array" aca="1" ref="Q657" ca="1">INDEX('Isaac 401k'!L:L,MATCH('Retirement Calculator'!A657,'Isaac 401k'!N:N,0),0)</f>
        <v>-839190.34369599097</v>
      </c>
      <c r="R657" s="25">
        <f t="array" aca="1" ref="R657" ca="1">INDEX('Lorri 401b'!L:L,MATCH('Retirement Calculator'!A657,'Lorri 401b'!N:N,0),0)</f>
        <v>-2047524.1725003133</v>
      </c>
      <c r="S657" s="25">
        <f t="shared" ca="1" si="527"/>
        <v>-2886714.516196304</v>
      </c>
    </row>
    <row r="658" spans="1:19" ht="15.75" customHeight="1" x14ac:dyDescent="0.3">
      <c r="A658" s="37">
        <v>70980</v>
      </c>
      <c r="B658" s="409">
        <f t="shared" ref="B658:C658" si="664">($A658-B$9)/365.25</f>
        <v>112.45448323066393</v>
      </c>
      <c r="C658" s="409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2192</v>
      </c>
      <c r="I658" s="25">
        <f>IF(C658&lt;62,0,'Combined Retirement'!$I$13)</f>
        <v>2420</v>
      </c>
      <c r="J658" s="25">
        <f t="shared" si="523"/>
        <v>7863.2184191855868</v>
      </c>
      <c r="K658" s="25">
        <f t="shared" si="524"/>
        <v>20282.026119384056</v>
      </c>
      <c r="L658" s="25"/>
      <c r="N658" s="25">
        <f>'Combined Retirement'!$C$18/12</f>
        <v>39153.069999999992</v>
      </c>
      <c r="O658" s="25">
        <f t="shared" si="525"/>
        <v>11007.82546143035</v>
      </c>
      <c r="P658" s="25">
        <f t="shared" si="526"/>
        <v>28145.244538569641</v>
      </c>
      <c r="Q658" s="25">
        <f t="array" aca="1" ref="Q658" ca="1">INDEX('Isaac 401k'!L:L,MATCH('Retirement Calculator'!A658,'Isaac 401k'!N:N,0),0)</f>
        <v>-850582.95195732312</v>
      </c>
      <c r="R658" s="25">
        <f t="array" aca="1" ref="R658" ca="1">INDEX('Lorri 401b'!L:L,MATCH('Retirement Calculator'!A658,'Lorri 401b'!N:N,0),0)</f>
        <v>-2076422.0577806127</v>
      </c>
      <c r="S658" s="25">
        <f t="shared" ca="1" si="527"/>
        <v>-2927005.0097379358</v>
      </c>
    </row>
    <row r="659" spans="1:19" ht="15.75" customHeight="1" x14ac:dyDescent="0.3">
      <c r="A659" s="37">
        <v>71011</v>
      </c>
      <c r="B659" s="409">
        <f t="shared" ref="B659:C659" si="665">($A659-B$9)/365.25</f>
        <v>112.53935660506502</v>
      </c>
      <c r="C659" s="409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2192</v>
      </c>
      <c r="I659" s="25">
        <f>IF(C659&lt;62,0,'Combined Retirement'!$I$13)</f>
        <v>2420</v>
      </c>
      <c r="J659" s="25">
        <f t="shared" si="523"/>
        <v>7863.2184191855868</v>
      </c>
      <c r="K659" s="25">
        <f t="shared" si="524"/>
        <v>20282.026119384056</v>
      </c>
      <c r="L659" s="25"/>
      <c r="N659" s="25">
        <f>'Combined Retirement'!$C$18/12</f>
        <v>39153.069999999992</v>
      </c>
      <c r="O659" s="25">
        <f t="shared" si="525"/>
        <v>11007.82546143035</v>
      </c>
      <c r="P659" s="25">
        <f t="shared" si="526"/>
        <v>28145.244538569641</v>
      </c>
      <c r="Q659" s="25">
        <f t="array" aca="1" ref="Q659" ca="1">INDEX('Isaac 401k'!L:L,MATCH('Retirement Calculator'!A659,'Isaac 401k'!N:N,0),0)</f>
        <v>-862023.02941974415</v>
      </c>
      <c r="R659" s="25">
        <f t="array" aca="1" ref="R659" ca="1">INDEX('Lorri 401b'!L:L,MATCH('Retirement Calculator'!A659,'Lorri 401b'!N:N,0),0)</f>
        <v>-2105440.3509162469</v>
      </c>
      <c r="S659" s="25">
        <f t="shared" ca="1" si="527"/>
        <v>-2967463.3803359913</v>
      </c>
    </row>
    <row r="660" spans="1:19" ht="15.75" customHeight="1" x14ac:dyDescent="0.3">
      <c r="A660" s="37">
        <v>71041</v>
      </c>
      <c r="B660" s="409">
        <f t="shared" ref="B660:C660" si="666">($A660-B$9)/365.25</f>
        <v>112.62149212867898</v>
      </c>
      <c r="C660" s="409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2192</v>
      </c>
      <c r="I660" s="25">
        <f>IF(C660&lt;62,0,'Combined Retirement'!$I$13)</f>
        <v>2420</v>
      </c>
      <c r="J660" s="25">
        <f t="shared" si="523"/>
        <v>7863.2184191855868</v>
      </c>
      <c r="K660" s="25">
        <f t="shared" si="524"/>
        <v>20282.026119384056</v>
      </c>
      <c r="L660" s="25"/>
      <c r="N660" s="25">
        <f>'Combined Retirement'!$C$18/12</f>
        <v>39153.069999999992</v>
      </c>
      <c r="O660" s="25">
        <f t="shared" si="525"/>
        <v>11007.82546143035</v>
      </c>
      <c r="P660" s="25">
        <f t="shared" si="526"/>
        <v>28145.244538569641</v>
      </c>
      <c r="Q660" s="25">
        <f t="array" aca="1" ref="Q660" ca="1">INDEX('Isaac 401k'!L:L,MATCH('Retirement Calculator'!A660,'Isaac 401k'!N:N,0),0)</f>
        <v>-873510.77387159201</v>
      </c>
      <c r="R660" s="25">
        <f t="array" aca="1" ref="R660" ca="1">INDEX('Lorri 401b'!L:L,MATCH('Retirement Calculator'!A660,'Lorri 401b'!N:N,0),0)</f>
        <v>-2134579.5536066126</v>
      </c>
      <c r="S660" s="25">
        <f t="shared" ca="1" si="527"/>
        <v>-3008090.3274782049</v>
      </c>
    </row>
    <row r="661" spans="1:19" ht="15.75" customHeight="1" x14ac:dyDescent="0.3">
      <c r="A661" s="37">
        <v>71072</v>
      </c>
      <c r="B661" s="409">
        <f t="shared" ref="B661:C661" si="667">($A661-B$9)/365.25</f>
        <v>112.70636550308008</v>
      </c>
      <c r="C661" s="409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2192</v>
      </c>
      <c r="I661" s="25">
        <f>IF(C661&lt;62,0,'Combined Retirement'!$I$13)</f>
        <v>2420</v>
      </c>
      <c r="J661" s="25">
        <f t="shared" si="523"/>
        <v>7863.2184191855868</v>
      </c>
      <c r="K661" s="25">
        <f t="shared" si="524"/>
        <v>20282.026119384056</v>
      </c>
      <c r="L661" s="25"/>
      <c r="N661" s="25">
        <f>'Combined Retirement'!$C$18/12</f>
        <v>39153.069999999992</v>
      </c>
      <c r="O661" s="25">
        <f t="shared" si="525"/>
        <v>11007.82546143035</v>
      </c>
      <c r="P661" s="25">
        <f t="shared" si="526"/>
        <v>28145.244538569641</v>
      </c>
      <c r="Q661" s="25">
        <f t="array" aca="1" ref="Q661" ca="1">INDEX('Isaac 401k'!L:L,MATCH('Retirement Calculator'!A661,'Isaac 401k'!N:N,0),0)</f>
        <v>-885046.38392532256</v>
      </c>
      <c r="R661" s="25">
        <f t="array" aca="1" ref="R661" ca="1">INDEX('Lorri 401b'!L:L,MATCH('Retirement Calculator'!A661,'Lorri 401b'!N:N,0),0)</f>
        <v>-2163840.1696415218</v>
      </c>
      <c r="S661" s="25">
        <f t="shared" ca="1" si="527"/>
        <v>-3048886.5535668442</v>
      </c>
    </row>
    <row r="662" spans="1:19" ht="15.75" customHeight="1" x14ac:dyDescent="0.3">
      <c r="A662" s="37">
        <v>71103</v>
      </c>
      <c r="B662" s="409">
        <f t="shared" ref="B662:C662" si="668">($A662-B$9)/365.25</f>
        <v>112.79123887748118</v>
      </c>
      <c r="C662" s="409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2192</v>
      </c>
      <c r="I662" s="25">
        <f>IF(C662&lt;62,0,'Combined Retirement'!$I$13)</f>
        <v>2420</v>
      </c>
      <c r="J662" s="25">
        <f t="shared" si="523"/>
        <v>7863.2184191855868</v>
      </c>
      <c r="K662" s="25">
        <f t="shared" si="524"/>
        <v>20282.026119384056</v>
      </c>
      <c r="L662" s="25"/>
      <c r="N662" s="25">
        <f>'Combined Retirement'!$C$18/12</f>
        <v>39153.069999999992</v>
      </c>
      <c r="O662" s="25">
        <f t="shared" si="525"/>
        <v>11007.82546143035</v>
      </c>
      <c r="P662" s="25">
        <f t="shared" si="526"/>
        <v>28145.244538569641</v>
      </c>
      <c r="Q662" s="25">
        <f t="array" aca="1" ref="Q662" ca="1">INDEX('Isaac 401k'!L:L,MATCH('Retirement Calculator'!A662,'Isaac 401k'!N:N,0),0)</f>
        <v>-896630.05902094359</v>
      </c>
      <c r="R662" s="25">
        <f t="array" aca="1" ref="R662" ca="1">INDEX('Lorri 401b'!L:L,MATCH('Retirement Calculator'!A662,'Lorri 401b'!N:N,0),0)</f>
        <v>-2193222.7049099095</v>
      </c>
      <c r="S662" s="25">
        <f t="shared" ca="1" si="527"/>
        <v>-3089852.763930853</v>
      </c>
    </row>
    <row r="663" spans="1:19" ht="15.75" customHeight="1" x14ac:dyDescent="0.3">
      <c r="A663" s="37">
        <v>71133</v>
      </c>
      <c r="B663" s="409">
        <f t="shared" ref="B663:C663" si="669">($A663-B$9)/365.25</f>
        <v>112.87337440109513</v>
      </c>
      <c r="C663" s="409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2192</v>
      </c>
      <c r="I663" s="25">
        <f>IF(C663&lt;62,0,'Combined Retirement'!$I$13)</f>
        <v>2420</v>
      </c>
      <c r="J663" s="25">
        <f t="shared" si="523"/>
        <v>7863.2184191855868</v>
      </c>
      <c r="K663" s="25">
        <f t="shared" si="524"/>
        <v>20282.026119384056</v>
      </c>
      <c r="L663" s="25"/>
      <c r="N663" s="25">
        <f>'Combined Retirement'!$C$18/12</f>
        <v>39153.069999999992</v>
      </c>
      <c r="O663" s="25">
        <f t="shared" si="525"/>
        <v>11007.82546143035</v>
      </c>
      <c r="P663" s="25">
        <f t="shared" si="526"/>
        <v>28145.244538569641</v>
      </c>
      <c r="Q663" s="25">
        <f t="array" aca="1" ref="Q663" ca="1">INDEX('Isaac 401k'!L:L,MATCH('Retirement Calculator'!A663,'Isaac 401k'!N:N,0),0)</f>
        <v>-908261.99942946306</v>
      </c>
      <c r="R663" s="25">
        <f t="array" aca="1" ref="R663" ca="1">INDEX('Lorri 401b'!L:L,MATCH('Retirement Calculator'!A663,'Lorri 401b'!N:N,0),0)</f>
        <v>-2222727.6674085823</v>
      </c>
      <c r="S663" s="25">
        <f t="shared" ca="1" si="527"/>
        <v>-3130989.6668380452</v>
      </c>
    </row>
    <row r="664" spans="1:19" ht="15.75" customHeight="1" x14ac:dyDescent="0.3">
      <c r="A664" s="37">
        <v>71164</v>
      </c>
      <c r="B664" s="409">
        <f t="shared" ref="B664:C664" si="670">($A664-B$9)/365.25</f>
        <v>112.95824777549623</v>
      </c>
      <c r="C664" s="409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2192</v>
      </c>
      <c r="I664" s="25">
        <f>IF(C664&lt;62,0,'Combined Retirement'!$I$13)</f>
        <v>2420</v>
      </c>
      <c r="J664" s="25">
        <f t="shared" si="523"/>
        <v>7863.2184191855868</v>
      </c>
      <c r="K664" s="25">
        <f t="shared" si="524"/>
        <v>20282.026119384056</v>
      </c>
      <c r="L664" s="25"/>
      <c r="N664" s="25">
        <f>'Combined Retirement'!$C$18/12</f>
        <v>39153.069999999992</v>
      </c>
      <c r="O664" s="25">
        <f t="shared" si="525"/>
        <v>11007.82546143035</v>
      </c>
      <c r="P664" s="25">
        <f t="shared" si="526"/>
        <v>28145.244538569641</v>
      </c>
      <c r="Q664" s="25">
        <f t="array" aca="1" ref="Q664" ca="1">INDEX('Isaac 401k'!L:L,MATCH('Retirement Calculator'!A664,'Isaac 401k'!N:N,0),0)</f>
        <v>-919942.40625635139</v>
      </c>
      <c r="R664" s="25">
        <f t="array" aca="1" ref="R664" ca="1">INDEX('Lorri 401b'!L:L,MATCH('Retirement Calculator'!A664,'Lorri 401b'!N:N,0),0)</f>
        <v>-2252355.5672509996</v>
      </c>
      <c r="S664" s="25">
        <f t="shared" ca="1" si="527"/>
        <v>-3172297.9735073512</v>
      </c>
    </row>
    <row r="665" spans="1:19" ht="15.75" customHeight="1" x14ac:dyDescent="0.3">
      <c r="A665" s="37">
        <v>71194</v>
      </c>
      <c r="B665" s="409">
        <f t="shared" ref="B665:C665" si="671">($A665-B$9)/365.25</f>
        <v>113.0403832991102</v>
      </c>
      <c r="C665" s="409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2192</v>
      </c>
      <c r="I665" s="25">
        <f>IF(C665&lt;62,0,'Combined Retirement'!$I$13)</f>
        <v>2420</v>
      </c>
      <c r="J665" s="25">
        <f t="shared" si="523"/>
        <v>7863.2184191855868</v>
      </c>
      <c r="K665" s="25">
        <f t="shared" si="524"/>
        <v>20282.026119384056</v>
      </c>
      <c r="L665" s="25"/>
      <c r="N665" s="25">
        <f>'Combined Retirement'!$C$18/12</f>
        <v>39153.069999999992</v>
      </c>
      <c r="O665" s="25">
        <f t="shared" si="525"/>
        <v>11007.82546143035</v>
      </c>
      <c r="P665" s="25">
        <f t="shared" si="526"/>
        <v>28145.244538569641</v>
      </c>
      <c r="Q665" s="25">
        <f t="array" aca="1" ref="Q665" ca="1">INDEX('Isaac 401k'!L:L,MATCH('Retirement Calculator'!A665,'Isaac 401k'!N:N,0),0)</f>
        <v>-931671.48144501843</v>
      </c>
      <c r="R665" s="25">
        <f t="array" aca="1" ref="R665" ca="1">INDEX('Lorri 401b'!L:L,MATCH('Retirement Calculator'!A665,'Lorri 401b'!N:N,0),0)</f>
        <v>-2282106.9166760934</v>
      </c>
      <c r="S665" s="25">
        <f t="shared" ca="1" si="527"/>
        <v>-3213778.398121112</v>
      </c>
    </row>
    <row r="666" spans="1:19" ht="15.75" customHeight="1" x14ac:dyDescent="0.3">
      <c r="A666" s="37">
        <v>71225</v>
      </c>
      <c r="B666" s="409">
        <f t="shared" ref="B666:C666" si="672">($A666-B$9)/365.25</f>
        <v>113.12525667351129</v>
      </c>
      <c r="C666" s="409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2192</v>
      </c>
      <c r="I666" s="25">
        <f>IF(C666&lt;62,0,'Combined Retirement'!$I$13)</f>
        <v>2420</v>
      </c>
      <c r="J666" s="25">
        <f t="shared" si="523"/>
        <v>7863.2184191855868</v>
      </c>
      <c r="K666" s="25">
        <f t="shared" si="524"/>
        <v>20282.026119384056</v>
      </c>
      <c r="L666" s="25"/>
      <c r="N666" s="25">
        <f>'Combined Retirement'!$C$18/12</f>
        <v>39153.069999999992</v>
      </c>
      <c r="O666" s="25">
        <f t="shared" si="525"/>
        <v>11007.82546143035</v>
      </c>
      <c r="P666" s="25">
        <f t="shared" si="526"/>
        <v>28145.244538569641</v>
      </c>
      <c r="Q666" s="25">
        <f t="array" aca="1" ref="Q666" ca="1">INDEX('Isaac 401k'!L:L,MATCH('Retirement Calculator'!A666,'Isaac 401k'!N:N,0),0)</f>
        <v>-943449.42778030492</v>
      </c>
      <c r="R666" s="25">
        <f t="array" aca="1" ref="R666" ca="1">INDEX('Lorri 401b'!L:L,MATCH('Retirement Calculator'!A666,'Lorri 401b'!N:N,0),0)</f>
        <v>-2311982.230057125</v>
      </c>
      <c r="S666" s="25">
        <f t="shared" ca="1" si="527"/>
        <v>-3255431.65783743</v>
      </c>
    </row>
    <row r="667" spans="1:19" ht="15.75" customHeight="1" x14ac:dyDescent="0.3">
      <c r="A667" s="37">
        <v>71256</v>
      </c>
      <c r="B667" s="409">
        <f t="shared" ref="B667:C667" si="673">($A667-B$9)/365.25</f>
        <v>113.21013004791239</v>
      </c>
      <c r="C667" s="409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2192</v>
      </c>
      <c r="I667" s="25">
        <f>IF(C667&lt;62,0,'Combined Retirement'!$I$13)</f>
        <v>2420</v>
      </c>
      <c r="J667" s="25">
        <f t="shared" si="523"/>
        <v>7863.2184191855868</v>
      </c>
      <c r="K667" s="25">
        <f t="shared" si="524"/>
        <v>20282.026119384056</v>
      </c>
      <c r="L667" s="25"/>
      <c r="N667" s="25">
        <f>'Combined Retirement'!$C$18/12</f>
        <v>39153.069999999992</v>
      </c>
      <c r="O667" s="25">
        <f t="shared" si="525"/>
        <v>11007.82546143035</v>
      </c>
      <c r="P667" s="25">
        <f t="shared" si="526"/>
        <v>28145.244538569641</v>
      </c>
      <c r="Q667" s="25">
        <f t="array" aca="1" ref="Q667" ca="1">INDEX('Isaac 401k'!L:L,MATCH('Retirement Calculator'!A667,'Isaac 401k'!N:N,0),0)</f>
        <v>-955276.44889198837</v>
      </c>
      <c r="R667" s="25">
        <f t="array" aca="1" ref="R667" ca="1">INDEX('Lorri 401b'!L:L,MATCH('Retirement Calculator'!A667,'Lorri 401b'!N:N,0),0)</f>
        <v>-2341982.0239105779</v>
      </c>
      <c r="S667" s="25">
        <f t="shared" ca="1" si="527"/>
        <v>-3297258.4728025664</v>
      </c>
    </row>
    <row r="668" spans="1:19" ht="15.75" customHeight="1" x14ac:dyDescent="0.3">
      <c r="A668" s="37">
        <v>71284</v>
      </c>
      <c r="B668" s="409">
        <f t="shared" ref="B668:C668" si="674">($A668-B$9)/365.25</f>
        <v>113.28678986995209</v>
      </c>
      <c r="C668" s="409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2192</v>
      </c>
      <c r="I668" s="25">
        <f>IF(C668&lt;62,0,'Combined Retirement'!$I$13)</f>
        <v>2420</v>
      </c>
      <c r="J668" s="25">
        <f t="shared" si="523"/>
        <v>7863.2184191855868</v>
      </c>
      <c r="K668" s="25">
        <f t="shared" si="524"/>
        <v>20282.026119384056</v>
      </c>
      <c r="L668" s="25"/>
      <c r="N668" s="25">
        <f>'Combined Retirement'!$C$18/12</f>
        <v>39153.069999999992</v>
      </c>
      <c r="O668" s="25">
        <f t="shared" si="525"/>
        <v>11007.82546143035</v>
      </c>
      <c r="P668" s="25">
        <f t="shared" si="526"/>
        <v>28145.244538569641</v>
      </c>
      <c r="Q668" s="25">
        <f t="array" aca="1" ref="Q668" ca="1">INDEX('Isaac 401k'!L:L,MATCH('Retirement Calculator'!A668,'Isaac 401k'!N:N,0),0)</f>
        <v>-967152.7492583039</v>
      </c>
      <c r="R668" s="25">
        <f t="array" aca="1" ref="R668" ca="1">INDEX('Lorri 401b'!L:L,MATCH('Retirement Calculator'!A668,'Lorri 401b'!N:N,0),0)</f>
        <v>-2372106.8169050869</v>
      </c>
      <c r="S668" s="25">
        <f t="shared" ca="1" si="527"/>
        <v>-3339259.5661633909</v>
      </c>
    </row>
    <row r="669" spans="1:19" ht="15.75" customHeight="1" x14ac:dyDescent="0.3">
      <c r="A669" s="37">
        <v>71315</v>
      </c>
      <c r="B669" s="409">
        <f t="shared" ref="B669:C669" si="675">($A669-B$9)/365.25</f>
        <v>113.37166324435319</v>
      </c>
      <c r="C669" s="409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2192</v>
      </c>
      <c r="I669" s="25">
        <f>IF(C669&lt;62,0,'Combined Retirement'!$I$13)</f>
        <v>2420</v>
      </c>
      <c r="J669" s="25">
        <f t="shared" si="523"/>
        <v>7863.2184191855868</v>
      </c>
      <c r="K669" s="25">
        <f t="shared" si="524"/>
        <v>20282.026119384056</v>
      </c>
      <c r="L669" s="25"/>
      <c r="N669" s="25">
        <f>'Combined Retirement'!$C$18/12</f>
        <v>39153.069999999992</v>
      </c>
      <c r="O669" s="25">
        <f t="shared" si="525"/>
        <v>11007.82546143035</v>
      </c>
      <c r="P669" s="25">
        <f t="shared" si="526"/>
        <v>28145.244538569641</v>
      </c>
      <c r="Q669" s="25">
        <f t="array" aca="1" ref="Q669" ca="1">INDEX('Isaac 401k'!L:L,MATCH('Retirement Calculator'!A669,'Isaac 401k'!N:N,0),0)</f>
        <v>-979078.534209479</v>
      </c>
      <c r="R669" s="25">
        <f t="array" aca="1" ref="R669" ca="1">INDEX('Lorri 401b'!L:L,MATCH('Retirement Calculator'!A669,'Lorri 401b'!N:N,0),0)</f>
        <v>-2402357.1298704064</v>
      </c>
      <c r="S669" s="25">
        <f t="shared" ca="1" si="527"/>
        <v>-3381435.6640798855</v>
      </c>
    </row>
    <row r="670" spans="1:19" ht="15.75" customHeight="1" x14ac:dyDescent="0.3">
      <c r="A670" s="37">
        <v>71345</v>
      </c>
      <c r="B670" s="409">
        <f t="shared" ref="B670:C670" si="676">($A670-B$9)/365.25</f>
        <v>113.45379876796714</v>
      </c>
      <c r="C670" s="409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2192</v>
      </c>
      <c r="I670" s="25">
        <f>IF(C670&lt;62,0,'Combined Retirement'!$I$13)</f>
        <v>2420</v>
      </c>
      <c r="J670" s="25">
        <f t="shared" si="523"/>
        <v>7863.2184191855868</v>
      </c>
      <c r="K670" s="25">
        <f t="shared" si="524"/>
        <v>20282.026119384056</v>
      </c>
      <c r="L670" s="25"/>
      <c r="N670" s="25">
        <f>'Combined Retirement'!$C$18/12</f>
        <v>39153.069999999992</v>
      </c>
      <c r="O670" s="25">
        <f t="shared" si="525"/>
        <v>11007.82546143035</v>
      </c>
      <c r="P670" s="25">
        <f t="shared" si="526"/>
        <v>28145.244538569641</v>
      </c>
      <c r="Q670" s="25">
        <f t="array" aca="1" ref="Q670" ca="1">INDEX('Isaac 401k'!L:L,MATCH('Retirement Calculator'!A670,'Isaac 401k'!N:N,0),0)</f>
        <v>-991054.009931284</v>
      </c>
      <c r="R670" s="25">
        <f t="array" aca="1" ref="R670" ca="1">INDEX('Lorri 401b'!L:L,MATCH('Retirement Calculator'!A670,'Lorri 401b'!N:N,0),0)</f>
        <v>-2432733.4858064144</v>
      </c>
      <c r="S670" s="25">
        <f t="shared" ca="1" si="527"/>
        <v>-3423787.4957376984</v>
      </c>
    </row>
    <row r="671" spans="1:19" ht="15.75" customHeight="1" x14ac:dyDescent="0.3">
      <c r="A671" s="37">
        <v>71376</v>
      </c>
      <c r="B671" s="409">
        <f t="shared" ref="B671:C671" si="677">($A671-B$9)/365.25</f>
        <v>113.53867214236824</v>
      </c>
      <c r="C671" s="409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2192</v>
      </c>
      <c r="I671" s="25">
        <f>IF(C671&lt;62,0,'Combined Retirement'!$I$13)</f>
        <v>2420</v>
      </c>
      <c r="J671" s="25">
        <f t="shared" si="523"/>
        <v>7863.2184191855868</v>
      </c>
      <c r="K671" s="25">
        <f t="shared" si="524"/>
        <v>20282.026119384056</v>
      </c>
      <c r="L671" s="25"/>
      <c r="N671" s="25">
        <f>'Combined Retirement'!$C$18/12</f>
        <v>39153.069999999992</v>
      </c>
      <c r="O671" s="25">
        <f t="shared" si="525"/>
        <v>11007.82546143035</v>
      </c>
      <c r="P671" s="25">
        <f t="shared" si="526"/>
        <v>28145.244538569641</v>
      </c>
      <c r="Q671" s="25">
        <f t="array" aca="1" ref="Q671" ca="1">INDEX('Isaac 401k'!L:L,MATCH('Retirement Calculator'!A671,'Isaac 401k'!N:N,0),0)</f>
        <v>-1003079.3834685966</v>
      </c>
      <c r="R671" s="25">
        <f t="array" aca="1" ref="R671" ca="1">INDEX('Lorri 401b'!L:L,MATCH('Retirement Calculator'!A671,'Lorri 401b'!N:N,0),0)</f>
        <v>-2463236.4098921558</v>
      </c>
      <c r="S671" s="25">
        <f t="shared" ca="1" si="527"/>
        <v>-3466315.7933607525</v>
      </c>
    </row>
    <row r="672" spans="1:19" ht="15.75" customHeight="1" x14ac:dyDescent="0.3">
      <c r="A672" s="37">
        <v>71406</v>
      </c>
      <c r="B672" s="409">
        <f t="shared" ref="B672:C672" si="678">($A672-B$9)/365.25</f>
        <v>113.6208076659822</v>
      </c>
      <c r="C672" s="409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2192</v>
      </c>
      <c r="I672" s="25">
        <f>IF(C672&lt;62,0,'Combined Retirement'!$I$13)</f>
        <v>2420</v>
      </c>
      <c r="J672" s="25">
        <f t="shared" si="523"/>
        <v>7863.2184191855868</v>
      </c>
      <c r="K672" s="25">
        <f t="shared" si="524"/>
        <v>20282.026119384056</v>
      </c>
      <c r="L672" s="25"/>
      <c r="N672" s="25">
        <f>'Combined Retirement'!$C$18/12</f>
        <v>39153.069999999992</v>
      </c>
      <c r="O672" s="25">
        <f t="shared" si="525"/>
        <v>11007.82546143035</v>
      </c>
      <c r="P672" s="25">
        <f t="shared" si="526"/>
        <v>28145.244538569641</v>
      </c>
      <c r="Q672" s="25">
        <f t="array" aca="1" ref="Q672" ca="1">INDEX('Isaac 401k'!L:L,MATCH('Retirement Calculator'!A672,'Isaac 401k'!N:N,0),0)</f>
        <v>-1015154.8627289813</v>
      </c>
      <c r="R672" s="25">
        <f t="array" aca="1" ref="R672" ca="1">INDEX('Lorri 401b'!L:L,MATCH('Retirement Calculator'!A672,'Lorri 401b'!N:N,0),0)</f>
        <v>-2493866.4294949211</v>
      </c>
      <c r="S672" s="25">
        <f t="shared" ca="1" si="527"/>
        <v>-3509021.2922239024</v>
      </c>
    </row>
    <row r="673" spans="1:19" ht="15.75" customHeight="1" x14ac:dyDescent="0.3">
      <c r="A673" s="37">
        <v>71437</v>
      </c>
      <c r="B673" s="409">
        <f t="shared" ref="B673:C673" si="679">($A673-B$9)/365.25</f>
        <v>113.7056810403833</v>
      </c>
      <c r="C673" s="409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2192</v>
      </c>
      <c r="I673" s="25">
        <f>IF(C673&lt;62,0,'Combined Retirement'!$I$13)</f>
        <v>2420</v>
      </c>
      <c r="J673" s="25">
        <f t="shared" si="523"/>
        <v>7863.2184191855868</v>
      </c>
      <c r="K673" s="25">
        <f t="shared" si="524"/>
        <v>20282.026119384056</v>
      </c>
      <c r="L673" s="25"/>
      <c r="N673" s="25">
        <f>'Combined Retirement'!$C$18/12</f>
        <v>39153.069999999992</v>
      </c>
      <c r="O673" s="25">
        <f t="shared" si="525"/>
        <v>11007.82546143035</v>
      </c>
      <c r="P673" s="25">
        <f t="shared" si="526"/>
        <v>28145.244538569641</v>
      </c>
      <c r="Q673" s="25">
        <f t="array" aca="1" ref="Q673" ca="1">INDEX('Isaac 401k'!L:L,MATCH('Retirement Calculator'!A673,'Isaac 401k'!N:N,0),0)</f>
        <v>-1027280.6564862842</v>
      </c>
      <c r="R673" s="25">
        <f t="array" aca="1" ref="R673" ca="1">INDEX('Lorri 401b'!L:L,MATCH('Retirement Calculator'!A673,'Lorri 401b'!N:N,0),0)</f>
        <v>-2524624.0741793648</v>
      </c>
      <c r="S673" s="25">
        <f t="shared" ca="1" si="527"/>
        <v>-3551904.7306656493</v>
      </c>
    </row>
    <row r="674" spans="1:19" ht="15.75" customHeight="1" x14ac:dyDescent="0.3">
      <c r="A674" s="37">
        <v>71468</v>
      </c>
      <c r="B674" s="409">
        <f t="shared" ref="B674:C674" si="680">($A674-B$9)/365.25</f>
        <v>113.7905544147844</v>
      </c>
      <c r="C674" s="409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2192</v>
      </c>
      <c r="I674" s="25">
        <f>IF(C674&lt;62,0,'Combined Retirement'!$I$13)</f>
        <v>2420</v>
      </c>
      <c r="J674" s="25">
        <f t="shared" si="523"/>
        <v>7863.2184191855868</v>
      </c>
      <c r="K674" s="25">
        <f t="shared" si="524"/>
        <v>20282.026119384056</v>
      </c>
      <c r="L674" s="25"/>
      <c r="N674" s="25">
        <f>'Combined Retirement'!$C$18/12</f>
        <v>39153.069999999992</v>
      </c>
      <c r="O674" s="25">
        <f t="shared" si="525"/>
        <v>11007.82546143035</v>
      </c>
      <c r="P674" s="25">
        <f t="shared" si="526"/>
        <v>28145.244538569641</v>
      </c>
      <c r="Q674" s="25">
        <f t="array" aca="1" ref="Q674" ca="1">INDEX('Isaac 401k'!L:L,MATCH('Retirement Calculator'!A674,'Isaac 401k'!N:N,0),0)</f>
        <v>-1039456.9743842427</v>
      </c>
      <c r="R674" s="25">
        <f t="array" aca="1" ref="R674" ca="1">INDEX('Lorri 401b'!L:L,MATCH('Retirement Calculator'!A674,'Lorri 401b'!N:N,0),0)</f>
        <v>-2555509.8757166602</v>
      </c>
      <c r="S674" s="25">
        <f t="shared" ca="1" si="527"/>
        <v>-3594966.8501009028</v>
      </c>
    </row>
    <row r="675" spans="1:19" ht="15.75" customHeight="1" x14ac:dyDescent="0.3">
      <c r="A675" s="37">
        <v>71498</v>
      </c>
      <c r="B675" s="409">
        <f t="shared" ref="B675:C675" si="681">($A675-B$9)/365.25</f>
        <v>113.87268993839835</v>
      </c>
      <c r="C675" s="409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2192</v>
      </c>
      <c r="I675" s="25">
        <f>IF(C675&lt;62,0,'Combined Retirement'!$I$13)</f>
        <v>2420</v>
      </c>
      <c r="J675" s="25">
        <f t="shared" si="523"/>
        <v>7863.2184191855868</v>
      </c>
      <c r="K675" s="25">
        <f t="shared" si="524"/>
        <v>20282.026119384056</v>
      </c>
      <c r="L675" s="25"/>
      <c r="N675" s="25">
        <f>'Combined Retirement'!$C$18/12</f>
        <v>39153.069999999992</v>
      </c>
      <c r="O675" s="25">
        <f t="shared" si="525"/>
        <v>11007.82546143035</v>
      </c>
      <c r="P675" s="25">
        <f t="shared" si="526"/>
        <v>28145.244538569641</v>
      </c>
      <c r="Q675" s="25">
        <f t="array" aca="1" ref="Q675" ca="1">INDEX('Isaac 401k'!L:L,MATCH('Retirement Calculator'!A675,'Isaac 401k'!N:N,0),0)</f>
        <v>-1051684.0269401092</v>
      </c>
      <c r="R675" s="25">
        <f t="array" aca="1" ref="R675" ca="1">INDEX('Lorri 401b'!L:L,MATCH('Retirement Calculator'!A675,'Lorri 401b'!N:N,0),0)</f>
        <v>-2586524.3680936946</v>
      </c>
      <c r="S675" s="25">
        <f t="shared" ca="1" si="527"/>
        <v>-3638208.3950338038</v>
      </c>
    </row>
    <row r="676" spans="1:19" ht="15.75" customHeight="1" x14ac:dyDescent="0.3">
      <c r="A676" s="37">
        <v>71529</v>
      </c>
      <c r="B676" s="409">
        <f t="shared" ref="B676:C676" si="682">($A676-B$9)/365.25</f>
        <v>113.95756331279945</v>
      </c>
      <c r="C676" s="409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2192</v>
      </c>
      <c r="I676" s="25">
        <f>IF(C676&lt;62,0,'Combined Retirement'!$I$13)</f>
        <v>2420</v>
      </c>
      <c r="J676" s="25">
        <f t="shared" si="523"/>
        <v>7863.2184191855868</v>
      </c>
      <c r="K676" s="25">
        <f t="shared" si="524"/>
        <v>20282.026119384056</v>
      </c>
      <c r="L676" s="25"/>
      <c r="N676" s="25">
        <f>'Combined Retirement'!$C$18/12</f>
        <v>39153.069999999992</v>
      </c>
      <c r="O676" s="25">
        <f t="shared" si="525"/>
        <v>11007.82546143035</v>
      </c>
      <c r="P676" s="25">
        <f t="shared" si="526"/>
        <v>28145.244538569641</v>
      </c>
      <c r="Q676" s="25">
        <f t="array" aca="1" ref="Q676" ca="1">INDEX('Isaac 401k'!L:L,MATCH('Retirement Calculator'!A676,'Isaac 401k'!N:N,0),0)</f>
        <v>-1063962.0255482919</v>
      </c>
      <c r="R676" s="25">
        <f t="array" aca="1" ref="R676" ca="1">INDEX('Lorri 401b'!L:L,MATCH('Retirement Calculator'!A676,'Lorri 401b'!N:N,0),0)</f>
        <v>-2617668.0875222995</v>
      </c>
      <c r="S676" s="25">
        <f t="shared" ca="1" si="527"/>
        <v>-3681630.1130705914</v>
      </c>
    </row>
    <row r="677" spans="1:19" ht="15.75" customHeight="1" x14ac:dyDescent="0.3">
      <c r="A677" s="37">
        <v>71559</v>
      </c>
      <c r="B677" s="409">
        <f t="shared" ref="B677:C677" si="683">($A677-B$9)/365.25</f>
        <v>114.03969883641342</v>
      </c>
      <c r="C677" s="409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2192</v>
      </c>
      <c r="I677" s="25">
        <f>IF(C677&lt;62,0,'Combined Retirement'!$I$13)</f>
        <v>2420</v>
      </c>
      <c r="J677" s="25">
        <f t="shared" si="523"/>
        <v>7863.2184191855868</v>
      </c>
      <c r="K677" s="25">
        <f t="shared" si="524"/>
        <v>20282.026119384056</v>
      </c>
      <c r="L677" s="25"/>
      <c r="N677" s="25">
        <f>'Combined Retirement'!$C$18/12</f>
        <v>39153.069999999992</v>
      </c>
      <c r="O677" s="25">
        <f t="shared" si="525"/>
        <v>11007.82546143035</v>
      </c>
      <c r="P677" s="25">
        <f t="shared" si="526"/>
        <v>28145.244538569641</v>
      </c>
      <c r="Q677" s="25">
        <f t="array" aca="1" ref="Q677" ca="1">INDEX('Isaac 401k'!L:L,MATCH('Retirement Calculator'!A677,'Isaac 401k'!N:N,0),0)</f>
        <v>-1076291.1824840086</v>
      </c>
      <c r="R677" s="25">
        <f t="array" aca="1" ref="R677" ca="1">INDEX('Lorri 401b'!L:L,MATCH('Retirement Calculator'!A677,'Lorri 401b'!N:N,0),0)</f>
        <v>-2648941.5724485237</v>
      </c>
      <c r="S677" s="25">
        <f t="shared" ca="1" si="527"/>
        <v>-3725232.7549325321</v>
      </c>
    </row>
    <row r="678" spans="1:19" ht="15.75" customHeight="1" x14ac:dyDescent="0.3">
      <c r="A678" s="37">
        <v>71590</v>
      </c>
      <c r="B678" s="409">
        <f t="shared" ref="B678:C678" si="684">($A678-B$9)/365.25</f>
        <v>114.12457221081451</v>
      </c>
      <c r="C678" s="409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2192</v>
      </c>
      <c r="I678" s="25">
        <f>IF(C678&lt;62,0,'Combined Retirement'!$I$13)</f>
        <v>2420</v>
      </c>
      <c r="J678" s="25">
        <f t="shared" si="523"/>
        <v>7863.2184191855868</v>
      </c>
      <c r="K678" s="25">
        <f t="shared" si="524"/>
        <v>20282.026119384056</v>
      </c>
      <c r="L678" s="25"/>
      <c r="N678" s="25">
        <f>'Combined Retirement'!$C$18/12</f>
        <v>39153.069999999992</v>
      </c>
      <c r="O678" s="25">
        <f t="shared" si="525"/>
        <v>11007.82546143035</v>
      </c>
      <c r="P678" s="25">
        <f t="shared" si="526"/>
        <v>28145.244538569641</v>
      </c>
      <c r="Q678" s="25">
        <f t="array" aca="1" ref="Q678" ca="1">INDEX('Isaac 401k'!L:L,MATCH('Retirement Calculator'!A678,'Isaac 401k'!N:N,0),0)</f>
        <v>-1088671.7109069575</v>
      </c>
      <c r="R678" s="25">
        <f t="array" aca="1" ref="R678" ca="1">INDEX('Lorri 401b'!L:L,MATCH('Retirement Calculator'!A678,'Lorri 401b'!N:N,0),0)</f>
        <v>-2680345.3635619408</v>
      </c>
      <c r="S678" s="25">
        <f t="shared" ca="1" si="527"/>
        <v>-3769017.0744688986</v>
      </c>
    </row>
    <row r="679" spans="1:19" ht="15.75" customHeight="1" x14ac:dyDescent="0.3">
      <c r="A679" s="37">
        <v>71621</v>
      </c>
      <c r="B679" s="409">
        <f t="shared" ref="B679:C679" si="685">($A679-B$9)/365.25</f>
        <v>114.2094455852156</v>
      </c>
      <c r="C679" s="409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2192</v>
      </c>
      <c r="I679" s="25">
        <f>IF(C679&lt;62,0,'Combined Retirement'!$I$13)</f>
        <v>2420</v>
      </c>
      <c r="J679" s="25">
        <f t="shared" si="523"/>
        <v>7863.2184191855868</v>
      </c>
      <c r="K679" s="25">
        <f t="shared" si="524"/>
        <v>20282.026119384056</v>
      </c>
      <c r="L679" s="25"/>
      <c r="N679" s="25">
        <f>'Combined Retirement'!$C$18/12</f>
        <v>39153.069999999992</v>
      </c>
      <c r="O679" s="25">
        <f t="shared" si="525"/>
        <v>11007.82546143035</v>
      </c>
      <c r="P679" s="25">
        <f t="shared" si="526"/>
        <v>28145.244538569641</v>
      </c>
      <c r="Q679" s="25">
        <f t="array" aca="1" ref="Q679" ca="1">INDEX('Isaac 401k'!L:L,MATCH('Retirement Calculator'!A679,'Isaac 401k'!N:N,0),0)</f>
        <v>-1101103.824865002</v>
      </c>
      <c r="R679" s="25">
        <f t="array" aca="1" ref="R679" ca="1">INDEX('Lorri 401b'!L:L,MATCH('Retirement Calculator'!A679,'Lorri 401b'!N:N,0),0)</f>
        <v>-2711880.0038049971</v>
      </c>
      <c r="S679" s="25">
        <f t="shared" ca="1" si="527"/>
        <v>-3812983.8286699988</v>
      </c>
    </row>
    <row r="680" spans="1:19" ht="15.75" customHeight="1" x14ac:dyDescent="0.3">
      <c r="A680" s="37">
        <v>71650</v>
      </c>
      <c r="B680" s="409">
        <f t="shared" ref="B680:C680" si="686">($A680-B$9)/365.25</f>
        <v>114.28884325804243</v>
      </c>
      <c r="C680" s="409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2192</v>
      </c>
      <c r="I680" s="25">
        <f>IF(C680&lt;62,0,'Combined Retirement'!$I$13)</f>
        <v>2420</v>
      </c>
      <c r="J680" s="25">
        <f t="shared" si="523"/>
        <v>7863.2184191855868</v>
      </c>
      <c r="K680" s="25">
        <f t="shared" si="524"/>
        <v>20282.026119384056</v>
      </c>
      <c r="L680" s="25"/>
      <c r="N680" s="25">
        <f>'Combined Retirement'!$C$18/12</f>
        <v>39153.069999999992</v>
      </c>
      <c r="O680" s="25">
        <f t="shared" si="525"/>
        <v>11007.82546143035</v>
      </c>
      <c r="P680" s="25">
        <f t="shared" si="526"/>
        <v>28145.244538569641</v>
      </c>
      <c r="Q680" s="25">
        <f t="array" aca="1" ref="Q680" ca="1">INDEX('Isaac 401k'!L:L,MATCH('Retirement Calculator'!A680,'Isaac 401k'!N:N,0),0)</f>
        <v>-1113587.7392978717</v>
      </c>
      <c r="R680" s="25">
        <f t="array" aca="1" ref="R680" ca="1">INDEX('Lorri 401b'!L:L,MATCH('Retirement Calculator'!A680,'Lorri 401b'!N:N,0),0)</f>
        <v>-2743546.0383823994</v>
      </c>
      <c r="S680" s="25">
        <f t="shared" ca="1" si="527"/>
        <v>-3857133.7776802713</v>
      </c>
    </row>
    <row r="681" spans="1:19" ht="15.75" customHeight="1" x14ac:dyDescent="0.3">
      <c r="A681" s="37">
        <v>71681</v>
      </c>
      <c r="B681" s="409">
        <f t="shared" ref="B681:C681" si="687">($A681-B$9)/365.25</f>
        <v>114.37371663244353</v>
      </c>
      <c r="C681" s="409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2192</v>
      </c>
      <c r="I681" s="25">
        <f>IF(C681&lt;62,0,'Combined Retirement'!$I$13)</f>
        <v>2420</v>
      </c>
      <c r="J681" s="25">
        <f t="shared" si="523"/>
        <v>7863.2184191855868</v>
      </c>
      <c r="K681" s="25">
        <f t="shared" si="524"/>
        <v>20282.026119384056</v>
      </c>
      <c r="L681" s="25"/>
      <c r="N681" s="25">
        <f>'Combined Retirement'!$C$18/12</f>
        <v>39153.069999999992</v>
      </c>
      <c r="O681" s="25">
        <f t="shared" si="525"/>
        <v>11007.82546143035</v>
      </c>
      <c r="P681" s="25">
        <f t="shared" si="526"/>
        <v>28145.244538569641</v>
      </c>
      <c r="Q681" s="25">
        <f t="array" aca="1" ref="Q681" ca="1">INDEX('Isaac 401k'!L:L,MATCH('Retirement Calculator'!A681,'Isaac 401k'!N:N,0),0)</f>
        <v>-1126123.6700408785</v>
      </c>
      <c r="R681" s="25">
        <f t="array" aca="1" ref="R681" ca="1">INDEX('Lorri 401b'!L:L,MATCH('Retirement Calculator'!A681,'Lorri 401b'!N:N,0),0)</f>
        <v>-2775344.0147705409</v>
      </c>
      <c r="S681" s="25">
        <f t="shared" ca="1" si="527"/>
        <v>-3901467.6848114193</v>
      </c>
    </row>
    <row r="682" spans="1:19" ht="15.75" customHeight="1" x14ac:dyDescent="0.3">
      <c r="A682" s="37">
        <v>71711</v>
      </c>
      <c r="B682" s="409">
        <f t="shared" ref="B682:C682" si="688">($A682-B$9)/365.25</f>
        <v>114.45585215605749</v>
      </c>
      <c r="C682" s="409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2192</v>
      </c>
      <c r="I682" s="25">
        <f>IF(C682&lt;62,0,'Combined Retirement'!$I$13)</f>
        <v>2420</v>
      </c>
      <c r="J682" s="25">
        <f t="shared" si="523"/>
        <v>7863.2184191855868</v>
      </c>
      <c r="K682" s="25">
        <f t="shared" si="524"/>
        <v>20282.026119384056</v>
      </c>
      <c r="L682" s="25"/>
      <c r="N682" s="25">
        <f>'Combined Retirement'!$C$18/12</f>
        <v>39153.069999999992</v>
      </c>
      <c r="O682" s="25">
        <f t="shared" si="525"/>
        <v>11007.82546143035</v>
      </c>
      <c r="P682" s="25">
        <f t="shared" si="526"/>
        <v>28145.244538569641</v>
      </c>
      <c r="Q682" s="25">
        <f t="array" aca="1" ref="Q682" ca="1">INDEX('Isaac 401k'!L:L,MATCH('Retirement Calculator'!A682,'Isaac 401k'!N:N,0),0)</f>
        <v>-1138711.8338286476</v>
      </c>
      <c r="R682" s="25">
        <f t="array" aca="1" ref="R682" ca="1">INDEX('Lorri 401b'!L:L,MATCH('Retirement Calculator'!A682,'Lorri 401b'!N:N,0),0)</f>
        <v>-2807274.482726966</v>
      </c>
      <c r="S682" s="25">
        <f t="shared" ca="1" si="527"/>
        <v>-3945986.3165556137</v>
      </c>
    </row>
    <row r="683" spans="1:19" ht="15.75" customHeight="1" x14ac:dyDescent="0.3">
      <c r="A683" s="37">
        <v>71742</v>
      </c>
      <c r="B683" s="409">
        <f t="shared" ref="B683:C683" si="689">($A683-B$9)/365.25</f>
        <v>114.54072553045859</v>
      </c>
      <c r="C683" s="409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2192</v>
      </c>
      <c r="I683" s="25">
        <f>IF(C683&lt;62,0,'Combined Retirement'!$I$13)</f>
        <v>2420</v>
      </c>
      <c r="J683" s="25">
        <f t="shared" si="523"/>
        <v>7863.2184191855868</v>
      </c>
      <c r="K683" s="25">
        <f t="shared" si="524"/>
        <v>20282.026119384056</v>
      </c>
      <c r="L683" s="25"/>
      <c r="N683" s="25">
        <f>'Combined Retirement'!$C$18/12</f>
        <v>39153.069999999992</v>
      </c>
      <c r="O683" s="25">
        <f t="shared" si="525"/>
        <v>11007.82546143035</v>
      </c>
      <c r="P683" s="25">
        <f t="shared" si="526"/>
        <v>28145.244538569641</v>
      </c>
      <c r="Q683" s="25">
        <f t="array" aca="1" ref="Q683" ca="1">INDEX('Isaac 401k'!L:L,MATCH('Retirement Calculator'!A683,'Isaac 401k'!N:N,0),0)</f>
        <v>-1151352.4482988659</v>
      </c>
      <c r="R683" s="25">
        <f t="array" aca="1" ref="R683" ca="1">INDEX('Lorri 401b'!L:L,MATCH('Retirement Calculator'!A683,'Lorri 401b'!N:N,0),0)</f>
        <v>-2839337.9942998765</v>
      </c>
      <c r="S683" s="25">
        <f t="shared" ca="1" si="527"/>
        <v>-3990690.4425987424</v>
      </c>
    </row>
    <row r="684" spans="1:19" ht="15.75" customHeight="1" x14ac:dyDescent="0.3">
      <c r="A684" s="37">
        <v>71772</v>
      </c>
      <c r="B684" s="409">
        <f t="shared" ref="B684:C684" si="690">($A684-B$9)/365.25</f>
        <v>114.62286105407256</v>
      </c>
      <c r="C684" s="409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2192</v>
      </c>
      <c r="I684" s="25">
        <f>IF(C684&lt;62,0,'Combined Retirement'!$I$13)</f>
        <v>2420</v>
      </c>
      <c r="J684" s="25">
        <f t="shared" si="523"/>
        <v>7863.2184191855868</v>
      </c>
      <c r="K684" s="25">
        <f t="shared" si="524"/>
        <v>20282.026119384056</v>
      </c>
      <c r="L684" s="25"/>
      <c r="N684" s="25">
        <f>'Combined Retirement'!$C$18/12</f>
        <v>39153.069999999992</v>
      </c>
      <c r="O684" s="25">
        <f t="shared" si="525"/>
        <v>11007.82546143035</v>
      </c>
      <c r="P684" s="25">
        <f t="shared" si="526"/>
        <v>28145.244538569641</v>
      </c>
      <c r="Q684" s="25">
        <f t="array" aca="1" ref="Q684" ca="1">INDEX('Isaac 401k'!L:L,MATCH('Retirement Calculator'!A684,'Isaac 401k'!N:N,0),0)</f>
        <v>-1164045.7319960434</v>
      </c>
      <c r="R684" s="25">
        <f t="array" aca="1" ref="R684" ca="1">INDEX('Lorri 401b'!L:L,MATCH('Retirement Calculator'!A684,'Lorri 401b'!N:N,0),0)</f>
        <v>-2871535.103837674</v>
      </c>
      <c r="S684" s="25">
        <f t="shared" ca="1" si="527"/>
        <v>-4035580.8358337171</v>
      </c>
    </row>
    <row r="685" spans="1:19" ht="15.75" customHeight="1" x14ac:dyDescent="0.3">
      <c r="A685" s="37">
        <v>71803</v>
      </c>
      <c r="B685" s="409">
        <f t="shared" ref="B685:C685" si="691">($A685-B$9)/365.25</f>
        <v>114.70773442847364</v>
      </c>
      <c r="C685" s="409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2192</v>
      </c>
      <c r="I685" s="25">
        <f>IF(C685&lt;62,0,'Combined Retirement'!$I$13)</f>
        <v>2420</v>
      </c>
      <c r="J685" s="25">
        <f t="shared" si="523"/>
        <v>7863.2184191855868</v>
      </c>
      <c r="K685" s="25">
        <f t="shared" si="524"/>
        <v>20282.026119384056</v>
      </c>
      <c r="L685" s="25"/>
      <c r="N685" s="25">
        <f>'Combined Retirement'!$C$18/12</f>
        <v>39153.069999999992</v>
      </c>
      <c r="O685" s="25">
        <f t="shared" si="525"/>
        <v>11007.82546143035</v>
      </c>
      <c r="P685" s="25">
        <f t="shared" si="526"/>
        <v>28145.244538569641</v>
      </c>
      <c r="Q685" s="25">
        <f t="array" aca="1" ref="Q685" ca="1">INDEX('Isaac 401k'!L:L,MATCH('Retirement Calculator'!A685,'Isaac 401k'!N:N,0),0)</f>
        <v>-1176791.9043752924</v>
      </c>
      <c r="R685" s="25">
        <f t="array" aca="1" ref="R685" ca="1">INDEX('Lorri 401b'!L:L,MATCH('Retirement Calculator'!A685,'Lorri 401b'!N:N,0),0)</f>
        <v>-2903866.3679985455</v>
      </c>
      <c r="S685" s="25">
        <f t="shared" ca="1" si="527"/>
        <v>-4080658.2723738379</v>
      </c>
    </row>
    <row r="686" spans="1:19" ht="15.75" customHeight="1" x14ac:dyDescent="0.3">
      <c r="A686" s="37">
        <v>71834</v>
      </c>
      <c r="B686" s="409">
        <f t="shared" ref="B686:C686" si="692">($A686-B$9)/365.25</f>
        <v>114.79260780287474</v>
      </c>
      <c r="C686" s="409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2192</v>
      </c>
      <c r="I686" s="25">
        <f>IF(C686&lt;62,0,'Combined Retirement'!$I$13)</f>
        <v>2420</v>
      </c>
      <c r="J686" s="25">
        <f t="shared" si="523"/>
        <v>7863.2184191855868</v>
      </c>
      <c r="K686" s="25">
        <f t="shared" si="524"/>
        <v>20282.026119384056</v>
      </c>
      <c r="L686" s="25"/>
      <c r="N686" s="25">
        <f>'Combined Retirement'!$C$18/12</f>
        <v>39153.069999999992</v>
      </c>
      <c r="O686" s="25">
        <f t="shared" si="525"/>
        <v>11007.82546143035</v>
      </c>
      <c r="P686" s="25">
        <f t="shared" si="526"/>
        <v>28145.244538569641</v>
      </c>
      <c r="Q686" s="25">
        <f t="array" aca="1" ref="Q686" ca="1">INDEX('Isaac 401k'!L:L,MATCH('Retirement Calculator'!A686,'Isaac 401k'!N:N,0),0)</f>
        <v>-1189591.1858061217</v>
      </c>
      <c r="R686" s="25">
        <f t="array" aca="1" ref="R686" ca="1">INDEX('Lorri 401b'!L:L,MATCH('Retirement Calculator'!A686,'Lorri 401b'!N:N,0),0)</f>
        <v>-2936332.3457600875</v>
      </c>
      <c r="S686" s="25">
        <f t="shared" ca="1" si="527"/>
        <v>-4125923.5315662092</v>
      </c>
    </row>
    <row r="687" spans="1:19" ht="15.75" customHeight="1" x14ac:dyDescent="0.3">
      <c r="A687" s="37">
        <v>71864</v>
      </c>
      <c r="B687" s="409">
        <f t="shared" ref="B687:C687" si="693">($A687-B$9)/365.25</f>
        <v>114.87474332648871</v>
      </c>
      <c r="C687" s="409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2192</v>
      </c>
      <c r="I687" s="25">
        <f>IF(C687&lt;62,0,'Combined Retirement'!$I$13)</f>
        <v>2420</v>
      </c>
      <c r="J687" s="25">
        <f t="shared" si="523"/>
        <v>7863.2184191855868</v>
      </c>
      <c r="K687" s="25">
        <f t="shared" si="524"/>
        <v>20282.026119384056</v>
      </c>
      <c r="L687" s="25"/>
      <c r="N687" s="25">
        <f>'Combined Retirement'!$C$18/12</f>
        <v>39153.069999999992</v>
      </c>
      <c r="O687" s="25">
        <f t="shared" si="525"/>
        <v>11007.82546143035</v>
      </c>
      <c r="P687" s="25">
        <f t="shared" si="526"/>
        <v>28145.244538569641</v>
      </c>
      <c r="Q687" s="25">
        <f t="array" aca="1" ref="Q687" ca="1">INDEX('Isaac 401k'!L:L,MATCH('Retirement Calculator'!A687,'Isaac 401k'!N:N,0),0)</f>
        <v>-1202443.7975762461</v>
      </c>
      <c r="R687" s="25">
        <f t="array" aca="1" ref="R687" ca="1">INDEX('Lorri 401b'!L:L,MATCH('Retirement Calculator'!A687,'Lorri 401b'!N:N,0),0)</f>
        <v>-2968933.5984289693</v>
      </c>
      <c r="S687" s="25">
        <f t="shared" ca="1" si="527"/>
        <v>-4171377.3960052151</v>
      </c>
    </row>
    <row r="688" spans="1:19" ht="15.75" customHeight="1" x14ac:dyDescent="0.3">
      <c r="A688" s="37">
        <v>71895</v>
      </c>
      <c r="B688" s="409">
        <f t="shared" ref="B688:C688" si="694">($A688-B$9)/365.25</f>
        <v>114.9596167008898</v>
      </c>
      <c r="C688" s="409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2192</v>
      </c>
      <c r="I688" s="25">
        <f>IF(C688&lt;62,0,'Combined Retirement'!$I$13)</f>
        <v>2420</v>
      </c>
      <c r="J688" s="25">
        <f t="shared" si="523"/>
        <v>7863.2184191855868</v>
      </c>
      <c r="K688" s="25">
        <f t="shared" si="524"/>
        <v>20282.026119384056</v>
      </c>
      <c r="L688" s="25"/>
      <c r="N688" s="25">
        <f>'Combined Retirement'!$C$18/12</f>
        <v>39153.069999999992</v>
      </c>
      <c r="O688" s="25">
        <f t="shared" si="525"/>
        <v>11007.82546143035</v>
      </c>
      <c r="P688" s="25">
        <f t="shared" si="526"/>
        <v>28145.244538569641</v>
      </c>
      <c r="Q688" s="25">
        <f t="array" aca="1" ref="Q688" ca="1">INDEX('Isaac 401k'!L:L,MATCH('Retirement Calculator'!A688,'Isaac 401k'!N:N,0),0)</f>
        <v>-1215349.9618954128</v>
      </c>
      <c r="R688" s="25">
        <f t="array" aca="1" ref="R688" ca="1">INDEX('Lorri 401b'!L:L,MATCH('Retirement Calculator'!A688,'Lorri 401b'!N:N,0),0)</f>
        <v>-3001670.689650638</v>
      </c>
      <c r="S688" s="25">
        <f t="shared" ca="1" si="527"/>
        <v>-4217020.6515460508</v>
      </c>
    </row>
    <row r="689" spans="1:19" ht="15.75" customHeight="1" x14ac:dyDescent="0.3">
      <c r="A689" s="37">
        <v>71925</v>
      </c>
      <c r="B689" s="409">
        <f t="shared" ref="B689:C689" si="695">($A689-B$9)/365.25</f>
        <v>115.04175222450377</v>
      </c>
      <c r="C689" s="409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2192</v>
      </c>
      <c r="I689" s="25">
        <f>IF(C689&lt;62,0,'Combined Retirement'!$I$13)</f>
        <v>2420</v>
      </c>
      <c r="J689" s="25">
        <f t="shared" si="523"/>
        <v>7863.2184191855868</v>
      </c>
      <c r="K689" s="25">
        <f t="shared" si="524"/>
        <v>20282.026119384056</v>
      </c>
      <c r="L689" s="25"/>
      <c r="N689" s="25">
        <f>'Combined Retirement'!$C$18/12</f>
        <v>39153.069999999992</v>
      </c>
      <c r="O689" s="25">
        <f t="shared" si="525"/>
        <v>11007.82546143035</v>
      </c>
      <c r="P689" s="25">
        <f t="shared" si="526"/>
        <v>28145.244538569641</v>
      </c>
      <c r="Q689" s="25">
        <f t="array" aca="1" ref="Q689" ca="1">INDEX('Isaac 401k'!L:L,MATCH('Retirement Calculator'!A689,'Isaac 401k'!N:N,0),0)</f>
        <v>-1228309.9018992425</v>
      </c>
      <c r="R689" s="25">
        <f t="array" aca="1" ref="R689" ca="1">INDEX('Lorri 401b'!L:L,MATCH('Retirement Calculator'!A689,'Lorri 401b'!N:N,0),0)</f>
        <v>-3034544.1854190635</v>
      </c>
      <c r="S689" s="25">
        <f t="shared" ca="1" si="527"/>
        <v>-4262854.0873183059</v>
      </c>
    </row>
    <row r="690" spans="1:19" ht="15.75" customHeight="1" x14ac:dyDescent="0.3">
      <c r="A690" s="37">
        <v>71956</v>
      </c>
      <c r="B690" s="409">
        <f t="shared" ref="B690:C690" si="696">($A690-B$9)/365.25</f>
        <v>115.12662559890487</v>
      </c>
      <c r="C690" s="409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2192</v>
      </c>
      <c r="I690" s="25">
        <f>IF(C690&lt;62,0,'Combined Retirement'!$I$13)</f>
        <v>2420</v>
      </c>
      <c r="J690" s="25">
        <f t="shared" si="523"/>
        <v>7863.2184191855868</v>
      </c>
      <c r="K690" s="25">
        <f t="shared" si="524"/>
        <v>20282.026119384056</v>
      </c>
      <c r="L690" s="25"/>
      <c r="N690" s="25">
        <f>'Combined Retirement'!$C$18/12</f>
        <v>39153.069999999992</v>
      </c>
      <c r="O690" s="25">
        <f t="shared" si="525"/>
        <v>11007.82546143035</v>
      </c>
      <c r="P690" s="25">
        <f t="shared" si="526"/>
        <v>28145.244538569641</v>
      </c>
      <c r="Q690" s="25">
        <f t="array" aca="1" ref="Q690" ca="1">INDEX('Isaac 401k'!L:L,MATCH('Retirement Calculator'!A690,'Isaac 401k'!N:N,0),0)</f>
        <v>-1241323.8416530883</v>
      </c>
      <c r="R690" s="25">
        <f t="array" aca="1" ref="R690" ca="1">INDEX('Lorri 401b'!L:L,MATCH('Retirement Calculator'!A690,'Lorri 401b'!N:N,0),0)</f>
        <v>-3067554.6540865246</v>
      </c>
      <c r="S690" s="25">
        <f t="shared" ca="1" si="527"/>
        <v>-4308878.4957396127</v>
      </c>
    </row>
    <row r="691" spans="1:19" ht="15.75" customHeight="1" x14ac:dyDescent="0.3">
      <c r="A691" s="37">
        <v>71987</v>
      </c>
      <c r="B691" s="409">
        <f t="shared" ref="B691:C691" si="697">($A691-B$9)/365.25</f>
        <v>115.21149897330595</v>
      </c>
      <c r="C691" s="409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2192</v>
      </c>
      <c r="I691" s="25">
        <f>IF(C691&lt;62,0,'Combined Retirement'!$I$13)</f>
        <v>2420</v>
      </c>
      <c r="J691" s="25">
        <f t="shared" si="523"/>
        <v>7863.2184191855868</v>
      </c>
      <c r="K691" s="25">
        <f t="shared" si="524"/>
        <v>20282.026119384056</v>
      </c>
      <c r="L691" s="25"/>
      <c r="N691" s="25">
        <f>'Combined Retirement'!$C$18/12</f>
        <v>39153.069999999992</v>
      </c>
      <c r="O691" s="25">
        <f t="shared" si="525"/>
        <v>11007.82546143035</v>
      </c>
      <c r="P691" s="25">
        <f t="shared" si="526"/>
        <v>28145.244538569641</v>
      </c>
      <c r="Q691" s="25">
        <f t="array" aca="1" ref="Q691" ca="1">INDEX('Isaac 401k'!L:L,MATCH('Retirement Calculator'!A691,'Isaac 401k'!N:N,0),0)</f>
        <v>-1254392.0061559083</v>
      </c>
      <c r="R691" s="25">
        <f t="array" aca="1" ref="R691" ca="1">INDEX('Lorri 401b'!L:L,MATCH('Retirement Calculator'!A691,'Lorri 401b'!N:N,0),0)</f>
        <v>-3100702.6663734331</v>
      </c>
      <c r="S691" s="25">
        <f t="shared" ca="1" si="527"/>
        <v>-4355094.6725293417</v>
      </c>
    </row>
    <row r="692" spans="1:19" ht="15.75" customHeight="1" x14ac:dyDescent="0.3">
      <c r="A692" s="37">
        <v>72015</v>
      </c>
      <c r="B692" s="409">
        <f t="shared" ref="B692:C692" si="698">($A692-B$9)/365.25</f>
        <v>115.28815879534565</v>
      </c>
      <c r="C692" s="409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2192</v>
      </c>
      <c r="I692" s="25">
        <f>IF(C692&lt;62,0,'Combined Retirement'!$I$13)</f>
        <v>2420</v>
      </c>
      <c r="J692" s="25">
        <f t="shared" si="523"/>
        <v>7863.2184191855868</v>
      </c>
      <c r="K692" s="25">
        <f t="shared" si="524"/>
        <v>20282.026119384056</v>
      </c>
      <c r="L692" s="25"/>
      <c r="N692" s="25">
        <f>'Combined Retirement'!$C$18/12</f>
        <v>39153.069999999992</v>
      </c>
      <c r="O692" s="25">
        <f t="shared" si="525"/>
        <v>11007.82546143035</v>
      </c>
      <c r="P692" s="25">
        <f t="shared" si="526"/>
        <v>28145.244538569641</v>
      </c>
      <c r="Q692" s="25">
        <f t="array" aca="1" ref="Q692" ca="1">INDEX('Isaac 401k'!L:L,MATCH('Retirement Calculator'!A692,'Isaac 401k'!N:N,0),0)</f>
        <v>-1267514.6213441568</v>
      </c>
      <c r="R692" s="25">
        <f t="array" aca="1" ref="R692" ca="1">INDEX('Lorri 401b'!L:L,MATCH('Retirement Calculator'!A692,'Lorri 401b'!N:N,0),0)</f>
        <v>-3133988.795378204</v>
      </c>
      <c r="S692" s="25">
        <f t="shared" ca="1" si="527"/>
        <v>-4401503.416722361</v>
      </c>
    </row>
    <row r="693" spans="1:19" ht="15.75" customHeight="1" x14ac:dyDescent="0.3">
      <c r="A693" s="37">
        <v>72046</v>
      </c>
      <c r="B693" s="409">
        <f t="shared" ref="B693:C693" si="699">($A693-B$9)/365.25</f>
        <v>115.37303216974675</v>
      </c>
      <c r="C693" s="409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2192</v>
      </c>
      <c r="I693" s="25">
        <f>IF(C693&lt;62,0,'Combined Retirement'!$I$13)</f>
        <v>2420</v>
      </c>
      <c r="J693" s="25">
        <f t="shared" si="523"/>
        <v>7863.2184191855868</v>
      </c>
      <c r="K693" s="25">
        <f t="shared" si="524"/>
        <v>20282.026119384056</v>
      </c>
      <c r="L693" s="25"/>
      <c r="N693" s="25">
        <f>'Combined Retirement'!$C$18/12</f>
        <v>39153.069999999992</v>
      </c>
      <c r="O693" s="25">
        <f t="shared" si="525"/>
        <v>11007.82546143035</v>
      </c>
      <c r="P693" s="25">
        <f t="shared" si="526"/>
        <v>28145.244538569641</v>
      </c>
      <c r="Q693" s="25">
        <f t="array" aca="1" ref="Q693" ca="1">INDEX('Isaac 401k'!L:L,MATCH('Retirement Calculator'!A693,'Isaac 401k'!N:N,0),0)</f>
        <v>-1280691.9140956898</v>
      </c>
      <c r="R693" s="25">
        <f t="array" aca="1" ref="R693" ca="1">INDEX('Lorri 401b'!L:L,MATCH('Retirement Calculator'!A693,'Lorri 401b'!N:N,0),0)</f>
        <v>-3167413.6165871611</v>
      </c>
      <c r="S693" s="25">
        <f t="shared" ca="1" si="527"/>
        <v>-4448105.5306828506</v>
      </c>
    </row>
    <row r="694" spans="1:19" ht="15.75" customHeight="1" x14ac:dyDescent="0.3">
      <c r="A694" s="37">
        <v>72076</v>
      </c>
      <c r="B694" s="409">
        <f t="shared" ref="B694:C694" si="700">($A694-B$9)/365.25</f>
        <v>115.45516769336071</v>
      </c>
      <c r="C694" s="409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2192</v>
      </c>
      <c r="I694" s="25">
        <f>IF(C694&lt;62,0,'Combined Retirement'!$I$13)</f>
        <v>2420</v>
      </c>
      <c r="J694" s="25">
        <f t="shared" si="523"/>
        <v>7863.2184191855868</v>
      </c>
      <c r="K694" s="25">
        <f t="shared" si="524"/>
        <v>20282.026119384056</v>
      </c>
      <c r="L694" s="25"/>
      <c r="N694" s="25">
        <f>'Combined Retirement'!$C$18/12</f>
        <v>39153.069999999992</v>
      </c>
      <c r="O694" s="25">
        <f t="shared" si="525"/>
        <v>11007.82546143035</v>
      </c>
      <c r="P694" s="25">
        <f t="shared" si="526"/>
        <v>28145.244538569641</v>
      </c>
      <c r="Q694" s="25">
        <f t="array" aca="1" ref="Q694" ca="1">INDEX('Isaac 401k'!L:L,MATCH('Retirement Calculator'!A694,'Isaac 401k'!N:N,0),0)</f>
        <v>-1293924.1122336874</v>
      </c>
      <c r="R694" s="25">
        <f t="array" aca="1" ref="R694" ca="1">INDEX('Lorri 401b'!L:L,MATCH('Retirement Calculator'!A694,'Lorri 401b'!N:N,0),0)</f>
        <v>-3200977.7078844891</v>
      </c>
      <c r="S694" s="25">
        <f t="shared" ca="1" si="527"/>
        <v>-4494901.8201181768</v>
      </c>
    </row>
    <row r="695" spans="1:19" ht="15.75" customHeight="1" x14ac:dyDescent="0.3">
      <c r="A695" s="37">
        <v>72107</v>
      </c>
      <c r="B695" s="409">
        <f t="shared" ref="B695:C695" si="701">($A695-B$9)/365.25</f>
        <v>115.54004106776181</v>
      </c>
      <c r="C695" s="409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2192</v>
      </c>
      <c r="I695" s="25">
        <f>IF(C695&lt;62,0,'Combined Retirement'!$I$13)</f>
        <v>2420</v>
      </c>
      <c r="J695" s="25">
        <f t="shared" si="523"/>
        <v>7863.2184191855868</v>
      </c>
      <c r="K695" s="25">
        <f t="shared" si="524"/>
        <v>20282.026119384056</v>
      </c>
      <c r="L695" s="25"/>
      <c r="N695" s="25">
        <f>'Combined Retirement'!$C$18/12</f>
        <v>39153.069999999992</v>
      </c>
      <c r="O695" s="25">
        <f t="shared" si="525"/>
        <v>11007.82546143035</v>
      </c>
      <c r="P695" s="25">
        <f t="shared" si="526"/>
        <v>28145.244538569641</v>
      </c>
      <c r="Q695" s="25">
        <f t="array" aca="1" ref="Q695" ca="1">INDEX('Isaac 401k'!L:L,MATCH('Retirement Calculator'!A695,'Isaac 401k'!N:N,0),0)</f>
        <v>-1307211.4445305932</v>
      </c>
      <c r="R695" s="25">
        <f t="array" aca="1" ref="R695" ca="1">INDEX('Lorri 401b'!L:L,MATCH('Retirement Calculator'!A695,'Lorri 401b'!N:N,0),0)</f>
        <v>-3234681.6495622224</v>
      </c>
      <c r="S695" s="25">
        <f t="shared" ca="1" si="527"/>
        <v>-4541893.0940928161</v>
      </c>
    </row>
    <row r="696" spans="1:19" ht="15.75" customHeight="1" x14ac:dyDescent="0.3">
      <c r="A696" s="37">
        <v>72137</v>
      </c>
      <c r="B696" s="409">
        <f t="shared" ref="B696:C696" si="702">($A696-B$9)/365.25</f>
        <v>115.62217659137578</v>
      </c>
      <c r="C696" s="409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2192</v>
      </c>
      <c r="I696" s="25">
        <f>IF(C696&lt;62,0,'Combined Retirement'!$I$13)</f>
        <v>2420</v>
      </c>
      <c r="J696" s="25">
        <f t="shared" si="523"/>
        <v>7863.2184191855868</v>
      </c>
      <c r="K696" s="25">
        <f t="shared" si="524"/>
        <v>20282.026119384056</v>
      </c>
      <c r="L696" s="25"/>
      <c r="N696" s="25">
        <f>'Combined Retirement'!$C$18/12</f>
        <v>39153.069999999992</v>
      </c>
      <c r="O696" s="25">
        <f t="shared" si="525"/>
        <v>11007.82546143035</v>
      </c>
      <c r="P696" s="25">
        <f t="shared" si="526"/>
        <v>28145.244538569641</v>
      </c>
      <c r="Q696" s="25">
        <f t="array" aca="1" ref="Q696" ca="1">INDEX('Isaac 401k'!L:L,MATCH('Retirement Calculator'!A696,'Isaac 401k'!N:N,0),0)</f>
        <v>-1320554.1407120696</v>
      </c>
      <c r="R696" s="25">
        <f t="array" aca="1" ref="R696" ca="1">INDEX('Lorri 401b'!L:L,MATCH('Retirement Calculator'!A696,'Lorri 401b'!N:N,0),0)</f>
        <v>-3268526.0243302798</v>
      </c>
      <c r="S696" s="25">
        <f t="shared" ca="1" si="527"/>
        <v>-4589080.1650423491</v>
      </c>
    </row>
    <row r="697" spans="1:19" ht="15.75" customHeight="1" x14ac:dyDescent="0.3">
      <c r="A697" s="37">
        <v>72168</v>
      </c>
      <c r="B697" s="409">
        <f t="shared" ref="B697:C697" si="703">($A697-B$9)/365.25</f>
        <v>115.70704996577686</v>
      </c>
      <c r="C697" s="409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2192</v>
      </c>
      <c r="I697" s="25">
        <f>IF(C697&lt;62,0,'Combined Retirement'!$I$13)</f>
        <v>2420</v>
      </c>
      <c r="J697" s="25">
        <f t="shared" si="523"/>
        <v>7863.2184191855868</v>
      </c>
      <c r="K697" s="25">
        <f t="shared" si="524"/>
        <v>20282.026119384056</v>
      </c>
      <c r="L697" s="25"/>
      <c r="N697" s="25">
        <f>'Combined Retirement'!$C$18/12</f>
        <v>39153.069999999992</v>
      </c>
      <c r="O697" s="25">
        <f t="shared" si="525"/>
        <v>11007.82546143035</v>
      </c>
      <c r="P697" s="25">
        <f t="shared" si="526"/>
        <v>28145.244538569641</v>
      </c>
      <c r="Q697" s="25">
        <f t="array" aca="1" ref="Q697" ca="1">INDEX('Isaac 401k'!L:L,MATCH('Retirement Calculator'!A697,'Isaac 401k'!N:N,0),0)</f>
        <v>-1333952.4314609687</v>
      </c>
      <c r="R697" s="25">
        <f t="array" aca="1" ref="R697" ca="1">INDEX('Lorri 401b'!L:L,MATCH('Retirement Calculator'!A697,'Lorri 401b'!N:N,0),0)</f>
        <v>-3302511.4173265374</v>
      </c>
      <c r="S697" s="25">
        <f t="shared" ca="1" si="527"/>
        <v>-4636463.8487875061</v>
      </c>
    </row>
    <row r="698" spans="1:19" ht="15.75" customHeight="1" x14ac:dyDescent="0.3">
      <c r="A698" s="37">
        <v>72199</v>
      </c>
      <c r="B698" s="409">
        <f t="shared" ref="B698:C698" si="704">($A698-B$9)/365.25</f>
        <v>115.79192334017796</v>
      </c>
      <c r="C698" s="409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2192</v>
      </c>
      <c r="I698" s="25">
        <f>IF(C698&lt;62,0,'Combined Retirement'!$I$13)</f>
        <v>2420</v>
      </c>
      <c r="J698" s="25">
        <f t="shared" si="523"/>
        <v>7863.2184191855868</v>
      </c>
      <c r="K698" s="25">
        <f t="shared" si="524"/>
        <v>20282.026119384056</v>
      </c>
      <c r="L698" s="25"/>
      <c r="N698" s="25">
        <f>'Combined Retirement'!$C$18/12</f>
        <v>39153.069999999992</v>
      </c>
      <c r="O698" s="25">
        <f t="shared" si="525"/>
        <v>11007.82546143035</v>
      </c>
      <c r="P698" s="25">
        <f t="shared" si="526"/>
        <v>28145.244538569641</v>
      </c>
      <c r="Q698" s="25">
        <f t="array" aca="1" ref="Q698" ca="1">INDEX('Isaac 401k'!L:L,MATCH('Retirement Calculator'!A698,'Isaac 401k'!N:N,0),0)</f>
        <v>-1347406.5484213217</v>
      </c>
      <c r="R698" s="25">
        <f t="array" aca="1" ref="R698" ca="1">INDEX('Lorri 401b'!L:L,MATCH('Retirement Calculator'!A698,'Lorri 401b'!N:N,0),0)</f>
        <v>-3336638.416126946</v>
      </c>
      <c r="S698" s="25">
        <f t="shared" ca="1" si="527"/>
        <v>-4684044.9645482674</v>
      </c>
    </row>
    <row r="699" spans="1:19" ht="15.75" customHeight="1" x14ac:dyDescent="0.3">
      <c r="A699" s="37">
        <v>72229</v>
      </c>
      <c r="B699" s="409">
        <f t="shared" ref="B699:C699" si="705">($A699-B$9)/365.25</f>
        <v>115.87405886379193</v>
      </c>
      <c r="C699" s="409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2192</v>
      </c>
      <c r="I699" s="25">
        <f>IF(C699&lt;62,0,'Combined Retirement'!$I$13)</f>
        <v>2420</v>
      </c>
      <c r="J699" s="25">
        <f t="shared" si="523"/>
        <v>7863.2184191855868</v>
      </c>
      <c r="K699" s="25">
        <f t="shared" si="524"/>
        <v>20282.026119384056</v>
      </c>
      <c r="L699" s="25"/>
      <c r="N699" s="25">
        <f>'Combined Retirement'!$C$18/12</f>
        <v>39153.069999999992</v>
      </c>
      <c r="O699" s="25">
        <f t="shared" si="525"/>
        <v>11007.82546143035</v>
      </c>
      <c r="P699" s="25">
        <f t="shared" si="526"/>
        <v>28145.244538569641</v>
      </c>
      <c r="Q699" s="25">
        <f t="array" aca="1" ref="Q699" ca="1">INDEX('Isaac 401k'!L:L,MATCH('Retirement Calculator'!A699,'Isaac 401k'!N:N,0),0)</f>
        <v>-1360916.7242023428</v>
      </c>
      <c r="R699" s="25">
        <f t="array" aca="1" ref="R699" ca="1">INDEX('Lorri 401b'!L:L,MATCH('Retirement Calculator'!A699,'Lorri 401b'!N:N,0),0)</f>
        <v>-3370907.6107556899</v>
      </c>
      <c r="S699" s="25">
        <f t="shared" ca="1" si="527"/>
        <v>-4731824.3349580327</v>
      </c>
    </row>
    <row r="700" spans="1:19" ht="15.75" customHeight="1" x14ac:dyDescent="0.3">
      <c r="A700" s="37">
        <v>72260</v>
      </c>
      <c r="B700" s="409">
        <f t="shared" ref="B700:C700" si="706">($A700-B$9)/365.25</f>
        <v>115.95893223819301</v>
      </c>
      <c r="C700" s="409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2192</v>
      </c>
      <c r="I700" s="25">
        <f>IF(C700&lt;62,0,'Combined Retirement'!$I$13)</f>
        <v>2420</v>
      </c>
      <c r="J700" s="25">
        <f t="shared" si="523"/>
        <v>7863.2184191855868</v>
      </c>
      <c r="K700" s="25">
        <f t="shared" si="524"/>
        <v>20282.026119384056</v>
      </c>
      <c r="L700" s="25"/>
      <c r="N700" s="25">
        <f>'Combined Retirement'!$C$18/12</f>
        <v>39153.069999999992</v>
      </c>
      <c r="O700" s="25">
        <f t="shared" si="525"/>
        <v>11007.82546143035</v>
      </c>
      <c r="P700" s="25">
        <f t="shared" si="526"/>
        <v>28145.244538569641</v>
      </c>
      <c r="Q700" s="25">
        <f t="array" aca="1" ref="Q700" ca="1">INDEX('Isaac 401k'!L:L,MATCH('Retirement Calculator'!A700,'Isaac 401k'!N:N,0),0)</f>
        <v>-1374483.1923824514</v>
      </c>
      <c r="R700" s="25">
        <f t="array" aca="1" ref="R700" ca="1">INDEX('Lorri 401b'!L:L,MATCH('Retirement Calculator'!A700,'Lorri 401b'!N:N,0),0)</f>
        <v>-3405319.5936953868</v>
      </c>
      <c r="S700" s="25">
        <f t="shared" ca="1" si="527"/>
        <v>-4779802.7860778384</v>
      </c>
    </row>
    <row r="701" spans="1:19" ht="15.75" customHeight="1" x14ac:dyDescent="0.3">
      <c r="A701" s="37">
        <v>72290</v>
      </c>
      <c r="B701" s="409">
        <f t="shared" ref="B701:C701" si="707">($A701-B$9)/365.25</f>
        <v>116.04106776180699</v>
      </c>
      <c r="C701" s="409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2192</v>
      </c>
      <c r="I701" s="25">
        <f>IF(C701&lt;62,0,'Combined Retirement'!$I$13)</f>
        <v>2420</v>
      </c>
      <c r="J701" s="25">
        <f t="shared" si="523"/>
        <v>7863.2184191855868</v>
      </c>
      <c r="K701" s="25">
        <f t="shared" si="524"/>
        <v>20282.026119384056</v>
      </c>
      <c r="L701" s="25"/>
      <c r="N701" s="25">
        <f>'Combined Retirement'!$C$18/12</f>
        <v>39153.069999999992</v>
      </c>
      <c r="O701" s="25">
        <f t="shared" si="525"/>
        <v>11007.82546143035</v>
      </c>
      <c r="P701" s="25">
        <f t="shared" si="526"/>
        <v>28145.244538569641</v>
      </c>
      <c r="Q701" s="25">
        <f t="array" aca="1" ref="Q701" ca="1">INDEX('Isaac 401k'!L:L,MATCH('Retirement Calculator'!A701,'Isaac 401k'!N:N,0),0)</f>
        <v>-1388106.1875133105</v>
      </c>
      <c r="R701" s="25">
        <f t="array" aca="1" ref="R701" ca="1">INDEX('Lorri 401b'!L:L,MATCH('Retirement Calculator'!A701,'Lorri 401b'!N:N,0),0)</f>
        <v>-3439874.9598973324</v>
      </c>
      <c r="S701" s="25">
        <f t="shared" ca="1" si="527"/>
        <v>-4827981.1474106424</v>
      </c>
    </row>
    <row r="702" spans="1:19" ht="15.75" customHeight="1" x14ac:dyDescent="0.3">
      <c r="A702" s="37">
        <v>72321</v>
      </c>
      <c r="B702" s="409">
        <f t="shared" ref="B702:C702" si="708">($A702-B$9)/365.25</f>
        <v>116.12594113620807</v>
      </c>
      <c r="C702" s="409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2192</v>
      </c>
      <c r="I702" s="25">
        <f>IF(C702&lt;62,0,'Combined Retirement'!$I$13)</f>
        <v>2420</v>
      </c>
      <c r="J702" s="25">
        <f t="shared" si="523"/>
        <v>7863.2184191855868</v>
      </c>
      <c r="K702" s="25">
        <f t="shared" si="524"/>
        <v>20282.026119384056</v>
      </c>
      <c r="L702" s="25"/>
      <c r="N702" s="25">
        <f>'Combined Retirement'!$C$18/12</f>
        <v>39153.069999999992</v>
      </c>
      <c r="O702" s="25">
        <f t="shared" si="525"/>
        <v>11007.82546143035</v>
      </c>
      <c r="P702" s="25">
        <f t="shared" si="526"/>
        <v>28145.244538569641</v>
      </c>
      <c r="Q702" s="25">
        <f t="array" aca="1" ref="Q702" ca="1">INDEX('Isaac 401k'!L:L,MATCH('Retirement Calculator'!A702,'Isaac 401k'!N:N,0),0)</f>
        <v>-1401785.9451238816</v>
      </c>
      <c r="R702" s="25">
        <f t="array" aca="1" ref="R702" ca="1">INDEX('Lorri 401b'!L:L,MATCH('Retirement Calculator'!A702,'Lorri 401b'!N:N,0),0)</f>
        <v>-3474574.3067917861</v>
      </c>
      <c r="S702" s="25">
        <f t="shared" ca="1" si="527"/>
        <v>-4876360.2519156672</v>
      </c>
    </row>
    <row r="703" spans="1:19" ht="15.75" customHeight="1" x14ac:dyDescent="0.3">
      <c r="A703" s="37">
        <v>72352</v>
      </c>
      <c r="B703" s="409">
        <f t="shared" ref="B703:C703" si="709">($A703-B$9)/365.25</f>
        <v>116.21081451060917</v>
      </c>
      <c r="C703" s="409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2192</v>
      </c>
      <c r="I703" s="25">
        <f>IF(C703&lt;62,0,'Combined Retirement'!$I$13)</f>
        <v>2420</v>
      </c>
      <c r="J703" s="25">
        <f t="shared" si="523"/>
        <v>7863.2184191855868</v>
      </c>
      <c r="K703" s="25">
        <f t="shared" si="524"/>
        <v>20282.026119384056</v>
      </c>
      <c r="L703" s="25"/>
      <c r="N703" s="25">
        <f>'Combined Retirement'!$C$18/12</f>
        <v>39153.069999999992</v>
      </c>
      <c r="O703" s="25">
        <f t="shared" si="525"/>
        <v>11007.82546143035</v>
      </c>
      <c r="P703" s="25">
        <f t="shared" si="526"/>
        <v>28145.244538569641</v>
      </c>
      <c r="Q703" s="25">
        <f t="array" aca="1" ref="Q703" ca="1">INDEX('Isaac 401k'!L:L,MATCH('Retirement Calculator'!A703,'Isaac 401k'!N:N,0),0)</f>
        <v>-1415522.7017244967</v>
      </c>
      <c r="R703" s="25">
        <f t="array" aca="1" ref="R703" ca="1">INDEX('Lorri 401b'!L:L,MATCH('Retirement Calculator'!A703,'Lorri 401b'!N:N,0),0)</f>
        <v>-3509418.2342983</v>
      </c>
      <c r="S703" s="25">
        <f t="shared" ca="1" si="527"/>
        <v>-4924940.9360227967</v>
      </c>
    </row>
    <row r="704" spans="1:19" ht="15.75" customHeight="1" x14ac:dyDescent="0.3">
      <c r="A704" s="37">
        <v>72380</v>
      </c>
      <c r="B704" s="409">
        <f t="shared" ref="B704:C704" si="710">($A704-B$9)/365.25</f>
        <v>116.28747433264887</v>
      </c>
      <c r="C704" s="409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2192</v>
      </c>
      <c r="I704" s="25">
        <f>IF(C704&lt;62,0,'Combined Retirement'!$I$13)</f>
        <v>2420</v>
      </c>
      <c r="J704" s="25">
        <f t="shared" si="523"/>
        <v>7863.2184191855868</v>
      </c>
      <c r="K704" s="25">
        <f t="shared" si="524"/>
        <v>20282.026119384056</v>
      </c>
      <c r="L704" s="25"/>
      <c r="N704" s="25">
        <f>'Combined Retirement'!$C$18/12</f>
        <v>39153.069999999992</v>
      </c>
      <c r="O704" s="25">
        <f t="shared" si="525"/>
        <v>11007.82546143035</v>
      </c>
      <c r="P704" s="25">
        <f t="shared" si="526"/>
        <v>28145.244538569641</v>
      </c>
      <c r="Q704" s="25">
        <f t="array" aca="1" ref="Q704" ca="1">INDEX('Isaac 401k'!L:L,MATCH('Retirement Calculator'!A704,'Isaac 401k'!N:N,0),0)</f>
        <v>-1429316.6948109476</v>
      </c>
      <c r="R704" s="25">
        <f t="array" aca="1" ref="R704" ca="1">INDEX('Lorri 401b'!L:L,MATCH('Retirement Calculator'!A704,'Lorri 401b'!N:N,0),0)</f>
        <v>-3544407.3448360912</v>
      </c>
      <c r="S704" s="25">
        <f t="shared" ca="1" si="527"/>
        <v>-4973724.039647039</v>
      </c>
    </row>
    <row r="705" spans="1:19" ht="15.75" customHeight="1" x14ac:dyDescent="0.3">
      <c r="A705" s="37">
        <v>72411</v>
      </c>
      <c r="B705" s="409">
        <f t="shared" ref="B705:C705" si="711">($A705-B$9)/365.25</f>
        <v>116.37234770704997</v>
      </c>
      <c r="C705" s="409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2192</v>
      </c>
      <c r="I705" s="25">
        <f>IF(C705&lt;62,0,'Combined Retirement'!$I$13)</f>
        <v>2420</v>
      </c>
      <c r="J705" s="25">
        <f t="shared" si="523"/>
        <v>7863.2184191855868</v>
      </c>
      <c r="K705" s="25">
        <f t="shared" si="524"/>
        <v>20282.026119384056</v>
      </c>
      <c r="L705" s="25"/>
      <c r="N705" s="25">
        <f>'Combined Retirement'!$C$18/12</f>
        <v>39153.069999999992</v>
      </c>
      <c r="O705" s="25">
        <f t="shared" si="525"/>
        <v>11007.82546143035</v>
      </c>
      <c r="P705" s="25">
        <f t="shared" si="526"/>
        <v>28145.244538569641</v>
      </c>
      <c r="Q705" s="25">
        <f t="array" aca="1" ref="Q705" ca="1">INDEX('Isaac 401k'!L:L,MATCH('Retirement Calculator'!A705,'Isaac 401k'!N:N,0),0)</f>
        <v>-1443168.1628685922</v>
      </c>
      <c r="R705" s="25">
        <f t="array" aca="1" ref="R705" ca="1">INDEX('Lorri 401b'!L:L,MATCH('Retirement Calculator'!A705,'Lorri 401b'!N:N,0),0)</f>
        <v>-3579542.2433344563</v>
      </c>
      <c r="S705" s="25">
        <f t="shared" ca="1" si="527"/>
        <v>-5022710.4062030483</v>
      </c>
    </row>
    <row r="706" spans="1:19" ht="15.75" customHeight="1" x14ac:dyDescent="0.3">
      <c r="A706" s="37">
        <v>72441</v>
      </c>
      <c r="B706" s="409">
        <f t="shared" ref="B706:C706" si="712">($A706-B$9)/365.25</f>
        <v>116.45448323066393</v>
      </c>
      <c r="C706" s="409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2192</v>
      </c>
      <c r="I706" s="25">
        <f>IF(C706&lt;62,0,'Combined Retirement'!$I$13)</f>
        <v>2420</v>
      </c>
      <c r="J706" s="25">
        <f t="shared" si="523"/>
        <v>7863.2184191855868</v>
      </c>
      <c r="K706" s="25">
        <f t="shared" si="524"/>
        <v>20282.026119384056</v>
      </c>
      <c r="L706" s="25"/>
      <c r="N706" s="25">
        <f>'Combined Retirement'!$C$18/12</f>
        <v>39153.069999999992</v>
      </c>
      <c r="O706" s="25">
        <f t="shared" si="525"/>
        <v>11007.82546143035</v>
      </c>
      <c r="P706" s="25">
        <f t="shared" si="526"/>
        <v>28145.244538569641</v>
      </c>
      <c r="Q706" s="25">
        <f t="array" aca="1" ref="Q706" ca="1">INDEX('Isaac 401k'!L:L,MATCH('Retirement Calculator'!A706,'Isaac 401k'!N:N,0),0)</f>
        <v>-1457077.3453764769</v>
      </c>
      <c r="R706" s="25">
        <f t="array" aca="1" ref="R706" ca="1">INDEX('Lorri 401b'!L:L,MATCH('Retirement Calculator'!A706,'Lorri 401b'!N:N,0),0)</f>
        <v>-3614823.5372432312</v>
      </c>
      <c r="S706" s="25">
        <f t="shared" ca="1" si="527"/>
        <v>-5071900.8826197078</v>
      </c>
    </row>
    <row r="707" spans="1:19" ht="15.75" customHeight="1" x14ac:dyDescent="0.3">
      <c r="A707" s="37">
        <v>72472</v>
      </c>
      <c r="B707" s="409">
        <f t="shared" ref="B707:C707" si="713">($A707-B$9)/365.25</f>
        <v>116.53935660506502</v>
      </c>
      <c r="C707" s="409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2192</v>
      </c>
      <c r="I707" s="25">
        <f>IF(C707&lt;62,0,'Combined Retirement'!$I$13)</f>
        <v>2420</v>
      </c>
      <c r="J707" s="25">
        <f t="shared" si="523"/>
        <v>7863.2184191855868</v>
      </c>
      <c r="K707" s="25">
        <f t="shared" si="524"/>
        <v>20282.026119384056</v>
      </c>
      <c r="L707" s="25"/>
      <c r="N707" s="25">
        <f>'Combined Retirement'!$C$18/12</f>
        <v>39153.069999999992</v>
      </c>
      <c r="O707" s="25">
        <f t="shared" si="525"/>
        <v>11007.82546143035</v>
      </c>
      <c r="P707" s="25">
        <f t="shared" si="526"/>
        <v>28145.244538569641</v>
      </c>
      <c r="Q707" s="25">
        <f t="array" aca="1" ref="Q707" ca="1">INDEX('Isaac 401k'!L:L,MATCH('Retirement Calculator'!A707,'Isaac 401k'!N:N,0),0)</f>
        <v>-1471044.4828114777</v>
      </c>
      <c r="R707" s="25">
        <f t="array" aca="1" ref="R707" ca="1">INDEX('Lorri 401b'!L:L,MATCH('Retirement Calculator'!A707,'Lorri 401b'!N:N,0),0)</f>
        <v>-3650251.8365432927</v>
      </c>
      <c r="S707" s="25">
        <f t="shared" ca="1" si="527"/>
        <v>-5121296.3193547707</v>
      </c>
    </row>
    <row r="708" spans="1:19" ht="15.75" customHeight="1" x14ac:dyDescent="0.3">
      <c r="A708" s="37">
        <v>72502</v>
      </c>
      <c r="B708" s="409">
        <f t="shared" ref="B708:C708" si="714">($A708-B$9)/365.25</f>
        <v>116.62149212867898</v>
      </c>
      <c r="C708" s="409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2192</v>
      </c>
      <c r="I708" s="25">
        <f>IF(C708&lt;62,0,'Combined Retirement'!$I$13)</f>
        <v>2420</v>
      </c>
      <c r="J708" s="25">
        <f t="shared" si="523"/>
        <v>7863.2184191855868</v>
      </c>
      <c r="K708" s="25">
        <f t="shared" si="524"/>
        <v>20282.026119384056</v>
      </c>
      <c r="L708" s="25"/>
      <c r="N708" s="25">
        <f>'Combined Retirement'!$C$18/12</f>
        <v>39153.069999999992</v>
      </c>
      <c r="O708" s="25">
        <f t="shared" si="525"/>
        <v>11007.82546143035</v>
      </c>
      <c r="P708" s="25">
        <f t="shared" si="526"/>
        <v>28145.244538569641</v>
      </c>
      <c r="Q708" s="25">
        <f t="array" aca="1" ref="Q708" ca="1">INDEX('Isaac 401k'!L:L,MATCH('Retirement Calculator'!A708,'Isaac 401k'!N:N,0),0)</f>
        <v>-1485069.8166524577</v>
      </c>
      <c r="R708" s="25">
        <f t="array" aca="1" ref="R708" ca="1">INDEX('Lorri 401b'!L:L,MATCH('Retirement Calculator'!A708,'Lorri 401b'!N:N,0),0)</f>
        <v>-3685827.7537571047</v>
      </c>
      <c r="S708" s="25">
        <f t="shared" ca="1" si="527"/>
        <v>-5170897.5704095624</v>
      </c>
    </row>
    <row r="709" spans="1:19" ht="15.75" customHeight="1" x14ac:dyDescent="0.3">
      <c r="A709" s="37">
        <v>72533</v>
      </c>
      <c r="B709" s="409">
        <f t="shared" ref="B709:C709" si="715">($A709-B$9)/365.25</f>
        <v>116.70636550308008</v>
      </c>
      <c r="C709" s="409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2192</v>
      </c>
      <c r="I709" s="25">
        <f>IF(C709&lt;62,0,'Combined Retirement'!$I$13)</f>
        <v>2420</v>
      </c>
      <c r="J709" s="25">
        <f t="shared" si="523"/>
        <v>7863.2184191855868</v>
      </c>
      <c r="K709" s="25">
        <f t="shared" si="524"/>
        <v>20282.026119384056</v>
      </c>
      <c r="L709" s="25"/>
      <c r="N709" s="25">
        <f>'Combined Retirement'!$C$18/12</f>
        <v>39153.069999999992</v>
      </c>
      <c r="O709" s="25">
        <f t="shared" si="525"/>
        <v>11007.82546143035</v>
      </c>
      <c r="P709" s="25">
        <f t="shared" si="526"/>
        <v>28145.244538569641</v>
      </c>
      <c r="Q709" s="25">
        <f t="array" aca="1" ref="Q709" ca="1">INDEX('Isaac 401k'!L:L,MATCH('Retirement Calculator'!A709,'Isaac 401k'!N:N,0),0)</f>
        <v>-1499153.5893844417</v>
      </c>
      <c r="R709" s="25">
        <f t="array" aca="1" ref="R709" ca="1">INDEX('Lorri 401b'!L:L,MATCH('Retirement Calculator'!A709,'Lorri 401b'!N:N,0),0)</f>
        <v>-3721551.9039593074</v>
      </c>
      <c r="S709" s="25">
        <f t="shared" ca="1" si="527"/>
        <v>-5220705.4933437491</v>
      </c>
    </row>
    <row r="710" spans="1:19" ht="15.75" customHeight="1" x14ac:dyDescent="0.3">
      <c r="A710" s="37">
        <v>72564</v>
      </c>
      <c r="B710" s="409">
        <f t="shared" ref="B710:C710" si="716">($A710-B$9)/365.25</f>
        <v>116.79123887748118</v>
      </c>
      <c r="C710" s="409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2192</v>
      </c>
      <c r="I710" s="25">
        <f>IF(C710&lt;62,0,'Combined Retirement'!$I$13)</f>
        <v>2420</v>
      </c>
      <c r="J710" s="25">
        <f t="shared" si="523"/>
        <v>7863.2184191855868</v>
      </c>
      <c r="K710" s="25">
        <f t="shared" si="524"/>
        <v>20282.026119384056</v>
      </c>
      <c r="L710" s="25"/>
      <c r="N710" s="25">
        <f>'Combined Retirement'!$C$18/12</f>
        <v>39153.069999999992</v>
      </c>
      <c r="O710" s="25">
        <f t="shared" si="525"/>
        <v>11007.82546143035</v>
      </c>
      <c r="P710" s="25">
        <f t="shared" si="526"/>
        <v>28145.244538569641</v>
      </c>
      <c r="Q710" s="25">
        <f t="array" aca="1" ref="Q710" ca="1">INDEX('Isaac 401k'!L:L,MATCH('Retirement Calculator'!A710,'Isaac 401k'!N:N,0),0)</f>
        <v>-1513296.0445028092</v>
      </c>
      <c r="R710" s="25">
        <f t="array" aca="1" ref="R710" ca="1">INDEX('Lorri 401b'!L:L,MATCH('Retirement Calculator'!A710,'Lorri 401b'!N:N,0),0)</f>
        <v>-3757424.9047873528</v>
      </c>
      <c r="S710" s="25">
        <f t="shared" ca="1" si="527"/>
        <v>-5270720.949290162</v>
      </c>
    </row>
    <row r="711" spans="1:19" ht="15.75" customHeight="1" x14ac:dyDescent="0.3">
      <c r="A711" s="37">
        <v>72594</v>
      </c>
      <c r="B711" s="409">
        <f t="shared" ref="B711:C711" si="717">($A711-B$9)/365.25</f>
        <v>116.87337440109513</v>
      </c>
      <c r="C711" s="409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2192</v>
      </c>
      <c r="I711" s="25">
        <f>IF(C711&lt;62,0,'Combined Retirement'!$I$13)</f>
        <v>2420</v>
      </c>
      <c r="J711" s="25">
        <f t="shared" si="523"/>
        <v>7863.2184191855868</v>
      </c>
      <c r="K711" s="25">
        <f t="shared" si="524"/>
        <v>20282.026119384056</v>
      </c>
      <c r="L711" s="25"/>
      <c r="N711" s="25">
        <f>'Combined Retirement'!$C$18/12</f>
        <v>39153.069999999992</v>
      </c>
      <c r="O711" s="25">
        <f t="shared" si="525"/>
        <v>11007.82546143035</v>
      </c>
      <c r="P711" s="25">
        <f t="shared" si="526"/>
        <v>28145.244538569641</v>
      </c>
      <c r="Q711" s="25">
        <f t="array" aca="1" ref="Q711" ca="1">INDEX('Isaac 401k'!L:L,MATCH('Retirement Calculator'!A711,'Isaac 401k'!N:N,0),0)</f>
        <v>-1527497.4265175031</v>
      </c>
      <c r="R711" s="25">
        <f t="array" aca="1" ref="R711" ca="1">INDEX('Lorri 401b'!L:L,MATCH('Retirement Calculator'!A711,'Lorri 401b'!N:N,0),0)</f>
        <v>-3793447.3764521815</v>
      </c>
      <c r="S711" s="25">
        <f t="shared" ca="1" si="527"/>
        <v>-5320944.8029696848</v>
      </c>
    </row>
    <row r="712" spans="1:19" ht="15.75" customHeight="1" x14ac:dyDescent="0.3">
      <c r="A712" s="37">
        <v>72625</v>
      </c>
      <c r="B712" s="409">
        <f t="shared" ref="B712:C712" si="718">($A712-B$9)/365.25</f>
        <v>116.95824777549623</v>
      </c>
      <c r="C712" s="409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2192</v>
      </c>
      <c r="I712" s="25">
        <f>IF(C712&lt;62,0,'Combined Retirement'!$I$13)</f>
        <v>2420</v>
      </c>
      <c r="J712" s="25">
        <f t="shared" si="523"/>
        <v>7863.2184191855868</v>
      </c>
      <c r="K712" s="25">
        <f t="shared" si="524"/>
        <v>20282.026119384056</v>
      </c>
      <c r="L712" s="25"/>
      <c r="N712" s="25">
        <f>'Combined Retirement'!$C$18/12</f>
        <v>39153.069999999992</v>
      </c>
      <c r="O712" s="25">
        <f t="shared" si="525"/>
        <v>11007.82546143035</v>
      </c>
      <c r="P712" s="25">
        <f t="shared" si="526"/>
        <v>28145.244538569641</v>
      </c>
      <c r="Q712" s="25">
        <f t="array" aca="1" ref="Q712" ca="1">INDEX('Isaac 401k'!L:L,MATCH('Retirement Calculator'!A712,'Isaac 401k'!N:N,0),0)</f>
        <v>-1541757.9809572583</v>
      </c>
      <c r="R712" s="25">
        <f t="array" aca="1" ref="R712" ca="1">INDEX('Lorri 401b'!L:L,MATCH('Retirement Calculator'!A712,'Lorri 401b'!N:N,0),0)</f>
        <v>-3829619.9417489469</v>
      </c>
      <c r="S712" s="25">
        <f t="shared" ca="1" si="527"/>
        <v>-5371377.9227062054</v>
      </c>
    </row>
    <row r="713" spans="1:19" ht="15.75" customHeight="1" x14ac:dyDescent="0.3">
      <c r="A713" s="37">
        <v>72655</v>
      </c>
      <c r="B713" s="409">
        <f t="shared" ref="B713:C713" si="719">($A713-B$9)/365.25</f>
        <v>117.0403832991102</v>
      </c>
      <c r="C713" s="409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2192</v>
      </c>
      <c r="I713" s="25">
        <f>IF(C713&lt;62,0,'Combined Retirement'!$I$13)</f>
        <v>2420</v>
      </c>
      <c r="J713" s="25">
        <f t="shared" si="523"/>
        <v>7863.2184191855868</v>
      </c>
      <c r="K713" s="25">
        <f t="shared" si="524"/>
        <v>20282.026119384056</v>
      </c>
      <c r="L713" s="25"/>
      <c r="N713" s="25">
        <f>'Combined Retirement'!$C$18/12</f>
        <v>39153.069999999992</v>
      </c>
      <c r="O713" s="25">
        <f t="shared" si="525"/>
        <v>11007.82546143035</v>
      </c>
      <c r="P713" s="25">
        <f t="shared" si="526"/>
        <v>28145.244538569641</v>
      </c>
      <c r="Q713" s="25">
        <f t="array" aca="1" ref="Q713" ca="1">INDEX('Isaac 401k'!L:L,MATCH('Retirement Calculator'!A713,'Isaac 401k'!N:N,0),0)</f>
        <v>-1556077.9543738458</v>
      </c>
      <c r="R713" s="25">
        <f t="array" aca="1" ref="R713" ca="1">INDEX('Lorri 401b'!L:L,MATCH('Retirement Calculator'!A713,'Lorri 401b'!N:N,0),0)</f>
        <v>-3865943.2260677824</v>
      </c>
      <c r="S713" s="25">
        <f t="shared" ca="1" si="527"/>
        <v>-5422021.1804416282</v>
      </c>
    </row>
    <row r="714" spans="1:19" ht="15.75" customHeight="1" x14ac:dyDescent="0.3">
      <c r="A714" s="37">
        <v>72686</v>
      </c>
      <c r="B714" s="409">
        <f t="shared" ref="B714:C714" si="720">($A714-B$9)/365.25</f>
        <v>117.12525667351129</v>
      </c>
      <c r="C714" s="409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2192</v>
      </c>
      <c r="I714" s="25">
        <f>IF(C714&lt;62,0,'Combined Retirement'!$I$13)</f>
        <v>2420</v>
      </c>
      <c r="J714" s="25">
        <f t="shared" si="523"/>
        <v>7863.2184191855868</v>
      </c>
      <c r="K714" s="25">
        <f t="shared" si="524"/>
        <v>20282.026119384056</v>
      </c>
      <c r="L714" s="25"/>
      <c r="N714" s="25">
        <f>'Combined Retirement'!$C$18/12</f>
        <v>39153.069999999992</v>
      </c>
      <c r="O714" s="25">
        <f t="shared" si="525"/>
        <v>11007.82546143035</v>
      </c>
      <c r="P714" s="25">
        <f t="shared" si="526"/>
        <v>28145.244538569641</v>
      </c>
      <c r="Q714" s="25">
        <f t="array" aca="1" ref="Q714" ca="1">INDEX('Isaac 401k'!L:L,MATCH('Retirement Calculator'!A714,'Isaac 401k'!N:N,0),0)</f>
        <v>-1570457.5943463356</v>
      </c>
      <c r="R714" s="25">
        <f t="array" aca="1" ref="R714" ca="1">INDEX('Lorri 401b'!L:L,MATCH('Retirement Calculator'!A714,'Lorri 401b'!N:N,0),0)</f>
        <v>-3902417.8574046129</v>
      </c>
      <c r="S714" s="25">
        <f t="shared" ca="1" si="527"/>
        <v>-5472875.451750949</v>
      </c>
    </row>
    <row r="715" spans="1:19" ht="15.75" customHeight="1" x14ac:dyDescent="0.3">
      <c r="A715" s="37">
        <v>72717</v>
      </c>
      <c r="B715" s="409">
        <f t="shared" ref="B715:C715" si="721">($A715-B$9)/365.25</f>
        <v>117.21013004791239</v>
      </c>
      <c r="C715" s="409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2192</v>
      </c>
      <c r="I715" s="25">
        <f>IF(C715&lt;62,0,'Combined Retirement'!$I$13)</f>
        <v>2420</v>
      </c>
      <c r="J715" s="25">
        <f t="shared" si="523"/>
        <v>7863.2184191855868</v>
      </c>
      <c r="K715" s="25">
        <f t="shared" si="524"/>
        <v>20282.026119384056</v>
      </c>
      <c r="L715" s="25"/>
      <c r="N715" s="25">
        <f>'Combined Retirement'!$C$18/12</f>
        <v>39153.069999999992</v>
      </c>
      <c r="O715" s="25">
        <f t="shared" si="525"/>
        <v>11007.82546143035</v>
      </c>
      <c r="P715" s="25">
        <f t="shared" si="526"/>
        <v>28145.244538569641</v>
      </c>
      <c r="Q715" s="25">
        <f t="array" aca="1" ref="Q715" ca="1">INDEX('Isaac 401k'!L:L,MATCH('Retirement Calculator'!A715,'Isaac 401k'!N:N,0),0)</f>
        <v>-1584897.1494853776</v>
      </c>
      <c r="R715" s="25">
        <f t="array" aca="1" ref="R715" ca="1">INDEX('Lorri 401b'!L:L,MATCH('Retirement Calculator'!A715,'Lorri 401b'!N:N,0),0)</f>
        <v>-3939044.4663720136</v>
      </c>
      <c r="S715" s="25">
        <f t="shared" ca="1" si="527"/>
        <v>-5523941.6158573907</v>
      </c>
    </row>
    <row r="716" spans="1:19" ht="15.75" customHeight="1" x14ac:dyDescent="0.3">
      <c r="A716" s="37">
        <v>72745</v>
      </c>
      <c r="B716" s="409">
        <f t="shared" ref="B716:C716" si="722">($A716-B$9)/365.25</f>
        <v>117.28678986995209</v>
      </c>
      <c r="C716" s="409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2192</v>
      </c>
      <c r="I716" s="25">
        <f>IF(C716&lt;62,0,'Combined Retirement'!$I$13)</f>
        <v>2420</v>
      </c>
      <c r="J716" s="25">
        <f t="shared" si="523"/>
        <v>7863.2184191855868</v>
      </c>
      <c r="K716" s="25">
        <f t="shared" si="524"/>
        <v>20282.026119384056</v>
      </c>
      <c r="L716" s="25"/>
      <c r="N716" s="25">
        <f>'Combined Retirement'!$C$18/12</f>
        <v>39153.069999999992</v>
      </c>
      <c r="O716" s="25">
        <f t="shared" si="525"/>
        <v>11007.82546143035</v>
      </c>
      <c r="P716" s="25">
        <f t="shared" si="526"/>
        <v>28145.244538569641</v>
      </c>
      <c r="Q716" s="25">
        <f t="array" aca="1" ref="Q716" ca="1">INDEX('Isaac 401k'!L:L,MATCH('Retirement Calculator'!A716,'Isaac 401k'!N:N,0),0)</f>
        <v>-1599396.869437499</v>
      </c>
      <c r="R716" s="25">
        <f t="array" aca="1" ref="R716" ca="1">INDEX('Lorri 401b'!L:L,MATCH('Retirement Calculator'!A716,'Lorri 401b'!N:N,0),0)</f>
        <v>-3975823.6862101117</v>
      </c>
      <c r="S716" s="25">
        <f t="shared" ca="1" si="527"/>
        <v>-5575220.5556476107</v>
      </c>
    </row>
    <row r="717" spans="1:19" ht="15.75" customHeight="1" x14ac:dyDescent="0.3">
      <c r="A717" s="37">
        <v>72776</v>
      </c>
      <c r="B717" s="409">
        <f t="shared" ref="B717:C717" si="723">($A717-B$9)/365.25</f>
        <v>117.37166324435319</v>
      </c>
      <c r="C717" s="409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2192</v>
      </c>
      <c r="I717" s="25">
        <f>IF(C717&lt;62,0,'Combined Retirement'!$I$13)</f>
        <v>2420</v>
      </c>
      <c r="J717" s="25">
        <f t="shared" si="523"/>
        <v>7863.2184191855868</v>
      </c>
      <c r="K717" s="25">
        <f t="shared" si="524"/>
        <v>20282.026119384056</v>
      </c>
      <c r="L717" s="25"/>
      <c r="N717" s="25">
        <f>'Combined Retirement'!$C$18/12</f>
        <v>39153.069999999992</v>
      </c>
      <c r="O717" s="25">
        <f t="shared" si="525"/>
        <v>11007.82546143035</v>
      </c>
      <c r="P717" s="25">
        <f t="shared" si="526"/>
        <v>28145.244538569641</v>
      </c>
      <c r="Q717" s="25">
        <f t="array" aca="1" ref="Q717" ca="1">INDEX('Isaac 401k'!L:L,MATCH('Retirement Calculator'!A717,'Isaac 401k'!N:N,0),0)</f>
        <v>-1613957.0048894207</v>
      </c>
      <c r="R717" s="25">
        <f t="array" aca="1" ref="R717" ca="1">INDEX('Lorri 401b'!L:L,MATCH('Retirement Calculator'!A717,'Lorri 401b'!N:N,0),0)</f>
        <v>-4012756.1527975351</v>
      </c>
      <c r="S717" s="25">
        <f t="shared" ca="1" si="527"/>
        <v>-5626713.1576869562</v>
      </c>
    </row>
    <row r="718" spans="1:19" ht="15.75" customHeight="1" x14ac:dyDescent="0.3">
      <c r="A718" s="37">
        <v>72806</v>
      </c>
      <c r="B718" s="409">
        <f t="shared" ref="B718:C718" si="724">($A718-B$9)/365.25</f>
        <v>117.45379876796714</v>
      </c>
      <c r="C718" s="409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2192</v>
      </c>
      <c r="I718" s="25">
        <f>IF(C718&lt;62,0,'Combined Retirement'!$I$13)</f>
        <v>2420</v>
      </c>
      <c r="J718" s="25">
        <f t="shared" si="523"/>
        <v>7863.2184191855868</v>
      </c>
      <c r="K718" s="25">
        <f t="shared" si="524"/>
        <v>20282.026119384056</v>
      </c>
      <c r="L718" s="25"/>
      <c r="N718" s="25">
        <f>'Combined Retirement'!$C$18/12</f>
        <v>39153.069999999992</v>
      </c>
      <c r="O718" s="25">
        <f t="shared" si="525"/>
        <v>11007.82546143035</v>
      </c>
      <c r="P718" s="25">
        <f t="shared" si="526"/>
        <v>28145.244538569641</v>
      </c>
      <c r="Q718" s="25">
        <f t="array" aca="1" ref="Q718" ca="1">INDEX('Isaac 401k'!L:L,MATCH('Retirement Calculator'!A718,'Isaac 401k'!N:N,0),0)</f>
        <v>-1628577.8075723923</v>
      </c>
      <c r="R718" s="25">
        <f t="array" aca="1" ref="R718" ca="1">INDEX('Lorri 401b'!L:L,MATCH('Retirement Calculator'!A718,'Lorri 401b'!N:N,0),0)</f>
        <v>-4049842.5046624062</v>
      </c>
      <c r="S718" s="25">
        <f t="shared" ca="1" si="527"/>
        <v>-5678420.3122347984</v>
      </c>
    </row>
    <row r="719" spans="1:19" ht="15.75" customHeight="1" x14ac:dyDescent="0.3">
      <c r="A719" s="37">
        <v>72837</v>
      </c>
      <c r="B719" s="409">
        <f t="shared" ref="B719:C719" si="725">($A719-B$9)/365.25</f>
        <v>117.53867214236824</v>
      </c>
      <c r="C719" s="409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2192</v>
      </c>
      <c r="I719" s="25">
        <f>IF(C719&lt;62,0,'Combined Retirement'!$I$13)</f>
        <v>2420</v>
      </c>
      <c r="J719" s="25">
        <f t="shared" si="523"/>
        <v>7863.2184191855868</v>
      </c>
      <c r="K719" s="25">
        <f t="shared" si="524"/>
        <v>20282.026119384056</v>
      </c>
      <c r="L719" s="25"/>
      <c r="N719" s="25">
        <f>'Combined Retirement'!$C$18/12</f>
        <v>39153.069999999992</v>
      </c>
      <c r="O719" s="25">
        <f t="shared" si="525"/>
        <v>11007.82546143035</v>
      </c>
      <c r="P719" s="25">
        <f t="shared" si="526"/>
        <v>28145.244538569641</v>
      </c>
      <c r="Q719" s="25">
        <f t="array" aca="1" ref="Q719" ca="1">INDEX('Isaac 401k'!L:L,MATCH('Retirement Calculator'!A719,'Isaac 401k'!N:N,0),0)</f>
        <v>-1643259.5302665427</v>
      </c>
      <c r="R719" s="25">
        <f t="array" aca="1" ref="R719" ca="1">INDEX('Lorri 401b'!L:L,MATCH('Retirement Calculator'!A719,'Lorri 401b'!N:N,0),0)</f>
        <v>-4087083.382993381</v>
      </c>
      <c r="S719" s="25">
        <f t="shared" ca="1" si="527"/>
        <v>-5730342.9132599235</v>
      </c>
    </row>
    <row r="720" spans="1:19" ht="15.75" customHeight="1" x14ac:dyDescent="0.3">
      <c r="A720" s="37">
        <v>72867</v>
      </c>
      <c r="B720" s="409">
        <f t="shared" ref="B720:C720" si="726">($A720-B$9)/365.25</f>
        <v>117.6208076659822</v>
      </c>
      <c r="C720" s="409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2192</v>
      </c>
      <c r="I720" s="25">
        <f>IF(C720&lt;62,0,'Combined Retirement'!$I$13)</f>
        <v>2420</v>
      </c>
      <c r="J720" s="25">
        <f t="shared" si="523"/>
        <v>7863.2184191855868</v>
      </c>
      <c r="K720" s="25">
        <f t="shared" si="524"/>
        <v>20282.026119384056</v>
      </c>
      <c r="L720" s="25"/>
      <c r="N720" s="25">
        <f>'Combined Retirement'!$C$18/12</f>
        <v>39153.069999999992</v>
      </c>
      <c r="O720" s="25">
        <f t="shared" si="525"/>
        <v>11007.82546143035</v>
      </c>
      <c r="P720" s="25">
        <f t="shared" si="526"/>
        <v>28145.244538569641</v>
      </c>
      <c r="Q720" s="25">
        <f t="array" aca="1" ref="Q720" ca="1">INDEX('Isaac 401k'!L:L,MATCH('Retirement Calculator'!A720,'Isaac 401k'!N:N,0),0)</f>
        <v>-1658002.4268052522</v>
      </c>
      <c r="R720" s="25">
        <f t="array" aca="1" ref="R720" ca="1">INDEX('Lorri 401b'!L:L,MATCH('Retirement Calculator'!A720,'Lorri 401b'!N:N,0),0)</f>
        <v>-4124479.431650735</v>
      </c>
      <c r="S720" s="25">
        <f t="shared" ca="1" si="527"/>
        <v>-5782481.8584559876</v>
      </c>
    </row>
    <row r="721" spans="1:19" ht="15.75" customHeight="1" x14ac:dyDescent="0.3">
      <c r="A721" s="37">
        <v>72898</v>
      </c>
      <c r="B721" s="409">
        <f t="shared" ref="B721:C721" si="727">($A721-B$9)/365.25</f>
        <v>117.7056810403833</v>
      </c>
      <c r="C721" s="409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2192</v>
      </c>
      <c r="I721" s="25">
        <f>IF(C721&lt;62,0,'Combined Retirement'!$I$13)</f>
        <v>2420</v>
      </c>
      <c r="J721" s="25">
        <f t="shared" si="523"/>
        <v>7863.2184191855868</v>
      </c>
      <c r="K721" s="25">
        <f t="shared" si="524"/>
        <v>20282.026119384056</v>
      </c>
      <c r="L721" s="25"/>
      <c r="N721" s="25">
        <f>'Combined Retirement'!$C$18/12</f>
        <v>39153.069999999992</v>
      </c>
      <c r="O721" s="25">
        <f t="shared" si="525"/>
        <v>11007.82546143035</v>
      </c>
      <c r="P721" s="25">
        <f t="shared" si="526"/>
        <v>28145.244538569641</v>
      </c>
      <c r="Q721" s="25">
        <f t="array" aca="1" ref="Q721" ca="1">INDEX('Isaac 401k'!L:L,MATCH('Retirement Calculator'!A721,'Isaac 401k'!N:N,0),0)</f>
        <v>-1672806.7520795397</v>
      </c>
      <c r="R721" s="25">
        <f t="array" aca="1" ref="R721" ca="1">INDEX('Lorri 401b'!L:L,MATCH('Retirement Calculator'!A721,'Lorri 401b'!N:N,0),0)</f>
        <v>-4162031.2971774945</v>
      </c>
      <c r="S721" s="25">
        <f t="shared" ca="1" si="527"/>
        <v>-5834838.0492570344</v>
      </c>
    </row>
    <row r="722" spans="1:19" ht="15.75" customHeight="1" x14ac:dyDescent="0.3">
      <c r="A722" s="37">
        <v>72929</v>
      </c>
      <c r="B722" s="409">
        <f t="shared" ref="B722:C722" si="728">($A722-B$9)/365.25</f>
        <v>117.7905544147844</v>
      </c>
      <c r="C722" s="409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2192</v>
      </c>
      <c r="I722" s="25">
        <f>IF(C722&lt;62,0,'Combined Retirement'!$I$13)</f>
        <v>2420</v>
      </c>
      <c r="J722" s="25">
        <f t="shared" si="523"/>
        <v>7863.2184191855868</v>
      </c>
      <c r="K722" s="25">
        <f t="shared" si="524"/>
        <v>20282.026119384056</v>
      </c>
      <c r="L722" s="25"/>
      <c r="N722" s="25">
        <f>'Combined Retirement'!$C$18/12</f>
        <v>39153.069999999992</v>
      </c>
      <c r="O722" s="25">
        <f t="shared" si="525"/>
        <v>11007.82546143035</v>
      </c>
      <c r="P722" s="25">
        <f t="shared" si="526"/>
        <v>28145.244538569641</v>
      </c>
      <c r="Q722" s="25">
        <f t="array" aca="1" ref="Q722" ca="1">INDEX('Isaac 401k'!L:L,MATCH('Retirement Calculator'!A722,'Isaac 401k'!N:N,0),0)</f>
        <v>-1687672.76204247</v>
      </c>
      <c r="R722" s="25">
        <f t="array" aca="1" ref="R722" ca="1">INDEX('Lorri 401b'!L:L,MATCH('Retirement Calculator'!A722,'Lorri 401b'!N:N,0),0)</f>
        <v>-4199739.6288106153</v>
      </c>
      <c r="S722" s="25">
        <f t="shared" ca="1" si="527"/>
        <v>-5887412.3908530856</v>
      </c>
    </row>
    <row r="723" spans="1:19" ht="15.75" customHeight="1" x14ac:dyDescent="0.3">
      <c r="A723" s="37">
        <v>72959</v>
      </c>
      <c r="B723" s="409">
        <f t="shared" ref="B723:C723" si="729">($A723-B$9)/365.25</f>
        <v>117.87268993839835</v>
      </c>
      <c r="C723" s="409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2192</v>
      </c>
      <c r="I723" s="25">
        <f>IF(C723&lt;62,0,'Combined Retirement'!$I$13)</f>
        <v>2420</v>
      </c>
      <c r="J723" s="25">
        <f t="shared" si="523"/>
        <v>7863.2184191855868</v>
      </c>
      <c r="K723" s="25">
        <f t="shared" si="524"/>
        <v>20282.026119384056</v>
      </c>
      <c r="L723" s="25"/>
      <c r="N723" s="25">
        <f>'Combined Retirement'!$C$18/12</f>
        <v>39153.069999999992</v>
      </c>
      <c r="O723" s="25">
        <f t="shared" si="525"/>
        <v>11007.82546143035</v>
      </c>
      <c r="P723" s="25">
        <f t="shared" si="526"/>
        <v>28145.244538569641</v>
      </c>
      <c r="Q723" s="25">
        <f t="array" aca="1" ref="Q723" ca="1">INDEX('Isaac 401k'!L:L,MATCH('Retirement Calculator'!A723,'Isaac 401k'!N:N,0),0)</f>
        <v>-1702600.7137135791</v>
      </c>
      <c r="R723" s="25">
        <f t="array" aca="1" ref="R723" ca="1">INDEX('Lorri 401b'!L:L,MATCH('Retirement Calculator'!A723,'Lorri 401b'!N:N,0),0)</f>
        <v>-4237605.0784922075</v>
      </c>
      <c r="S723" s="25">
        <f t="shared" ca="1" si="527"/>
        <v>-5940205.7922057863</v>
      </c>
    </row>
    <row r="724" spans="1:19" ht="15.75" customHeight="1" x14ac:dyDescent="0.3">
      <c r="A724" s="37">
        <v>72990</v>
      </c>
      <c r="B724" s="409">
        <f t="shared" ref="B724:C724" si="730">($A724-B$9)/365.25</f>
        <v>117.95756331279945</v>
      </c>
      <c r="C724" s="409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2192</v>
      </c>
      <c r="I724" s="25">
        <f>IF(C724&lt;62,0,'Combined Retirement'!$I$13)</f>
        <v>2420</v>
      </c>
      <c r="J724" s="25">
        <f t="shared" si="523"/>
        <v>7863.2184191855868</v>
      </c>
      <c r="K724" s="25">
        <f t="shared" si="524"/>
        <v>20282.026119384056</v>
      </c>
      <c r="L724" s="25"/>
      <c r="N724" s="25">
        <f>'Combined Retirement'!$C$18/12</f>
        <v>39153.069999999992</v>
      </c>
      <c r="O724" s="25">
        <f t="shared" si="525"/>
        <v>11007.82546143035</v>
      </c>
      <c r="P724" s="25">
        <f t="shared" si="526"/>
        <v>28145.244538569641</v>
      </c>
      <c r="Q724" s="25">
        <f t="array" aca="1" ref="Q724" ca="1">INDEX('Isaac 401k'!L:L,MATCH('Retirement Calculator'!A724,'Isaac 401k'!N:N,0),0)</f>
        <v>-1717590.8651833178</v>
      </c>
      <c r="R724" s="25">
        <f t="array" aca="1" ref="R724" ca="1">INDEX('Lorri 401b'!L:L,MATCH('Retirement Calculator'!A724,'Lorri 401b'!N:N,0),0)</f>
        <v>-4275628.3008808065</v>
      </c>
      <c r="S724" s="25">
        <f t="shared" ca="1" si="527"/>
        <v>-5993219.1660641246</v>
      </c>
    </row>
    <row r="725" spans="1:19" ht="15.75" customHeight="1" x14ac:dyDescent="0.3">
      <c r="A725" s="37">
        <v>73020</v>
      </c>
      <c r="B725" s="409">
        <f t="shared" ref="B725:C725" si="731">($A725-B$9)/365.25</f>
        <v>118.03969883641342</v>
      </c>
      <c r="C725" s="409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2192</v>
      </c>
      <c r="I725" s="25">
        <f>IF(C725&lt;62,0,'Combined Retirement'!$I$13)</f>
        <v>2420</v>
      </c>
      <c r="J725" s="25">
        <f t="shared" si="523"/>
        <v>7863.2184191855868</v>
      </c>
      <c r="K725" s="25">
        <f t="shared" si="524"/>
        <v>20282.026119384056</v>
      </c>
      <c r="L725" s="25"/>
      <c r="N725" s="25">
        <f>'Combined Retirement'!$C$18/12</f>
        <v>39153.069999999992</v>
      </c>
      <c r="O725" s="25">
        <f t="shared" si="525"/>
        <v>11007.82546143035</v>
      </c>
      <c r="P725" s="25">
        <f t="shared" si="526"/>
        <v>28145.244538569641</v>
      </c>
      <c r="Q725" s="25">
        <f t="array" aca="1" ref="Q725" ca="1">INDEX('Isaac 401k'!L:L,MATCH('Retirement Calculator'!A725,'Isaac 401k'!N:N,0),0)</f>
        <v>-1732643.4756175138</v>
      </c>
      <c r="R725" s="25">
        <f t="array" aca="1" ref="R725" ca="1">INDEX('Lorri 401b'!L:L,MATCH('Retirement Calculator'!A725,'Lorri 401b'!N:N,0),0)</f>
        <v>-4313809.9533626912</v>
      </c>
      <c r="S725" s="25">
        <f t="shared" ca="1" si="527"/>
        <v>-6046453.4289802052</v>
      </c>
    </row>
    <row r="726" spans="1:19" ht="15.75" customHeight="1" x14ac:dyDescent="0.3">
      <c r="A726" s="37">
        <v>73051</v>
      </c>
      <c r="B726" s="409">
        <f t="shared" ref="B726:C726" si="732">($A726-B$9)/365.25</f>
        <v>118.12457221081451</v>
      </c>
      <c r="C726" s="409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2192</v>
      </c>
      <c r="I726" s="25">
        <f>IF(C726&lt;62,0,'Combined Retirement'!$I$13)</f>
        <v>2420</v>
      </c>
      <c r="J726" s="25">
        <f t="shared" si="523"/>
        <v>7863.2184191855868</v>
      </c>
      <c r="K726" s="25">
        <f t="shared" si="524"/>
        <v>20282.026119384056</v>
      </c>
      <c r="L726" s="25"/>
      <c r="N726" s="25">
        <f>'Combined Retirement'!$C$18/12</f>
        <v>39153.069999999992</v>
      </c>
      <c r="O726" s="25">
        <f t="shared" si="525"/>
        <v>11007.82546143035</v>
      </c>
      <c r="P726" s="25">
        <f t="shared" si="526"/>
        <v>28145.244538569641</v>
      </c>
      <c r="Q726" s="25">
        <f t="array" aca="1" ref="Q726" ca="1">INDEX('Isaac 401k'!L:L,MATCH('Retirement Calculator'!A726,'Isaac 401k'!N:N,0),0)</f>
        <v>-1747758.8052618522</v>
      </c>
      <c r="R726" s="25">
        <f t="array" aca="1" ref="R726" ca="1">INDEX('Lorri 401b'!L:L,MATCH('Retirement Calculator'!A726,'Lorri 401b'!N:N,0),0)</f>
        <v>-4352150.6960632503</v>
      </c>
      <c r="S726" s="25">
        <f t="shared" ca="1" si="527"/>
        <v>-6099909.5013251025</v>
      </c>
    </row>
    <row r="727" spans="1:19" ht="15.75" customHeight="1" x14ac:dyDescent="0.3">
      <c r="A727" s="37">
        <v>73082</v>
      </c>
      <c r="B727" s="409">
        <f t="shared" ref="B727:C727" si="733">($A727-B$9)/365.25</f>
        <v>118.2094455852156</v>
      </c>
      <c r="C727" s="409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2192</v>
      </c>
      <c r="I727" s="25">
        <f>IF(C727&lt;62,0,'Combined Retirement'!$I$13)</f>
        <v>2420</v>
      </c>
      <c r="J727" s="25">
        <f t="shared" si="523"/>
        <v>7863.2184191855868</v>
      </c>
      <c r="K727" s="25">
        <f t="shared" si="524"/>
        <v>20282.026119384056</v>
      </c>
      <c r="L727" s="25"/>
      <c r="N727" s="25">
        <f>'Combined Retirement'!$C$18/12</f>
        <v>39153.069999999992</v>
      </c>
      <c r="O727" s="25">
        <f t="shared" si="525"/>
        <v>11007.82546143035</v>
      </c>
      <c r="P727" s="25">
        <f t="shared" si="526"/>
        <v>28145.244538569641</v>
      </c>
      <c r="Q727" s="25">
        <f t="array" aca="1" ref="Q727" ca="1">INDEX('Isaac 401k'!L:L,MATCH('Retirement Calculator'!A727,'Isaac 401k'!N:N,0),0)</f>
        <v>-1762937.1154463755</v>
      </c>
      <c r="R727" s="25">
        <f t="array" aca="1" ref="R727" ca="1">INDEX('Lorri 401b'!L:L,MATCH('Retirement Calculator'!A727,'Lorri 401b'!N:N,0),0)</f>
        <v>-4390651.191858395</v>
      </c>
      <c r="S727" s="25">
        <f t="shared" ca="1" si="527"/>
        <v>-6153588.3073047707</v>
      </c>
    </row>
    <row r="728" spans="1:19" ht="15.75" customHeight="1" x14ac:dyDescent="0.3">
      <c r="A728" s="37">
        <v>73110</v>
      </c>
      <c r="B728" s="409">
        <f t="shared" ref="B728:C728" si="734">($A728-B$9)/365.25</f>
        <v>118.28610540725531</v>
      </c>
      <c r="C728" s="409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2192</v>
      </c>
      <c r="I728" s="25">
        <f>IF(C728&lt;62,0,'Combined Retirement'!$I$13)</f>
        <v>2420</v>
      </c>
      <c r="J728" s="25">
        <f t="shared" si="523"/>
        <v>7863.2184191855868</v>
      </c>
      <c r="K728" s="25">
        <f t="shared" si="524"/>
        <v>20282.026119384056</v>
      </c>
      <c r="L728" s="25"/>
      <c r="N728" s="25">
        <f>'Combined Retirement'!$C$18/12</f>
        <v>39153.069999999992</v>
      </c>
      <c r="O728" s="25">
        <f t="shared" si="525"/>
        <v>11007.82546143035</v>
      </c>
      <c r="P728" s="25">
        <f t="shared" si="526"/>
        <v>28145.244538569641</v>
      </c>
      <c r="Q728" s="25">
        <f t="array" aca="1" ref="Q728" ca="1">INDEX('Isaac 401k'!L:L,MATCH('Retirement Calculator'!A728,'Isaac 401k'!N:N,0),0)</f>
        <v>-1778178.6685900008</v>
      </c>
      <c r="R728" s="25">
        <f t="array" aca="1" ref="R728" ca="1">INDEX('Lorri 401b'!L:L,MATCH('Retirement Calculator'!A728,'Lorri 401b'!N:N,0),0)</f>
        <v>-4429312.1063860198</v>
      </c>
      <c r="S728" s="25">
        <f t="shared" ca="1" si="527"/>
        <v>-6207490.7749760207</v>
      </c>
    </row>
    <row r="729" spans="1:19" ht="15.75" customHeight="1" x14ac:dyDescent="0.3">
      <c r="A729" s="37">
        <v>73141</v>
      </c>
      <c r="B729" s="409">
        <f t="shared" ref="B729:C729" si="735">($A729-B$9)/365.25</f>
        <v>118.3709787816564</v>
      </c>
      <c r="C729" s="409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2192</v>
      </c>
      <c r="I729" s="25">
        <f>IF(C729&lt;62,0,'Combined Retirement'!$I$13)</f>
        <v>2420</v>
      </c>
      <c r="J729" s="25">
        <f t="shared" si="523"/>
        <v>7863.2184191855868</v>
      </c>
      <c r="K729" s="25">
        <f t="shared" si="524"/>
        <v>20282.026119384056</v>
      </c>
      <c r="L729" s="25"/>
      <c r="N729" s="25">
        <f>'Combined Retirement'!$C$18/12</f>
        <v>39153.069999999992</v>
      </c>
      <c r="O729" s="25">
        <f t="shared" si="525"/>
        <v>11007.82546143035</v>
      </c>
      <c r="P729" s="25">
        <f t="shared" si="526"/>
        <v>28145.244538569641</v>
      </c>
      <c r="Q729" s="25">
        <f t="array" aca="1" ref="Q729" ca="1">INDEX('Isaac 401k'!L:L,MATCH('Retirement Calculator'!A729,'Isaac 401k'!N:N,0),0)</f>
        <v>-1793483.728205058</v>
      </c>
      <c r="R729" s="25">
        <f t="array" aca="1" ref="R729" ca="1">INDEX('Lorri 401b'!L:L,MATCH('Retirement Calculator'!A729,'Lorri 401b'!N:N,0),0)</f>
        <v>-4468134.1080575101</v>
      </c>
      <c r="S729" s="25">
        <f t="shared" ca="1" si="527"/>
        <v>-6261617.8362625679</v>
      </c>
    </row>
    <row r="730" spans="1:19" ht="15.75" customHeight="1" x14ac:dyDescent="0.3">
      <c r="A730" s="37">
        <v>73171</v>
      </c>
      <c r="B730" s="409">
        <f t="shared" ref="B730:C730" si="736">($A730-B$9)/365.25</f>
        <v>118.45311430527036</v>
      </c>
      <c r="C730" s="409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2192</v>
      </c>
      <c r="I730" s="25">
        <f>IF(C730&lt;62,0,'Combined Retirement'!$I$13)</f>
        <v>2420</v>
      </c>
      <c r="J730" s="25">
        <f t="shared" si="523"/>
        <v>7863.2184191855868</v>
      </c>
      <c r="K730" s="25">
        <f t="shared" si="524"/>
        <v>20282.026119384056</v>
      </c>
      <c r="L730" s="25"/>
      <c r="N730" s="25">
        <f>'Combined Retirement'!$C$18/12</f>
        <v>39153.069999999992</v>
      </c>
      <c r="O730" s="25">
        <f t="shared" si="525"/>
        <v>11007.82546143035</v>
      </c>
      <c r="P730" s="25">
        <f t="shared" si="526"/>
        <v>28145.244538569641</v>
      </c>
      <c r="Q730" s="25">
        <f t="array" aca="1" ref="Q730" ca="1">INDEX('Isaac 401k'!L:L,MATCH('Retirement Calculator'!A730,'Isaac 401k'!N:N,0),0)</f>
        <v>-1808852.5589018445</v>
      </c>
      <c r="R730" s="25">
        <f t="array" aca="1" ref="R730" ca="1">INDEX('Lorri 401b'!L:L,MATCH('Retirement Calculator'!A730,'Lorri 401b'!N:N,0),0)</f>
        <v>-4507117.8680692976</v>
      </c>
      <c r="S730" s="25">
        <f t="shared" ca="1" si="527"/>
        <v>-6315970.4269711422</v>
      </c>
    </row>
    <row r="731" spans="1:19" ht="15.75" customHeight="1" x14ac:dyDescent="0.3">
      <c r="A731" s="37">
        <v>73202</v>
      </c>
      <c r="B731" s="409">
        <f t="shared" ref="B731:C731" si="737">($A731-B$9)/365.25</f>
        <v>118.53798767967146</v>
      </c>
      <c r="C731" s="409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2192</v>
      </c>
      <c r="I731" s="25">
        <f>IF(C731&lt;62,0,'Combined Retirement'!$I$13)</f>
        <v>2420</v>
      </c>
      <c r="J731" s="25">
        <f t="shared" si="523"/>
        <v>7863.2184191855868</v>
      </c>
      <c r="K731" s="25">
        <f t="shared" si="524"/>
        <v>20282.026119384056</v>
      </c>
      <c r="L731" s="25"/>
      <c r="N731" s="25">
        <f>'Combined Retirement'!$C$18/12</f>
        <v>39153.069999999992</v>
      </c>
      <c r="O731" s="25">
        <f t="shared" si="525"/>
        <v>11007.82546143035</v>
      </c>
      <c r="P731" s="25">
        <f t="shared" si="526"/>
        <v>28145.244538569641</v>
      </c>
      <c r="Q731" s="25">
        <f t="array" aca="1" ref="Q731" ca="1">INDEX('Isaac 401k'!L:L,MATCH('Retirement Calculator'!A731,'Isaac 401k'!N:N,0),0)</f>
        <v>-1824285.4263932011</v>
      </c>
      <c r="R731" s="25">
        <f t="array" aca="1" ref="R731" ca="1">INDEX('Lorri 401b'!L:L,MATCH('Retirement Calculator'!A731,'Lorri 401b'!N:N,0),0)</f>
        <v>-4546264.0604144679</v>
      </c>
      <c r="S731" s="25">
        <f t="shared" ca="1" si="527"/>
        <v>-6370549.4868076686</v>
      </c>
    </row>
    <row r="732" spans="1:19" ht="15.75" customHeight="1" x14ac:dyDescent="0.3">
      <c r="A732" s="37">
        <v>73232</v>
      </c>
      <c r="B732" s="409">
        <f t="shared" ref="B732:C732" si="738">($A732-B$9)/365.25</f>
        <v>118.62012320328542</v>
      </c>
      <c r="C732" s="409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2192</v>
      </c>
      <c r="I732" s="25">
        <f>IF(C732&lt;62,0,'Combined Retirement'!$I$13)</f>
        <v>2420</v>
      </c>
      <c r="J732" s="25">
        <f t="shared" si="523"/>
        <v>7863.2184191855868</v>
      </c>
      <c r="K732" s="25">
        <f t="shared" si="524"/>
        <v>20282.026119384056</v>
      </c>
      <c r="L732" s="25"/>
      <c r="N732" s="25">
        <f>'Combined Retirement'!$C$18/12</f>
        <v>39153.069999999992</v>
      </c>
      <c r="O732" s="25">
        <f t="shared" si="525"/>
        <v>11007.82546143035</v>
      </c>
      <c r="P732" s="25">
        <f t="shared" si="526"/>
        <v>28145.244538569641</v>
      </c>
      <c r="Q732" s="25">
        <f t="array" aca="1" ref="Q732" ca="1">INDEX('Isaac 401k'!L:L,MATCH('Retirement Calculator'!A732,'Isaac 401k'!N:N,0),0)</f>
        <v>-1839782.5974991049</v>
      </c>
      <c r="R732" s="25">
        <f t="array" aca="1" ref="R732" ca="1">INDEX('Lorri 401b'!L:L,MATCH('Retirement Calculator'!A732,'Lorri 401b'!N:N,0),0)</f>
        <v>-4585573.3618944101</v>
      </c>
      <c r="S732" s="25">
        <f t="shared" ca="1" si="527"/>
        <v>-6425355.9593935153</v>
      </c>
    </row>
    <row r="733" spans="1:19" ht="15.75" customHeight="1" x14ac:dyDescent="0.3">
      <c r="A733" s="37">
        <v>73263</v>
      </c>
      <c r="B733" s="409">
        <f t="shared" ref="B733:C733" si="739">($A733-B$9)/365.25</f>
        <v>118.70499657768652</v>
      </c>
      <c r="C733" s="409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2192</v>
      </c>
      <c r="I733" s="25">
        <f>IF(C733&lt;62,0,'Combined Retirement'!$I$13)</f>
        <v>2420</v>
      </c>
      <c r="J733" s="25">
        <f t="shared" si="523"/>
        <v>7863.2184191855868</v>
      </c>
      <c r="K733" s="25">
        <f t="shared" si="524"/>
        <v>20282.026119384056</v>
      </c>
      <c r="L733" s="25"/>
      <c r="N733" s="25">
        <f>'Combined Retirement'!$C$18/12</f>
        <v>39153.069999999992</v>
      </c>
      <c r="O733" s="25">
        <f t="shared" si="525"/>
        <v>11007.82546143035</v>
      </c>
      <c r="P733" s="25">
        <f t="shared" si="526"/>
        <v>28145.244538569641</v>
      </c>
      <c r="Q733" s="25">
        <f t="array" aca="1" ref="Q733" ca="1">INDEX('Isaac 401k'!L:L,MATCH('Retirement Calculator'!A733,'Isaac 401k'!N:N,0),0)</f>
        <v>-1855344.3401512834</v>
      </c>
      <c r="R733" s="25">
        <f t="array" aca="1" ref="R733" ca="1">INDEX('Lorri 401b'!L:L,MATCH('Retirement Calculator'!A733,'Lorri 401b'!N:N,0),0)</f>
        <v>-4625046.4521305179</v>
      </c>
      <c r="S733" s="25">
        <f t="shared" ca="1" si="527"/>
        <v>-6480390.7922818009</v>
      </c>
    </row>
    <row r="734" spans="1:19" ht="15.75" customHeight="1" x14ac:dyDescent="0.3">
      <c r="A734" s="37">
        <v>73294</v>
      </c>
      <c r="B734" s="409">
        <f t="shared" ref="B734:C734" si="740">($A734-B$9)/365.25</f>
        <v>118.78986995208761</v>
      </c>
      <c r="C734" s="409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2192</v>
      </c>
      <c r="I734" s="25">
        <f>IF(C734&lt;62,0,'Combined Retirement'!$I$13)</f>
        <v>2420</v>
      </c>
      <c r="J734" s="25">
        <f t="shared" si="523"/>
        <v>7863.2184191855868</v>
      </c>
      <c r="K734" s="25">
        <f t="shared" si="524"/>
        <v>20282.026119384056</v>
      </c>
      <c r="L734" s="25"/>
      <c r="N734" s="25">
        <f>'Combined Retirement'!$C$18/12</f>
        <v>39153.069999999992</v>
      </c>
      <c r="O734" s="25">
        <f t="shared" si="525"/>
        <v>11007.82546143035</v>
      </c>
      <c r="P734" s="25">
        <f t="shared" si="526"/>
        <v>28145.244538569641</v>
      </c>
      <c r="Q734" s="25">
        <f t="array" aca="1" ref="Q734" ca="1">INDEX('Isaac 401k'!L:L,MATCH('Retirement Calculator'!A734,'Isaac 401k'!N:N,0),0)</f>
        <v>-1870970.9233978461</v>
      </c>
      <c r="R734" s="25">
        <f t="array" aca="1" ref="R734" ca="1">INDEX('Lorri 401b'!L:L,MATCH('Retirement Calculator'!A734,'Lorri 401b'!N:N,0),0)</f>
        <v>-4664684.0135759432</v>
      </c>
      <c r="S734" s="25">
        <f t="shared" ca="1" si="527"/>
        <v>-6535654.9369737897</v>
      </c>
    </row>
    <row r="735" spans="1:19" ht="15.75" customHeight="1" x14ac:dyDescent="0.3">
      <c r="A735" s="37">
        <v>73324</v>
      </c>
      <c r="B735" s="409">
        <f t="shared" ref="B735:C735" si="741">($A735-B$9)/365.25</f>
        <v>118.87200547570157</v>
      </c>
      <c r="C735" s="409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2192</v>
      </c>
      <c r="I735" s="25">
        <f>IF(C735&lt;62,0,'Combined Retirement'!$I$13)</f>
        <v>2420</v>
      </c>
      <c r="J735" s="25">
        <f t="shared" si="523"/>
        <v>7863.2184191855868</v>
      </c>
      <c r="K735" s="25">
        <f t="shared" si="524"/>
        <v>20282.026119384056</v>
      </c>
      <c r="L735" s="25"/>
      <c r="N735" s="25">
        <f>'Combined Retirement'!$C$18/12</f>
        <v>39153.069999999992</v>
      </c>
      <c r="O735" s="25">
        <f t="shared" si="525"/>
        <v>11007.82546143035</v>
      </c>
      <c r="P735" s="25">
        <f t="shared" si="526"/>
        <v>28145.244538569641</v>
      </c>
      <c r="Q735" s="25">
        <f t="array" aca="1" ref="Q735" ca="1">INDEX('Isaac 401k'!L:L,MATCH('Retirement Calculator'!A735,'Isaac 401k'!N:N,0),0)</f>
        <v>-1886662.6174079359</v>
      </c>
      <c r="R735" s="25">
        <f t="array" aca="1" ref="R735" ca="1">INDEX('Lorri 401b'!L:L,MATCH('Retirement Calculator'!A735,'Lorri 401b'!N:N,0),0)</f>
        <v>-4704486.7315273909</v>
      </c>
      <c r="S735" s="25">
        <f t="shared" ca="1" si="527"/>
        <v>-6591149.3489353266</v>
      </c>
    </row>
    <row r="736" spans="1:19" ht="15.75" customHeight="1" x14ac:dyDescent="0.3">
      <c r="A736" s="37">
        <v>73355</v>
      </c>
      <c r="B736" s="409">
        <f t="shared" ref="B736:C736" si="742">($A736-B$9)/365.25</f>
        <v>118.95687885010267</v>
      </c>
      <c r="C736" s="409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2192</v>
      </c>
      <c r="I736" s="25">
        <f>IF(C736&lt;62,0,'Combined Retirement'!$I$13)</f>
        <v>2420</v>
      </c>
      <c r="J736" s="25">
        <f t="shared" si="523"/>
        <v>7863.2184191855868</v>
      </c>
      <c r="K736" s="25">
        <f t="shared" si="524"/>
        <v>20282.026119384056</v>
      </c>
      <c r="L736" s="25"/>
      <c r="N736" s="25">
        <f>'Combined Retirement'!$C$18/12</f>
        <v>39153.069999999992</v>
      </c>
      <c r="O736" s="25">
        <f t="shared" si="525"/>
        <v>11007.82546143035</v>
      </c>
      <c r="P736" s="25">
        <f t="shared" si="526"/>
        <v>28145.244538569641</v>
      </c>
      <c r="Q736" s="25">
        <f t="array" aca="1" ref="Q736" ca="1">INDEX('Isaac 401k'!L:L,MATCH('Retirement Calculator'!A736,'Isaac 401k'!N:N,0),0)</f>
        <v>-1902419.6934764013</v>
      </c>
      <c r="R736" s="25">
        <f t="array" aca="1" ref="R736" ca="1">INDEX('Lorri 401b'!L:L,MATCH('Retirement Calculator'!A736,'Lorri 401b'!N:N,0),0)</f>
        <v>-4744455.2941369694</v>
      </c>
      <c r="S736" s="25">
        <f t="shared" ca="1" si="527"/>
        <v>-6646874.9876133706</v>
      </c>
    </row>
    <row r="737" spans="1:19" ht="15.75" customHeight="1" x14ac:dyDescent="0.3">
      <c r="A737" s="37">
        <v>73385</v>
      </c>
      <c r="B737" s="409">
        <f t="shared" ref="B737:C737" si="743">($A737-B$9)/365.25</f>
        <v>119.03901437371663</v>
      </c>
      <c r="C737" s="409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2192</v>
      </c>
      <c r="I737" s="25">
        <f>IF(C737&lt;62,0,'Combined Retirement'!$I$13)</f>
        <v>2420</v>
      </c>
      <c r="J737" s="25">
        <f t="shared" si="523"/>
        <v>7863.2184191855868</v>
      </c>
      <c r="K737" s="25">
        <f t="shared" si="524"/>
        <v>20282.026119384056</v>
      </c>
      <c r="L737" s="25"/>
      <c r="N737" s="25">
        <f>'Combined Retirement'!$C$18/12</f>
        <v>39153.069999999992</v>
      </c>
      <c r="O737" s="25">
        <f t="shared" si="525"/>
        <v>11007.82546143035</v>
      </c>
      <c r="P737" s="25">
        <f t="shared" si="526"/>
        <v>28145.244538569641</v>
      </c>
      <c r="Q737" s="25">
        <f t="array" aca="1" ref="Q737" ca="1">INDEX('Isaac 401k'!L:L,MATCH('Retirement Calculator'!A737,'Isaac 401k'!N:N,0),0)</f>
        <v>-1918242.4240284851</v>
      </c>
      <c r="R737" s="25">
        <f t="array" aca="1" ref="R737" ca="1">INDEX('Lorri 401b'!L:L,MATCH('Retirement Calculator'!A737,'Lorri 401b'!N:N,0),0)</f>
        <v>-4784590.392424088</v>
      </c>
      <c r="S737" s="25">
        <f t="shared" ca="1" si="527"/>
        <v>-6702832.8164525731</v>
      </c>
    </row>
    <row r="738" spans="1:19" ht="15.75" customHeight="1" x14ac:dyDescent="0.3">
      <c r="A738" s="37">
        <v>73416</v>
      </c>
      <c r="B738" s="409">
        <f t="shared" ref="B738:C738" si="744">($A738-B$9)/365.25</f>
        <v>119.12388774811772</v>
      </c>
      <c r="C738" s="409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2192</v>
      </c>
      <c r="I738" s="25">
        <f>IF(C738&lt;62,0,'Combined Retirement'!$I$13)</f>
        <v>2420</v>
      </c>
      <c r="J738" s="25">
        <f t="shared" si="523"/>
        <v>7863.2184191855868</v>
      </c>
      <c r="K738" s="25">
        <f t="shared" si="524"/>
        <v>20282.026119384056</v>
      </c>
      <c r="L738" s="25"/>
      <c r="N738" s="25">
        <f>'Combined Retirement'!$C$18/12</f>
        <v>39153.069999999992</v>
      </c>
      <c r="O738" s="25">
        <f t="shared" si="525"/>
        <v>11007.82546143035</v>
      </c>
      <c r="P738" s="25">
        <f t="shared" si="526"/>
        <v>28145.244538569641</v>
      </c>
      <c r="Q738" s="25">
        <f t="array" aca="1" ref="Q738" ca="1">INDEX('Isaac 401k'!L:L,MATCH('Retirement Calculator'!A738,'Isaac 401k'!N:N,0),0)</f>
        <v>-1934131.082624536</v>
      </c>
      <c r="R738" s="25">
        <f t="array" aca="1" ref="R738" ca="1">INDEX('Lorri 401b'!L:L,MATCH('Retirement Calculator'!A738,'Lorri 401b'!N:N,0),0)</f>
        <v>-4824892.7202874031</v>
      </c>
      <c r="S738" s="25">
        <f t="shared" ca="1" si="527"/>
        <v>-6759023.8029119391</v>
      </c>
    </row>
    <row r="739" spans="1:19" ht="15.75" customHeight="1" x14ac:dyDescent="0.3">
      <c r="A739" s="37">
        <v>73447</v>
      </c>
      <c r="B739" s="409">
        <f t="shared" ref="B739:C739" si="745">($A739-B$9)/365.25</f>
        <v>119.20876112251882</v>
      </c>
      <c r="C739" s="409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2192</v>
      </c>
      <c r="I739" s="25">
        <f>IF(C739&lt;62,0,'Combined Retirement'!$I$13)</f>
        <v>2420</v>
      </c>
      <c r="J739" s="25">
        <f t="shared" si="523"/>
        <v>7863.2184191855868</v>
      </c>
      <c r="K739" s="25">
        <f t="shared" si="524"/>
        <v>20282.026119384056</v>
      </c>
      <c r="L739" s="25"/>
      <c r="N739" s="25">
        <f>'Combined Retirement'!$C$18/12</f>
        <v>39153.069999999992</v>
      </c>
      <c r="O739" s="25">
        <f t="shared" si="525"/>
        <v>11007.82546143035</v>
      </c>
      <c r="P739" s="25">
        <f t="shared" si="526"/>
        <v>28145.244538569641</v>
      </c>
      <c r="Q739" s="25">
        <f t="array" aca="1" ref="Q739" ca="1">INDEX('Isaac 401k'!L:L,MATCH('Retirement Calculator'!A739,'Isaac 401k'!N:N,0),0)</f>
        <v>-1950085.9439647372</v>
      </c>
      <c r="R739" s="25">
        <f t="array" aca="1" ref="R739" ca="1">INDEX('Lorri 401b'!L:L,MATCH('Retirement Calculator'!A739,'Lorri 401b'!N:N,0),0)</f>
        <v>-4865362.9745168155</v>
      </c>
      <c r="S739" s="25">
        <f t="shared" ca="1" si="527"/>
        <v>-6815448.918481553</v>
      </c>
    </row>
    <row r="740" spans="1:19" ht="15.75" customHeight="1" x14ac:dyDescent="0.3">
      <c r="A740" s="37">
        <v>73475</v>
      </c>
      <c r="B740" s="409">
        <f t="shared" ref="B740:C740" si="746">($A740-B$9)/365.25</f>
        <v>119.28542094455852</v>
      </c>
      <c r="C740" s="409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2192</v>
      </c>
      <c r="I740" s="25">
        <f>IF(C740&lt;62,0,'Combined Retirement'!$I$13)</f>
        <v>2420</v>
      </c>
      <c r="J740" s="25">
        <f t="shared" si="523"/>
        <v>7863.2184191855868</v>
      </c>
      <c r="K740" s="25">
        <f t="shared" si="524"/>
        <v>20282.026119384056</v>
      </c>
      <c r="L740" s="25"/>
      <c r="N740" s="25">
        <f>'Combined Retirement'!$C$18/12</f>
        <v>39153.069999999992</v>
      </c>
      <c r="O740" s="25">
        <f t="shared" si="525"/>
        <v>11007.82546143035</v>
      </c>
      <c r="P740" s="25">
        <f t="shared" si="526"/>
        <v>28145.244538569641</v>
      </c>
      <c r="Q740" s="25">
        <f t="array" aca="1" ref="Q740" ca="1">INDEX('Isaac 401k'!L:L,MATCH('Retirement Calculator'!A740,'Isaac 401k'!N:N,0),0)</f>
        <v>-1966107.2838938558</v>
      </c>
      <c r="R740" s="25">
        <f t="array" aca="1" ref="R740" ca="1">INDEX('Lorri 401b'!L:L,MATCH('Retirement Calculator'!A740,'Lorri 401b'!N:N,0),0)</f>
        <v>-4906001.854805517</v>
      </c>
      <c r="S740" s="25">
        <f t="shared" ca="1" si="527"/>
        <v>-6872109.1386993732</v>
      </c>
    </row>
    <row r="741" spans="1:19" ht="15.75" customHeight="1" x14ac:dyDescent="0.3">
      <c r="A741" s="37">
        <v>73506</v>
      </c>
      <c r="B741" s="409">
        <f t="shared" ref="B741:C741" si="747">($A741-B$9)/365.25</f>
        <v>119.37029431895962</v>
      </c>
      <c r="C741" s="409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2192</v>
      </c>
      <c r="I741" s="25">
        <f>IF(C741&lt;62,0,'Combined Retirement'!$I$13)</f>
        <v>2420</v>
      </c>
      <c r="J741" s="25">
        <f t="shared" si="523"/>
        <v>7863.2184191855868</v>
      </c>
      <c r="K741" s="25">
        <f t="shared" si="524"/>
        <v>20282.026119384056</v>
      </c>
      <c r="L741" s="25"/>
      <c r="N741" s="25">
        <f>'Combined Retirement'!$C$18/12</f>
        <v>39153.069999999992</v>
      </c>
      <c r="O741" s="25">
        <f t="shared" si="525"/>
        <v>11007.82546143035</v>
      </c>
      <c r="P741" s="25">
        <f t="shared" si="526"/>
        <v>28145.244538569641</v>
      </c>
      <c r="Q741" s="25">
        <f t="array" aca="1" ref="Q741" ca="1">INDEX('Isaac 401k'!L:L,MATCH('Retirement Calculator'!A741,'Isaac 401k'!N:N,0),0)</f>
        <v>-1982195.3794060124</v>
      </c>
      <c r="R741" s="25">
        <f t="array" aca="1" ref="R741" ca="1">INDEX('Lorri 401b'!L:L,MATCH('Retirement Calculator'!A741,'Lorri 401b'!N:N,0),0)</f>
        <v>-4946810.0637620883</v>
      </c>
      <c r="S741" s="25">
        <f t="shared" ca="1" si="527"/>
        <v>-6929005.4431681009</v>
      </c>
    </row>
    <row r="742" spans="1:19" ht="15.75" customHeight="1" x14ac:dyDescent="0.3">
      <c r="A742" s="37">
        <v>73536</v>
      </c>
      <c r="B742" s="409">
        <f t="shared" ref="B742:C742" si="748">($A742-B$9)/365.25</f>
        <v>119.45242984257358</v>
      </c>
      <c r="C742" s="409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2192</v>
      </c>
      <c r="I742" s="25">
        <f>IF(C742&lt;62,0,'Combined Retirement'!$I$13)</f>
        <v>2420</v>
      </c>
      <c r="J742" s="25">
        <f t="shared" si="523"/>
        <v>7863.2184191855868</v>
      </c>
      <c r="K742" s="25">
        <f t="shared" si="524"/>
        <v>20282.026119384056</v>
      </c>
      <c r="L742" s="25"/>
      <c r="N742" s="25">
        <f>'Combined Retirement'!$C$18/12</f>
        <v>39153.069999999992</v>
      </c>
      <c r="O742" s="25">
        <f t="shared" si="525"/>
        <v>11007.82546143035</v>
      </c>
      <c r="P742" s="25">
        <f t="shared" si="526"/>
        <v>28145.244538569641</v>
      </c>
      <c r="Q742" s="25">
        <f t="array" aca="1" ref="Q742" ca="1">INDEX('Isaac 401k'!L:L,MATCH('Retirement Calculator'!A742,'Isaac 401k'!N:N,0),0)</f>
        <v>-1998350.5086494696</v>
      </c>
      <c r="R742" s="25">
        <f t="array" aca="1" ref="R742" ca="1">INDEX('Lorri 401b'!L:L,MATCH('Retirement Calculator'!A742,'Lorri 401b'!N:N,0),0)</f>
        <v>-4987788.3069226453</v>
      </c>
      <c r="S742" s="25">
        <f t="shared" ca="1" si="527"/>
        <v>-6986138.8155721147</v>
      </c>
    </row>
    <row r="743" spans="1:19" ht="15.75" customHeight="1" x14ac:dyDescent="0.3">
      <c r="A743" s="37">
        <v>73567</v>
      </c>
      <c r="B743" s="409">
        <f t="shared" ref="B743:C743" si="749">($A743-B$9)/365.25</f>
        <v>119.53730321697468</v>
      </c>
      <c r="C743" s="409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2192</v>
      </c>
      <c r="I743" s="25">
        <f>IF(C743&lt;62,0,'Combined Retirement'!$I$13)</f>
        <v>2420</v>
      </c>
      <c r="J743" s="25">
        <f t="shared" si="523"/>
        <v>7863.2184191855868</v>
      </c>
      <c r="K743" s="25">
        <f t="shared" si="524"/>
        <v>20282.026119384056</v>
      </c>
      <c r="L743" s="25"/>
      <c r="N743" s="25">
        <f>'Combined Retirement'!$C$18/12</f>
        <v>39153.069999999992</v>
      </c>
      <c r="O743" s="25">
        <f t="shared" si="525"/>
        <v>11007.82546143035</v>
      </c>
      <c r="P743" s="25">
        <f t="shared" si="526"/>
        <v>28145.244538569641</v>
      </c>
      <c r="Q743" s="25">
        <f t="array" aca="1" ref="Q743" ca="1">INDEX('Isaac 401k'!L:L,MATCH('Retirement Calculator'!A743,'Isaac 401k'!N:N,0),0)</f>
        <v>-2014572.9509314413</v>
      </c>
      <c r="R743" s="25">
        <f t="array" aca="1" ref="R743" ca="1">INDEX('Lorri 401b'!L:L,MATCH('Retirement Calculator'!A743,'Lorri 401b'!N:N,0),0)</f>
        <v>-5028937.2927630376</v>
      </c>
      <c r="S743" s="25">
        <f t="shared" ca="1" si="527"/>
        <v>-7043510.2436944786</v>
      </c>
    </row>
    <row r="744" spans="1:19" ht="15.75" customHeight="1" x14ac:dyDescent="0.3">
      <c r="A744" s="37">
        <v>73597</v>
      </c>
      <c r="B744" s="409">
        <f t="shared" ref="B744:C744" si="750">($A744-B$9)/365.25</f>
        <v>119.61943874058863</v>
      </c>
      <c r="C744" s="409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2192</v>
      </c>
      <c r="I744" s="25">
        <f>IF(C744&lt;62,0,'Combined Retirement'!$I$13)</f>
        <v>2420</v>
      </c>
      <c r="J744" s="25">
        <f t="shared" si="523"/>
        <v>7863.2184191855868</v>
      </c>
      <c r="K744" s="25">
        <f t="shared" si="524"/>
        <v>20282.026119384056</v>
      </c>
      <c r="L744" s="25"/>
      <c r="N744" s="25">
        <f>'Combined Retirement'!$C$18/12</f>
        <v>39153.069999999992</v>
      </c>
      <c r="O744" s="25">
        <f t="shared" si="525"/>
        <v>11007.82546143035</v>
      </c>
      <c r="P744" s="25">
        <f t="shared" si="526"/>
        <v>28145.244538569641</v>
      </c>
      <c r="Q744" s="25">
        <f t="array" aca="1" ref="Q744" ca="1">INDEX('Isaac 401k'!L:L,MATCH('Retirement Calculator'!A744,'Isaac 401k'!N:N,0),0)</f>
        <v>-2030862.9867229213</v>
      </c>
      <c r="R744" s="25">
        <f t="array" aca="1" ref="R744" ca="1">INDEX('Lorri 401b'!L:L,MATCH('Retirement Calculator'!A744,'Lorri 401b'!N:N,0),0)</f>
        <v>-5070257.7327110982</v>
      </c>
      <c r="S744" s="25">
        <f t="shared" ca="1" si="527"/>
        <v>-7101120.7194340192</v>
      </c>
    </row>
    <row r="745" spans="1:19" ht="15.75" customHeight="1" x14ac:dyDescent="0.3">
      <c r="A745" s="37">
        <v>73628</v>
      </c>
      <c r="B745" s="409">
        <f t="shared" ref="B745:C745" si="751">($A745-B$9)/365.25</f>
        <v>119.70431211498973</v>
      </c>
      <c r="C745" s="409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2192</v>
      </c>
      <c r="I745" s="25">
        <f>IF(C745&lt;62,0,'Combined Retirement'!$I$13)</f>
        <v>2420</v>
      </c>
      <c r="J745" s="25">
        <f t="shared" si="523"/>
        <v>7863.2184191855868</v>
      </c>
      <c r="K745" s="25">
        <f t="shared" si="524"/>
        <v>20282.026119384056</v>
      </c>
      <c r="L745" s="25"/>
      <c r="N745" s="25">
        <f>'Combined Retirement'!$C$18/12</f>
        <v>39153.069999999992</v>
      </c>
      <c r="O745" s="25">
        <f t="shared" si="525"/>
        <v>11007.82546143035</v>
      </c>
      <c r="P745" s="25">
        <f t="shared" si="526"/>
        <v>28145.244538569641</v>
      </c>
      <c r="Q745" s="25">
        <f t="array" aca="1" ref="Q745" ca="1">INDEX('Isaac 401k'!L:L,MATCH('Retirement Calculator'!A745,'Isaac 401k'!N:N,0),0)</f>
        <v>-2047220.8976635323</v>
      </c>
      <c r="R745" s="25">
        <f t="array" aca="1" ref="R745" ca="1">INDEX('Lorri 401b'!L:L,MATCH('Retirement Calculator'!A745,'Lorri 401b'!N:N,0),0)</f>
        <v>-5111750.3411589423</v>
      </c>
      <c r="S745" s="25">
        <f t="shared" ca="1" si="527"/>
        <v>-7158971.2388224751</v>
      </c>
    </row>
    <row r="746" spans="1:19" ht="15.75" customHeight="1" x14ac:dyDescent="0.3">
      <c r="A746" s="37">
        <v>73659</v>
      </c>
      <c r="B746" s="409">
        <f t="shared" ref="B746:C746" si="752">($A746-B$9)/365.25</f>
        <v>119.78918548939083</v>
      </c>
      <c r="C746" s="409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2192</v>
      </c>
      <c r="I746" s="25">
        <f>IF(C746&lt;62,0,'Combined Retirement'!$I$13)</f>
        <v>2420</v>
      </c>
      <c r="J746" s="25">
        <f t="shared" si="523"/>
        <v>7863.2184191855868</v>
      </c>
      <c r="K746" s="25">
        <f t="shared" si="524"/>
        <v>20282.026119384056</v>
      </c>
      <c r="L746" s="25"/>
      <c r="N746" s="25">
        <f>'Combined Retirement'!$C$18/12</f>
        <v>39153.069999999992</v>
      </c>
      <c r="O746" s="25">
        <f t="shared" si="525"/>
        <v>11007.82546143035</v>
      </c>
      <c r="P746" s="25">
        <f t="shared" si="526"/>
        <v>28145.244538569641</v>
      </c>
      <c r="Q746" s="25">
        <f t="array" aca="1" ref="Q746" ca="1">INDEX('Isaac 401k'!L:L,MATCH('Retirement Calculator'!A746,'Isaac 401k'!N:N,0),0)</f>
        <v>-2063646.9665663959</v>
      </c>
      <c r="R746" s="25">
        <f t="array" aca="1" ref="R746" ca="1">INDEX('Lorri 401b'!L:L,MATCH('Retirement Calculator'!A746,'Lorri 401b'!N:N,0),0)</f>
        <v>-5153415.8354753191</v>
      </c>
      <c r="S746" s="25">
        <f t="shared" ca="1" si="527"/>
        <v>-7217062.802041715</v>
      </c>
    </row>
    <row r="747" spans="1:19" ht="15.75" customHeight="1" x14ac:dyDescent="0.3">
      <c r="A747" s="37">
        <v>73689</v>
      </c>
      <c r="B747" s="409">
        <f t="shared" ref="B747:C747" si="753">($A747-B$9)/365.25</f>
        <v>119.87132101300479</v>
      </c>
      <c r="C747" s="409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2192</v>
      </c>
      <c r="I747" s="25">
        <f>IF(C747&lt;62,0,'Combined Retirement'!$I$13)</f>
        <v>2420</v>
      </c>
      <c r="J747" s="25">
        <f t="shared" si="523"/>
        <v>7863.2184191855868</v>
      </c>
      <c r="K747" s="25">
        <f t="shared" si="524"/>
        <v>20282.026119384056</v>
      </c>
      <c r="L747" s="25"/>
      <c r="N747" s="25">
        <f>'Combined Retirement'!$C$18/12</f>
        <v>39153.069999999992</v>
      </c>
      <c r="O747" s="25">
        <f t="shared" si="525"/>
        <v>11007.82546143035</v>
      </c>
      <c r="P747" s="25">
        <f t="shared" si="526"/>
        <v>28145.244538569641</v>
      </c>
      <c r="Q747" s="25">
        <f t="array" aca="1" ref="Q747" ca="1">INDEX('Isaac 401k'!L:L,MATCH('Retirement Calculator'!A747,'Isaac 401k'!N:N,0),0)</f>
        <v>-2080141.4774230216</v>
      </c>
      <c r="R747" s="25">
        <f t="array" aca="1" ref="R747" ca="1">INDEX('Lorri 401b'!L:L,MATCH('Retirement Calculator'!A747,'Lorri 401b'!N:N,0),0)</f>
        <v>-5195254.9360180143</v>
      </c>
      <c r="S747" s="25">
        <f t="shared" ca="1" si="527"/>
        <v>-7275396.4134410359</v>
      </c>
    </row>
    <row r="748" spans="1:19" ht="15.75" customHeight="1" x14ac:dyDescent="0.3">
      <c r="A748" s="37">
        <v>73720</v>
      </c>
      <c r="B748" s="409">
        <f t="shared" ref="B748:C748" si="754">($A748-B$9)/365.25</f>
        <v>119.95619438740589</v>
      </c>
      <c r="C748" s="409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2192</v>
      </c>
      <c r="I748" s="25">
        <f>IF(C748&lt;62,0,'Combined Retirement'!$I$13)</f>
        <v>2420</v>
      </c>
      <c r="J748" s="25">
        <f t="shared" si="523"/>
        <v>7863.2184191855868</v>
      </c>
      <c r="K748" s="25">
        <f t="shared" si="524"/>
        <v>20282.026119384056</v>
      </c>
      <c r="L748" s="25"/>
      <c r="N748" s="25">
        <f>'Combined Retirement'!$C$18/12</f>
        <v>39153.069999999992</v>
      </c>
      <c r="O748" s="25">
        <f t="shared" si="525"/>
        <v>11007.82546143035</v>
      </c>
      <c r="P748" s="25">
        <f t="shared" si="526"/>
        <v>28145.244538569641</v>
      </c>
      <c r="Q748" s="25">
        <f t="array" aca="1" ref="Q748" ca="1">INDEX('Isaac 401k'!L:L,MATCH('Retirement Calculator'!A748,'Isaac 401k'!N:N,0),0)</f>
        <v>-2096704.7154082165</v>
      </c>
      <c r="R748" s="25">
        <f t="array" aca="1" ref="R748" ca="1">INDEX('Lorri 401b'!L:L,MATCH('Retirement Calculator'!A748,'Lorri 401b'!N:N,0),0)</f>
        <v>-5237268.3661463037</v>
      </c>
      <c r="S748" s="25">
        <f t="shared" ca="1" si="527"/>
        <v>-7333973.0815545199</v>
      </c>
    </row>
    <row r="749" spans="1:19" ht="15.75" customHeight="1" x14ac:dyDescent="0.3">
      <c r="A749" s="37">
        <v>73750</v>
      </c>
      <c r="B749" s="409">
        <f t="shared" ref="B749:C749" si="755">($A749-B$9)/365.25</f>
        <v>120.03832991101984</v>
      </c>
      <c r="C749" s="409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2192</v>
      </c>
      <c r="I749" s="25">
        <f>IF(C749&lt;62,0,'Combined Retirement'!$I$13)</f>
        <v>2420</v>
      </c>
      <c r="J749" s="25">
        <f t="shared" si="523"/>
        <v>7863.2184191855868</v>
      </c>
      <c r="K749" s="25">
        <f t="shared" si="524"/>
        <v>20282.026119384056</v>
      </c>
      <c r="L749" s="25"/>
      <c r="N749" s="25">
        <f>'Combined Retirement'!$C$18/12</f>
        <v>39153.069999999992</v>
      </c>
      <c r="O749" s="25">
        <f t="shared" si="525"/>
        <v>11007.82546143035</v>
      </c>
      <c r="P749" s="25">
        <f t="shared" si="526"/>
        <v>28145.244538569641</v>
      </c>
      <c r="Q749" s="25">
        <f t="array" aca="1" ref="Q749" ca="1">INDEX('Isaac 401k'!L:L,MATCH('Retirement Calculator'!A749,'Isaac 401k'!N:N,0),0)</f>
        <v>-2113336.9668850163</v>
      </c>
      <c r="R749" s="25">
        <f t="array" aca="1" ref="R749" ca="1">INDEX('Lorri 401b'!L:L,MATCH('Retirement Calculator'!A749,'Lorri 401b'!N:N,0),0)</f>
        <v>-5279456.8522334611</v>
      </c>
      <c r="S749" s="25">
        <f t="shared" ca="1" si="527"/>
        <v>-7392793.8191184774</v>
      </c>
    </row>
    <row r="750" spans="1:19" ht="15.75" customHeight="1" x14ac:dyDescent="0.3">
      <c r="A750" s="37">
        <v>73781</v>
      </c>
      <c r="B750" s="409">
        <f t="shared" ref="B750:C750" si="756">($A750-B$9)/365.25</f>
        <v>120.12320328542094</v>
      </c>
      <c r="C750" s="409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2192</v>
      </c>
      <c r="I750" s="25">
        <f>IF(C750&lt;62,0,'Combined Retirement'!$I$13)</f>
        <v>2420</v>
      </c>
      <c r="J750" s="25">
        <f t="shared" si="523"/>
        <v>7863.2184191855868</v>
      </c>
      <c r="K750" s="25">
        <f t="shared" si="524"/>
        <v>20282.026119384056</v>
      </c>
      <c r="L750" s="25"/>
      <c r="N750" s="25">
        <f>'Combined Retirement'!$C$18/12</f>
        <v>39153.069999999992</v>
      </c>
      <c r="O750" s="25">
        <f t="shared" si="525"/>
        <v>11007.82546143035</v>
      </c>
      <c r="P750" s="25">
        <f t="shared" si="526"/>
        <v>28145.244538569641</v>
      </c>
      <c r="Q750" s="25">
        <f t="array" aca="1" ref="Q750" ca="1">INDEX('Isaac 401k'!L:L,MATCH('Retirement Calculator'!A750,'Isaac 401k'!N:N,0),0)</f>
        <v>-2130038.519409636</v>
      </c>
      <c r="R750" s="25">
        <f t="array" aca="1" ref="R750" ca="1">INDEX('Lorri 401b'!L:L,MATCH('Retirement Calculator'!A750,'Lorri 401b'!N:N,0),0)</f>
        <v>-5321821.1236793157</v>
      </c>
      <c r="S750" s="25">
        <f t="shared" ca="1" si="527"/>
        <v>-7451859.6430889517</v>
      </c>
    </row>
    <row r="751" spans="1:19" ht="15.75" customHeight="1" x14ac:dyDescent="0.3">
      <c r="A751" s="37">
        <v>73812</v>
      </c>
      <c r="B751" s="409">
        <f t="shared" ref="B751:C751" si="757">($A751-B$9)/365.25</f>
        <v>120.20807665982204</v>
      </c>
      <c r="C751" s="409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2192</v>
      </c>
      <c r="I751" s="25">
        <f>IF(C751&lt;62,0,'Combined Retirement'!$I$13)</f>
        <v>2420</v>
      </c>
      <c r="J751" s="25">
        <f t="shared" si="523"/>
        <v>7863.2184191855868</v>
      </c>
      <c r="K751" s="25">
        <f t="shared" si="524"/>
        <v>20282.026119384056</v>
      </c>
      <c r="L751" s="25"/>
      <c r="N751" s="25">
        <f>'Combined Retirement'!$C$18/12</f>
        <v>39153.069999999992</v>
      </c>
      <c r="O751" s="25">
        <f t="shared" si="525"/>
        <v>11007.82546143035</v>
      </c>
      <c r="P751" s="25">
        <f t="shared" si="526"/>
        <v>28145.244538569641</v>
      </c>
      <c r="Q751" s="25">
        <f t="array" aca="1" ref="Q751" ca="1">INDEX('Isaac 401k'!L:L,MATCH('Retirement Calculator'!A751,'Isaac 401k'!N:N,0),0)</f>
        <v>-2146809.6617364413</v>
      </c>
      <c r="R751" s="25">
        <f t="array" aca="1" ref="R751" ca="1">INDEX('Lorri 401b'!L:L,MATCH('Retirement Calculator'!A751,'Lorri 401b'!N:N,0),0)</f>
        <v>-5364361.9129228611</v>
      </c>
      <c r="S751" s="25">
        <f t="shared" ca="1" si="527"/>
        <v>-7511171.5746593028</v>
      </c>
    </row>
    <row r="752" spans="1:19" ht="15.75" customHeight="1" x14ac:dyDescent="0.3">
      <c r="A752" s="37">
        <v>73840</v>
      </c>
      <c r="B752" s="409">
        <f t="shared" ref="B752:C752" si="758">($A752-B$9)/365.25</f>
        <v>120.28473648186174</v>
      </c>
      <c r="C752" s="409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2192</v>
      </c>
      <c r="I752" s="25">
        <f>IF(C752&lt;62,0,'Combined Retirement'!$I$13)</f>
        <v>2420</v>
      </c>
      <c r="J752" s="25">
        <f t="shared" si="523"/>
        <v>7863.2184191855868</v>
      </c>
      <c r="K752" s="25">
        <f t="shared" si="524"/>
        <v>20282.026119384056</v>
      </c>
      <c r="L752" s="25"/>
      <c r="N752" s="25">
        <f>'Combined Retirement'!$C$18/12</f>
        <v>39153.069999999992</v>
      </c>
      <c r="O752" s="25">
        <f t="shared" si="525"/>
        <v>11007.82546143035</v>
      </c>
      <c r="P752" s="25">
        <f t="shared" si="526"/>
        <v>28145.244538569641</v>
      </c>
      <c r="Q752" s="25">
        <f t="array" aca="1" ref="Q752" ca="1">INDEX('Isaac 401k'!L:L,MATCH('Retirement Calculator'!A752,'Isaac 401k'!N:N,0),0)</f>
        <v>-2163650.683822942</v>
      </c>
      <c r="R752" s="25">
        <f t="array" aca="1" ref="R752" ca="1">INDEX('Lorri 401b'!L:L,MATCH('Retirement Calculator'!A752,'Lorri 401b'!N:N,0),0)</f>
        <v>-5407079.9554549213</v>
      </c>
      <c r="S752" s="25">
        <f t="shared" ca="1" si="527"/>
        <v>-7570730.6392778633</v>
      </c>
    </row>
    <row r="753" spans="1:19" ht="15.75" customHeight="1" x14ac:dyDescent="0.3">
      <c r="A753" s="37">
        <v>73871</v>
      </c>
      <c r="B753" s="409">
        <f t="shared" ref="B753:C753" si="759">($A753-B$9)/365.25</f>
        <v>120.36960985626284</v>
      </c>
      <c r="C753" s="409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2192</v>
      </c>
      <c r="I753" s="25">
        <f>IF(C753&lt;62,0,'Combined Retirement'!$I$13)</f>
        <v>2420</v>
      </c>
      <c r="J753" s="25">
        <f t="shared" si="523"/>
        <v>7863.2184191855868</v>
      </c>
      <c r="K753" s="25">
        <f t="shared" si="524"/>
        <v>20282.026119384056</v>
      </c>
      <c r="L753" s="25"/>
      <c r="N753" s="25">
        <f>'Combined Retirement'!$C$18/12</f>
        <v>39153.069999999992</v>
      </c>
      <c r="O753" s="25">
        <f t="shared" si="525"/>
        <v>11007.82546143035</v>
      </c>
      <c r="P753" s="25">
        <f t="shared" si="526"/>
        <v>28145.244538569641</v>
      </c>
      <c r="Q753" s="25">
        <f t="array" aca="1" ref="Q753" ca="1">INDEX('Isaac 401k'!L:L,MATCH('Retirement Calculator'!A753,'Isaac 401k'!N:N,0),0)</f>
        <v>-2180561.8768348028</v>
      </c>
      <c r="R753" s="25">
        <f t="array" aca="1" ref="R753" ca="1">INDEX('Lorri 401b'!L:L,MATCH('Retirement Calculator'!A753,'Lorri 401b'!N:N,0),0)</f>
        <v>-5449975.9898308646</v>
      </c>
      <c r="S753" s="25">
        <f t="shared" ca="1" si="527"/>
        <v>-7630537.8666656669</v>
      </c>
    </row>
    <row r="754" spans="1:19" ht="15.75" customHeight="1" x14ac:dyDescent="0.3">
      <c r="A754" s="37">
        <v>73901</v>
      </c>
      <c r="B754" s="409">
        <f t="shared" ref="B754:C754" si="760">($A754-B$9)/365.25</f>
        <v>120.4517453798768</v>
      </c>
      <c r="C754" s="409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2192</v>
      </c>
      <c r="I754" s="25">
        <f>IF(C754&lt;62,0,'Combined Retirement'!$I$13)</f>
        <v>2420</v>
      </c>
      <c r="J754" s="25">
        <f t="shared" si="523"/>
        <v>7863.2184191855868</v>
      </c>
      <c r="K754" s="25">
        <f t="shared" si="524"/>
        <v>20282.026119384056</v>
      </c>
      <c r="L754" s="25"/>
      <c r="N754" s="25">
        <f>'Combined Retirement'!$C$18/12</f>
        <v>39153.069999999992</v>
      </c>
      <c r="O754" s="25">
        <f t="shared" si="525"/>
        <v>11007.82546143035</v>
      </c>
      <c r="P754" s="25">
        <f t="shared" si="526"/>
        <v>28145.244538569641</v>
      </c>
      <c r="Q754" s="25">
        <f t="array" aca="1" ref="Q754" ca="1">INDEX('Isaac 401k'!L:L,MATCH('Retirement Calculator'!A754,'Isaac 401k'!N:N,0),0)</f>
        <v>-2197543.5331508797</v>
      </c>
      <c r="R754" s="25">
        <f t="array" aca="1" ref="R754" ca="1">INDEX('Lorri 401b'!L:L,MATCH('Retirement Calculator'!A754,'Lorri 401b'!N:N,0),0)</f>
        <v>-5493050.7576833749</v>
      </c>
      <c r="S754" s="25">
        <f t="shared" ca="1" si="527"/>
        <v>-7690594.2908342546</v>
      </c>
    </row>
    <row r="755" spans="1:19" ht="15.75" customHeight="1" x14ac:dyDescent="0.3">
      <c r="A755" s="37">
        <v>73932</v>
      </c>
      <c r="B755" s="409">
        <f t="shared" ref="B755:C755" si="761">($A755-B$9)/365.25</f>
        <v>120.5366187542779</v>
      </c>
      <c r="C755" s="409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2192</v>
      </c>
      <c r="I755" s="25">
        <f>IF(C755&lt;62,0,'Combined Retirement'!$I$13)</f>
        <v>2420</v>
      </c>
      <c r="J755" s="25">
        <f t="shared" si="523"/>
        <v>7863.2184191855868</v>
      </c>
      <c r="K755" s="25">
        <f t="shared" si="524"/>
        <v>20282.026119384056</v>
      </c>
      <c r="L755" s="25"/>
      <c r="N755" s="25">
        <f>'Combined Retirement'!$C$18/12</f>
        <v>39153.069999999992</v>
      </c>
      <c r="O755" s="25">
        <f t="shared" si="525"/>
        <v>11007.82546143035</v>
      </c>
      <c r="P755" s="25">
        <f t="shared" si="526"/>
        <v>28145.244538569641</v>
      </c>
      <c r="Q755" s="25">
        <f t="array" aca="1" ref="Q755" ca="1">INDEX('Isaac 401k'!L:L,MATCH('Retirement Calculator'!A755,'Isaac 401k'!N:N,0),0)</f>
        <v>-2214595.9463682738</v>
      </c>
      <c r="R755" s="25">
        <f t="array" aca="1" ref="R755" ca="1">INDEX('Lorri 401b'!L:L,MATCH('Retirement Calculator'!A755,'Lorri 401b'!N:N,0),0)</f>
        <v>-5536305.0037352704</v>
      </c>
      <c r="S755" s="25">
        <f t="shared" ca="1" si="527"/>
        <v>-7750900.9501035437</v>
      </c>
    </row>
    <row r="756" spans="1:19" ht="15.75" customHeight="1" x14ac:dyDescent="0.3">
      <c r="A756" s="37">
        <v>73962</v>
      </c>
      <c r="B756" s="409">
        <f t="shared" ref="B756:C756" si="762">($A756-B$9)/365.25</f>
        <v>120.61875427789185</v>
      </c>
      <c r="C756" s="409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2192</v>
      </c>
      <c r="I756" s="25">
        <f>IF(C756&lt;62,0,'Combined Retirement'!$I$13)</f>
        <v>2420</v>
      </c>
      <c r="J756" s="25">
        <f t="shared" si="523"/>
        <v>7863.2184191855868</v>
      </c>
      <c r="K756" s="25">
        <f t="shared" si="524"/>
        <v>20282.026119384056</v>
      </c>
      <c r="L756" s="25"/>
      <c r="N756" s="25">
        <f>'Combined Retirement'!$C$18/12</f>
        <v>39153.069999999992</v>
      </c>
      <c r="O756" s="25">
        <f t="shared" si="525"/>
        <v>11007.82546143035</v>
      </c>
      <c r="P756" s="25">
        <f t="shared" si="526"/>
        <v>28145.244538569641</v>
      </c>
      <c r="Q756" s="25">
        <f t="array" aca="1" ref="Q756" ca="1">INDEX('Isaac 401k'!L:L,MATCH('Retirement Calculator'!A756,'Isaac 401k'!N:N,0),0)</f>
        <v>-2231719.4113074071</v>
      </c>
      <c r="R756" s="25">
        <f t="array" aca="1" ref="R756" ca="1">INDEX('Lorri 401b'!L:L,MATCH('Retirement Calculator'!A756,'Lorri 401b'!N:N,0),0)</f>
        <v>-5579739.4758123821</v>
      </c>
      <c r="S756" s="25">
        <f t="shared" ca="1" si="527"/>
        <v>-7811458.8871197887</v>
      </c>
    </row>
    <row r="757" spans="1:19" ht="15.75" customHeight="1" x14ac:dyDescent="0.3">
      <c r="A757" s="37">
        <v>73993</v>
      </c>
      <c r="B757" s="409">
        <f t="shared" ref="B757:C757" si="763">($A757-B$9)/365.25</f>
        <v>120.70362765229295</v>
      </c>
      <c r="C757" s="409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2192</v>
      </c>
      <c r="I757" s="25">
        <f>IF(C757&lt;62,0,'Combined Retirement'!$I$13)</f>
        <v>2420</v>
      </c>
      <c r="J757" s="25">
        <f t="shared" si="523"/>
        <v>7863.2184191855868</v>
      </c>
      <c r="K757" s="25">
        <f t="shared" si="524"/>
        <v>20282.026119384056</v>
      </c>
      <c r="L757" s="25"/>
      <c r="N757" s="25">
        <f>'Combined Retirement'!$C$18/12</f>
        <v>39153.069999999992</v>
      </c>
      <c r="O757" s="25">
        <f t="shared" si="525"/>
        <v>11007.82546143035</v>
      </c>
      <c r="P757" s="25">
        <f t="shared" si="526"/>
        <v>28145.244538569641</v>
      </c>
      <c r="Q757" s="25">
        <f t="array" aca="1" ref="Q757" ca="1">INDEX('Isaac 401k'!L:L,MATCH('Retirement Calculator'!A757,'Isaac 401k'!N:N,0),0)</f>
        <v>-2248914.22401712</v>
      </c>
      <c r="R757" s="25">
        <f t="array" aca="1" ref="R757" ca="1">INDEX('Lorri 401b'!L:L,MATCH('Retirement Calculator'!A757,'Lorri 401b'!N:N,0),0)</f>
        <v>-5623354.9248564821</v>
      </c>
      <c r="S757" s="25">
        <f t="shared" ca="1" si="527"/>
        <v>-7872269.148873602</v>
      </c>
    </row>
    <row r="758" spans="1:19" ht="15.75" customHeight="1" x14ac:dyDescent="0.3">
      <c r="A758" s="37">
        <v>74024</v>
      </c>
      <c r="B758" s="409">
        <f t="shared" ref="B758:C758" si="764">($A758-B$9)/365.25</f>
        <v>120.78850102669405</v>
      </c>
      <c r="C758" s="409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2192</v>
      </c>
      <c r="I758" s="25">
        <f>IF(C758&lt;62,0,'Combined Retirement'!$I$13)</f>
        <v>2420</v>
      </c>
      <c r="J758" s="25">
        <f t="shared" si="523"/>
        <v>7863.2184191855868</v>
      </c>
      <c r="K758" s="25">
        <f t="shared" si="524"/>
        <v>20282.026119384056</v>
      </c>
      <c r="L758" s="25"/>
      <c r="N758" s="25">
        <f>'Combined Retirement'!$C$18/12</f>
        <v>39153.069999999992</v>
      </c>
      <c r="O758" s="25">
        <f t="shared" si="525"/>
        <v>11007.82546143035</v>
      </c>
      <c r="P758" s="25">
        <f t="shared" si="526"/>
        <v>28145.244538569641</v>
      </c>
      <c r="Q758" s="25">
        <f t="array" aca="1" ref="Q758" ca="1">INDEX('Isaac 401k'!L:L,MATCH('Retirement Calculator'!A758,'Isaac 401k'!N:N,0),0)</f>
        <v>-2266180.6817797897</v>
      </c>
      <c r="R758" s="25">
        <f t="array" aca="1" ref="R758" ca="1">INDEX('Lorri 401b'!L:L,MATCH('Retirement Calculator'!A758,'Lorri 401b'!N:N,0),0)</f>
        <v>-5667152.1049382659</v>
      </c>
      <c r="S758" s="25">
        <f t="shared" ca="1" si="527"/>
        <v>-7933332.7867180556</v>
      </c>
    </row>
    <row r="759" spans="1:19" ht="15.75" customHeight="1" x14ac:dyDescent="0.3">
      <c r="A759" s="37">
        <v>74054</v>
      </c>
      <c r="B759" s="409">
        <f t="shared" ref="B759:C759" si="765">($A759-B$9)/365.25</f>
        <v>120.87063655030801</v>
      </c>
      <c r="C759" s="409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2192</v>
      </c>
      <c r="I759" s="25">
        <f>IF(C759&lt;62,0,'Combined Retirement'!$I$13)</f>
        <v>2420</v>
      </c>
      <c r="J759" s="25">
        <f t="shared" si="523"/>
        <v>7863.2184191855868</v>
      </c>
      <c r="K759" s="25">
        <f t="shared" si="524"/>
        <v>20282.026119384056</v>
      </c>
      <c r="L759" s="25"/>
      <c r="N759" s="25">
        <f>'Combined Retirement'!$C$18/12</f>
        <v>39153.069999999992</v>
      </c>
      <c r="O759" s="25">
        <f t="shared" si="525"/>
        <v>11007.82546143035</v>
      </c>
      <c r="P759" s="25">
        <f t="shared" si="526"/>
        <v>28145.244538569641</v>
      </c>
      <c r="Q759" s="25">
        <f t="array" aca="1" ref="Q759" ca="1">INDEX('Isaac 401k'!L:L,MATCH('Retirement Calculator'!A759,'Isaac 401k'!N:N,0),0)</f>
        <v>-2283519.0831164708</v>
      </c>
      <c r="R759" s="25">
        <f t="array" aca="1" ref="R759" ca="1">INDEX('Lorri 401b'!L:L,MATCH('Retirement Calculator'!A759,'Lorri 401b'!N:N,0),0)</f>
        <v>-5711131.77327039</v>
      </c>
      <c r="S759" s="25">
        <f t="shared" ca="1" si="527"/>
        <v>-7994650.8563868608</v>
      </c>
    </row>
    <row r="760" spans="1:19" ht="15.75" customHeight="1" x14ac:dyDescent="0.3">
      <c r="A760" s="37">
        <v>74085</v>
      </c>
      <c r="B760" s="409">
        <f t="shared" ref="B760:C760" si="766">($A760-B$9)/365.25</f>
        <v>120.95550992470911</v>
      </c>
      <c r="C760" s="409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2192</v>
      </c>
      <c r="I760" s="25">
        <f>IF(C760&lt;62,0,'Combined Retirement'!$I$13)</f>
        <v>2420</v>
      </c>
      <c r="J760" s="25">
        <f t="shared" si="523"/>
        <v>7863.2184191855868</v>
      </c>
      <c r="K760" s="25">
        <f t="shared" si="524"/>
        <v>20282.026119384056</v>
      </c>
      <c r="L760" s="25"/>
      <c r="N760" s="25">
        <f>'Combined Retirement'!$C$18/12</f>
        <v>39153.069999999992</v>
      </c>
      <c r="O760" s="25">
        <f t="shared" si="525"/>
        <v>11007.82546143035</v>
      </c>
      <c r="P760" s="25">
        <f t="shared" si="526"/>
        <v>28145.244538569641</v>
      </c>
      <c r="Q760" s="25">
        <f t="array" aca="1" ref="Q760" ca="1">INDEX('Isaac 401k'!L:L,MATCH('Retirement Calculator'!A760,'Isaac 401k'!N:N,0),0)</f>
        <v>-2300929.7277920549</v>
      </c>
      <c r="R760" s="25">
        <f t="array" aca="1" ref="R760" ca="1">INDEX('Lorri 401b'!L:L,MATCH('Retirement Calculator'!A760,'Lorri 401b'!N:N,0),0)</f>
        <v>-5755294.6902205646</v>
      </c>
      <c r="S760" s="25">
        <f t="shared" ca="1" si="527"/>
        <v>-8056224.418012619</v>
      </c>
    </row>
    <row r="761" spans="1:19" ht="15.75" customHeight="1" x14ac:dyDescent="0.3">
      <c r="A761" s="37">
        <v>74115</v>
      </c>
      <c r="B761" s="409">
        <f t="shared" ref="B761:C761" si="767">($A761-B$9)/365.25</f>
        <v>121.03764544832306</v>
      </c>
      <c r="C761" s="409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2192</v>
      </c>
      <c r="I761" s="25">
        <f>IF(C761&lt;62,0,'Combined Retirement'!$I$13)</f>
        <v>2420</v>
      </c>
      <c r="J761" s="25">
        <f t="shared" si="523"/>
        <v>7863.2184191855868</v>
      </c>
      <c r="K761" s="25">
        <f t="shared" si="524"/>
        <v>20282.026119384056</v>
      </c>
      <c r="L761" s="25"/>
      <c r="N761" s="25">
        <f>'Combined Retirement'!$C$18/12</f>
        <v>39153.069999999992</v>
      </c>
      <c r="O761" s="25">
        <f t="shared" si="525"/>
        <v>11007.82546143035</v>
      </c>
      <c r="P761" s="25">
        <f t="shared" si="526"/>
        <v>28145.244538569641</v>
      </c>
      <c r="Q761" s="25">
        <f t="array" aca="1" ref="Q761" ca="1">INDEX('Isaac 401k'!L:L,MATCH('Retirement Calculator'!A761,'Isaac 401k'!N:N,0),0)</f>
        <v>-2318412.9168204539</v>
      </c>
      <c r="R761" s="25">
        <f t="array" aca="1" ref="R761" ca="1">INDEX('Lorri 401b'!L:L,MATCH('Retirement Calculator'!A761,'Lorri 401b'!N:N,0),0)</f>
        <v>-5799641.6193246981</v>
      </c>
      <c r="S761" s="25">
        <f t="shared" ca="1" si="527"/>
        <v>-8118054.5361451525</v>
      </c>
    </row>
    <row r="762" spans="1:19" ht="15.75" customHeight="1" x14ac:dyDescent="0.3">
      <c r="A762" s="37">
        <v>74146</v>
      </c>
      <c r="B762" s="409">
        <f t="shared" ref="B762:C762" si="768">($A762-B$9)/365.25</f>
        <v>121.12251882272416</v>
      </c>
      <c r="C762" s="409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2192</v>
      </c>
      <c r="I762" s="25">
        <f>IF(C762&lt;62,0,'Combined Retirement'!$I$13)</f>
        <v>2420</v>
      </c>
      <c r="J762" s="25">
        <f t="shared" si="523"/>
        <v>7863.2184191855868</v>
      </c>
      <c r="K762" s="25">
        <f t="shared" si="524"/>
        <v>20282.026119384056</v>
      </c>
      <c r="L762" s="25"/>
      <c r="N762" s="25">
        <f>'Combined Retirement'!$C$18/12</f>
        <v>39153.069999999992</v>
      </c>
      <c r="O762" s="25">
        <f t="shared" si="525"/>
        <v>11007.82546143035</v>
      </c>
      <c r="P762" s="25">
        <f t="shared" si="526"/>
        <v>28145.244538569641</v>
      </c>
      <c r="Q762" s="25">
        <f t="array" aca="1" ref="Q762" ca="1">INDEX('Isaac 401k'!L:L,MATCH('Retirement Calculator'!A762,'Isaac 401k'!N:N,0),0)</f>
        <v>-2335968.9524698043</v>
      </c>
      <c r="R762" s="25">
        <f t="array" aca="1" ref="R762" ca="1">INDEX('Lorri 401b'!L:L,MATCH('Retirement Calculator'!A762,'Lorri 401b'!N:N,0),0)</f>
        <v>-5844173.3273000987</v>
      </c>
      <c r="S762" s="25">
        <f t="shared" ca="1" si="527"/>
        <v>-8180142.279769903</v>
      </c>
    </row>
    <row r="763" spans="1:19" ht="15.75" customHeight="1" x14ac:dyDescent="0.3">
      <c r="A763" s="37">
        <v>74177</v>
      </c>
      <c r="B763" s="409">
        <f t="shared" ref="B763:C763" si="769">($A763-B$9)/365.25</f>
        <v>121.20739219712526</v>
      </c>
      <c r="C763" s="409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2192</v>
      </c>
      <c r="I763" s="25">
        <f>IF(C763&lt;62,0,'Combined Retirement'!$I$13)</f>
        <v>2420</v>
      </c>
      <c r="J763" s="25">
        <f t="shared" si="523"/>
        <v>7863.2184191855868</v>
      </c>
      <c r="K763" s="25">
        <f t="shared" si="524"/>
        <v>20282.026119384056</v>
      </c>
      <c r="L763" s="25"/>
      <c r="N763" s="25">
        <f>'Combined Retirement'!$C$18/12</f>
        <v>39153.069999999992</v>
      </c>
      <c r="O763" s="25">
        <f t="shared" si="525"/>
        <v>11007.82546143035</v>
      </c>
      <c r="P763" s="25">
        <f t="shared" si="526"/>
        <v>28145.244538569641</v>
      </c>
      <c r="Q763" s="25">
        <f t="array" aca="1" ref="Q763" ca="1">INDEX('Isaac 401k'!L:L,MATCH('Retirement Calculator'!A763,'Isaac 401k'!N:N,0),0)</f>
        <v>-2353598.138267694</v>
      </c>
      <c r="R763" s="25">
        <f t="array" aca="1" ref="R763" ca="1">INDEX('Lorri 401b'!L:L,MATCH('Retirement Calculator'!A763,'Lorri 401b'!N:N,0),0)</f>
        <v>-5888890.5840587309</v>
      </c>
      <c r="S763" s="25">
        <f t="shared" ca="1" si="527"/>
        <v>-8242488.7223264249</v>
      </c>
    </row>
    <row r="764" spans="1:19" ht="15.75" customHeight="1" x14ac:dyDescent="0.3">
      <c r="A764" s="37">
        <v>74205</v>
      </c>
      <c r="B764" s="409">
        <f t="shared" ref="B764:C764" si="770">($A764-B$9)/365.25</f>
        <v>121.28405201916496</v>
      </c>
      <c r="C764" s="409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2192</v>
      </c>
      <c r="I764" s="25">
        <f>IF(C764&lt;62,0,'Combined Retirement'!$I$13)</f>
        <v>2420</v>
      </c>
      <c r="J764" s="25">
        <f t="shared" si="523"/>
        <v>7863.2184191855868</v>
      </c>
      <c r="K764" s="25">
        <f t="shared" si="524"/>
        <v>20282.026119384056</v>
      </c>
      <c r="L764" s="25"/>
      <c r="N764" s="25">
        <f>'Combined Retirement'!$C$18/12</f>
        <v>39153.069999999992</v>
      </c>
      <c r="O764" s="25">
        <f t="shared" si="525"/>
        <v>11007.82546143035</v>
      </c>
      <c r="P764" s="25">
        <f t="shared" si="526"/>
        <v>28145.244538569641</v>
      </c>
      <c r="Q764" s="25">
        <f t="array" aca="1" ref="Q764" ca="1">INDEX('Isaac 401k'!L:L,MATCH('Retirement Calculator'!A764,'Isaac 401k'!N:N,0),0)</f>
        <v>-2371300.7790064081</v>
      </c>
      <c r="R764" s="25">
        <f t="array" aca="1" ref="R764" ca="1">INDEX('Lorri 401b'!L:L,MATCH('Retirement Calculator'!A764,'Lorri 401b'!N:N,0),0)</f>
        <v>-5933794.1627205238</v>
      </c>
      <c r="S764" s="25">
        <f t="shared" ca="1" si="527"/>
        <v>-8305094.9417269323</v>
      </c>
    </row>
    <row r="765" spans="1:19" ht="15.75" customHeight="1" x14ac:dyDescent="0.3">
      <c r="A765" s="37">
        <v>74236</v>
      </c>
      <c r="B765" s="409">
        <f t="shared" ref="B765:C765" si="771">($A765-B$9)/365.25</f>
        <v>121.36892539356604</v>
      </c>
      <c r="C765" s="409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2192</v>
      </c>
      <c r="I765" s="25">
        <f>IF(C765&lt;62,0,'Combined Retirement'!$I$13)</f>
        <v>2420</v>
      </c>
      <c r="J765" s="25">
        <f t="shared" si="523"/>
        <v>7863.2184191855868</v>
      </c>
      <c r="K765" s="25">
        <f t="shared" si="524"/>
        <v>20282.026119384056</v>
      </c>
      <c r="L765" s="25"/>
      <c r="N765" s="25">
        <f>'Combined Retirement'!$C$18/12</f>
        <v>39153.069999999992</v>
      </c>
      <c r="O765" s="25">
        <f t="shared" si="525"/>
        <v>11007.82546143035</v>
      </c>
      <c r="P765" s="25">
        <f t="shared" si="526"/>
        <v>28145.244538569641</v>
      </c>
      <c r="Q765" s="25">
        <f t="array" aca="1" ref="Q765" ca="1">INDEX('Isaac 401k'!L:L,MATCH('Retirement Calculator'!A765,'Isaac 401k'!N:N,0),0)</f>
        <v>-2389077.1807482</v>
      </c>
      <c r="R765" s="25">
        <f t="array" aca="1" ref="R765" ca="1">INDEX('Lorri 401b'!L:L,MATCH('Retirement Calculator'!A765,'Lorri 401b'!N:N,0),0)</f>
        <v>-5978884.8396267407</v>
      </c>
      <c r="S765" s="25">
        <f t="shared" ca="1" si="527"/>
        <v>-8367962.0203749407</v>
      </c>
    </row>
    <row r="766" spans="1:19" ht="15.75" customHeight="1" x14ac:dyDescent="0.3">
      <c r="A766" s="37">
        <v>74266</v>
      </c>
      <c r="B766" s="409">
        <f t="shared" ref="B766:C766" si="772">($A766-B$9)/365.25</f>
        <v>121.45106091718002</v>
      </c>
      <c r="C766" s="409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2192</v>
      </c>
      <c r="I766" s="25">
        <f>IF(C766&lt;62,0,'Combined Retirement'!$I$13)</f>
        <v>2420</v>
      </c>
      <c r="J766" s="25">
        <f t="shared" si="523"/>
        <v>7863.2184191855868</v>
      </c>
      <c r="K766" s="25">
        <f t="shared" si="524"/>
        <v>20282.026119384056</v>
      </c>
      <c r="L766" s="25"/>
      <c r="N766" s="25">
        <f>'Combined Retirement'!$C$18/12</f>
        <v>39153.069999999992</v>
      </c>
      <c r="O766" s="25">
        <f t="shared" si="525"/>
        <v>11007.82546143035</v>
      </c>
      <c r="P766" s="25">
        <f t="shared" si="526"/>
        <v>28145.244538569641</v>
      </c>
      <c r="Q766" s="25">
        <f t="array" aca="1" ref="Q766" ca="1">INDEX('Isaac 401k'!L:L,MATCH('Retirement Calculator'!A766,'Isaac 401k'!N:N,0),0)</f>
        <v>-2406927.6508305827</v>
      </c>
      <c r="R766" s="25">
        <f t="array" aca="1" ref="R766" ca="1">INDEX('Lorri 401b'!L:L,MATCH('Retirement Calculator'!A766,'Lorri 401b'!N:N,0),0)</f>
        <v>-6024163.3943534</v>
      </c>
      <c r="S766" s="25">
        <f t="shared" ca="1" si="527"/>
        <v>-8431091.0451839827</v>
      </c>
    </row>
    <row r="767" spans="1:19" ht="15.75" customHeight="1" x14ac:dyDescent="0.3">
      <c r="A767" s="37">
        <v>74297</v>
      </c>
      <c r="B767" s="409">
        <f t="shared" ref="B767:C767" si="773">($A767-B$9)/365.25</f>
        <v>121.53593429158111</v>
      </c>
      <c r="C767" s="409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2192</v>
      </c>
      <c r="I767" s="25">
        <f>IF(C767&lt;62,0,'Combined Retirement'!$I$13)</f>
        <v>2420</v>
      </c>
      <c r="J767" s="25">
        <f t="shared" si="523"/>
        <v>7863.2184191855868</v>
      </c>
      <c r="K767" s="25">
        <f t="shared" si="524"/>
        <v>20282.026119384056</v>
      </c>
      <c r="L767" s="25"/>
      <c r="N767" s="25">
        <f>'Combined Retirement'!$C$18/12</f>
        <v>39153.069999999992</v>
      </c>
      <c r="O767" s="25">
        <f t="shared" si="525"/>
        <v>11007.82546143035</v>
      </c>
      <c r="P767" s="25">
        <f t="shared" si="526"/>
        <v>28145.244538569641</v>
      </c>
      <c r="Q767" s="25">
        <f t="array" aca="1" ref="Q767" ca="1">INDEX('Isaac 401k'!L:L,MATCH('Retirement Calculator'!A767,'Isaac 401k'!N:N,0),0)</f>
        <v>-2424852.497871642</v>
      </c>
      <c r="R767" s="25">
        <f t="array" aca="1" ref="R767" ca="1">INDEX('Lorri 401b'!L:L,MATCH('Retirement Calculator'!A767,'Lorri 401b'!N:N,0),0)</f>
        <v>-6069630.6097247535</v>
      </c>
      <c r="S767" s="25">
        <f t="shared" ca="1" si="527"/>
        <v>-8494483.1075963955</v>
      </c>
    </row>
    <row r="768" spans="1:19" ht="15.75" customHeight="1" x14ac:dyDescent="0.3">
      <c r="A768" s="37">
        <v>74327</v>
      </c>
      <c r="B768" s="409">
        <f t="shared" ref="B768:C768" si="774">($A768-B$9)/365.25</f>
        <v>121.61806981519507</v>
      </c>
      <c r="C768" s="409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2192</v>
      </c>
      <c r="I768" s="25">
        <f>IF(C768&lt;62,0,'Combined Retirement'!$I$13)</f>
        <v>2420</v>
      </c>
      <c r="J768" s="25">
        <f t="shared" si="523"/>
        <v>7863.2184191855868</v>
      </c>
      <c r="K768" s="25">
        <f t="shared" si="524"/>
        <v>20282.026119384056</v>
      </c>
      <c r="L768" s="25"/>
      <c r="N768" s="25">
        <f>'Combined Retirement'!$C$18/12</f>
        <v>39153.069999999992</v>
      </c>
      <c r="O768" s="25">
        <f t="shared" si="525"/>
        <v>11007.82546143035</v>
      </c>
      <c r="P768" s="25">
        <f t="shared" si="526"/>
        <v>28145.244538569641</v>
      </c>
      <c r="Q768" s="25">
        <f t="array" aca="1" ref="Q768" ca="1">INDEX('Isaac 401k'!L:L,MATCH('Retirement Calculator'!A768,'Isaac 401k'!N:N,0),0)</f>
        <v>-2442852.0317753726</v>
      </c>
      <c r="R768" s="25">
        <f t="array" aca="1" ref="R768" ca="1">INDEX('Lorri 401b'!L:L,MATCH('Retirement Calculator'!A768,'Lorri 401b'!N:N,0),0)</f>
        <v>-6115287.2718268214</v>
      </c>
      <c r="S768" s="25">
        <f t="shared" ca="1" si="527"/>
        <v>-8558139.3036021944</v>
      </c>
    </row>
    <row r="769" spans="1:19" ht="15.75" customHeight="1" x14ac:dyDescent="0.3">
      <c r="A769" s="37">
        <v>74358</v>
      </c>
      <c r="B769" s="409">
        <f t="shared" ref="B769:C769" si="775">($A769-B$9)/365.25</f>
        <v>121.70294318959617</v>
      </c>
      <c r="C769" s="409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2192</v>
      </c>
      <c r="I769" s="25">
        <f>IF(C769&lt;62,0,'Combined Retirement'!$I$13)</f>
        <v>2420</v>
      </c>
      <c r="J769" s="25">
        <f t="shared" si="523"/>
        <v>7863.2184191855868</v>
      </c>
      <c r="K769" s="25">
        <f t="shared" si="524"/>
        <v>20282.026119384056</v>
      </c>
      <c r="L769" s="25"/>
      <c r="N769" s="25">
        <f>'Combined Retirement'!$C$18/12</f>
        <v>39153.069999999992</v>
      </c>
      <c r="O769" s="25">
        <f t="shared" si="525"/>
        <v>11007.82546143035</v>
      </c>
      <c r="P769" s="25">
        <f t="shared" si="526"/>
        <v>28145.244538569641</v>
      </c>
      <c r="Q769" s="25">
        <f t="array" aca="1" ref="Q769" ca="1">INDEX('Isaac 401k'!L:L,MATCH('Retirement Calculator'!A769,'Isaac 401k'!N:N,0),0)</f>
        <v>-2460926.5637370353</v>
      </c>
      <c r="R769" s="25">
        <f t="array" aca="1" ref="R769" ca="1">INDEX('Lorri 401b'!L:L,MATCH('Retirement Calculator'!A769,'Lorri 401b'!N:N,0),0)</f>
        <v>-6161134.1700209808</v>
      </c>
      <c r="S769" s="25">
        <f t="shared" ca="1" si="527"/>
        <v>-8622060.7337580156</v>
      </c>
    </row>
    <row r="770" spans="1:19" ht="15.75" customHeight="1" x14ac:dyDescent="0.3">
      <c r="A770" s="37">
        <v>74389</v>
      </c>
      <c r="B770" s="409">
        <f t="shared" ref="B770:C770" si="776">($A770-B$9)/365.25</f>
        <v>121.78781656399727</v>
      </c>
      <c r="C770" s="409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2192</v>
      </c>
      <c r="I770" s="25">
        <f>IF(C770&lt;62,0,'Combined Retirement'!$I$13)</f>
        <v>2420</v>
      </c>
      <c r="J770" s="25">
        <f t="shared" si="523"/>
        <v>7863.2184191855868</v>
      </c>
      <c r="K770" s="25">
        <f t="shared" si="524"/>
        <v>20282.026119384056</v>
      </c>
      <c r="L770" s="25"/>
      <c r="N770" s="25">
        <f>'Combined Retirement'!$C$18/12</f>
        <v>39153.069999999992</v>
      </c>
      <c r="O770" s="25">
        <f t="shared" si="525"/>
        <v>11007.82546143035</v>
      </c>
      <c r="P770" s="25">
        <f t="shared" si="526"/>
        <v>28145.244538569641</v>
      </c>
      <c r="Q770" s="25">
        <f t="array" aca="1" ref="Q770" ca="1">INDEX('Isaac 401k'!L:L,MATCH('Retirement Calculator'!A770,'Isaac 401k'!N:N,0),0)</f>
        <v>-2479076.4062485383</v>
      </c>
      <c r="R770" s="25">
        <f t="array" aca="1" ref="R770" ca="1">INDEX('Lorri 401b'!L:L,MATCH('Retirement Calculator'!A770,'Lorri 401b'!N:N,0),0)</f>
        <v>-6207172.0969576165</v>
      </c>
      <c r="S770" s="25">
        <f t="shared" ca="1" si="527"/>
        <v>-8686248.5032061543</v>
      </c>
    </row>
    <row r="771" spans="1:19" ht="15.75" customHeight="1" x14ac:dyDescent="0.3">
      <c r="A771" s="37">
        <v>74419</v>
      </c>
      <c r="B771" s="409">
        <f t="shared" ref="B771:C771" si="777">($A771-B$9)/365.25</f>
        <v>121.86995208761122</v>
      </c>
      <c r="C771" s="409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2192</v>
      </c>
      <c r="I771" s="25">
        <f>IF(C771&lt;62,0,'Combined Retirement'!$I$13)</f>
        <v>2420</v>
      </c>
      <c r="J771" s="25">
        <f t="shared" si="523"/>
        <v>7863.2184191855868</v>
      </c>
      <c r="K771" s="25">
        <f t="shared" si="524"/>
        <v>20282.026119384056</v>
      </c>
      <c r="L771" s="25"/>
      <c r="N771" s="25">
        <f>'Combined Retirement'!$C$18/12</f>
        <v>39153.069999999992</v>
      </c>
      <c r="O771" s="25">
        <f t="shared" si="525"/>
        <v>11007.82546143035</v>
      </c>
      <c r="P771" s="25">
        <f t="shared" si="526"/>
        <v>28145.244538569641</v>
      </c>
      <c r="Q771" s="25">
        <f t="array" aca="1" ref="Q771" ca="1">INDEX('Isaac 401k'!L:L,MATCH('Retirement Calculator'!A771,'Isaac 401k'!N:N,0),0)</f>
        <v>-2497301.8731038393</v>
      </c>
      <c r="R771" s="25">
        <f t="array" aca="1" ref="R771" ca="1">INDEX('Lorri 401b'!L:L,MATCH('Retirement Calculator'!A771,'Lorri 401b'!N:N,0),0)</f>
        <v>-6253401.8485898217</v>
      </c>
      <c r="S771" s="25">
        <f t="shared" ca="1" si="527"/>
        <v>-8750703.7216936611</v>
      </c>
    </row>
    <row r="772" spans="1:19" ht="15.75" customHeight="1" x14ac:dyDescent="0.3">
      <c r="A772" s="37">
        <v>74450</v>
      </c>
      <c r="B772" s="409">
        <f t="shared" ref="B772:C772" si="778">($A772-B$9)/365.25</f>
        <v>121.95482546201232</v>
      </c>
      <c r="C772" s="409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2192</v>
      </c>
      <c r="I772" s="25">
        <f>IF(C772&lt;62,0,'Combined Retirement'!$I$13)</f>
        <v>2420</v>
      </c>
      <c r="J772" s="25">
        <f t="shared" si="523"/>
        <v>7863.2184191855868</v>
      </c>
      <c r="K772" s="25">
        <f t="shared" si="524"/>
        <v>20282.026119384056</v>
      </c>
      <c r="L772" s="25"/>
      <c r="N772" s="25">
        <f>'Combined Retirement'!$C$18/12</f>
        <v>39153.069999999992</v>
      </c>
      <c r="O772" s="25">
        <f t="shared" si="525"/>
        <v>11007.82546143035</v>
      </c>
      <c r="P772" s="25">
        <f t="shared" si="526"/>
        <v>28145.244538569641</v>
      </c>
      <c r="Q772" s="25">
        <f t="array" aca="1" ref="Q772" ca="1">INDEX('Isaac 401k'!L:L,MATCH('Retirement Calculator'!A772,'Isaac 401k'!N:N,0),0)</f>
        <v>-2515603.2794043706</v>
      </c>
      <c r="R772" s="25">
        <f t="array" aca="1" ref="R772" ca="1">INDEX('Lorri 401b'!L:L,MATCH('Retirement Calculator'!A772,'Lorri 401b'!N:N,0),0)</f>
        <v>-6299824.2241871608</v>
      </c>
      <c r="S772" s="25">
        <f t="shared" ca="1" si="527"/>
        <v>-8815427.5035915319</v>
      </c>
    </row>
    <row r="773" spans="1:19" ht="15.75" customHeight="1" x14ac:dyDescent="0.3">
      <c r="A773" s="37">
        <v>74480</v>
      </c>
      <c r="B773" s="409">
        <f t="shared" ref="B773:C773" si="779">($A773-B$9)/365.25</f>
        <v>122.03696098562628</v>
      </c>
      <c r="C773" s="409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2192</v>
      </c>
      <c r="I773" s="25">
        <f>IF(C773&lt;62,0,'Combined Retirement'!$I$13)</f>
        <v>2420</v>
      </c>
      <c r="J773" s="25">
        <f t="shared" si="523"/>
        <v>7863.2184191855868</v>
      </c>
      <c r="K773" s="25">
        <f t="shared" si="524"/>
        <v>20282.026119384056</v>
      </c>
      <c r="L773" s="25"/>
      <c r="N773" s="25">
        <f>'Combined Retirement'!$C$18/12</f>
        <v>39153.069999999992</v>
      </c>
      <c r="O773" s="25">
        <f t="shared" si="525"/>
        <v>11007.82546143035</v>
      </c>
      <c r="P773" s="25">
        <f t="shared" si="526"/>
        <v>28145.244538569641</v>
      </c>
      <c r="Q773" s="25">
        <f t="array" aca="1" ref="Q773" ca="1">INDEX('Isaac 401k'!L:L,MATCH('Retirement Calculator'!A773,'Isaac 401k'!N:N,0),0)</f>
        <v>-2533980.9415644873</v>
      </c>
      <c r="R773" s="25">
        <f t="array" aca="1" ref="R773" ca="1">INDEX('Lorri 401b'!L:L,MATCH('Retirement Calculator'!A773,'Lorri 401b'!N:N,0),0)</f>
        <v>-6346440.0263494886</v>
      </c>
      <c r="S773" s="25">
        <f t="shared" ca="1" si="527"/>
        <v>-8880420.9679139759</v>
      </c>
    </row>
    <row r="774" spans="1:19" ht="15.75" customHeight="1" x14ac:dyDescent="0.3">
      <c r="A774" s="37">
        <v>74511</v>
      </c>
      <c r="B774" s="409">
        <f t="shared" ref="B774:C774" si="780">($A774-B$9)/365.25</f>
        <v>122.12183436002738</v>
      </c>
      <c r="C774" s="409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2192</v>
      </c>
      <c r="I774" s="25">
        <f>IF(C774&lt;62,0,'Combined Retirement'!$I$13)</f>
        <v>2420</v>
      </c>
      <c r="J774" s="25">
        <f t="shared" si="523"/>
        <v>7863.2184191855868</v>
      </c>
      <c r="K774" s="25">
        <f t="shared" si="524"/>
        <v>20282.026119384056</v>
      </c>
      <c r="L774" s="25"/>
      <c r="N774" s="25">
        <f>'Combined Retirement'!$C$18/12</f>
        <v>39153.069999999992</v>
      </c>
      <c r="O774" s="25">
        <f t="shared" si="525"/>
        <v>11007.82546143035</v>
      </c>
      <c r="P774" s="25">
        <f t="shared" si="526"/>
        <v>28145.244538569641</v>
      </c>
      <c r="Q774" s="25">
        <f t="array" aca="1" ref="Q774" ca="1">INDEX('Isaac 401k'!L:L,MATCH('Retirement Calculator'!A774,'Isaac 401k'!N:N,0),0)</f>
        <v>-2552435.1773169381</v>
      </c>
      <c r="R774" s="25">
        <f t="array" aca="1" ref="R774" ca="1">INDEX('Lorri 401b'!L:L,MATCH('Retirement Calculator'!A774,'Lorri 401b'!N:N,0),0)</f>
        <v>-6393250.061020826</v>
      </c>
      <c r="S774" s="25">
        <f t="shared" ca="1" si="527"/>
        <v>-8945685.2383377645</v>
      </c>
    </row>
    <row r="775" spans="1:19" ht="15.75" customHeight="1" x14ac:dyDescent="0.3">
      <c r="A775" s="37">
        <v>74542</v>
      </c>
      <c r="B775" s="409">
        <f t="shared" ref="B775:C775" si="781">($A775-B$9)/365.25</f>
        <v>122.20670773442848</v>
      </c>
      <c r="C775" s="409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2192</v>
      </c>
      <c r="I775" s="25">
        <f>IF(C775&lt;62,0,'Combined Retirement'!$I$13)</f>
        <v>2420</v>
      </c>
      <c r="J775" s="25">
        <f t="shared" si="523"/>
        <v>7863.2184191855868</v>
      </c>
      <c r="K775" s="25">
        <f t="shared" si="524"/>
        <v>20282.026119384056</v>
      </c>
      <c r="L775" s="25"/>
      <c r="N775" s="25">
        <f>'Combined Retirement'!$C$18/12</f>
        <v>39153.069999999992</v>
      </c>
      <c r="O775" s="25">
        <f t="shared" si="525"/>
        <v>11007.82546143035</v>
      </c>
      <c r="P775" s="25">
        <f t="shared" si="526"/>
        <v>28145.244538569641</v>
      </c>
      <c r="Q775" s="25">
        <f t="array" aca="1" ref="Q775" ca="1">INDEX('Isaac 401k'!L:L,MATCH('Retirement Calculator'!A775,'Isaac 401k'!N:N,0),0)</f>
        <v>-2570966.3057183572</v>
      </c>
      <c r="R775" s="25">
        <f t="array" aca="1" ref="R775" ca="1">INDEX('Lorri 401b'!L:L,MATCH('Retirement Calculator'!A775,'Lorri 401b'!N:N,0),0)</f>
        <v>-6440255.1375032943</v>
      </c>
      <c r="S775" s="25">
        <f t="shared" ca="1" si="527"/>
        <v>-9011221.443221651</v>
      </c>
    </row>
    <row r="776" spans="1:19" ht="15.75" customHeight="1" x14ac:dyDescent="0.3">
      <c r="A776" s="37">
        <v>74571</v>
      </c>
      <c r="B776" s="409">
        <f t="shared" ref="B776:C776" si="782">($A776-B$9)/365.25</f>
        <v>122.28610540725531</v>
      </c>
      <c r="C776" s="409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2192</v>
      </c>
      <c r="I776" s="25">
        <f>IF(C776&lt;62,0,'Combined Retirement'!$I$13)</f>
        <v>2420</v>
      </c>
      <c r="J776" s="25">
        <f t="shared" ref="J776:J1030" si="783">IF(C776&lt;59.5,P776,P776*$J$7)</f>
        <v>7863.2184191855868</v>
      </c>
      <c r="K776" s="25">
        <f t="shared" ref="K776:K1030" si="784">IF(C776&lt;59.5,0,IF(C776&lt;$B$7,0,P776*$K$7))</f>
        <v>20282.026119384056</v>
      </c>
      <c r="L776" s="25"/>
      <c r="N776" s="25">
        <f>'Combined Retirement'!$C$18/12</f>
        <v>39153.069999999992</v>
      </c>
      <c r="O776" s="25">
        <f t="shared" ref="O776:O1030" si="785">SUM(E776:I776)</f>
        <v>11007.82546143035</v>
      </c>
      <c r="P776" s="25">
        <f t="shared" ref="P776:P1030" si="786">N776-O776</f>
        <v>28145.244538569641</v>
      </c>
      <c r="Q776" s="25">
        <f t="array" aca="1" ref="Q776" ca="1">INDEX('Isaac 401k'!L:L,MATCH('Retirement Calculator'!A776,'Isaac 401k'!N:N,0),0)</f>
        <v>-2589574.6471547824</v>
      </c>
      <c r="R776" s="25">
        <f t="array" aca="1" ref="R776" ca="1">INDEX('Lorri 401b'!L:L,MATCH('Retirement Calculator'!A776,'Lorri 401b'!N:N,0),0)</f>
        <v>-6487456.0684711058</v>
      </c>
      <c r="S776" s="25">
        <f t="shared" ref="S776:S1030" ca="1" si="787">SUM(Q776:R776)</f>
        <v>-9077030.7156258877</v>
      </c>
    </row>
    <row r="777" spans="1:19" ht="15.75" customHeight="1" x14ac:dyDescent="0.3">
      <c r="A777" s="37">
        <v>74602</v>
      </c>
      <c r="B777" s="409">
        <f t="shared" ref="B777:C777" si="788">($A777-B$9)/365.25</f>
        <v>122.3709787816564</v>
      </c>
      <c r="C777" s="409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2192</v>
      </c>
      <c r="I777" s="25">
        <f>IF(C777&lt;62,0,'Combined Retirement'!$I$13)</f>
        <v>2420</v>
      </c>
      <c r="J777" s="25">
        <f t="shared" si="783"/>
        <v>7863.2184191855868</v>
      </c>
      <c r="K777" s="25">
        <f t="shared" si="784"/>
        <v>20282.026119384056</v>
      </c>
      <c r="L777" s="25"/>
      <c r="N777" s="25">
        <f>'Combined Retirement'!$C$18/12</f>
        <v>39153.069999999992</v>
      </c>
      <c r="O777" s="25">
        <f t="shared" si="785"/>
        <v>11007.82546143035</v>
      </c>
      <c r="P777" s="25">
        <f t="shared" si="786"/>
        <v>28145.244538569641</v>
      </c>
      <c r="Q777" s="25">
        <f t="array" aca="1" ref="Q777" ca="1">INDEX('Isaac 401k'!L:L,MATCH('Retirement Calculator'!A777,'Isaac 401k'!N:N,0),0)</f>
        <v>-2608260.5233471924</v>
      </c>
      <c r="R777" s="25">
        <f t="array" aca="1" ref="R777" ca="1">INDEX('Lorri 401b'!L:L,MATCH('Retirement Calculator'!A777,'Lorri 401b'!N:N,0),0)</f>
        <v>-6534853.6699846163</v>
      </c>
      <c r="S777" s="25">
        <f t="shared" ca="1" si="787"/>
        <v>-9143114.1933318079</v>
      </c>
    </row>
    <row r="778" spans="1:19" ht="15.75" customHeight="1" x14ac:dyDescent="0.3">
      <c r="A778" s="37">
        <v>74632</v>
      </c>
      <c r="B778" s="409">
        <f t="shared" ref="B778:C778" si="789">($A778-B$9)/365.25</f>
        <v>122.45311430527036</v>
      </c>
      <c r="C778" s="409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2192</v>
      </c>
      <c r="I778" s="25">
        <f>IF(C778&lt;62,0,'Combined Retirement'!$I$13)</f>
        <v>2420</v>
      </c>
      <c r="J778" s="25">
        <f t="shared" si="783"/>
        <v>7863.2184191855868</v>
      </c>
      <c r="K778" s="25">
        <f t="shared" si="784"/>
        <v>20282.026119384056</v>
      </c>
      <c r="L778" s="25"/>
      <c r="N778" s="25">
        <f>'Combined Retirement'!$C$18/12</f>
        <v>39153.069999999992</v>
      </c>
      <c r="O778" s="25">
        <f t="shared" si="785"/>
        <v>11007.82546143035</v>
      </c>
      <c r="P778" s="25">
        <f t="shared" si="786"/>
        <v>28145.244538569641</v>
      </c>
      <c r="Q778" s="25">
        <f t="array" aca="1" ref="Q778" ca="1">INDEX('Isaac 401k'!L:L,MATCH('Retirement Calculator'!A778,'Isaac 401k'!N:N,0),0)</f>
        <v>-2627024.2573570712</v>
      </c>
      <c r="R778" s="25">
        <f t="array" aca="1" ref="R778" ca="1">INDEX('Lorri 401b'!L:L,MATCH('Retirement Calculator'!A778,'Lorri 401b'!N:N,0),0)</f>
        <v>-6582448.761504434</v>
      </c>
      <c r="S778" s="25">
        <f t="shared" ca="1" si="787"/>
        <v>-9209473.0188615061</v>
      </c>
    </row>
    <row r="779" spans="1:19" ht="15.75" customHeight="1" x14ac:dyDescent="0.3">
      <c r="A779" s="37">
        <v>74663</v>
      </c>
      <c r="B779" s="409">
        <f t="shared" ref="B779:C779" si="790">($A779-B$9)/365.25</f>
        <v>122.53798767967146</v>
      </c>
      <c r="C779" s="409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2192</v>
      </c>
      <c r="I779" s="25">
        <f>IF(C779&lt;62,0,'Combined Retirement'!$I$13)</f>
        <v>2420</v>
      </c>
      <c r="J779" s="25">
        <f t="shared" si="783"/>
        <v>7863.2184191855868</v>
      </c>
      <c r="K779" s="25">
        <f t="shared" si="784"/>
        <v>20282.026119384056</v>
      </c>
      <c r="L779" s="25"/>
      <c r="N779" s="25">
        <f>'Combined Retirement'!$C$18/12</f>
        <v>39153.069999999992</v>
      </c>
      <c r="O779" s="25">
        <f t="shared" si="785"/>
        <v>11007.82546143035</v>
      </c>
      <c r="P779" s="25">
        <f t="shared" si="786"/>
        <v>28145.244538569641</v>
      </c>
      <c r="Q779" s="25">
        <f t="array" aca="1" ref="Q779" ca="1">INDEX('Isaac 401k'!L:L,MATCH('Retirement Calculator'!A779,'Isaac 401k'!N:N,0),0)</f>
        <v>-2645866.173591991</v>
      </c>
      <c r="R779" s="25">
        <f t="array" aca="1" ref="R779" ca="1">INDEX('Lorri 401b'!L:L,MATCH('Retirement Calculator'!A779,'Lorri 401b'!N:N,0),0)</f>
        <v>-6630242.1659055836</v>
      </c>
      <c r="S779" s="25">
        <f t="shared" ca="1" si="787"/>
        <v>-9276108.3394975737</v>
      </c>
    </row>
    <row r="780" spans="1:19" ht="15.75" customHeight="1" x14ac:dyDescent="0.3">
      <c r="A780" s="37">
        <v>74693</v>
      </c>
      <c r="B780" s="409">
        <f t="shared" ref="B780:C780" si="791">($A780-B$9)/365.25</f>
        <v>122.62012320328542</v>
      </c>
      <c r="C780" s="409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2192</v>
      </c>
      <c r="I780" s="25">
        <f>IF(C780&lt;62,0,'Combined Retirement'!$I$13)</f>
        <v>2420</v>
      </c>
      <c r="J780" s="25">
        <f t="shared" si="783"/>
        <v>7863.2184191855868</v>
      </c>
      <c r="K780" s="25">
        <f t="shared" si="784"/>
        <v>20282.026119384056</v>
      </c>
      <c r="L780" s="25"/>
      <c r="N780" s="25">
        <f>'Combined Retirement'!$C$18/12</f>
        <v>39153.069999999992</v>
      </c>
      <c r="O780" s="25">
        <f t="shared" si="785"/>
        <v>11007.82546143035</v>
      </c>
      <c r="P780" s="25">
        <f t="shared" si="786"/>
        <v>28145.244538569641</v>
      </c>
      <c r="Q780" s="25">
        <f t="array" aca="1" ref="Q780" ca="1">INDEX('Isaac 401k'!L:L,MATCH('Retirement Calculator'!A780,'Isaac 401k'!N:N,0),0)</f>
        <v>-2664786.597811223</v>
      </c>
      <c r="R780" s="25">
        <f t="array" aca="1" ref="R780" ca="1">INDEX('Lorri 401b'!L:L,MATCH('Retirement Calculator'!A780,'Lorri 401b'!N:N,0),0)</f>
        <v>-6678234.7094917381</v>
      </c>
      <c r="S780" s="25">
        <f t="shared" ca="1" si="787"/>
        <v>-9343021.3073029611</v>
      </c>
    </row>
    <row r="781" spans="1:19" ht="15.75" customHeight="1" x14ac:dyDescent="0.3">
      <c r="A781" s="37">
        <v>74724</v>
      </c>
      <c r="B781" s="409">
        <f t="shared" ref="B781:C781" si="792">($A781-B$9)/365.25</f>
        <v>122.70499657768652</v>
      </c>
      <c r="C781" s="409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2192</v>
      </c>
      <c r="I781" s="25">
        <f>IF(C781&lt;62,0,'Combined Retirement'!$I$13)</f>
        <v>2420</v>
      </c>
      <c r="J781" s="25">
        <f t="shared" si="783"/>
        <v>7863.2184191855868</v>
      </c>
      <c r="K781" s="25">
        <f t="shared" si="784"/>
        <v>20282.026119384056</v>
      </c>
      <c r="L781" s="25"/>
      <c r="N781" s="25">
        <f>'Combined Retirement'!$C$18/12</f>
        <v>39153.069999999992</v>
      </c>
      <c r="O781" s="25">
        <f t="shared" si="785"/>
        <v>11007.82546143035</v>
      </c>
      <c r="P781" s="25">
        <f t="shared" si="786"/>
        <v>28145.244538569641</v>
      </c>
      <c r="Q781" s="25">
        <f t="array" aca="1" ref="Q781" ca="1">INDEX('Isaac 401k'!L:L,MATCH('Retirement Calculator'!A781,'Isaac 401k'!N:N,0),0)</f>
        <v>-2683785.8571313685</v>
      </c>
      <c r="R781" s="25">
        <f t="array" aca="1" ref="R781" ca="1">INDEX('Lorri 401b'!L:L,MATCH('Retirement Calculator'!A781,'Lorri 401b'!N:N,0),0)</f>
        <v>-6726427.2220095014</v>
      </c>
      <c r="S781" s="25">
        <f t="shared" ca="1" si="787"/>
        <v>-9410213.0791408699</v>
      </c>
    </row>
    <row r="782" spans="1:19" ht="15.75" customHeight="1" x14ac:dyDescent="0.3">
      <c r="A782" s="37">
        <v>74755</v>
      </c>
      <c r="B782" s="409">
        <f t="shared" ref="B782:C782" si="793">($A782-B$9)/365.25</f>
        <v>122.78986995208761</v>
      </c>
      <c r="C782" s="409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2192</v>
      </c>
      <c r="I782" s="25">
        <f>IF(C782&lt;62,0,'Combined Retirement'!$I$13)</f>
        <v>2420</v>
      </c>
      <c r="J782" s="25">
        <f t="shared" si="783"/>
        <v>7863.2184191855868</v>
      </c>
      <c r="K782" s="25">
        <f t="shared" si="784"/>
        <v>20282.026119384056</v>
      </c>
      <c r="L782" s="25"/>
      <c r="N782" s="25">
        <f>'Combined Retirement'!$C$18/12</f>
        <v>39153.069999999992</v>
      </c>
      <c r="O782" s="25">
        <f t="shared" si="785"/>
        <v>11007.82546143035</v>
      </c>
      <c r="P782" s="25">
        <f t="shared" si="786"/>
        <v>28145.244538569641</v>
      </c>
      <c r="Q782" s="25">
        <f t="array" aca="1" ref="Q782" ca="1">INDEX('Isaac 401k'!L:L,MATCH('Retirement Calculator'!A782,'Isaac 401k'!N:N,0),0)</f>
        <v>-2702864.2800320145</v>
      </c>
      <c r="R782" s="25">
        <f t="array" aca="1" ref="R782" ca="1">INDEX('Lorri 401b'!L:L,MATCH('Retirement Calculator'!A782,'Lorri 401b'!N:N,0),0)</f>
        <v>-6774820.5366627555</v>
      </c>
      <c r="S782" s="25">
        <f t="shared" ca="1" si="787"/>
        <v>-9477684.81669477</v>
      </c>
    </row>
    <row r="783" spans="1:19" ht="15.75" customHeight="1" x14ac:dyDescent="0.3">
      <c r="A783" s="37">
        <v>74785</v>
      </c>
      <c r="B783" s="409">
        <f t="shared" ref="B783:C783" si="794">($A783-B$9)/365.25</f>
        <v>122.87200547570157</v>
      </c>
      <c r="C783" s="409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2192</v>
      </c>
      <c r="I783" s="25">
        <f>IF(C783&lt;62,0,'Combined Retirement'!$I$13)</f>
        <v>2420</v>
      </c>
      <c r="J783" s="25">
        <f t="shared" si="783"/>
        <v>7863.2184191855868</v>
      </c>
      <c r="K783" s="25">
        <f t="shared" si="784"/>
        <v>20282.026119384056</v>
      </c>
      <c r="L783" s="25"/>
      <c r="N783" s="25">
        <f>'Combined Retirement'!$C$18/12</f>
        <v>39153.069999999992</v>
      </c>
      <c r="O783" s="25">
        <f t="shared" si="785"/>
        <v>11007.82546143035</v>
      </c>
      <c r="P783" s="25">
        <f t="shared" si="786"/>
        <v>28145.244538569641</v>
      </c>
      <c r="Q783" s="25">
        <f t="array" aca="1" ref="Q783" ca="1">INDEX('Isaac 401k'!L:L,MATCH('Retirement Calculator'!A783,'Isaac 401k'!N:N,0),0)</f>
        <v>-2722022.1963614132</v>
      </c>
      <c r="R783" s="25">
        <f t="array" aca="1" ref="R783" ca="1">INDEX('Lorri 401b'!L:L,MATCH('Retirement Calculator'!A783,'Lorri 401b'!N:N,0),0)</f>
        <v>-6823415.4901270652</v>
      </c>
      <c r="S783" s="25">
        <f t="shared" ca="1" si="787"/>
        <v>-9545437.6864884794</v>
      </c>
    </row>
    <row r="784" spans="1:19" ht="15.75" customHeight="1" x14ac:dyDescent="0.3">
      <c r="A784" s="37">
        <v>74816</v>
      </c>
      <c r="B784" s="409">
        <f t="shared" ref="B784:C784" si="795">($A784-B$9)/365.25</f>
        <v>122.95687885010267</v>
      </c>
      <c r="C784" s="409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2192</v>
      </c>
      <c r="I784" s="25">
        <f>IF(C784&lt;62,0,'Combined Retirement'!$I$13)</f>
        <v>2420</v>
      </c>
      <c r="J784" s="25">
        <f t="shared" si="783"/>
        <v>7863.2184191855868</v>
      </c>
      <c r="K784" s="25">
        <f t="shared" si="784"/>
        <v>20282.026119384056</v>
      </c>
      <c r="L784" s="25"/>
      <c r="N784" s="25">
        <f>'Combined Retirement'!$C$18/12</f>
        <v>39153.069999999992</v>
      </c>
      <c r="O784" s="25">
        <f t="shared" si="785"/>
        <v>11007.82546143035</v>
      </c>
      <c r="P784" s="25">
        <f t="shared" si="786"/>
        <v>28145.244538569641</v>
      </c>
      <c r="Q784" s="25">
        <f t="array" aca="1" ref="Q784" ca="1">INDEX('Isaac 401k'!L:L,MATCH('Retirement Calculator'!A784,'Isaac 401k'!N:N,0),0)</f>
        <v>-2741259.9373421846</v>
      </c>
      <c r="R784" s="25">
        <f t="array" aca="1" ref="R784" ca="1">INDEX('Lorri 401b'!L:L,MATCH('Retirement Calculator'!A784,'Lorri 401b'!N:N,0),0)</f>
        <v>-6872212.9225641424</v>
      </c>
      <c r="S784" s="25">
        <f t="shared" ca="1" si="787"/>
        <v>-9613472.859906327</v>
      </c>
    </row>
    <row r="785" spans="1:19" ht="15.75" customHeight="1" x14ac:dyDescent="0.3">
      <c r="A785" s="37">
        <v>74846</v>
      </c>
      <c r="B785" s="409">
        <f t="shared" ref="B785:C785" si="796">($A785-B$9)/365.25</f>
        <v>123.03901437371663</v>
      </c>
      <c r="C785" s="409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2192</v>
      </c>
      <c r="I785" s="25">
        <f>IF(C785&lt;62,0,'Combined Retirement'!$I$13)</f>
        <v>2420</v>
      </c>
      <c r="J785" s="25">
        <f t="shared" si="783"/>
        <v>7863.2184191855868</v>
      </c>
      <c r="K785" s="25">
        <f t="shared" si="784"/>
        <v>20282.026119384056</v>
      </c>
      <c r="L785" s="25"/>
      <c r="N785" s="25">
        <f>'Combined Retirement'!$C$18/12</f>
        <v>39153.069999999992</v>
      </c>
      <c r="O785" s="25">
        <f t="shared" si="785"/>
        <v>11007.82546143035</v>
      </c>
      <c r="P785" s="25">
        <f t="shared" si="786"/>
        <v>28145.244538569641</v>
      </c>
      <c r="Q785" s="25">
        <f t="array" aca="1" ref="Q785" ca="1">INDEX('Isaac 401k'!L:L,MATCH('Retirement Calculator'!A785,'Isaac 401k'!N:N,0),0)</f>
        <v>-2760577.8355770423</v>
      </c>
      <c r="R785" s="25">
        <f t="array" aca="1" ref="R785" ca="1">INDEX('Lorri 401b'!L:L,MATCH('Retirement Calculator'!A785,'Lorri 401b'!N:N,0),0)</f>
        <v>-6921213.6776363747</v>
      </c>
      <c r="S785" s="25">
        <f t="shared" ca="1" si="787"/>
        <v>-9681791.5132134166</v>
      </c>
    </row>
    <row r="786" spans="1:19" ht="15.75" customHeight="1" x14ac:dyDescent="0.3">
      <c r="A786" s="37">
        <v>74877</v>
      </c>
      <c r="B786" s="409">
        <f t="shared" ref="B786:C786" si="797">($A786-B$9)/365.25</f>
        <v>123.12388774811772</v>
      </c>
      <c r="C786" s="409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2192</v>
      </c>
      <c r="I786" s="25">
        <f>IF(C786&lt;62,0,'Combined Retirement'!$I$13)</f>
        <v>2420</v>
      </c>
      <c r="J786" s="25">
        <f t="shared" si="783"/>
        <v>7863.2184191855868</v>
      </c>
      <c r="K786" s="25">
        <f t="shared" si="784"/>
        <v>20282.026119384056</v>
      </c>
      <c r="L786" s="25"/>
      <c r="N786" s="25">
        <f>'Combined Retirement'!$C$18/12</f>
        <v>39153.069999999992</v>
      </c>
      <c r="O786" s="25">
        <f t="shared" si="785"/>
        <v>11007.82546143035</v>
      </c>
      <c r="P786" s="25">
        <f t="shared" si="786"/>
        <v>28145.244538569641</v>
      </c>
      <c r="Q786" s="25">
        <f t="array" aca="1" ref="Q786" ca="1">INDEX('Isaac 401k'!L:L,MATCH('Retirement Calculator'!A786,'Isaac 401k'!N:N,0),0)</f>
        <v>-2779976.2250545453</v>
      </c>
      <c r="R786" s="25">
        <f t="array" aca="1" ref="R786" ca="1">INDEX('Lorri 401b'!L:L,MATCH('Retirement Calculator'!A786,'Lorri 401b'!N:N,0),0)</f>
        <v>-6970418.6025214074</v>
      </c>
      <c r="S786" s="25">
        <f t="shared" ca="1" si="787"/>
        <v>-9750394.8275759518</v>
      </c>
    </row>
    <row r="787" spans="1:19" ht="15.75" customHeight="1" x14ac:dyDescent="0.3">
      <c r="A787" s="37">
        <v>74908</v>
      </c>
      <c r="B787" s="409">
        <f t="shared" ref="B787:C787" si="798">($A787-B$9)/365.25</f>
        <v>123.20876112251882</v>
      </c>
      <c r="C787" s="409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2192</v>
      </c>
      <c r="I787" s="25">
        <f>IF(C787&lt;62,0,'Combined Retirement'!$I$13)</f>
        <v>2420</v>
      </c>
      <c r="J787" s="25">
        <f t="shared" si="783"/>
        <v>7863.2184191855868</v>
      </c>
      <c r="K787" s="25">
        <f t="shared" si="784"/>
        <v>20282.026119384056</v>
      </c>
      <c r="L787" s="25"/>
      <c r="N787" s="25">
        <f>'Combined Retirement'!$C$18/12</f>
        <v>39153.069999999992</v>
      </c>
      <c r="O787" s="25">
        <f t="shared" si="785"/>
        <v>11007.82546143035</v>
      </c>
      <c r="P787" s="25">
        <f t="shared" si="786"/>
        <v>28145.244538569641</v>
      </c>
      <c r="Q787" s="25">
        <f t="array" aca="1" ref="Q787" ca="1">INDEX('Isaac 401k'!L:L,MATCH('Retirement Calculator'!A787,'Isaac 401k'!N:N,0),0)</f>
        <v>-2799455.4411548711</v>
      </c>
      <c r="R787" s="25">
        <f t="array" aca="1" ref="R787" ca="1">INDEX('Lorri 401b'!L:L,MATCH('Retirement Calculator'!A787,'Lorri 401b'!N:N,0),0)</f>
        <v>-7019828.5479267947</v>
      </c>
      <c r="S787" s="25">
        <f t="shared" ca="1" si="787"/>
        <v>-9819283.9890816659</v>
      </c>
    </row>
    <row r="788" spans="1:19" ht="15.75" customHeight="1" x14ac:dyDescent="0.3">
      <c r="A788" s="37">
        <v>74936</v>
      </c>
      <c r="B788" s="409">
        <f t="shared" ref="B788:C788" si="799">($A788-B$9)/365.25</f>
        <v>123.28542094455852</v>
      </c>
      <c r="C788" s="409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2192</v>
      </c>
      <c r="I788" s="25">
        <f>IF(C788&lt;62,0,'Combined Retirement'!$I$13)</f>
        <v>2420</v>
      </c>
      <c r="J788" s="25">
        <f t="shared" si="783"/>
        <v>7863.2184191855868</v>
      </c>
      <c r="K788" s="25">
        <f t="shared" si="784"/>
        <v>20282.026119384056</v>
      </c>
      <c r="L788" s="25"/>
      <c r="N788" s="25">
        <f>'Combined Retirement'!$C$18/12</f>
        <v>39153.069999999992</v>
      </c>
      <c r="O788" s="25">
        <f t="shared" si="785"/>
        <v>11007.82546143035</v>
      </c>
      <c r="P788" s="25">
        <f t="shared" si="786"/>
        <v>28145.244538569641</v>
      </c>
      <c r="Q788" s="25">
        <f t="array" aca="1" ref="Q788" ca="1">INDEX('Isaac 401k'!L:L,MATCH('Retirement Calculator'!A788,'Isaac 401k'!N:N,0),0)</f>
        <v>-2819015.8206556151</v>
      </c>
      <c r="R788" s="25">
        <f t="array" aca="1" ref="R788" ca="1">INDEX('Lorri 401b'!L:L,MATCH('Retirement Calculator'!A788,'Lorri 401b'!N:N,0),0)</f>
        <v>-7069444.3681047047</v>
      </c>
      <c r="S788" s="25">
        <f t="shared" ca="1" si="787"/>
        <v>-9888460.1887603197</v>
      </c>
    </row>
    <row r="789" spans="1:19" ht="15.75" customHeight="1" x14ac:dyDescent="0.3">
      <c r="A789" s="37">
        <v>74967</v>
      </c>
      <c r="B789" s="409">
        <f t="shared" ref="B789:C789" si="800">($A789-B$9)/365.25</f>
        <v>123.37029431895962</v>
      </c>
      <c r="C789" s="409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2192</v>
      </c>
      <c r="I789" s="25">
        <f>IF(C789&lt;62,0,'Combined Retirement'!$I$13)</f>
        <v>2420</v>
      </c>
      <c r="J789" s="25">
        <f t="shared" si="783"/>
        <v>7863.2184191855868</v>
      </c>
      <c r="K789" s="25">
        <f t="shared" si="784"/>
        <v>20282.026119384056</v>
      </c>
      <c r="L789" s="25"/>
      <c r="N789" s="25">
        <f>'Combined Retirement'!$C$18/12</f>
        <v>39153.069999999992</v>
      </c>
      <c r="O789" s="25">
        <f t="shared" si="785"/>
        <v>11007.82546143035</v>
      </c>
      <c r="P789" s="25">
        <f t="shared" si="786"/>
        <v>28145.244538569641</v>
      </c>
      <c r="Q789" s="25">
        <f t="array" aca="1" ref="Q789" ca="1">INDEX('Isaac 401k'!L:L,MATCH('Retirement Calculator'!A789,'Isaac 401k'!N:N,0),0)</f>
        <v>-2838657.701737612</v>
      </c>
      <c r="R789" s="25">
        <f t="array" aca="1" ref="R789" ca="1">INDEX('Lorri 401b'!L:L,MATCH('Retirement Calculator'!A789,'Lorri 401b'!N:N,0),0)</f>
        <v>-7119266.9208666887</v>
      </c>
      <c r="S789" s="25">
        <f t="shared" ca="1" si="787"/>
        <v>-9957924.6226043012</v>
      </c>
    </row>
    <row r="790" spans="1:19" ht="15.75" customHeight="1" x14ac:dyDescent="0.3">
      <c r="A790" s="37">
        <v>74997</v>
      </c>
      <c r="B790" s="409">
        <f t="shared" ref="B790:C790" si="801">($A790-B$9)/365.25</f>
        <v>123.45242984257358</v>
      </c>
      <c r="C790" s="409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2192</v>
      </c>
      <c r="I790" s="25">
        <f>IF(C790&lt;62,0,'Combined Retirement'!$I$13)</f>
        <v>2420</v>
      </c>
      <c r="J790" s="25">
        <f t="shared" si="783"/>
        <v>7863.2184191855868</v>
      </c>
      <c r="K790" s="25">
        <f t="shared" si="784"/>
        <v>20282.026119384056</v>
      </c>
      <c r="L790" s="25"/>
      <c r="N790" s="25">
        <f>'Combined Retirement'!$C$18/12</f>
        <v>39153.069999999992</v>
      </c>
      <c r="O790" s="25">
        <f t="shared" si="785"/>
        <v>11007.82546143035</v>
      </c>
      <c r="P790" s="25">
        <f t="shared" si="786"/>
        <v>28145.244538569641</v>
      </c>
      <c r="Q790" s="25">
        <f t="array" aca="1" ref="Q790" ca="1">INDEX('Isaac 401k'!L:L,MATCH('Retirement Calculator'!A790,'Isaac 401k'!N:N,0),0)</f>
        <v>-2858381.4239907842</v>
      </c>
      <c r="R790" s="25">
        <f t="array" aca="1" ref="R790" ca="1">INDEX('Lorri 401b'!L:L,MATCH('Retirement Calculator'!A790,'Lorri 401b'!N:N,0),0)</f>
        <v>-7169297.0675985143</v>
      </c>
      <c r="S790" s="25">
        <f t="shared" ca="1" si="787"/>
        <v>-10027678.491589298</v>
      </c>
    </row>
    <row r="791" spans="1:19" ht="15.75" customHeight="1" x14ac:dyDescent="0.3">
      <c r="A791" s="37">
        <v>75028</v>
      </c>
      <c r="B791" s="409">
        <f t="shared" ref="B791:C791" si="802">($A791-B$9)/365.25</f>
        <v>123.53730321697468</v>
      </c>
      <c r="C791" s="409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2192</v>
      </c>
      <c r="I791" s="25">
        <f>IF(C791&lt;62,0,'Combined Retirement'!$I$13)</f>
        <v>2420</v>
      </c>
      <c r="J791" s="25">
        <f t="shared" si="783"/>
        <v>7863.2184191855868</v>
      </c>
      <c r="K791" s="25">
        <f t="shared" si="784"/>
        <v>20282.026119384056</v>
      </c>
      <c r="L791" s="25"/>
      <c r="N791" s="25">
        <f>'Combined Retirement'!$C$18/12</f>
        <v>39153.069999999992</v>
      </c>
      <c r="O791" s="25">
        <f t="shared" si="785"/>
        <v>11007.82546143035</v>
      </c>
      <c r="P791" s="25">
        <f t="shared" si="786"/>
        <v>28145.244538569641</v>
      </c>
      <c r="Q791" s="25">
        <f t="array" aca="1" ref="Q791" ca="1">INDEX('Isaac 401k'!L:L,MATCH('Retirement Calculator'!A791,'Isaac 401k'!N:N,0),0)</f>
        <v>-2878187.3284200113</v>
      </c>
      <c r="R791" s="25">
        <f t="array" aca="1" ref="R791" ca="1">INDEX('Lorri 401b'!L:L,MATCH('Retirement Calculator'!A791,'Lorri 401b'!N:N,0),0)</f>
        <v>-7219535.6732750563</v>
      </c>
      <c r="S791" s="25">
        <f t="shared" ca="1" si="787"/>
        <v>-10097723.001695067</v>
      </c>
    </row>
    <row r="792" spans="1:19" ht="15.75" customHeight="1" x14ac:dyDescent="0.3">
      <c r="A792" s="37">
        <v>75058</v>
      </c>
      <c r="B792" s="409">
        <f t="shared" ref="B792:C792" si="803">($A792-B$9)/365.25</f>
        <v>123.61943874058863</v>
      </c>
      <c r="C792" s="409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2192</v>
      </c>
      <c r="I792" s="25">
        <f>IF(C792&lt;62,0,'Combined Retirement'!$I$13)</f>
        <v>2420</v>
      </c>
      <c r="J792" s="25">
        <f t="shared" si="783"/>
        <v>7863.2184191855868</v>
      </c>
      <c r="K792" s="25">
        <f t="shared" si="784"/>
        <v>20282.026119384056</v>
      </c>
      <c r="L792" s="25"/>
      <c r="N792" s="25">
        <f>'Combined Retirement'!$C$18/12</f>
        <v>39153.069999999992</v>
      </c>
      <c r="O792" s="25">
        <f t="shared" si="785"/>
        <v>11007.82546143035</v>
      </c>
      <c r="P792" s="25">
        <f t="shared" si="786"/>
        <v>28145.244538569641</v>
      </c>
      <c r="Q792" s="25">
        <f t="array" aca="1" ref="Q792" ca="1">INDEX('Isaac 401k'!L:L,MATCH('Retirement Calculator'!A792,'Isaac 401k'!N:N,0),0)</f>
        <v>-2898075.7574510267</v>
      </c>
      <c r="R792" s="25">
        <f t="array" aca="1" ref="R792" ca="1">INDEX('Lorri 401b'!L:L,MATCH('Retirement Calculator'!A792,'Lorri 401b'!N:N,0),0)</f>
        <v>-7269983.6064752508</v>
      </c>
      <c r="S792" s="25">
        <f t="shared" ca="1" si="787"/>
        <v>-10168059.363926277</v>
      </c>
    </row>
    <row r="793" spans="1:19" ht="15.75" customHeight="1" x14ac:dyDescent="0.3">
      <c r="A793" s="37">
        <v>75089</v>
      </c>
      <c r="B793" s="409">
        <f t="shared" ref="B793:C793" si="804">($A793-B$9)/365.25</f>
        <v>123.70431211498973</v>
      </c>
      <c r="C793" s="409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2192</v>
      </c>
      <c r="I793" s="25">
        <f>IF(C793&lt;62,0,'Combined Retirement'!$I$13)</f>
        <v>2420</v>
      </c>
      <c r="J793" s="25">
        <f t="shared" si="783"/>
        <v>7863.2184191855868</v>
      </c>
      <c r="K793" s="25">
        <f t="shared" si="784"/>
        <v>20282.026119384056</v>
      </c>
      <c r="L793" s="25"/>
      <c r="N793" s="25">
        <f>'Combined Retirement'!$C$18/12</f>
        <v>39153.069999999992</v>
      </c>
      <c r="O793" s="25">
        <f t="shared" si="785"/>
        <v>11007.82546143035</v>
      </c>
      <c r="P793" s="25">
        <f t="shared" si="786"/>
        <v>28145.244538569641</v>
      </c>
      <c r="Q793" s="25">
        <f t="array" aca="1" ref="Q793" ca="1">INDEX('Isaac 401k'!L:L,MATCH('Retirement Calculator'!A793,'Isaac 401k'!N:N,0),0)</f>
        <v>-2918047.0549363378</v>
      </c>
      <c r="R793" s="25">
        <f t="array" aca="1" ref="R793" ca="1">INDEX('Lorri 401b'!L:L,MATCH('Retirement Calculator'!A793,'Lorri 401b'!N:N,0),0)</f>
        <v>-7320641.7393971123</v>
      </c>
      <c r="S793" s="25">
        <f t="shared" ca="1" si="787"/>
        <v>-10238688.79433345</v>
      </c>
    </row>
    <row r="794" spans="1:19" ht="15.75" customHeight="1" x14ac:dyDescent="0.3">
      <c r="A794" s="37">
        <v>75120</v>
      </c>
      <c r="B794" s="409">
        <f t="shared" ref="B794:C794" si="805">($A794-B$9)/365.25</f>
        <v>123.78918548939083</v>
      </c>
      <c r="C794" s="409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2192</v>
      </c>
      <c r="I794" s="25">
        <f>IF(C794&lt;62,0,'Combined Retirement'!$I$13)</f>
        <v>2420</v>
      </c>
      <c r="J794" s="25">
        <f t="shared" si="783"/>
        <v>7863.2184191855868</v>
      </c>
      <c r="K794" s="25">
        <f t="shared" si="784"/>
        <v>20282.026119384056</v>
      </c>
      <c r="L794" s="25"/>
      <c r="N794" s="25">
        <f>'Combined Retirement'!$C$18/12</f>
        <v>39153.069999999992</v>
      </c>
      <c r="O794" s="25">
        <f t="shared" si="785"/>
        <v>11007.82546143035</v>
      </c>
      <c r="P794" s="25">
        <f t="shared" si="786"/>
        <v>28145.244538569641</v>
      </c>
      <c r="Q794" s="25">
        <f t="array" aca="1" ref="Q794" ca="1">INDEX('Isaac 401k'!L:L,MATCH('Retirement Calculator'!A794,'Isaac 401k'!N:N,0),0)</f>
        <v>-2938101.5661611711</v>
      </c>
      <c r="R794" s="25">
        <f t="array" aca="1" ref="R794" ca="1">INDEX('Lorri 401b'!L:L,MATCH('Retirement Calculator'!A794,'Lorri 401b'!N:N,0),0)</f>
        <v>-7371510.9478728147</v>
      </c>
      <c r="S794" s="25">
        <f t="shared" ca="1" si="787"/>
        <v>-10309612.514033986</v>
      </c>
    </row>
    <row r="795" spans="1:19" ht="15.75" customHeight="1" x14ac:dyDescent="0.3">
      <c r="A795" s="37">
        <v>75150</v>
      </c>
      <c r="B795" s="409">
        <f t="shared" ref="B795:C795" si="806">($A795-B$9)/365.25</f>
        <v>123.87132101300479</v>
      </c>
      <c r="C795" s="409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2192</v>
      </c>
      <c r="I795" s="25">
        <f>IF(C795&lt;62,0,'Combined Retirement'!$I$13)</f>
        <v>2420</v>
      </c>
      <c r="J795" s="25">
        <f t="shared" si="783"/>
        <v>7863.2184191855868</v>
      </c>
      <c r="K795" s="25">
        <f t="shared" si="784"/>
        <v>20282.026119384056</v>
      </c>
      <c r="L795" s="25"/>
      <c r="N795" s="25">
        <f>'Combined Retirement'!$C$18/12</f>
        <v>39153.069999999992</v>
      </c>
      <c r="O795" s="25">
        <f t="shared" si="785"/>
        <v>11007.82546143035</v>
      </c>
      <c r="P795" s="25">
        <f t="shared" si="786"/>
        <v>28145.244538569641</v>
      </c>
      <c r="Q795" s="25">
        <f t="array" aca="1" ref="Q795" ca="1">INDEX('Isaac 401k'!L:L,MATCH('Retirement Calculator'!A795,'Isaac 401k'!N:N,0),0)</f>
        <v>-2958239.6378494413</v>
      </c>
      <c r="R795" s="25">
        <f t="array" aca="1" ref="R795" ca="1">INDEX('Lorri 401b'!L:L,MATCH('Retirement Calculator'!A795,'Lorri 401b'!N:N,0),0)</f>
        <v>-7422592.111383833</v>
      </c>
      <c r="S795" s="25">
        <f t="shared" ca="1" si="787"/>
        <v>-10380831.749233274</v>
      </c>
    </row>
    <row r="796" spans="1:19" ht="15.75" customHeight="1" x14ac:dyDescent="0.3">
      <c r="A796" s="37">
        <v>75181</v>
      </c>
      <c r="B796" s="409">
        <f t="shared" ref="B796:C796" si="807">($A796-B$9)/365.25</f>
        <v>123.95619438740589</v>
      </c>
      <c r="C796" s="409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2192</v>
      </c>
      <c r="I796" s="25">
        <f>IF(C796&lt;62,0,'Combined Retirement'!$I$13)</f>
        <v>2420</v>
      </c>
      <c r="J796" s="25">
        <f t="shared" si="783"/>
        <v>7863.2184191855868</v>
      </c>
      <c r="K796" s="25">
        <f t="shared" si="784"/>
        <v>20282.026119384056</v>
      </c>
      <c r="L796" s="25"/>
      <c r="N796" s="25">
        <f>'Combined Retirement'!$C$18/12</f>
        <v>39153.069999999992</v>
      </c>
      <c r="O796" s="25">
        <f t="shared" si="785"/>
        <v>11007.82546143035</v>
      </c>
      <c r="P796" s="25">
        <f t="shared" si="786"/>
        <v>28145.244538569641</v>
      </c>
      <c r="Q796" s="25">
        <f t="array" aca="1" ref="Q796" ca="1">INDEX('Isaac 401k'!L:L,MATCH('Retirement Calculator'!A796,'Isaac 401k'!N:N,0),0)</f>
        <v>-2978461.6181697459</v>
      </c>
      <c r="R796" s="25">
        <f t="array" aca="1" ref="R796" ca="1">INDEX('Lorri 401b'!L:L,MATCH('Retirement Calculator'!A796,'Lorri 401b'!N:N,0),0)</f>
        <v>-7473886.1130761467</v>
      </c>
      <c r="S796" s="25">
        <f t="shared" ca="1" si="787"/>
        <v>-10452347.731245892</v>
      </c>
    </row>
    <row r="797" spans="1:19" ht="15.75" customHeight="1" x14ac:dyDescent="0.3">
      <c r="A797" s="37">
        <v>75211</v>
      </c>
      <c r="B797" s="409">
        <f t="shared" ref="B797:C797" si="808">($A797-B$9)/365.25</f>
        <v>124.03832991101984</v>
      </c>
      <c r="C797" s="409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2192</v>
      </c>
      <c r="I797" s="25">
        <f>IF(C797&lt;62,0,'Combined Retirement'!$I$13)</f>
        <v>2420</v>
      </c>
      <c r="J797" s="25">
        <f t="shared" si="783"/>
        <v>7863.2184191855868</v>
      </c>
      <c r="K797" s="25">
        <f t="shared" si="784"/>
        <v>20282.026119384056</v>
      </c>
      <c r="L797" s="25"/>
      <c r="N797" s="25">
        <f>'Combined Retirement'!$C$18/12</f>
        <v>39153.069999999992</v>
      </c>
      <c r="O797" s="25">
        <f t="shared" si="785"/>
        <v>11007.82546143035</v>
      </c>
      <c r="P797" s="25">
        <f t="shared" si="786"/>
        <v>28145.244538569641</v>
      </c>
      <c r="Q797" s="25">
        <f t="array" aca="1" ref="Q797" ca="1">INDEX('Isaac 401k'!L:L,MATCH('Retirement Calculator'!A797,'Isaac 401k'!N:N,0),0)</f>
        <v>-2998767.8567413851</v>
      </c>
      <c r="R797" s="25">
        <f t="array" aca="1" ref="R797" ca="1">INDEX('Lorri 401b'!L:L,MATCH('Retirement Calculator'!A797,'Lorri 401b'!N:N,0),0)</f>
        <v>-7525393.839775512</v>
      </c>
      <c r="S797" s="25">
        <f t="shared" ca="1" si="787"/>
        <v>-10524161.696516898</v>
      </c>
    </row>
    <row r="798" spans="1:19" ht="15.75" customHeight="1" x14ac:dyDescent="0.3">
      <c r="A798" s="37">
        <v>75242</v>
      </c>
      <c r="B798" s="409">
        <f t="shared" ref="B798:C798" si="809">($A798-B$9)/365.25</f>
        <v>124.12320328542094</v>
      </c>
      <c r="C798" s="409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2192</v>
      </c>
      <c r="I798" s="25">
        <f>IF(C798&lt;62,0,'Combined Retirement'!$I$13)</f>
        <v>2420</v>
      </c>
      <c r="J798" s="25">
        <f t="shared" si="783"/>
        <v>7863.2184191855868</v>
      </c>
      <c r="K798" s="25">
        <f t="shared" si="784"/>
        <v>20282.026119384056</v>
      </c>
      <c r="L798" s="25"/>
      <c r="N798" s="25">
        <f>'Combined Retirement'!$C$18/12</f>
        <v>39153.069999999992</v>
      </c>
      <c r="O798" s="25">
        <f t="shared" si="785"/>
        <v>11007.82546143035</v>
      </c>
      <c r="P798" s="25">
        <f t="shared" si="786"/>
        <v>28145.244538569641</v>
      </c>
      <c r="Q798" s="25">
        <f t="array" aca="1" ref="Q798" ca="1">INDEX('Isaac 401k'!L:L,MATCH('Retirement Calculator'!A798,'Isaac 401k'!N:N,0),0)</f>
        <v>-3019158.7046404062</v>
      </c>
      <c r="R798" s="25">
        <f t="array" aca="1" ref="R798" ca="1">INDEX('Lorri 401b'!L:L,MATCH('Retirement Calculator'!A798,'Lorri 401b'!N:N,0),0)</f>
        <v>-7577116.1820027912</v>
      </c>
      <c r="S798" s="25">
        <f t="shared" ca="1" si="787"/>
        <v>-10596274.886643197</v>
      </c>
    </row>
    <row r="799" spans="1:19" ht="15.75" customHeight="1" x14ac:dyDescent="0.3">
      <c r="A799" s="37">
        <v>75273</v>
      </c>
      <c r="B799" s="409">
        <f t="shared" ref="B799:C799" si="810">($A799-B$9)/365.25</f>
        <v>124.20807665982204</v>
      </c>
      <c r="C799" s="409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2192</v>
      </c>
      <c r="I799" s="25">
        <f>IF(C799&lt;62,0,'Combined Retirement'!$I$13)</f>
        <v>2420</v>
      </c>
      <c r="J799" s="25">
        <f t="shared" si="783"/>
        <v>7863.2184191855868</v>
      </c>
      <c r="K799" s="25">
        <f t="shared" si="784"/>
        <v>20282.026119384056</v>
      </c>
      <c r="L799" s="25"/>
      <c r="N799" s="25">
        <f>'Combined Retirement'!$C$18/12</f>
        <v>39153.069999999992</v>
      </c>
      <c r="O799" s="25">
        <f t="shared" si="785"/>
        <v>11007.82546143035</v>
      </c>
      <c r="P799" s="25">
        <f t="shared" si="786"/>
        <v>28145.244538569641</v>
      </c>
      <c r="Q799" s="25">
        <f t="array" aca="1" ref="Q799" ca="1">INDEX('Isaac 401k'!L:L,MATCH('Retirement Calculator'!A799,'Isaac 401k'!N:N,0),0)</f>
        <v>-3039634.5144056734</v>
      </c>
      <c r="R799" s="25">
        <f t="array" aca="1" ref="R799" ca="1">INDEX('Lorri 401b'!L:L,MATCH('Retirement Calculator'!A799,'Lorri 401b'!N:N,0),0)</f>
        <v>-7629054.0339893512</v>
      </c>
      <c r="S799" s="25">
        <f t="shared" ca="1" si="787"/>
        <v>-10668688.548395025</v>
      </c>
    </row>
    <row r="800" spans="1:19" ht="15.75" customHeight="1" x14ac:dyDescent="0.3">
      <c r="A800" s="37">
        <v>75301</v>
      </c>
      <c r="B800" s="409">
        <f t="shared" ref="B800:C800" si="811">($A800-B$9)/365.25</f>
        <v>124.28473648186174</v>
      </c>
      <c r="C800" s="409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2192</v>
      </c>
      <c r="I800" s="25">
        <f>IF(C800&lt;62,0,'Combined Retirement'!$I$13)</f>
        <v>2420</v>
      </c>
      <c r="J800" s="25">
        <f t="shared" si="783"/>
        <v>7863.2184191855868</v>
      </c>
      <c r="K800" s="25">
        <f t="shared" si="784"/>
        <v>20282.026119384056</v>
      </c>
      <c r="L800" s="25"/>
      <c r="N800" s="25">
        <f>'Combined Retirement'!$C$18/12</f>
        <v>39153.069999999992</v>
      </c>
      <c r="O800" s="25">
        <f t="shared" si="785"/>
        <v>11007.82546143035</v>
      </c>
      <c r="P800" s="25">
        <f t="shared" si="786"/>
        <v>28145.244538569641</v>
      </c>
      <c r="Q800" s="25">
        <f t="array" aca="1" ref="Q800" ca="1">INDEX('Isaac 401k'!L:L,MATCH('Retirement Calculator'!A800,'Isaac 401k'!N:N,0),0)</f>
        <v>-3060195.6400449625</v>
      </c>
      <c r="R800" s="25">
        <f t="array" aca="1" ref="R800" ca="1">INDEX('Lorri 401b'!L:L,MATCH('Retirement Calculator'!A800,'Lorri 401b'!N:N,0),0)</f>
        <v>-7681208.2936925218</v>
      </c>
      <c r="S800" s="25">
        <f t="shared" ca="1" si="787"/>
        <v>-10741403.933737485</v>
      </c>
    </row>
    <row r="801" spans="1:19" ht="15.75" customHeight="1" x14ac:dyDescent="0.3">
      <c r="A801" s="37">
        <v>75332</v>
      </c>
      <c r="B801" s="409">
        <f t="shared" ref="B801:C801" si="812">($A801-B$9)/365.25</f>
        <v>124.36960985626284</v>
      </c>
      <c r="C801" s="409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2192</v>
      </c>
      <c r="I801" s="25">
        <f>IF(C801&lt;62,0,'Combined Retirement'!$I$13)</f>
        <v>2420</v>
      </c>
      <c r="J801" s="25">
        <f t="shared" si="783"/>
        <v>7863.2184191855868</v>
      </c>
      <c r="K801" s="25">
        <f t="shared" si="784"/>
        <v>20282.026119384056</v>
      </c>
      <c r="L801" s="25"/>
      <c r="N801" s="25">
        <f>'Combined Retirement'!$C$18/12</f>
        <v>39153.069999999992</v>
      </c>
      <c r="O801" s="25">
        <f t="shared" si="785"/>
        <v>11007.82546143035</v>
      </c>
      <c r="P801" s="25">
        <f t="shared" si="786"/>
        <v>28145.244538569641</v>
      </c>
      <c r="Q801" s="25">
        <f t="array" aca="1" ref="Q801" ca="1">INDEX('Isaac 401k'!L:L,MATCH('Retirement Calculator'!A801,'Isaac 401k'!N:N,0),0)</f>
        <v>-3080842.437041082</v>
      </c>
      <c r="R801" s="25">
        <f t="array" aca="1" ref="R801" ca="1">INDEX('Lorri 401b'!L:L,MATCH('Retirement Calculator'!A801,'Lorri 401b'!N:N,0),0)</f>
        <v>-7733579.8628111221</v>
      </c>
      <c r="S801" s="25">
        <f t="shared" ca="1" si="787"/>
        <v>-10814422.299852204</v>
      </c>
    </row>
    <row r="802" spans="1:19" ht="15.75" customHeight="1" x14ac:dyDescent="0.3">
      <c r="A802" s="37">
        <v>75362</v>
      </c>
      <c r="B802" s="409">
        <f t="shared" ref="B802:C802" si="813">($A802-B$9)/365.25</f>
        <v>124.4517453798768</v>
      </c>
      <c r="C802" s="409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2192</v>
      </c>
      <c r="I802" s="25">
        <f>IF(C802&lt;62,0,'Combined Retirement'!$I$13)</f>
        <v>2420</v>
      </c>
      <c r="J802" s="25">
        <f t="shared" si="783"/>
        <v>7863.2184191855868</v>
      </c>
      <c r="K802" s="25">
        <f t="shared" si="784"/>
        <v>20282.026119384056</v>
      </c>
      <c r="L802" s="25"/>
      <c r="N802" s="25">
        <f>'Combined Retirement'!$C$18/12</f>
        <v>39153.069999999992</v>
      </c>
      <c r="O802" s="25">
        <f t="shared" si="785"/>
        <v>11007.82546143035</v>
      </c>
      <c r="P802" s="25">
        <f t="shared" si="786"/>
        <v>28145.244538569641</v>
      </c>
      <c r="Q802" s="25">
        <f t="array" aca="1" ref="Q802" ca="1">INDEX('Isaac 401k'!L:L,MATCH('Retirement Calculator'!A802,'Isaac 401k'!N:N,0),0)</f>
        <v>-3101575.2623580187</v>
      </c>
      <c r="R802" s="25">
        <f t="array" aca="1" ref="R802" ca="1">INDEX('Lorri 401b'!L:L,MATCH('Retirement Calculator'!A802,'Lorri 401b'!N:N,0),0)</f>
        <v>-7786169.6468010498</v>
      </c>
      <c r="S802" s="25">
        <f t="shared" ca="1" si="787"/>
        <v>-10887744.909159068</v>
      </c>
    </row>
    <row r="803" spans="1:19" ht="15.75" customHeight="1" x14ac:dyDescent="0.3">
      <c r="A803" s="37">
        <v>75393</v>
      </c>
      <c r="B803" s="409">
        <f t="shared" ref="B803:C803" si="814">($A803-B$9)/365.25</f>
        <v>124.5366187542779</v>
      </c>
      <c r="C803" s="409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2192</v>
      </c>
      <c r="I803" s="25">
        <f>IF(C803&lt;62,0,'Combined Retirement'!$I$13)</f>
        <v>2420</v>
      </c>
      <c r="J803" s="25">
        <f t="shared" si="783"/>
        <v>7863.2184191855868</v>
      </c>
      <c r="K803" s="25">
        <f t="shared" si="784"/>
        <v>20282.026119384056</v>
      </c>
      <c r="L803" s="25"/>
      <c r="N803" s="25">
        <f>'Combined Retirement'!$C$18/12</f>
        <v>39153.069999999992</v>
      </c>
      <c r="O803" s="25">
        <f t="shared" si="785"/>
        <v>11007.82546143035</v>
      </c>
      <c r="P803" s="25">
        <f t="shared" si="786"/>
        <v>28145.244538569641</v>
      </c>
      <c r="Q803" s="25">
        <f t="array" aca="1" ref="Q803" ca="1">INDEX('Isaac 401k'!L:L,MATCH('Retirement Calculator'!A803,'Isaac 401k'!N:N,0),0)</f>
        <v>-3122394.4744471093</v>
      </c>
      <c r="R803" s="25">
        <f t="array" aca="1" ref="R803" ca="1">INDEX('Lorri 401b'!L:L,MATCH('Retirement Calculator'!A803,'Lorri 401b'!N:N,0),0)</f>
        <v>-7838978.5548909353</v>
      </c>
      <c r="S803" s="25">
        <f t="shared" ca="1" si="787"/>
        <v>-10961373.029338045</v>
      </c>
    </row>
    <row r="804" spans="1:19" ht="15.75" customHeight="1" x14ac:dyDescent="0.3">
      <c r="A804" s="37">
        <v>75423</v>
      </c>
      <c r="B804" s="409">
        <f t="shared" ref="B804:C804" si="815">($A804-B$9)/365.25</f>
        <v>124.61875427789185</v>
      </c>
      <c r="C804" s="409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2192</v>
      </c>
      <c r="I804" s="25">
        <f>IF(C804&lt;62,0,'Combined Retirement'!$I$13)</f>
        <v>2420</v>
      </c>
      <c r="J804" s="25">
        <f t="shared" si="783"/>
        <v>7863.2184191855868</v>
      </c>
      <c r="K804" s="25">
        <f t="shared" si="784"/>
        <v>20282.026119384056</v>
      </c>
      <c r="L804" s="25"/>
      <c r="N804" s="25">
        <f>'Combined Retirement'!$C$18/12</f>
        <v>39153.069999999992</v>
      </c>
      <c r="O804" s="25">
        <f t="shared" si="785"/>
        <v>11007.82546143035</v>
      </c>
      <c r="P804" s="25">
        <f t="shared" si="786"/>
        <v>28145.244538569641</v>
      </c>
      <c r="Q804" s="25">
        <f t="array" aca="1" ref="Q804" ca="1">INDEX('Isaac 401k'!L:L,MATCH('Retirement Calculator'!A804,'Isaac 401k'!N:N,0),0)</f>
        <v>-3143300.4332532375</v>
      </c>
      <c r="R804" s="25">
        <f t="array" aca="1" ref="R804" ca="1">INDEX('Lorri 401b'!L:L,MATCH('Retirement Calculator'!A804,'Lorri 401b'!N:N,0),0)</f>
        <v>-7892007.5000978624</v>
      </c>
      <c r="S804" s="25">
        <f t="shared" ca="1" si="787"/>
        <v>-11035307.933351099</v>
      </c>
    </row>
    <row r="805" spans="1:19" ht="15.75" customHeight="1" x14ac:dyDescent="0.3">
      <c r="A805" s="37">
        <v>75454</v>
      </c>
      <c r="B805" s="409">
        <f t="shared" ref="B805:C805" si="816">($A805-B$9)/365.25</f>
        <v>124.70362765229295</v>
      </c>
      <c r="C805" s="409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2192</v>
      </c>
      <c r="I805" s="25">
        <f>IF(C805&lt;62,0,'Combined Retirement'!$I$13)</f>
        <v>2420</v>
      </c>
      <c r="J805" s="25">
        <f t="shared" si="783"/>
        <v>7863.2184191855868</v>
      </c>
      <c r="K805" s="25">
        <f t="shared" si="784"/>
        <v>20282.026119384056</v>
      </c>
      <c r="L805" s="25"/>
      <c r="N805" s="25">
        <f>'Combined Retirement'!$C$18/12</f>
        <v>39153.069999999992</v>
      </c>
      <c r="O805" s="25">
        <f t="shared" si="785"/>
        <v>11007.82546143035</v>
      </c>
      <c r="P805" s="25">
        <f t="shared" si="786"/>
        <v>28145.244538569641</v>
      </c>
      <c r="Q805" s="25">
        <f t="array" aca="1" ref="Q805" ca="1">INDEX('Isaac 401k'!L:L,MATCH('Retirement Calculator'!A805,'Isaac 401k'!N:N,0),0)</f>
        <v>-3164293.5002210578</v>
      </c>
      <c r="R805" s="25">
        <f t="array" aca="1" ref="R805" ca="1">INDEX('Lorri 401b'!L:L,MATCH('Retirement Calculator'!A805,'Lorri 401b'!N:N,0),0)</f>
        <v>-7945257.3992431518</v>
      </c>
      <c r="S805" s="25">
        <f t="shared" ca="1" si="787"/>
        <v>-11109550.899464209</v>
      </c>
    </row>
    <row r="806" spans="1:19" ht="15.75" customHeight="1" x14ac:dyDescent="0.3">
      <c r="A806" s="37">
        <v>75485</v>
      </c>
      <c r="B806" s="409">
        <f t="shared" ref="B806:C806" si="817">($A806-B$9)/365.25</f>
        <v>124.78850102669405</v>
      </c>
      <c r="C806" s="409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2192</v>
      </c>
      <c r="I806" s="25">
        <f>IF(C806&lt;62,0,'Combined Retirement'!$I$13)</f>
        <v>2420</v>
      </c>
      <c r="J806" s="25">
        <f t="shared" si="783"/>
        <v>7863.2184191855868</v>
      </c>
      <c r="K806" s="25">
        <f t="shared" si="784"/>
        <v>20282.026119384056</v>
      </c>
      <c r="L806" s="25"/>
      <c r="N806" s="25">
        <f>'Combined Retirement'!$C$18/12</f>
        <v>39153.069999999992</v>
      </c>
      <c r="O806" s="25">
        <f t="shared" si="785"/>
        <v>11007.82546143035</v>
      </c>
      <c r="P806" s="25">
        <f t="shared" si="786"/>
        <v>28145.244538569641</v>
      </c>
      <c r="Q806" s="25">
        <f t="array" aca="1" ref="Q806" ca="1">INDEX('Isaac 401k'!L:L,MATCH('Retirement Calculator'!A806,'Isaac 401k'!N:N,0),0)</f>
        <v>-3185374.0383012444</v>
      </c>
      <c r="R806" s="25">
        <f t="array" aca="1" ref="R806" ca="1">INDEX('Lorri 401b'!L:L,MATCH('Retirement Calculator'!A806,'Lorri 401b'!N:N,0),0)</f>
        <v>-7998729.1729682134</v>
      </c>
      <c r="S806" s="25">
        <f t="shared" ca="1" si="787"/>
        <v>-11184103.211269457</v>
      </c>
    </row>
    <row r="807" spans="1:19" ht="15.75" customHeight="1" x14ac:dyDescent="0.3">
      <c r="A807" s="37">
        <v>75515</v>
      </c>
      <c r="B807" s="409">
        <f t="shared" ref="B807:C807" si="818">($A807-B$9)/365.25</f>
        <v>124.87063655030801</v>
      </c>
      <c r="C807" s="409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2192</v>
      </c>
      <c r="I807" s="25">
        <f>IF(C807&lt;62,0,'Combined Retirement'!$I$13)</f>
        <v>2420</v>
      </c>
      <c r="J807" s="25">
        <f t="shared" si="783"/>
        <v>7863.2184191855868</v>
      </c>
      <c r="K807" s="25">
        <f t="shared" si="784"/>
        <v>20282.026119384056</v>
      </c>
      <c r="L807" s="25"/>
      <c r="N807" s="25">
        <f>'Combined Retirement'!$C$18/12</f>
        <v>39153.069999999992</v>
      </c>
      <c r="O807" s="25">
        <f t="shared" si="785"/>
        <v>11007.82546143035</v>
      </c>
      <c r="P807" s="25">
        <f t="shared" si="786"/>
        <v>28145.244538569641</v>
      </c>
      <c r="Q807" s="25">
        <f t="array" aca="1" ref="Q807" ca="1">INDEX('Isaac 401k'!L:L,MATCH('Retirement Calculator'!A807,'Isaac 401k'!N:N,0),0)</f>
        <v>-3206542.4119567648</v>
      </c>
      <c r="R807" s="25">
        <f t="array" aca="1" ref="R807" ca="1">INDEX('Lorri 401b'!L:L,MATCH('Retirement Calculator'!A807,'Lorri 401b'!N:N,0),0)</f>
        <v>-8052423.7457504626</v>
      </c>
      <c r="S807" s="25">
        <f t="shared" ca="1" si="787"/>
        <v>-11258966.157707227</v>
      </c>
    </row>
    <row r="808" spans="1:19" ht="15.75" customHeight="1" x14ac:dyDescent="0.3">
      <c r="A808" s="37">
        <v>75546</v>
      </c>
      <c r="B808" s="409">
        <f t="shared" ref="B808:C808" si="819">($A808-B$9)/365.25</f>
        <v>124.95550992470911</v>
      </c>
      <c r="C808" s="409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2192</v>
      </c>
      <c r="I808" s="25">
        <f>IF(C808&lt;62,0,'Combined Retirement'!$I$13)</f>
        <v>2420</v>
      </c>
      <c r="J808" s="25">
        <f t="shared" si="783"/>
        <v>7863.2184191855868</v>
      </c>
      <c r="K808" s="25">
        <f t="shared" si="784"/>
        <v>20282.026119384056</v>
      </c>
      <c r="L808" s="25"/>
      <c r="N808" s="25">
        <f>'Combined Retirement'!$C$18/12</f>
        <v>39153.069999999992</v>
      </c>
      <c r="O808" s="25">
        <f t="shared" si="785"/>
        <v>11007.82546143035</v>
      </c>
      <c r="P808" s="25">
        <f t="shared" si="786"/>
        <v>28145.244538569641</v>
      </c>
      <c r="Q808" s="25">
        <f t="array" aca="1" ref="Q808" ca="1">INDEX('Isaac 401k'!L:L,MATCH('Retirement Calculator'!A808,'Isaac 401k'!N:N,0),0)</f>
        <v>-3227798.9871691833</v>
      </c>
      <c r="R808" s="25">
        <f t="array" aca="1" ref="R808" ca="1">INDEX('Lorri 401b'!L:L,MATCH('Retirement Calculator'!A808,'Lorri 401b'!N:N,0),0)</f>
        <v>-8106342.0459193047</v>
      </c>
      <c r="S808" s="25">
        <f t="shared" ca="1" si="787"/>
        <v>-11334141.033088489</v>
      </c>
    </row>
    <row r="809" spans="1:19" ht="15.75" customHeight="1" x14ac:dyDescent="0.3">
      <c r="A809" s="37">
        <v>75576</v>
      </c>
      <c r="B809" s="409">
        <f t="shared" ref="B809:C809" si="820">($A809-B$9)/365.25</f>
        <v>125.03764544832306</v>
      </c>
      <c r="C809" s="409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2192</v>
      </c>
      <c r="I809" s="25">
        <f>IF(C809&lt;62,0,'Combined Retirement'!$I$13)</f>
        <v>2420</v>
      </c>
      <c r="J809" s="25">
        <f t="shared" si="783"/>
        <v>7863.2184191855868</v>
      </c>
      <c r="K809" s="25">
        <f t="shared" si="784"/>
        <v>20282.026119384056</v>
      </c>
      <c r="L809" s="25"/>
      <c r="N809" s="25">
        <f>'Combined Retirement'!$C$18/12</f>
        <v>39153.069999999992</v>
      </c>
      <c r="O809" s="25">
        <f t="shared" si="785"/>
        <v>11007.82546143035</v>
      </c>
      <c r="P809" s="25">
        <f t="shared" si="786"/>
        <v>28145.244538569641</v>
      </c>
      <c r="Q809" s="25">
        <f t="array" aca="1" ref="Q809" ca="1">INDEX('Isaac 401k'!L:L,MATCH('Retirement Calculator'!A809,'Isaac 401k'!N:N,0),0)</f>
        <v>-3249144.1314449869</v>
      </c>
      <c r="R809" s="25">
        <f t="array" aca="1" ref="R809" ca="1">INDEX('Lorri 401b'!L:L,MATCH('Retirement Calculator'!A809,'Lorri 401b'!N:N,0),0)</f>
        <v>-8160485.0056721829</v>
      </c>
      <c r="S809" s="25">
        <f t="shared" ca="1" si="787"/>
        <v>-11409629.13711717</v>
      </c>
    </row>
    <row r="810" spans="1:19" ht="15.75" customHeight="1" x14ac:dyDescent="0.3">
      <c r="A810" s="37">
        <v>75607</v>
      </c>
      <c r="B810" s="409">
        <f t="shared" ref="B810:C810" si="821">($A810-B$9)/365.25</f>
        <v>125.12251882272416</v>
      </c>
      <c r="C810" s="409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2192</v>
      </c>
      <c r="I810" s="25">
        <f>IF(C810&lt;62,0,'Combined Retirement'!$I$13)</f>
        <v>2420</v>
      </c>
      <c r="J810" s="25">
        <f t="shared" si="783"/>
        <v>7863.2184191855868</v>
      </c>
      <c r="K810" s="25">
        <f t="shared" si="784"/>
        <v>20282.026119384056</v>
      </c>
      <c r="L810" s="25"/>
      <c r="N810" s="25">
        <f>'Combined Retirement'!$C$18/12</f>
        <v>39153.069999999992</v>
      </c>
      <c r="O810" s="25">
        <f t="shared" si="785"/>
        <v>11007.82546143035</v>
      </c>
      <c r="P810" s="25">
        <f t="shared" si="786"/>
        <v>28145.244538569641</v>
      </c>
      <c r="Q810" s="25">
        <f t="array" aca="1" ref="Q810" ca="1">INDEX('Isaac 401k'!L:L,MATCH('Retirement Calculator'!A810,'Isaac 401k'!N:N,0),0)</f>
        <v>-3270578.2138219397</v>
      </c>
      <c r="R810" s="25">
        <f t="array" aca="1" ref="R810" ca="1">INDEX('Lorri 401b'!L:L,MATCH('Retirement Calculator'!A810,'Lorri 401b'!N:N,0),0)</f>
        <v>-8214853.5610906985</v>
      </c>
      <c r="S810" s="25">
        <f t="shared" ca="1" si="787"/>
        <v>-11485431.774912639</v>
      </c>
    </row>
    <row r="811" spans="1:19" ht="15.75" customHeight="1" x14ac:dyDescent="0.3">
      <c r="A811" s="37">
        <v>75638</v>
      </c>
      <c r="B811" s="409">
        <f t="shared" ref="B811:C811" si="822">($A811-B$9)/365.25</f>
        <v>125.20739219712526</v>
      </c>
      <c r="C811" s="409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2192</v>
      </c>
      <c r="I811" s="25">
        <f>IF(C811&lt;62,0,'Combined Retirement'!$I$13)</f>
        <v>2420</v>
      </c>
      <c r="J811" s="25">
        <f t="shared" si="783"/>
        <v>7863.2184191855868</v>
      </c>
      <c r="K811" s="25">
        <f t="shared" si="784"/>
        <v>20282.026119384056</v>
      </c>
      <c r="L811" s="25"/>
      <c r="N811" s="25">
        <f>'Combined Retirement'!$C$18/12</f>
        <v>39153.069999999992</v>
      </c>
      <c r="O811" s="25">
        <f t="shared" si="785"/>
        <v>11007.82546143035</v>
      </c>
      <c r="P811" s="25">
        <f t="shared" si="786"/>
        <v>28145.244538569641</v>
      </c>
      <c r="Q811" s="25">
        <f t="array" aca="1" ref="Q811" ca="1">INDEX('Isaac 401k'!L:L,MATCH('Retirement Calculator'!A811,'Isaac 401k'!N:N,0),0)</f>
        <v>-3292101.6048754631</v>
      </c>
      <c r="R811" s="25">
        <f t="array" aca="1" ref="R811" ca="1">INDEX('Lorri 401b'!L:L,MATCH('Retirement Calculator'!A811,'Lorri 401b'!N:N,0),0)</f>
        <v>-8269448.6521567907</v>
      </c>
      <c r="S811" s="25">
        <f t="shared" ca="1" si="787"/>
        <v>-11561550.257032253</v>
      </c>
    </row>
    <row r="812" spans="1:19" ht="15.75" customHeight="1" x14ac:dyDescent="0.3">
      <c r="A812" s="37">
        <v>75666</v>
      </c>
      <c r="B812" s="409">
        <f t="shared" ref="B812:C812" si="823">($A812-B$9)/365.25</f>
        <v>125.28405201916496</v>
      </c>
      <c r="C812" s="409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2192</v>
      </c>
      <c r="I812" s="25">
        <f>IF(C812&lt;62,0,'Combined Retirement'!$I$13)</f>
        <v>2420</v>
      </c>
      <c r="J812" s="25">
        <f t="shared" si="783"/>
        <v>7863.2184191855868</v>
      </c>
      <c r="K812" s="25">
        <f t="shared" si="784"/>
        <v>20282.026119384056</v>
      </c>
      <c r="L812" s="25"/>
      <c r="N812" s="25">
        <f>'Combined Retirement'!$C$18/12</f>
        <v>39153.069999999992</v>
      </c>
      <c r="O812" s="25">
        <f t="shared" si="785"/>
        <v>11007.82546143035</v>
      </c>
      <c r="P812" s="25">
        <f t="shared" si="786"/>
        <v>28145.244538569641</v>
      </c>
      <c r="Q812" s="25">
        <f t="array" aca="1" ref="Q812" ca="1">INDEX('Isaac 401k'!L:L,MATCH('Retirement Calculator'!A812,'Isaac 401k'!N:N,0),0)</f>
        <v>-3313714.676725043</v>
      </c>
      <c r="R812" s="25">
        <f t="array" aca="1" ref="R812" ca="1">INDEX('Lorri 401b'!L:L,MATCH('Retirement Calculator'!A812,'Lorri 401b'!N:N,0),0)</f>
        <v>-8324271.2227689922</v>
      </c>
      <c r="S812" s="25">
        <f t="shared" ca="1" si="787"/>
        <v>-11637985.899494035</v>
      </c>
    </row>
    <row r="813" spans="1:19" ht="15.75" customHeight="1" x14ac:dyDescent="0.3">
      <c r="A813" s="37">
        <v>75697</v>
      </c>
      <c r="B813" s="409">
        <f t="shared" ref="B813:C813" si="824">($A813-B$9)/365.25</f>
        <v>125.36892539356604</v>
      </c>
      <c r="C813" s="409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2192</v>
      </c>
      <c r="I813" s="25">
        <f>IF(C813&lt;62,0,'Combined Retirement'!$I$13)</f>
        <v>2420</v>
      </c>
      <c r="J813" s="25">
        <f t="shared" si="783"/>
        <v>7863.2184191855868</v>
      </c>
      <c r="K813" s="25">
        <f t="shared" si="784"/>
        <v>20282.026119384056</v>
      </c>
      <c r="L813" s="25"/>
      <c r="N813" s="25">
        <f>'Combined Retirement'!$C$18/12</f>
        <v>39153.069999999992</v>
      </c>
      <c r="O813" s="25">
        <f t="shared" si="785"/>
        <v>11007.82546143035</v>
      </c>
      <c r="P813" s="25">
        <f t="shared" si="786"/>
        <v>28145.244538569641</v>
      </c>
      <c r="Q813" s="25">
        <f t="array" aca="1" ref="Q813" ca="1">INDEX('Isaac 401k'!L:L,MATCH('Retirement Calculator'!A813,'Isaac 401k'!N:N,0),0)</f>
        <v>-3335417.8030406628</v>
      </c>
      <c r="R813" s="25">
        <f t="array" aca="1" ref="R813" ca="1">INDEX('Lorri 401b'!L:L,MATCH('Retirement Calculator'!A813,'Lorri 401b'!N:N,0),0)</f>
        <v>-8379322.2207587445</v>
      </c>
      <c r="S813" s="25">
        <f t="shared" ca="1" si="787"/>
        <v>-11714740.023799408</v>
      </c>
    </row>
    <row r="814" spans="1:19" ht="15.75" customHeight="1" x14ac:dyDescent="0.3">
      <c r="A814" s="37">
        <v>75727</v>
      </c>
      <c r="B814" s="409">
        <f t="shared" ref="B814:C814" si="825">($A814-B$9)/365.25</f>
        <v>125.45106091718002</v>
      </c>
      <c r="C814" s="409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2192</v>
      </c>
      <c r="I814" s="25">
        <f>IF(C814&lt;62,0,'Combined Retirement'!$I$13)</f>
        <v>2420</v>
      </c>
      <c r="J814" s="25">
        <f t="shared" si="783"/>
        <v>7863.2184191855868</v>
      </c>
      <c r="K814" s="25">
        <f t="shared" si="784"/>
        <v>20282.026119384056</v>
      </c>
      <c r="L814" s="25"/>
      <c r="N814" s="25">
        <f>'Combined Retirement'!$C$18/12</f>
        <v>39153.069999999992</v>
      </c>
      <c r="O814" s="25">
        <f t="shared" si="785"/>
        <v>11007.82546143035</v>
      </c>
      <c r="P814" s="25">
        <f t="shared" si="786"/>
        <v>28145.244538569641</v>
      </c>
      <c r="Q814" s="25">
        <f t="array" aca="1" ref="Q814" ca="1">INDEX('Isaac 401k'!L:L,MATCH('Retirement Calculator'!A814,'Isaac 401k'!N:N,0),0)</f>
        <v>-3357211.3590492643</v>
      </c>
      <c r="R814" s="25">
        <f t="array" aca="1" ref="R814" ca="1">INDEX('Lorri 401b'!L:L,MATCH('Retirement Calculator'!A814,'Lorri 401b'!N:N,0),0)</f>
        <v>-8434602.5979067869</v>
      </c>
      <c r="S814" s="25">
        <f t="shared" ca="1" si="787"/>
        <v>-11791813.956956051</v>
      </c>
    </row>
    <row r="815" spans="1:19" ht="15.75" customHeight="1" x14ac:dyDescent="0.3">
      <c r="A815" s="37">
        <v>75758</v>
      </c>
      <c r="B815" s="409">
        <f t="shared" ref="B815:C815" si="826">($A815-B$9)/365.25</f>
        <v>125.53593429158111</v>
      </c>
      <c r="C815" s="409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2192</v>
      </c>
      <c r="I815" s="25">
        <f>IF(C815&lt;62,0,'Combined Retirement'!$I$13)</f>
        <v>2420</v>
      </c>
      <c r="J815" s="25">
        <f t="shared" si="783"/>
        <v>7863.2184191855868</v>
      </c>
      <c r="K815" s="25">
        <f t="shared" si="784"/>
        <v>20282.026119384056</v>
      </c>
      <c r="L815" s="25"/>
      <c r="N815" s="25">
        <f>'Combined Retirement'!$C$18/12</f>
        <v>39153.069999999992</v>
      </c>
      <c r="O815" s="25">
        <f t="shared" si="785"/>
        <v>11007.82546143035</v>
      </c>
      <c r="P815" s="25">
        <f t="shared" si="786"/>
        <v>28145.244538569641</v>
      </c>
      <c r="Q815" s="25">
        <f t="array" aca="1" ref="Q815" ca="1">INDEX('Isaac 401k'!L:L,MATCH('Retirement Calculator'!A815,'Isaac 401k'!N:N,0),0)</f>
        <v>-3379095.7215412348</v>
      </c>
      <c r="R815" s="25">
        <f t="array" aca="1" ref="R815" ca="1">INDEX('Lorri 401b'!L:L,MATCH('Retirement Calculator'!A815,'Lorri 401b'!N:N,0),0)</f>
        <v>-8490113.3099596146</v>
      </c>
      <c r="S815" s="25">
        <f t="shared" ca="1" si="787"/>
        <v>-11869209.03150085</v>
      </c>
    </row>
    <row r="816" spans="1:19" ht="15.75" customHeight="1" x14ac:dyDescent="0.3">
      <c r="A816" s="37">
        <v>75788</v>
      </c>
      <c r="B816" s="409">
        <f t="shared" ref="B816:C816" si="827">($A816-B$9)/365.25</f>
        <v>125.61806981519507</v>
      </c>
      <c r="C816" s="409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2192</v>
      </c>
      <c r="I816" s="25">
        <f>IF(C816&lt;62,0,'Combined Retirement'!$I$13)</f>
        <v>2420</v>
      </c>
      <c r="J816" s="25">
        <f t="shared" si="783"/>
        <v>7863.2184191855868</v>
      </c>
      <c r="K816" s="25">
        <f t="shared" si="784"/>
        <v>20282.026119384056</v>
      </c>
      <c r="L816" s="25"/>
      <c r="N816" s="25">
        <f>'Combined Retirement'!$C$18/12</f>
        <v>39153.069999999992</v>
      </c>
      <c r="O816" s="25">
        <f t="shared" si="785"/>
        <v>11007.82546143035</v>
      </c>
      <c r="P816" s="25">
        <f t="shared" si="786"/>
        <v>28145.244538569641</v>
      </c>
      <c r="Q816" s="25">
        <f t="array" aca="1" ref="Q816" ca="1">INDEX('Isaac 401k'!L:L,MATCH('Retirement Calculator'!A816,'Isaac 401k'!N:N,0),0)</f>
        <v>-3401071.2688769219</v>
      </c>
      <c r="R816" s="25">
        <f t="array" aca="1" ref="R816" ca="1">INDEX('Lorri 401b'!L:L,MATCH('Retirement Calculator'!A816,'Lorri 401b'!N:N,0),0)</f>
        <v>-8545855.3166459948</v>
      </c>
      <c r="S816" s="25">
        <f t="shared" ca="1" si="787"/>
        <v>-11946926.585522916</v>
      </c>
    </row>
    <row r="817" spans="1:19" ht="15.75" customHeight="1" x14ac:dyDescent="0.3">
      <c r="A817" s="37">
        <v>75819</v>
      </c>
      <c r="B817" s="409">
        <f t="shared" ref="B817:C817" si="828">($A817-B$9)/365.25</f>
        <v>125.70294318959617</v>
      </c>
      <c r="C817" s="409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2192</v>
      </c>
      <c r="I817" s="25">
        <f>IF(C817&lt;62,0,'Combined Retirement'!$I$13)</f>
        <v>2420</v>
      </c>
      <c r="J817" s="25">
        <f t="shared" si="783"/>
        <v>7863.2184191855868</v>
      </c>
      <c r="K817" s="25">
        <f t="shared" si="784"/>
        <v>20282.026119384056</v>
      </c>
      <c r="L817" s="25"/>
      <c r="N817" s="25">
        <f>'Combined Retirement'!$C$18/12</f>
        <v>39153.069999999992</v>
      </c>
      <c r="O817" s="25">
        <f t="shared" si="785"/>
        <v>11007.82546143035</v>
      </c>
      <c r="P817" s="25">
        <f t="shared" si="786"/>
        <v>28145.244538569641</v>
      </c>
      <c r="Q817" s="25">
        <f t="array" aca="1" ref="Q817" ca="1">INDEX('Isaac 401k'!L:L,MATCH('Retirement Calculator'!A817,'Isaac 401k'!N:N,0),0)</f>
        <v>-3423138.3809931744</v>
      </c>
      <c r="R817" s="25">
        <f t="array" aca="1" ref="R817" ca="1">INDEX('Lorri 401b'!L:L,MATCH('Retirement Calculator'!A817,'Lorri 401b'!N:N,0),0)</f>
        <v>-8601829.5816935692</v>
      </c>
      <c r="S817" s="25">
        <f t="shared" ca="1" si="787"/>
        <v>-12024967.962686744</v>
      </c>
    </row>
    <row r="818" spans="1:19" ht="15.75" customHeight="1" x14ac:dyDescent="0.3">
      <c r="A818" s="37">
        <v>75850</v>
      </c>
      <c r="B818" s="409">
        <f t="shared" ref="B818:C818" si="829">($A818-B$9)/365.25</f>
        <v>125.78781656399727</v>
      </c>
      <c r="C818" s="409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2192</v>
      </c>
      <c r="I818" s="25">
        <f>IF(C818&lt;62,0,'Combined Retirement'!$I$13)</f>
        <v>2420</v>
      </c>
      <c r="J818" s="25">
        <f t="shared" si="783"/>
        <v>7863.2184191855868</v>
      </c>
      <c r="K818" s="25">
        <f t="shared" si="784"/>
        <v>20282.026119384056</v>
      </c>
      <c r="L818" s="25"/>
      <c r="N818" s="25">
        <f>'Combined Retirement'!$C$18/12</f>
        <v>39153.069999999992</v>
      </c>
      <c r="O818" s="25">
        <f t="shared" si="785"/>
        <v>11007.82546143035</v>
      </c>
      <c r="P818" s="25">
        <f t="shared" si="786"/>
        <v>28145.244538569641</v>
      </c>
      <c r="Q818" s="25">
        <f t="array" aca="1" ref="Q818" ca="1">INDEX('Isaac 401k'!L:L,MATCH('Retirement Calculator'!A818,'Isaac 401k'!N:N,0),0)</f>
        <v>-3445297.4394099112</v>
      </c>
      <c r="R818" s="25">
        <f t="array" aca="1" ref="R818" ca="1">INDEX('Lorri 401b'!L:L,MATCH('Retirement Calculator'!A818,'Lorri 401b'!N:N,0),0)</f>
        <v>-8658037.0728455074</v>
      </c>
      <c r="S818" s="25">
        <f t="shared" ca="1" si="787"/>
        <v>-12103334.512255419</v>
      </c>
    </row>
    <row r="819" spans="1:19" ht="15.75" customHeight="1" x14ac:dyDescent="0.3">
      <c r="A819" s="37">
        <v>75880</v>
      </c>
      <c r="B819" s="409">
        <f t="shared" ref="B819:C819" si="830">($A819-B$9)/365.25</f>
        <v>125.86995208761122</v>
      </c>
      <c r="C819" s="409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2192</v>
      </c>
      <c r="I819" s="25">
        <f>IF(C819&lt;62,0,'Combined Retirement'!$I$13)</f>
        <v>2420</v>
      </c>
      <c r="J819" s="25">
        <f t="shared" si="783"/>
        <v>7863.2184191855868</v>
      </c>
      <c r="K819" s="25">
        <f t="shared" si="784"/>
        <v>20282.026119384056</v>
      </c>
      <c r="L819" s="25"/>
      <c r="N819" s="25">
        <f>'Combined Retirement'!$C$18/12</f>
        <v>39153.069999999992</v>
      </c>
      <c r="O819" s="25">
        <f t="shared" si="785"/>
        <v>11007.82546143035</v>
      </c>
      <c r="P819" s="25">
        <f t="shared" si="786"/>
        <v>28145.244538569641</v>
      </c>
      <c r="Q819" s="25">
        <f t="array" aca="1" ref="Q819" ca="1">INDEX('Isaac 401k'!L:L,MATCH('Retirement Calculator'!A819,'Isaac 401k'!N:N,0),0)</f>
        <v>-3467548.8272367176</v>
      </c>
      <c r="R819" s="25">
        <f t="array" aca="1" ref="R819" ca="1">INDEX('Lorri 401b'!L:L,MATCH('Retirement Calculator'!A819,'Lorri 401b'!N:N,0),0)</f>
        <v>-8714478.7618772462</v>
      </c>
      <c r="S819" s="25">
        <f t="shared" ca="1" si="787"/>
        <v>-12182027.589113964</v>
      </c>
    </row>
    <row r="820" spans="1:19" ht="15.75" customHeight="1" x14ac:dyDescent="0.3">
      <c r="A820" s="37">
        <v>75911</v>
      </c>
      <c r="B820" s="409">
        <f t="shared" ref="B820:C820" si="831">($A820-B$9)/365.25</f>
        <v>125.95482546201232</v>
      </c>
      <c r="C820" s="409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2192</v>
      </c>
      <c r="I820" s="25">
        <f>IF(C820&lt;62,0,'Combined Retirement'!$I$13)</f>
        <v>2420</v>
      </c>
      <c r="J820" s="25">
        <f t="shared" si="783"/>
        <v>7863.2184191855868</v>
      </c>
      <c r="K820" s="25">
        <f t="shared" si="784"/>
        <v>20282.026119384056</v>
      </c>
      <c r="L820" s="25"/>
      <c r="N820" s="25">
        <f>'Combined Retirement'!$C$18/12</f>
        <v>39153.069999999992</v>
      </c>
      <c r="O820" s="25">
        <f t="shared" si="785"/>
        <v>11007.82546143035</v>
      </c>
      <c r="P820" s="25">
        <f t="shared" si="786"/>
        <v>28145.244538569641</v>
      </c>
      <c r="Q820" s="25">
        <f t="array" aca="1" ref="Q820" ca="1">INDEX('Isaac 401k'!L:L,MATCH('Retirement Calculator'!A820,'Isaac 401k'!N:N,0),0)</f>
        <v>-3489892.9291794691</v>
      </c>
      <c r="R820" s="25">
        <f t="array" aca="1" ref="R820" ca="1">INDEX('Lorri 401b'!L:L,MATCH('Retirement Calculator'!A820,'Lorri 401b'!N:N,0),0)</f>
        <v>-8771155.6246132832</v>
      </c>
      <c r="S820" s="25">
        <f t="shared" ca="1" si="787"/>
        <v>-12261048.553792752</v>
      </c>
    </row>
    <row r="821" spans="1:19" ht="15.75" customHeight="1" x14ac:dyDescent="0.3">
      <c r="A821" s="37">
        <v>75941</v>
      </c>
      <c r="B821" s="409">
        <f t="shared" ref="B821:C821" si="832">($A821-B$9)/365.25</f>
        <v>126.03696098562628</v>
      </c>
      <c r="C821" s="409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2192</v>
      </c>
      <c r="I821" s="25">
        <f>IF(C821&lt;62,0,'Combined Retirement'!$I$13)</f>
        <v>2420</v>
      </c>
      <c r="J821" s="25">
        <f t="shared" si="783"/>
        <v>7863.2184191855868</v>
      </c>
      <c r="K821" s="25">
        <f t="shared" si="784"/>
        <v>20282.026119384056</v>
      </c>
      <c r="L821" s="25"/>
      <c r="N821" s="25">
        <f>'Combined Retirement'!$C$18/12</f>
        <v>39153.069999999992</v>
      </c>
      <c r="O821" s="25">
        <f t="shared" si="785"/>
        <v>11007.82546143035</v>
      </c>
      <c r="P821" s="25">
        <f t="shared" si="786"/>
        <v>28145.244538569641</v>
      </c>
      <c r="Q821" s="25">
        <f t="array" aca="1" ref="Q821" ca="1">INDEX('Isaac 401k'!L:L,MATCH('Retirement Calculator'!A821,'Isaac 401k'!N:N,0),0)</f>
        <v>-3512330.1315469821</v>
      </c>
      <c r="R821" s="25">
        <f t="array" aca="1" ref="R821" ca="1">INDEX('Lorri 401b'!L:L,MATCH('Retirement Calculator'!A821,'Lorri 401b'!N:N,0),0)</f>
        <v>-8828068.6409440544</v>
      </c>
      <c r="S821" s="25">
        <f t="shared" ca="1" si="787"/>
        <v>-12340398.772491036</v>
      </c>
    </row>
    <row r="822" spans="1:19" ht="15.75" customHeight="1" x14ac:dyDescent="0.3">
      <c r="A822" s="37">
        <v>75972</v>
      </c>
      <c r="B822" s="409">
        <f t="shared" ref="B822:C822" si="833">($A822-B$9)/365.25</f>
        <v>126.12183436002738</v>
      </c>
      <c r="C822" s="409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2192</v>
      </c>
      <c r="I822" s="25">
        <f>IF(C822&lt;62,0,'Combined Retirement'!$I$13)</f>
        <v>2420</v>
      </c>
      <c r="J822" s="25">
        <f t="shared" si="783"/>
        <v>7863.2184191855868</v>
      </c>
      <c r="K822" s="25">
        <f t="shared" si="784"/>
        <v>20282.026119384056</v>
      </c>
      <c r="L822" s="25"/>
      <c r="N822" s="25">
        <f>'Combined Retirement'!$C$18/12</f>
        <v>39153.069999999992</v>
      </c>
      <c r="O822" s="25">
        <f t="shared" si="785"/>
        <v>11007.82546143035</v>
      </c>
      <c r="P822" s="25">
        <f t="shared" si="786"/>
        <v>28145.244538569641</v>
      </c>
      <c r="Q822" s="25">
        <f t="array" aca="1" ref="Q822" ca="1">INDEX('Isaac 401k'!L:L,MATCH('Retirement Calculator'!A822,'Isaac 401k'!N:N,0),0)</f>
        <v>-3534860.8222576934</v>
      </c>
      <c r="R822" s="25">
        <f t="array" aca="1" ref="R822" ca="1">INDEX('Lorri 401b'!L:L,MATCH('Retirement Calculator'!A822,'Lorri 401b'!N:N,0),0)</f>
        <v>-8885218.7948428709</v>
      </c>
      <c r="S822" s="25">
        <f t="shared" ca="1" si="787"/>
        <v>-12420079.617100565</v>
      </c>
    </row>
    <row r="823" spans="1:19" ht="15.75" customHeight="1" x14ac:dyDescent="0.3">
      <c r="A823" s="37">
        <v>76003</v>
      </c>
      <c r="B823" s="409">
        <f t="shared" ref="B823:C823" si="834">($A823-B$9)/365.25</f>
        <v>126.20670773442848</v>
      </c>
      <c r="C823" s="409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2192</v>
      </c>
      <c r="I823" s="25">
        <f>IF(C823&lt;62,0,'Combined Retirement'!$I$13)</f>
        <v>2420</v>
      </c>
      <c r="J823" s="25">
        <f t="shared" si="783"/>
        <v>7863.2184191855868</v>
      </c>
      <c r="K823" s="25">
        <f t="shared" si="784"/>
        <v>20282.026119384056</v>
      </c>
      <c r="L823" s="25"/>
      <c r="N823" s="25">
        <f>'Combined Retirement'!$C$18/12</f>
        <v>39153.069999999992</v>
      </c>
      <c r="O823" s="25">
        <f t="shared" si="785"/>
        <v>11007.82546143035</v>
      </c>
      <c r="P823" s="25">
        <f t="shared" si="786"/>
        <v>28145.244538569641</v>
      </c>
      <c r="Q823" s="25">
        <f t="array" aca="1" ref="Q823" ca="1">INDEX('Isaac 401k'!L:L,MATCH('Retirement Calculator'!A823,'Isaac 401k'!N:N,0),0)</f>
        <v>-3557485.3908463656</v>
      </c>
      <c r="R823" s="25">
        <f t="array" aca="1" ref="R823" ca="1">INDEX('Lorri 401b'!L:L,MATCH('Retirement Calculator'!A823,'Lorri 401b'!N:N,0),0)</f>
        <v>-8942607.074382931</v>
      </c>
      <c r="S823" s="25">
        <f t="shared" ca="1" si="787"/>
        <v>-12500092.465229297</v>
      </c>
    </row>
    <row r="824" spans="1:19" ht="15.75" customHeight="1" x14ac:dyDescent="0.3">
      <c r="A824" s="37">
        <v>76032</v>
      </c>
      <c r="B824" s="409">
        <f t="shared" ref="B824:C824" si="835">($A824-B$9)/365.25</f>
        <v>126.28610540725531</v>
      </c>
      <c r="C824" s="409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2192</v>
      </c>
      <c r="I824" s="25">
        <f>IF(C824&lt;62,0,'Combined Retirement'!$I$13)</f>
        <v>2420</v>
      </c>
      <c r="J824" s="25">
        <f t="shared" si="783"/>
        <v>7863.2184191855868</v>
      </c>
      <c r="K824" s="25">
        <f t="shared" si="784"/>
        <v>20282.026119384056</v>
      </c>
      <c r="L824" s="25"/>
      <c r="N824" s="25">
        <f>'Combined Retirement'!$C$18/12</f>
        <v>39153.069999999992</v>
      </c>
      <c r="O824" s="25">
        <f t="shared" si="785"/>
        <v>11007.82546143035</v>
      </c>
      <c r="P824" s="25">
        <f t="shared" si="786"/>
        <v>28145.244538569641</v>
      </c>
      <c r="Q824" s="25">
        <f t="array" aca="1" ref="Q824" ca="1">INDEX('Isaac 401k'!L:L,MATCH('Retirement Calculator'!A824,'Isaac 401k'!N:N,0),0)</f>
        <v>-3580204.2284708242</v>
      </c>
      <c r="R824" s="25">
        <f t="array" aca="1" ref="R824" ca="1">INDEX('Lorri 401b'!L:L,MATCH('Retirement Calculator'!A824,'Lorri 401b'!N:N,0),0)</f>
        <v>-9000234.4717544094</v>
      </c>
      <c r="S824" s="25">
        <f t="shared" ca="1" si="787"/>
        <v>-12580438.700225234</v>
      </c>
    </row>
    <row r="825" spans="1:19" ht="15.75" customHeight="1" x14ac:dyDescent="0.3">
      <c r="A825" s="37">
        <v>76063</v>
      </c>
      <c r="B825" s="409">
        <f t="shared" ref="B825:C825" si="836">($A825-B$9)/365.25</f>
        <v>126.3709787816564</v>
      </c>
      <c r="C825" s="409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2192</v>
      </c>
      <c r="I825" s="25">
        <f>IF(C825&lt;62,0,'Combined Retirement'!$I$13)</f>
        <v>2420</v>
      </c>
      <c r="J825" s="25">
        <f t="shared" si="783"/>
        <v>7863.2184191855868</v>
      </c>
      <c r="K825" s="25">
        <f t="shared" si="784"/>
        <v>20282.026119384056</v>
      </c>
      <c r="L825" s="25"/>
      <c r="N825" s="25">
        <f>'Combined Retirement'!$C$18/12</f>
        <v>39153.069999999992</v>
      </c>
      <c r="O825" s="25">
        <f t="shared" si="785"/>
        <v>11007.82546143035</v>
      </c>
      <c r="P825" s="25">
        <f t="shared" si="786"/>
        <v>28145.244538569641</v>
      </c>
      <c r="Q825" s="25">
        <f t="array" aca="1" ref="Q825" ca="1">INDEX('Isaac 401k'!L:L,MATCH('Retirement Calculator'!A825,'Isaac 401k'!N:N,0),0)</f>
        <v>-3603017.727918718</v>
      </c>
      <c r="R825" s="25">
        <f t="array" aca="1" ref="R825" ca="1">INDEX('Lorri 401b'!L:L,MATCH('Retirement Calculator'!A825,'Lorri 401b'!N:N,0),0)</f>
        <v>-9058101.9832816012</v>
      </c>
      <c r="S825" s="25">
        <f t="shared" ca="1" si="787"/>
        <v>-12661119.711200319</v>
      </c>
    </row>
    <row r="826" spans="1:19" ht="15.75" customHeight="1" x14ac:dyDescent="0.3">
      <c r="A826" s="37">
        <v>76093</v>
      </c>
      <c r="B826" s="409">
        <f t="shared" ref="B826:C826" si="837">($A826-B$9)/365.25</f>
        <v>126.45311430527036</v>
      </c>
      <c r="C826" s="409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2192</v>
      </c>
      <c r="I826" s="25">
        <f>IF(C826&lt;62,0,'Combined Retirement'!$I$13)</f>
        <v>2420</v>
      </c>
      <c r="J826" s="25">
        <f t="shared" si="783"/>
        <v>7863.2184191855868</v>
      </c>
      <c r="K826" s="25">
        <f t="shared" si="784"/>
        <v>20282.026119384056</v>
      </c>
      <c r="L826" s="25"/>
      <c r="N826" s="25">
        <f>'Combined Retirement'!$C$18/12</f>
        <v>39153.069999999992</v>
      </c>
      <c r="O826" s="25">
        <f t="shared" si="785"/>
        <v>11007.82546143035</v>
      </c>
      <c r="P826" s="25">
        <f t="shared" si="786"/>
        <v>28145.244538569641</v>
      </c>
      <c r="Q826" s="25">
        <f t="array" aca="1" ref="Q826" ca="1">INDEX('Isaac 401k'!L:L,MATCH('Retirement Calculator'!A826,'Isaac 401k'!N:N,0),0)</f>
        <v>-3625926.2836143114</v>
      </c>
      <c r="R826" s="25">
        <f t="array" aca="1" ref="R826" ca="1">INDEX('Lorri 401b'!L:L,MATCH('Retirement Calculator'!A826,'Lorri 401b'!N:N,0),0)</f>
        <v>-9116210.6094401572</v>
      </c>
      <c r="S826" s="25">
        <f t="shared" ca="1" si="787"/>
        <v>-12742136.893054469</v>
      </c>
    </row>
    <row r="827" spans="1:19" ht="15.75" customHeight="1" x14ac:dyDescent="0.3">
      <c r="A827" s="37">
        <v>76124</v>
      </c>
      <c r="B827" s="409">
        <f t="shared" ref="B827:C827" si="838">($A827-B$9)/365.25</f>
        <v>126.53798767967146</v>
      </c>
      <c r="C827" s="409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2192</v>
      </c>
      <c r="I827" s="25">
        <f>IF(C827&lt;62,0,'Combined Retirement'!$I$13)</f>
        <v>2420</v>
      </c>
      <c r="J827" s="25">
        <f t="shared" si="783"/>
        <v>7863.2184191855868</v>
      </c>
      <c r="K827" s="25">
        <f t="shared" si="784"/>
        <v>20282.026119384056</v>
      </c>
      <c r="L827" s="25"/>
      <c r="N827" s="25">
        <f>'Combined Retirement'!$C$18/12</f>
        <v>39153.069999999992</v>
      </c>
      <c r="O827" s="25">
        <f t="shared" si="785"/>
        <v>11007.82546143035</v>
      </c>
      <c r="P827" s="25">
        <f t="shared" si="786"/>
        <v>28145.244538569641</v>
      </c>
      <c r="Q827" s="25">
        <f t="array" aca="1" ref="Q827" ca="1">INDEX('Isaac 401k'!L:L,MATCH('Retirement Calculator'!A827,'Isaac 401k'!N:N,0),0)</f>
        <v>-3648930.2916253028</v>
      </c>
      <c r="R827" s="25">
        <f t="array" aca="1" ref="R827" ca="1">INDEX('Lorri 401b'!L:L,MATCH('Retirement Calculator'!A827,'Lorri 401b'!N:N,0),0)</f>
        <v>-9174561.3548743743</v>
      </c>
      <c r="S827" s="25">
        <f t="shared" ca="1" si="787"/>
        <v>-12823491.646499677</v>
      </c>
    </row>
    <row r="828" spans="1:19" ht="15.75" customHeight="1" x14ac:dyDescent="0.3">
      <c r="A828" s="37">
        <v>76154</v>
      </c>
      <c r="B828" s="409">
        <f t="shared" ref="B828:C828" si="839">($A828-B$9)/365.25</f>
        <v>126.62012320328542</v>
      </c>
      <c r="C828" s="409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2192</v>
      </c>
      <c r="I828" s="25">
        <f>IF(C828&lt;62,0,'Combined Retirement'!$I$13)</f>
        <v>2420</v>
      </c>
      <c r="J828" s="25">
        <f t="shared" si="783"/>
        <v>7863.2184191855868</v>
      </c>
      <c r="K828" s="25">
        <f t="shared" si="784"/>
        <v>20282.026119384056</v>
      </c>
      <c r="L828" s="25"/>
      <c r="N828" s="25">
        <f>'Combined Retirement'!$C$18/12</f>
        <v>39153.069999999992</v>
      </c>
      <c r="O828" s="25">
        <f t="shared" si="785"/>
        <v>11007.82546143035</v>
      </c>
      <c r="P828" s="25">
        <f t="shared" si="786"/>
        <v>28145.244538569641</v>
      </c>
      <c r="Q828" s="25">
        <f t="array" aca="1" ref="Q828" ca="1">INDEX('Isaac 401k'!L:L,MATCH('Retirement Calculator'!A828,'Isaac 401k'!N:N,0),0)</f>
        <v>-3672030.1496696733</v>
      </c>
      <c r="R828" s="25">
        <f t="array" aca="1" ref="R828" ca="1">INDEX('Lorri 401b'!L:L,MATCH('Retirement Calculator'!A828,'Lorri 401b'!N:N,0),0)</f>
        <v>-9233155.2284145672</v>
      </c>
      <c r="S828" s="25">
        <f t="shared" ca="1" si="787"/>
        <v>-12905185.37808424</v>
      </c>
    </row>
    <row r="829" spans="1:19" ht="15.75" customHeight="1" x14ac:dyDescent="0.3">
      <c r="A829" s="37">
        <v>76185</v>
      </c>
      <c r="B829" s="409">
        <f t="shared" ref="B829:C829" si="840">($A829-B$9)/365.25</f>
        <v>126.70499657768652</v>
      </c>
      <c r="C829" s="409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2192</v>
      </c>
      <c r="I829" s="25">
        <f>IF(C829&lt;62,0,'Combined Retirement'!$I$13)</f>
        <v>2420</v>
      </c>
      <c r="J829" s="25">
        <f t="shared" si="783"/>
        <v>7863.2184191855868</v>
      </c>
      <c r="K829" s="25">
        <f t="shared" si="784"/>
        <v>20282.026119384056</v>
      </c>
      <c r="L829" s="25"/>
      <c r="N829" s="25">
        <f>'Combined Retirement'!$C$18/12</f>
        <v>39153.069999999992</v>
      </c>
      <c r="O829" s="25">
        <f t="shared" si="785"/>
        <v>11007.82546143035</v>
      </c>
      <c r="P829" s="25">
        <f t="shared" si="786"/>
        <v>28145.244538569641</v>
      </c>
      <c r="Q829" s="25">
        <f t="array" aca="1" ref="Q829" ca="1">INDEX('Isaac 401k'!L:L,MATCH('Retirement Calculator'!A829,'Isaac 401k'!N:N,0),0)</f>
        <v>-3695226.2571225623</v>
      </c>
      <c r="R829" s="25">
        <f t="array" aca="1" ref="R829" ca="1">INDEX('Lorri 401b'!L:L,MATCH('Retirement Calculator'!A829,'Lorri 401b'!N:N,0),0)</f>
        <v>-9291993.2430945095</v>
      </c>
      <c r="S829" s="25">
        <f t="shared" ca="1" si="787"/>
        <v>-12987219.500217073</v>
      </c>
    </row>
    <row r="830" spans="1:19" ht="15.75" customHeight="1" x14ac:dyDescent="0.3">
      <c r="A830" s="37">
        <v>76216</v>
      </c>
      <c r="B830" s="409">
        <f t="shared" ref="B830:C830" si="841">($A830-B$9)/365.25</f>
        <v>126.78986995208761</v>
      </c>
      <c r="C830" s="409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2192</v>
      </c>
      <c r="I830" s="25">
        <f>IF(C830&lt;62,0,'Combined Retirement'!$I$13)</f>
        <v>2420</v>
      </c>
      <c r="J830" s="25">
        <f t="shared" si="783"/>
        <v>7863.2184191855868</v>
      </c>
      <c r="K830" s="25">
        <f t="shared" si="784"/>
        <v>20282.026119384056</v>
      </c>
      <c r="L830" s="25"/>
      <c r="N830" s="25">
        <f>'Combined Retirement'!$C$18/12</f>
        <v>39153.069999999992</v>
      </c>
      <c r="O830" s="25">
        <f t="shared" si="785"/>
        <v>11007.82546143035</v>
      </c>
      <c r="P830" s="25">
        <f t="shared" si="786"/>
        <v>28145.244538569641</v>
      </c>
      <c r="Q830" s="25">
        <f t="array" aca="1" ref="Q830" ca="1">INDEX('Isaac 401k'!L:L,MATCH('Retirement Calculator'!A830,'Isaac 401k'!N:N,0),0)</f>
        <v>-3718519.0150231714</v>
      </c>
      <c r="R830" s="25">
        <f t="array" aca="1" ref="R830" ca="1">INDEX('Lorri 401b'!L:L,MATCH('Retirement Calculator'!A830,'Lorri 401b'!N:N,0),0)</f>
        <v>-9351076.4161689524</v>
      </c>
      <c r="S830" s="25">
        <f t="shared" ca="1" si="787"/>
        <v>-13069595.431192124</v>
      </c>
    </row>
    <row r="831" spans="1:19" ht="15.75" customHeight="1" x14ac:dyDescent="0.3">
      <c r="A831" s="37">
        <v>76246</v>
      </c>
      <c r="B831" s="409">
        <f t="shared" ref="B831:C831" si="842">($A831-B$9)/365.25</f>
        <v>126.87200547570157</v>
      </c>
      <c r="C831" s="409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2192</v>
      </c>
      <c r="I831" s="25">
        <f>IF(C831&lt;62,0,'Combined Retirement'!$I$13)</f>
        <v>2420</v>
      </c>
      <c r="J831" s="25">
        <f t="shared" si="783"/>
        <v>7863.2184191855868</v>
      </c>
      <c r="K831" s="25">
        <f t="shared" si="784"/>
        <v>20282.026119384056</v>
      </c>
      <c r="L831" s="25"/>
      <c r="N831" s="25">
        <f>'Combined Retirement'!$C$18/12</f>
        <v>39153.069999999992</v>
      </c>
      <c r="O831" s="25">
        <f t="shared" si="785"/>
        <v>11007.82546143035</v>
      </c>
      <c r="P831" s="25">
        <f t="shared" si="786"/>
        <v>28145.244538569641</v>
      </c>
      <c r="Q831" s="25">
        <f t="array" aca="1" ref="Q831" ca="1">INDEX('Isaac 401k'!L:L,MATCH('Retirement Calculator'!A831,'Isaac 401k'!N:N,0),0)</f>
        <v>-3741908.8260817002</v>
      </c>
      <c r="R831" s="25">
        <f t="array" aca="1" ref="R831" ca="1">INDEX('Lorri 401b'!L:L,MATCH('Retirement Calculator'!A831,'Lorri 401b'!N:N,0),0)</f>
        <v>-9410405.769131206</v>
      </c>
      <c r="S831" s="25">
        <f t="shared" ca="1" si="787"/>
        <v>-13152314.595212907</v>
      </c>
    </row>
    <row r="832" spans="1:19" ht="15.75" customHeight="1" x14ac:dyDescent="0.3">
      <c r="A832" s="37">
        <v>76277</v>
      </c>
      <c r="B832" s="409">
        <f t="shared" ref="B832:C832" si="843">($A832-B$9)/365.25</f>
        <v>126.95687885010267</v>
      </c>
      <c r="C832" s="409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2192</v>
      </c>
      <c r="I832" s="25">
        <f>IF(C832&lt;62,0,'Combined Retirement'!$I$13)</f>
        <v>2420</v>
      </c>
      <c r="J832" s="25">
        <f t="shared" si="783"/>
        <v>7863.2184191855868</v>
      </c>
      <c r="K832" s="25">
        <f t="shared" si="784"/>
        <v>20282.026119384056</v>
      </c>
      <c r="L832" s="25"/>
      <c r="N832" s="25">
        <f>'Combined Retirement'!$C$18/12</f>
        <v>39153.069999999992</v>
      </c>
      <c r="O832" s="25">
        <f t="shared" si="785"/>
        <v>11007.82546143035</v>
      </c>
      <c r="P832" s="25">
        <f t="shared" si="786"/>
        <v>28145.244538569641</v>
      </c>
      <c r="Q832" s="25">
        <f t="array" aca="1" ref="Q832" ca="1">INDEX('Isaac 401k'!L:L,MATCH('Retirement Calculator'!A832,'Isaac 401k'!N:N,0),0)</f>
        <v>-3765396.0946863061</v>
      </c>
      <c r="R832" s="25">
        <f t="array" aca="1" ref="R832" ca="1">INDEX('Lorri 401b'!L:L,MATCH('Retirement Calculator'!A832,'Lorri 401b'!N:N,0),0)</f>
        <v>-9469982.327730801</v>
      </c>
      <c r="S832" s="25">
        <f t="shared" ca="1" si="787"/>
        <v>-13235378.422417108</v>
      </c>
    </row>
    <row r="833" spans="1:19" ht="15.75" customHeight="1" x14ac:dyDescent="0.3">
      <c r="A833" s="37">
        <v>76307</v>
      </c>
      <c r="B833" s="409">
        <f t="shared" ref="B833:C833" si="844">($A833-B$9)/365.25</f>
        <v>127.03901437371663</v>
      </c>
      <c r="C833" s="409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2192</v>
      </c>
      <c r="I833" s="25">
        <f>IF(C833&lt;62,0,'Combined Retirement'!$I$13)</f>
        <v>2420</v>
      </c>
      <c r="J833" s="25">
        <f t="shared" si="783"/>
        <v>7863.2184191855868</v>
      </c>
      <c r="K833" s="25">
        <f t="shared" si="784"/>
        <v>20282.026119384056</v>
      </c>
      <c r="L833" s="25"/>
      <c r="N833" s="25">
        <f>'Combined Retirement'!$C$18/12</f>
        <v>39153.069999999992</v>
      </c>
      <c r="O833" s="25">
        <f t="shared" si="785"/>
        <v>11007.82546143035</v>
      </c>
      <c r="P833" s="25">
        <f t="shared" si="786"/>
        <v>28145.244538569641</v>
      </c>
      <c r="Q833" s="25">
        <f t="array" aca="1" ref="Q833" ca="1">INDEX('Isaac 401k'!L:L,MATCH('Retirement Calculator'!A833,'Isaac 401k'!N:N,0),0)</f>
        <v>-3788981.2269100975</v>
      </c>
      <c r="R833" s="25">
        <f t="array" aca="1" ref="R833" ca="1">INDEX('Lorri 401b'!L:L,MATCH('Retirement Calculator'!A833,'Lorri 401b'!N:N,0),0)</f>
        <v>-9529807.1219912283</v>
      </c>
      <c r="S833" s="25">
        <f t="shared" ca="1" si="787"/>
        <v>-13318788.348901326</v>
      </c>
    </row>
    <row r="834" spans="1:19" ht="15.75" customHeight="1" x14ac:dyDescent="0.3">
      <c r="A834" s="37">
        <v>76338</v>
      </c>
      <c r="B834" s="409">
        <f t="shared" ref="B834:C834" si="845">($A834-B$9)/365.25</f>
        <v>127.12388774811772</v>
      </c>
      <c r="C834" s="409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2192</v>
      </c>
      <c r="I834" s="25">
        <f>IF(C834&lt;62,0,'Combined Retirement'!$I$13)</f>
        <v>2420</v>
      </c>
      <c r="J834" s="25">
        <f t="shared" si="783"/>
        <v>7863.2184191855868</v>
      </c>
      <c r="K834" s="25">
        <f t="shared" si="784"/>
        <v>20282.026119384056</v>
      </c>
      <c r="L834" s="25"/>
      <c r="N834" s="25">
        <f>'Combined Retirement'!$C$18/12</f>
        <v>39153.069999999992</v>
      </c>
      <c r="O834" s="25">
        <f t="shared" si="785"/>
        <v>11007.82546143035</v>
      </c>
      <c r="P834" s="25">
        <f t="shared" si="786"/>
        <v>28145.244538569641</v>
      </c>
      <c r="Q834" s="25">
        <f t="array" aca="1" ref="Q834" ca="1">INDEX('Isaac 401k'!L:L,MATCH('Retirement Calculator'!A834,'Isaac 401k'!N:N,0),0)</f>
        <v>-3812664.6305181547</v>
      </c>
      <c r="R834" s="25">
        <f t="array" aca="1" ref="R834" ca="1">INDEX('Lorri 401b'!L:L,MATCH('Retirement Calculator'!A834,'Lorri 401b'!N:N,0),0)</f>
        <v>-9589881.1862277407</v>
      </c>
      <c r="S834" s="25">
        <f t="shared" ca="1" si="787"/>
        <v>-13402545.816745896</v>
      </c>
    </row>
    <row r="835" spans="1:19" ht="15.75" customHeight="1" x14ac:dyDescent="0.3">
      <c r="A835" s="37">
        <v>76369</v>
      </c>
      <c r="B835" s="409">
        <f t="shared" ref="B835:C835" si="846">($A835-B$9)/365.25</f>
        <v>127.20876112251882</v>
      </c>
      <c r="C835" s="409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2192</v>
      </c>
      <c r="I835" s="25">
        <f>IF(C835&lt;62,0,'Combined Retirement'!$I$13)</f>
        <v>2420</v>
      </c>
      <c r="J835" s="25">
        <f t="shared" si="783"/>
        <v>7863.2184191855868</v>
      </c>
      <c r="K835" s="25">
        <f t="shared" si="784"/>
        <v>20282.026119384056</v>
      </c>
      <c r="L835" s="25"/>
      <c r="N835" s="25">
        <f>'Combined Retirement'!$C$18/12</f>
        <v>39153.069999999992</v>
      </c>
      <c r="O835" s="25">
        <f t="shared" si="785"/>
        <v>11007.82546143035</v>
      </c>
      <c r="P835" s="25">
        <f t="shared" si="786"/>
        <v>28145.244538569641</v>
      </c>
      <c r="Q835" s="25">
        <f t="array" aca="1" ref="Q835" ca="1">INDEX('Isaac 401k'!L:L,MATCH('Retirement Calculator'!A835,'Isaac 401k'!N:N,0),0)</f>
        <v>-3836446.7149745789</v>
      </c>
      <c r="R835" s="25">
        <f t="array" aca="1" ref="R835" ca="1">INDEX('Lorri 401b'!L:L,MATCH('Retirement Calculator'!A835,'Lorri 401b'!N:N,0),0)</f>
        <v>-9650205.5590652395</v>
      </c>
      <c r="S835" s="25">
        <f t="shared" ca="1" si="787"/>
        <v>-13486652.274039818</v>
      </c>
    </row>
    <row r="836" spans="1:19" ht="15.75" customHeight="1" x14ac:dyDescent="0.3">
      <c r="A836" s="37">
        <v>76397</v>
      </c>
      <c r="B836" s="409">
        <f t="shared" ref="B836:C836" si="847">($A836-B$9)/365.25</f>
        <v>127.28542094455852</v>
      </c>
      <c r="C836" s="409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2192</v>
      </c>
      <c r="I836" s="25">
        <f>IF(C836&lt;62,0,'Combined Retirement'!$I$13)</f>
        <v>2420</v>
      </c>
      <c r="J836" s="25">
        <f t="shared" si="783"/>
        <v>7863.2184191855868</v>
      </c>
      <c r="K836" s="25">
        <f t="shared" si="784"/>
        <v>20282.026119384056</v>
      </c>
      <c r="L836" s="25"/>
      <c r="N836" s="25">
        <f>'Combined Retirement'!$C$18/12</f>
        <v>39153.069999999992</v>
      </c>
      <c r="O836" s="25">
        <f t="shared" si="785"/>
        <v>11007.82546143035</v>
      </c>
      <c r="P836" s="25">
        <f t="shared" si="786"/>
        <v>28145.244538569641</v>
      </c>
      <c r="Q836" s="25">
        <f t="array" aca="1" ref="Q836" ca="1">INDEX('Isaac 401k'!L:L,MATCH('Retirement Calculator'!A836,'Isaac 401k'!N:N,0),0)</f>
        <v>-3860327.8914495716</v>
      </c>
      <c r="R836" s="25">
        <f t="array" aca="1" ref="R836" ca="1">INDEX('Lorri 401b'!L:L,MATCH('Retirement Calculator'!A836,'Lorri 401b'!N:N,0),0)</f>
        <v>-9710781.2834562268</v>
      </c>
      <c r="S836" s="25">
        <f t="shared" ca="1" si="787"/>
        <v>-13571109.174905799</v>
      </c>
    </row>
    <row r="837" spans="1:19" ht="15.75" customHeight="1" x14ac:dyDescent="0.3">
      <c r="A837" s="37">
        <v>76428</v>
      </c>
      <c r="B837" s="409">
        <f t="shared" ref="B837:C837" si="848">($A837-B$9)/365.25</f>
        <v>127.37029431895962</v>
      </c>
      <c r="C837" s="409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2192</v>
      </c>
      <c r="I837" s="25">
        <f>IF(C837&lt;62,0,'Combined Retirement'!$I$13)</f>
        <v>2420</v>
      </c>
      <c r="J837" s="25">
        <f t="shared" si="783"/>
        <v>7863.2184191855868</v>
      </c>
      <c r="K837" s="25">
        <f t="shared" si="784"/>
        <v>20282.026119384056</v>
      </c>
      <c r="L837" s="25"/>
      <c r="N837" s="25">
        <f>'Combined Retirement'!$C$18/12</f>
        <v>39153.069999999992</v>
      </c>
      <c r="O837" s="25">
        <f t="shared" si="785"/>
        <v>11007.82546143035</v>
      </c>
      <c r="P837" s="25">
        <f t="shared" si="786"/>
        <v>28145.244538569641</v>
      </c>
      <c r="Q837" s="25">
        <f t="array" aca="1" ref="Q837" ca="1">INDEX('Isaac 401k'!L:L,MATCH('Retirement Calculator'!A837,'Isaac 401k'!N:N,0),0)</f>
        <v>-3884308.5728265434</v>
      </c>
      <c r="R837" s="25">
        <f t="array" aca="1" ref="R837" ca="1">INDEX('Lorri 401b'!L:L,MATCH('Retirement Calculator'!A837,'Lorri 401b'!N:N,0),0)</f>
        <v>-9771609.4066988435</v>
      </c>
      <c r="S837" s="25">
        <f t="shared" ca="1" si="787"/>
        <v>-13655917.979525387</v>
      </c>
    </row>
    <row r="838" spans="1:19" ht="15.75" customHeight="1" x14ac:dyDescent="0.3">
      <c r="A838" s="37">
        <v>76458</v>
      </c>
      <c r="B838" s="409">
        <f t="shared" ref="B838:C838" si="849">($A838-B$9)/365.25</f>
        <v>127.45242984257358</v>
      </c>
      <c r="C838" s="409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2192</v>
      </c>
      <c r="I838" s="25">
        <f>IF(C838&lt;62,0,'Combined Retirement'!$I$13)</f>
        <v>2420</v>
      </c>
      <c r="J838" s="25">
        <f t="shared" si="783"/>
        <v>7863.2184191855868</v>
      </c>
      <c r="K838" s="25">
        <f t="shared" si="784"/>
        <v>20282.026119384056</v>
      </c>
      <c r="L838" s="25"/>
      <c r="N838" s="25">
        <f>'Combined Retirement'!$C$18/12</f>
        <v>39153.069999999992</v>
      </c>
      <c r="O838" s="25">
        <f t="shared" si="785"/>
        <v>11007.82546143035</v>
      </c>
      <c r="P838" s="25">
        <f t="shared" si="786"/>
        <v>28145.244538569641</v>
      </c>
      <c r="Q838" s="25">
        <f t="array" aca="1" ref="Q838" ca="1">INDEX('Isaac 401k'!L:L,MATCH('Retirement Calculator'!A838,'Isaac 401k'!N:N,0),0)</f>
        <v>-3908389.1737092524</v>
      </c>
      <c r="R838" s="25">
        <f t="array" aca="1" ref="R838" ca="1">INDEX('Lorri 401b'!L:L,MATCH('Retirement Calculator'!A838,'Lorri 401b'!N:N,0),0)</f>
        <v>-9832690.9804549702</v>
      </c>
      <c r="S838" s="25">
        <f t="shared" ca="1" si="787"/>
        <v>-13741080.154164223</v>
      </c>
    </row>
    <row r="839" spans="1:19" ht="15.75" customHeight="1" x14ac:dyDescent="0.3">
      <c r="A839" s="37">
        <v>76489</v>
      </c>
      <c r="B839" s="409">
        <f t="shared" ref="B839:C839" si="850">($A839-B$9)/365.25</f>
        <v>127.53730321697468</v>
      </c>
      <c r="C839" s="409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2192</v>
      </c>
      <c r="I839" s="25">
        <f>IF(C839&lt;62,0,'Combined Retirement'!$I$13)</f>
        <v>2420</v>
      </c>
      <c r="J839" s="25">
        <f t="shared" si="783"/>
        <v>7863.2184191855868</v>
      </c>
      <c r="K839" s="25">
        <f t="shared" si="784"/>
        <v>20282.026119384056</v>
      </c>
      <c r="L839" s="25"/>
      <c r="N839" s="25">
        <f>'Combined Retirement'!$C$18/12</f>
        <v>39153.069999999992</v>
      </c>
      <c r="O839" s="25">
        <f t="shared" si="785"/>
        <v>11007.82546143035</v>
      </c>
      <c r="P839" s="25">
        <f t="shared" si="786"/>
        <v>28145.244538569641</v>
      </c>
      <c r="Q839" s="25">
        <f t="array" aca="1" ref="Q839" ca="1">INDEX('Isaac 401k'!L:L,MATCH('Retirement Calculator'!A839,'Isaac 401k'!N:N,0),0)</f>
        <v>-3932570.1104289731</v>
      </c>
      <c r="R839" s="25">
        <f t="array" aca="1" ref="R839" ca="1">INDEX('Lorri 401b'!L:L,MATCH('Retirement Calculator'!A839,'Lorri 401b'!N:N,0),0)</f>
        <v>-9894027.0607684143</v>
      </c>
      <c r="S839" s="25">
        <f t="shared" ca="1" si="787"/>
        <v>-13826597.171197388</v>
      </c>
    </row>
    <row r="840" spans="1:19" ht="15.75" customHeight="1" x14ac:dyDescent="0.3">
      <c r="A840" s="37">
        <v>76519</v>
      </c>
      <c r="B840" s="409">
        <f t="shared" ref="B840:C840" si="851">($A840-B$9)/365.25</f>
        <v>127.61943874058863</v>
      </c>
      <c r="C840" s="409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2192</v>
      </c>
      <c r="I840" s="25">
        <f>IF(C840&lt;62,0,'Combined Retirement'!$I$13)</f>
        <v>2420</v>
      </c>
      <c r="J840" s="25">
        <f t="shared" si="783"/>
        <v>7863.2184191855868</v>
      </c>
      <c r="K840" s="25">
        <f t="shared" si="784"/>
        <v>20282.026119384056</v>
      </c>
      <c r="L840" s="25"/>
      <c r="N840" s="25">
        <f>'Combined Retirement'!$C$18/12</f>
        <v>39153.069999999992</v>
      </c>
      <c r="O840" s="25">
        <f t="shared" si="785"/>
        <v>11007.82546143035</v>
      </c>
      <c r="P840" s="25">
        <f t="shared" si="786"/>
        <v>28145.244538569641</v>
      </c>
      <c r="Q840" s="25">
        <f t="array" aca="1" ref="Q840" ca="1">INDEX('Isaac 401k'!L:L,MATCH('Retirement Calculator'!A840,'Isaac 401k'!N:N,0),0)</f>
        <v>-3956851.8010516926</v>
      </c>
      <c r="R840" s="25">
        <f t="array" aca="1" ref="R840" ca="1">INDEX('Lorri 401b'!L:L,MATCH('Retirement Calculator'!A840,'Lorri 401b'!N:N,0),0)</f>
        <v>-9955618.7080831658</v>
      </c>
      <c r="S840" s="25">
        <f t="shared" ca="1" si="787"/>
        <v>-13912470.509134859</v>
      </c>
    </row>
    <row r="841" spans="1:19" ht="15.75" customHeight="1" x14ac:dyDescent="0.3">
      <c r="A841" s="37">
        <v>76550</v>
      </c>
      <c r="B841" s="409">
        <f t="shared" ref="B841:C841" si="852">($A841-B$9)/365.25</f>
        <v>127.70431211498973</v>
      </c>
      <c r="C841" s="409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2192</v>
      </c>
      <c r="I841" s="25">
        <f>IF(C841&lt;62,0,'Combined Retirement'!$I$13)</f>
        <v>2420</v>
      </c>
      <c r="J841" s="25">
        <f t="shared" si="783"/>
        <v>7863.2184191855868</v>
      </c>
      <c r="K841" s="25">
        <f t="shared" si="784"/>
        <v>20282.026119384056</v>
      </c>
      <c r="L841" s="25"/>
      <c r="N841" s="25">
        <f>'Combined Retirement'!$C$18/12</f>
        <v>39153.069999999992</v>
      </c>
      <c r="O841" s="25">
        <f t="shared" si="785"/>
        <v>11007.82546143035</v>
      </c>
      <c r="P841" s="25">
        <f t="shared" si="786"/>
        <v>28145.244538569641</v>
      </c>
      <c r="Q841" s="25">
        <f t="array" aca="1" ref="Q841" ca="1">INDEX('Isaac 401k'!L:L,MATCH('Retirement Calculator'!A841,'Isaac 401k'!N:N,0),0)</f>
        <v>-3981234.6653853399</v>
      </c>
      <c r="R841" s="25">
        <f t="array" aca="1" ref="R841" ca="1">INDEX('Lorri 401b'!L:L,MATCH('Retirement Calculator'!A841,'Lorri 401b'!N:N,0),0)</f>
        <v>-10017466.987261727</v>
      </c>
      <c r="S841" s="25">
        <f t="shared" ca="1" si="787"/>
        <v>-13998701.652647067</v>
      </c>
    </row>
    <row r="842" spans="1:19" ht="15.75" customHeight="1" x14ac:dyDescent="0.3">
      <c r="A842" s="37">
        <v>76581</v>
      </c>
      <c r="B842" s="409">
        <f t="shared" ref="B842:C842" si="853">($A842-B$9)/365.25</f>
        <v>127.78918548939083</v>
      </c>
      <c r="C842" s="409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2192</v>
      </c>
      <c r="I842" s="25">
        <f>IF(C842&lt;62,0,'Combined Retirement'!$I$13)</f>
        <v>2420</v>
      </c>
      <c r="J842" s="25">
        <f t="shared" si="783"/>
        <v>7863.2184191855868</v>
      </c>
      <c r="K842" s="25">
        <f t="shared" si="784"/>
        <v>20282.026119384056</v>
      </c>
      <c r="L842" s="25"/>
      <c r="N842" s="25">
        <f>'Combined Retirement'!$C$18/12</f>
        <v>39153.069999999992</v>
      </c>
      <c r="O842" s="25">
        <f t="shared" si="785"/>
        <v>11007.82546143035</v>
      </c>
      <c r="P842" s="25">
        <f t="shared" si="786"/>
        <v>28145.244538569641</v>
      </c>
      <c r="Q842" s="25">
        <f t="array" aca="1" ref="Q842" ca="1">INDEX('Isaac 401k'!L:L,MATCH('Retirement Calculator'!A842,'Isaac 401k'!N:N,0),0)</f>
        <v>-4005719.1249870439</v>
      </c>
      <c r="R842" s="25">
        <f t="array" aca="1" ref="R842" ca="1">INDEX('Lorri 401b'!L:L,MATCH('Retirement Calculator'!A842,'Lorri 401b'!N:N,0),0)</f>
        <v>-10079572.967603534</v>
      </c>
      <c r="S842" s="25">
        <f t="shared" ca="1" si="787"/>
        <v>-14085292.092590578</v>
      </c>
    </row>
    <row r="843" spans="1:19" ht="15.75" customHeight="1" x14ac:dyDescent="0.3">
      <c r="A843" s="37">
        <v>76611</v>
      </c>
      <c r="B843" s="409">
        <f t="shared" ref="B843:C843" si="854">($A843-B$9)/365.25</f>
        <v>127.87132101300479</v>
      </c>
      <c r="C843" s="409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2192</v>
      </c>
      <c r="I843" s="25">
        <f>IF(C843&lt;62,0,'Combined Retirement'!$I$13)</f>
        <v>2420</v>
      </c>
      <c r="J843" s="25">
        <f t="shared" si="783"/>
        <v>7863.2184191855868</v>
      </c>
      <c r="K843" s="25">
        <f t="shared" si="784"/>
        <v>20282.026119384056</v>
      </c>
      <c r="L843" s="25"/>
      <c r="N843" s="25">
        <f>'Combined Retirement'!$C$18/12</f>
        <v>39153.069999999992</v>
      </c>
      <c r="O843" s="25">
        <f t="shared" si="785"/>
        <v>11007.82546143035</v>
      </c>
      <c r="P843" s="25">
        <f t="shared" si="786"/>
        <v>28145.244538569641</v>
      </c>
      <c r="Q843" s="25">
        <f t="array" aca="1" ref="Q843" ca="1">INDEX('Isaac 401k'!L:L,MATCH('Retirement Calculator'!A843,'Isaac 401k'!N:N,0),0)</f>
        <v>-4030305.6031704219</v>
      </c>
      <c r="R843" s="25">
        <f t="array" aca="1" ref="R843" ca="1">INDEX('Lorri 401b'!L:L,MATCH('Retirement Calculator'!A843,'Lorri 401b'!N:N,0),0)</f>
        <v>-10141937.722863432</v>
      </c>
      <c r="S843" s="25">
        <f t="shared" ca="1" si="787"/>
        <v>-14172243.326033853</v>
      </c>
    </row>
    <row r="844" spans="1:19" ht="15.75" customHeight="1" x14ac:dyDescent="0.3">
      <c r="A844" s="37">
        <v>76642</v>
      </c>
      <c r="B844" s="409">
        <f t="shared" ref="B844:C844" si="855">($A844-B$9)/365.25</f>
        <v>127.95619438740589</v>
      </c>
      <c r="C844" s="409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2192</v>
      </c>
      <c r="I844" s="25">
        <f>IF(C844&lt;62,0,'Combined Retirement'!$I$13)</f>
        <v>2420</v>
      </c>
      <c r="J844" s="25">
        <f t="shared" si="783"/>
        <v>7863.2184191855868</v>
      </c>
      <c r="K844" s="25">
        <f t="shared" si="784"/>
        <v>20282.026119384056</v>
      </c>
      <c r="L844" s="25"/>
      <c r="N844" s="25">
        <f>'Combined Retirement'!$C$18/12</f>
        <v>39153.069999999992</v>
      </c>
      <c r="O844" s="25">
        <f t="shared" si="785"/>
        <v>11007.82546143035</v>
      </c>
      <c r="P844" s="25">
        <f t="shared" si="786"/>
        <v>28145.244538569641</v>
      </c>
      <c r="Q844" s="25">
        <f t="array" aca="1" ref="Q844" ca="1">INDEX('Isaac 401k'!L:L,MATCH('Retirement Calculator'!A844,'Isaac 401k'!N:N,0),0)</f>
        <v>-4054994.5250128973</v>
      </c>
      <c r="R844" s="25">
        <f t="array" aca="1" ref="R844" ca="1">INDEX('Lorri 401b'!L:L,MATCH('Retirement Calculator'!A844,'Lorri 401b'!N:N,0),0)</f>
        <v>-10204562.331270246</v>
      </c>
      <c r="S844" s="25">
        <f t="shared" ca="1" si="787"/>
        <v>-14259556.856283143</v>
      </c>
    </row>
    <row r="845" spans="1:19" ht="15.75" customHeight="1" x14ac:dyDescent="0.3">
      <c r="A845" s="37">
        <v>76672</v>
      </c>
      <c r="B845" s="409">
        <f t="shared" ref="B845:C845" si="856">($A845-B$9)/365.25</f>
        <v>128.03832991101984</v>
      </c>
      <c r="C845" s="409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2192</v>
      </c>
      <c r="I845" s="25">
        <f>IF(C845&lt;62,0,'Combined Retirement'!$I$13)</f>
        <v>2420</v>
      </c>
      <c r="J845" s="25">
        <f t="shared" si="783"/>
        <v>7863.2184191855868</v>
      </c>
      <c r="K845" s="25">
        <f t="shared" si="784"/>
        <v>20282.026119384056</v>
      </c>
      <c r="L845" s="25"/>
      <c r="N845" s="25">
        <f>'Combined Retirement'!$C$18/12</f>
        <v>39153.069999999992</v>
      </c>
      <c r="O845" s="25">
        <f t="shared" si="785"/>
        <v>11007.82546143035</v>
      </c>
      <c r="P845" s="25">
        <f t="shared" si="786"/>
        <v>28145.244538569641</v>
      </c>
      <c r="Q845" s="25">
        <f t="array" aca="1" ref="Q845" ca="1">INDEX('Isaac 401k'!L:L,MATCH('Retirement Calculator'!A845,'Isaac 401k'!N:N,0),0)</f>
        <v>-4079786.3173630498</v>
      </c>
      <c r="R845" s="25">
        <f t="array" aca="1" ref="R845" ca="1">INDEX('Lorri 401b'!L:L,MATCH('Retirement Calculator'!A845,'Lorri 401b'!N:N,0),0)</f>
        <v>-10267447.875545422</v>
      </c>
      <c r="S845" s="25">
        <f t="shared" ca="1" si="787"/>
        <v>-14347234.192908471</v>
      </c>
    </row>
    <row r="846" spans="1:19" ht="15.75" customHeight="1" x14ac:dyDescent="0.3">
      <c r="A846" s="37">
        <v>76703</v>
      </c>
      <c r="B846" s="409">
        <f t="shared" ref="B846:C846" si="857">($A846-B$9)/365.25</f>
        <v>128.12320328542094</v>
      </c>
      <c r="C846" s="409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2192</v>
      </c>
      <c r="I846" s="25">
        <f>IF(C846&lt;62,0,'Combined Retirement'!$I$13)</f>
        <v>2420</v>
      </c>
      <c r="J846" s="25">
        <f t="shared" si="783"/>
        <v>7863.2184191855868</v>
      </c>
      <c r="K846" s="25">
        <f t="shared" si="784"/>
        <v>20282.026119384056</v>
      </c>
      <c r="L846" s="25"/>
      <c r="N846" s="25">
        <f>'Combined Retirement'!$C$18/12</f>
        <v>39153.069999999992</v>
      </c>
      <c r="O846" s="25">
        <f t="shared" si="785"/>
        <v>11007.82546143035</v>
      </c>
      <c r="P846" s="25">
        <f t="shared" si="786"/>
        <v>28145.244538569641</v>
      </c>
      <c r="Q846" s="25">
        <f t="array" aca="1" ref="Q846" ca="1">INDEX('Isaac 401k'!L:L,MATCH('Retirement Calculator'!A846,'Isaac 401k'!N:N,0),0)</f>
        <v>-4104681.4088479946</v>
      </c>
      <c r="R846" s="25">
        <f t="array" aca="1" ref="R846" ca="1">INDEX('Lorri 401b'!L:L,MATCH('Retirement Calculator'!A846,'Lorri 401b'!N:N,0),0)</f>
        <v>-10330595.442921743</v>
      </c>
      <c r="S846" s="25">
        <f t="shared" ca="1" si="787"/>
        <v>-14435276.851769738</v>
      </c>
    </row>
    <row r="847" spans="1:19" ht="15.75" customHeight="1" x14ac:dyDescent="0.3">
      <c r="A847" s="37">
        <v>76734</v>
      </c>
      <c r="B847" s="409">
        <f t="shared" ref="B847:C847" si="858">($A847-B$9)/365.25</f>
        <v>128.20807665982204</v>
      </c>
      <c r="C847" s="409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2192</v>
      </c>
      <c r="I847" s="25">
        <f>IF(C847&lt;62,0,'Combined Retirement'!$I$13)</f>
        <v>2420</v>
      </c>
      <c r="J847" s="25">
        <f t="shared" si="783"/>
        <v>7863.2184191855868</v>
      </c>
      <c r="K847" s="25">
        <f t="shared" si="784"/>
        <v>20282.026119384056</v>
      </c>
      <c r="L847" s="25"/>
      <c r="N847" s="25">
        <f>'Combined Retirement'!$C$18/12</f>
        <v>39153.069999999992</v>
      </c>
      <c r="O847" s="25">
        <f t="shared" si="785"/>
        <v>11007.82546143035</v>
      </c>
      <c r="P847" s="25">
        <f t="shared" si="786"/>
        <v>28145.244538569641</v>
      </c>
      <c r="Q847" s="25">
        <f t="array" aca="1" ref="Q847" ca="1">INDEX('Isaac 401k'!L:L,MATCH('Retirement Calculator'!A847,'Isaac 401k'!N:N,0),0)</f>
        <v>-4129680.2298807935</v>
      </c>
      <c r="R847" s="25">
        <f t="array" aca="1" ref="R847" ca="1">INDEX('Lorri 401b'!L:L,MATCH('Retirement Calculator'!A847,'Lorri 401b'!N:N,0),0)</f>
        <v>-10394006.125162132</v>
      </c>
      <c r="S847" s="25">
        <f t="shared" ca="1" si="787"/>
        <v>-14523686.355042925</v>
      </c>
    </row>
    <row r="848" spans="1:19" ht="15.75" customHeight="1" x14ac:dyDescent="0.3">
      <c r="A848" s="37">
        <v>76762</v>
      </c>
      <c r="B848" s="409">
        <f t="shared" ref="B848:C848" si="859">($A848-B$9)/365.25</f>
        <v>128.28473648186173</v>
      </c>
      <c r="C848" s="409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2192</v>
      </c>
      <c r="I848" s="25">
        <f>IF(C848&lt;62,0,'Combined Retirement'!$I$13)</f>
        <v>2420</v>
      </c>
      <c r="J848" s="25">
        <f t="shared" si="783"/>
        <v>7863.2184191855868</v>
      </c>
      <c r="K848" s="25">
        <f t="shared" si="784"/>
        <v>20282.026119384056</v>
      </c>
      <c r="L848" s="25"/>
      <c r="N848" s="25">
        <f>'Combined Retirement'!$C$18/12</f>
        <v>39153.069999999992</v>
      </c>
      <c r="O848" s="25">
        <f t="shared" si="785"/>
        <v>11007.82546143035</v>
      </c>
      <c r="P848" s="25">
        <f t="shared" si="786"/>
        <v>28145.244538569641</v>
      </c>
      <c r="Q848" s="25">
        <f t="array" aca="1" ref="Q848" ca="1">INDEX('Isaac 401k'!L:L,MATCH('Retirement Calculator'!A848,'Isaac 401k'!N:N,0),0)</f>
        <v>-4154783.2126678955</v>
      </c>
      <c r="R848" s="25">
        <f t="array" aca="1" ref="R848" ca="1">INDEX('Lorri 401b'!L:L,MATCH('Retirement Calculator'!A848,'Lorri 401b'!N:N,0),0)</f>
        <v>-10457681.018578524</v>
      </c>
      <c r="S848" s="25">
        <f t="shared" ca="1" si="787"/>
        <v>-14612464.231246419</v>
      </c>
    </row>
    <row r="849" spans="1:19" ht="15.75" customHeight="1" x14ac:dyDescent="0.3">
      <c r="A849" s="37">
        <v>76793</v>
      </c>
      <c r="B849" s="409">
        <f t="shared" ref="B849:C849" si="860">($A849-B$9)/365.25</f>
        <v>128.36960985626283</v>
      </c>
      <c r="C849" s="409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2192</v>
      </c>
      <c r="I849" s="25">
        <f>IF(C849&lt;62,0,'Combined Retirement'!$I$13)</f>
        <v>2420</v>
      </c>
      <c r="J849" s="25">
        <f t="shared" si="783"/>
        <v>7863.2184191855868</v>
      </c>
      <c r="K849" s="25">
        <f t="shared" si="784"/>
        <v>20282.026119384056</v>
      </c>
      <c r="L849" s="25"/>
      <c r="N849" s="25">
        <f>'Combined Retirement'!$C$18/12</f>
        <v>39153.069999999992</v>
      </c>
      <c r="O849" s="25">
        <f t="shared" si="785"/>
        <v>11007.82546143035</v>
      </c>
      <c r="P849" s="25">
        <f t="shared" si="786"/>
        <v>28145.244538569641</v>
      </c>
      <c r="Q849" s="25">
        <f t="array" aca="1" ref="Q849" ca="1">INDEX('Isaac 401k'!L:L,MATCH('Retirement Calculator'!A849,'Isaac 401k'!N:N,0),0)</f>
        <v>-4179990.7912166105</v>
      </c>
      <c r="R849" s="25">
        <f t="array" aca="1" ref="R849" ca="1">INDEX('Lorri 401b'!L:L,MATCH('Retirement Calculator'!A849,'Lorri 401b'!N:N,0),0)</f>
        <v>-10521621.224050816</v>
      </c>
      <c r="S849" s="25">
        <f t="shared" ca="1" si="787"/>
        <v>-14701612.015267426</v>
      </c>
    </row>
    <row r="850" spans="1:19" ht="15.75" customHeight="1" x14ac:dyDescent="0.3">
      <c r="A850" s="37">
        <v>76823</v>
      </c>
      <c r="B850" s="409">
        <f t="shared" ref="B850:C850" si="861">($A850-B$9)/365.25</f>
        <v>128.4517453798768</v>
      </c>
      <c r="C850" s="409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2192</v>
      </c>
      <c r="I850" s="25">
        <f>IF(C850&lt;62,0,'Combined Retirement'!$I$13)</f>
        <v>2420</v>
      </c>
      <c r="J850" s="25">
        <f t="shared" si="783"/>
        <v>7863.2184191855868</v>
      </c>
      <c r="K850" s="25">
        <f t="shared" si="784"/>
        <v>20282.026119384056</v>
      </c>
      <c r="L850" s="25"/>
      <c r="N850" s="25">
        <f>'Combined Retirement'!$C$18/12</f>
        <v>39153.069999999992</v>
      </c>
      <c r="O850" s="25">
        <f t="shared" si="785"/>
        <v>11007.82546143035</v>
      </c>
      <c r="P850" s="25">
        <f t="shared" si="786"/>
        <v>28145.244538569641</v>
      </c>
      <c r="Q850" s="25">
        <f t="array" aca="1" ref="Q850" ca="1">INDEX('Isaac 401k'!L:L,MATCH('Retirement Calculator'!A850,'Isaac 401k'!N:N,0),0)</f>
        <v>-4205303.4013426118</v>
      </c>
      <c r="R850" s="25">
        <f t="array" aca="1" ref="R850" ca="1">INDEX('Lorri 401b'!L:L,MATCH('Retirement Calculator'!A850,'Lorri 401b'!N:N,0),0)</f>
        <v>-10585827.84704591</v>
      </c>
      <c r="S850" s="25">
        <f t="shared" ca="1" si="787"/>
        <v>-14791131.248388521</v>
      </c>
    </row>
    <row r="851" spans="1:19" ht="15.75" customHeight="1" x14ac:dyDescent="0.3">
      <c r="A851" s="37">
        <v>76854</v>
      </c>
      <c r="B851" s="409">
        <f t="shared" ref="B851:C851" si="862">($A851-B$9)/365.25</f>
        <v>128.5366187542779</v>
      </c>
      <c r="C851" s="409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2192</v>
      </c>
      <c r="I851" s="25">
        <f>IF(C851&lt;62,0,'Combined Retirement'!$I$13)</f>
        <v>2420</v>
      </c>
      <c r="J851" s="25">
        <f t="shared" si="783"/>
        <v>7863.2184191855868</v>
      </c>
      <c r="K851" s="25">
        <f t="shared" si="784"/>
        <v>20282.026119384056</v>
      </c>
      <c r="L851" s="25"/>
      <c r="N851" s="25">
        <f>'Combined Retirement'!$C$18/12</f>
        <v>39153.069999999992</v>
      </c>
      <c r="O851" s="25">
        <f t="shared" si="785"/>
        <v>11007.82546143035</v>
      </c>
      <c r="P851" s="25">
        <f t="shared" si="786"/>
        <v>28145.244538569641</v>
      </c>
      <c r="Q851" s="25">
        <f t="array" aca="1" ref="Q851" ca="1">INDEX('Isaac 401k'!L:L,MATCH('Retirement Calculator'!A851,'Isaac 401k'!N:N,0),0)</f>
        <v>-4230721.4806774715</v>
      </c>
      <c r="R851" s="25">
        <f t="array" aca="1" ref="R851" ca="1">INDEX('Lorri 401b'!L:L,MATCH('Retirement Calculator'!A851,'Lorri 401b'!N:N,0),0)</f>
        <v>-10650301.997636817</v>
      </c>
      <c r="S851" s="25">
        <f t="shared" ca="1" si="787"/>
        <v>-14881023.478314288</v>
      </c>
    </row>
    <row r="852" spans="1:19" ht="15.75" customHeight="1" x14ac:dyDescent="0.3">
      <c r="A852" s="37">
        <v>76884</v>
      </c>
      <c r="B852" s="409">
        <f t="shared" ref="B852:C852" si="863">($A852-B$9)/365.25</f>
        <v>128.61875427789187</v>
      </c>
      <c r="C852" s="409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2192</v>
      </c>
      <c r="I852" s="25">
        <f>IF(C852&lt;62,0,'Combined Retirement'!$I$13)</f>
        <v>2420</v>
      </c>
      <c r="J852" s="25">
        <f t="shared" si="783"/>
        <v>7863.2184191855868</v>
      </c>
      <c r="K852" s="25">
        <f t="shared" si="784"/>
        <v>20282.026119384056</v>
      </c>
      <c r="L852" s="25"/>
      <c r="N852" s="25">
        <f>'Combined Retirement'!$C$18/12</f>
        <v>39153.069999999992</v>
      </c>
      <c r="O852" s="25">
        <f t="shared" si="785"/>
        <v>11007.82546143035</v>
      </c>
      <c r="P852" s="25">
        <f t="shared" si="786"/>
        <v>28145.244538569641</v>
      </c>
      <c r="Q852" s="25">
        <f t="array" aca="1" ref="Q852" ca="1">INDEX('Isaac 401k'!L:L,MATCH('Retirement Calculator'!A852,'Isaac 401k'!N:N,0),0)</f>
        <v>-4256245.4686762271</v>
      </c>
      <c r="R852" s="25">
        <f t="array" aca="1" ref="R852" ca="1">INDEX('Lorri 401b'!L:L,MATCH('Retirement Calculator'!A852,'Lorri 401b'!N:N,0),0)</f>
        <v>-10715044.790521853</v>
      </c>
      <c r="S852" s="25">
        <f t="shared" ca="1" si="787"/>
        <v>-14971290.259198081</v>
      </c>
    </row>
    <row r="853" spans="1:19" ht="15.75" customHeight="1" x14ac:dyDescent="0.3">
      <c r="A853" s="37">
        <v>76915</v>
      </c>
      <c r="B853" s="409">
        <f t="shared" ref="B853:C853" si="864">($A853-B$9)/365.25</f>
        <v>128.70362765229294</v>
      </c>
      <c r="C853" s="409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2192</v>
      </c>
      <c r="I853" s="25">
        <f>IF(C853&lt;62,0,'Combined Retirement'!$I$13)</f>
        <v>2420</v>
      </c>
      <c r="J853" s="25">
        <f t="shared" si="783"/>
        <v>7863.2184191855868</v>
      </c>
      <c r="K853" s="25">
        <f t="shared" si="784"/>
        <v>20282.026119384056</v>
      </c>
      <c r="L853" s="25"/>
      <c r="N853" s="25">
        <f>'Combined Retirement'!$C$18/12</f>
        <v>39153.069999999992</v>
      </c>
      <c r="O853" s="25">
        <f t="shared" si="785"/>
        <v>11007.82546143035</v>
      </c>
      <c r="P853" s="25">
        <f t="shared" si="786"/>
        <v>28145.244538569641</v>
      </c>
      <c r="Q853" s="25">
        <f t="array" aca="1" ref="Q853" ca="1">INDEX('Isaac 401k'!L:L,MATCH('Retirement Calculator'!A853,'Isaac 401k'!N:N,0),0)</f>
        <v>-4281875.8066249769</v>
      </c>
      <c r="R853" s="25">
        <f t="array" aca="1" ref="R853" ca="1">INDEX('Lorri 401b'!L:L,MATCH('Retirement Calculator'!A853,'Lorri 401b'!N:N,0),0)</f>
        <v>-10780057.345043909</v>
      </c>
      <c r="S853" s="25">
        <f t="shared" ca="1" si="787"/>
        <v>-15061933.151668886</v>
      </c>
    </row>
    <row r="854" spans="1:19" ht="15.75" customHeight="1" x14ac:dyDescent="0.3">
      <c r="A854" s="37">
        <v>76946</v>
      </c>
      <c r="B854" s="409">
        <f t="shared" ref="B854:C854" si="865">($A854-B$9)/365.25</f>
        <v>128.78850102669404</v>
      </c>
      <c r="C854" s="409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2192</v>
      </c>
      <c r="I854" s="25">
        <f>IF(C854&lt;62,0,'Combined Retirement'!$I$13)</f>
        <v>2420</v>
      </c>
      <c r="J854" s="25">
        <f t="shared" si="783"/>
        <v>7863.2184191855868</v>
      </c>
      <c r="K854" s="25">
        <f t="shared" si="784"/>
        <v>20282.026119384056</v>
      </c>
      <c r="L854" s="25"/>
      <c r="N854" s="25">
        <f>'Combined Retirement'!$C$18/12</f>
        <v>39153.069999999992</v>
      </c>
      <c r="O854" s="25">
        <f t="shared" si="785"/>
        <v>11007.82546143035</v>
      </c>
      <c r="P854" s="25">
        <f t="shared" si="786"/>
        <v>28145.244538569641</v>
      </c>
      <c r="Q854" s="25">
        <f t="array" aca="1" ref="Q854" ca="1">INDEX('Isaac 401k'!L:L,MATCH('Retirement Calculator'!A854,'Isaac 401k'!N:N,0),0)</f>
        <v>-4307612.9376485134</v>
      </c>
      <c r="R854" s="25">
        <f t="array" aca="1" ref="R854" ca="1">INDEX('Lorri 401b'!L:L,MATCH('Retirement Calculator'!A854,'Lorri 401b'!N:N,0),0)</f>
        <v>-10845340.785209807</v>
      </c>
      <c r="S854" s="25">
        <f t="shared" ca="1" si="787"/>
        <v>-15152953.722858321</v>
      </c>
    </row>
    <row r="855" spans="1:19" ht="15.75" customHeight="1" x14ac:dyDescent="0.3">
      <c r="A855" s="37">
        <v>76976</v>
      </c>
      <c r="B855" s="409">
        <f t="shared" ref="B855:C855" si="866">($A855-B$9)/365.25</f>
        <v>128.87063655030801</v>
      </c>
      <c r="C855" s="409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2192</v>
      </c>
      <c r="I855" s="25">
        <f>IF(C855&lt;62,0,'Combined Retirement'!$I$13)</f>
        <v>2420</v>
      </c>
      <c r="J855" s="25">
        <f t="shared" si="783"/>
        <v>7863.2184191855868</v>
      </c>
      <c r="K855" s="25">
        <f t="shared" si="784"/>
        <v>20282.026119384056</v>
      </c>
      <c r="L855" s="25"/>
      <c r="N855" s="25">
        <f>'Combined Retirement'!$C$18/12</f>
        <v>39153.069999999992</v>
      </c>
      <c r="O855" s="25">
        <f t="shared" si="785"/>
        <v>11007.82546143035</v>
      </c>
      <c r="P855" s="25">
        <f t="shared" si="786"/>
        <v>28145.244538569641</v>
      </c>
      <c r="Q855" s="25">
        <f t="array" aca="1" ref="Q855" ca="1">INDEX('Isaac 401k'!L:L,MATCH('Retirement Calculator'!A855,'Isaac 401k'!N:N,0),0)</f>
        <v>-4333457.3067179816</v>
      </c>
      <c r="R855" s="25">
        <f t="array" aca="1" ref="R855" ca="1">INDEX('Lorri 401b'!L:L,MATCH('Retirement Calculator'!A855,'Lorri 401b'!N:N,0),0)</f>
        <v>-10910896.239709729</v>
      </c>
      <c r="S855" s="25">
        <f t="shared" ca="1" si="787"/>
        <v>-15244353.546427712</v>
      </c>
    </row>
    <row r="856" spans="1:19" ht="15.75" customHeight="1" x14ac:dyDescent="0.3">
      <c r="A856" s="37">
        <v>77007</v>
      </c>
      <c r="B856" s="409">
        <f t="shared" ref="B856:C856" si="867">($A856-B$9)/365.25</f>
        <v>128.95550992470911</v>
      </c>
      <c r="C856" s="409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2192</v>
      </c>
      <c r="I856" s="25">
        <f>IF(C856&lt;62,0,'Combined Retirement'!$I$13)</f>
        <v>2420</v>
      </c>
      <c r="J856" s="25">
        <f t="shared" si="783"/>
        <v>7863.2184191855868</v>
      </c>
      <c r="K856" s="25">
        <f t="shared" si="784"/>
        <v>20282.026119384056</v>
      </c>
      <c r="L856" s="25"/>
      <c r="N856" s="25">
        <f>'Combined Retirement'!$C$18/12</f>
        <v>39153.069999999992</v>
      </c>
      <c r="O856" s="25">
        <f t="shared" si="785"/>
        <v>11007.82546143035</v>
      </c>
      <c r="P856" s="25">
        <f t="shared" si="786"/>
        <v>28145.244538569641</v>
      </c>
      <c r="Q856" s="25">
        <f t="array" aca="1" ref="Q856" ca="1">INDEX('Isaac 401k'!L:L,MATCH('Retirement Calculator'!A856,'Isaac 401k'!N:N,0),0)</f>
        <v>-4359409.3606585721</v>
      </c>
      <c r="R856" s="25">
        <f t="array" aca="1" ref="R856" ca="1">INDEX('Lorri 401b'!L:L,MATCH('Retirement Calculator'!A856,'Lorri 401b'!N:N,0),0)</f>
        <v>-10976724.841936735</v>
      </c>
      <c r="S856" s="25">
        <f t="shared" ca="1" si="787"/>
        <v>-15336134.202595308</v>
      </c>
    </row>
    <row r="857" spans="1:19" ht="15.75" customHeight="1" x14ac:dyDescent="0.3">
      <c r="A857" s="37">
        <v>77037</v>
      </c>
      <c r="B857" s="409">
        <f t="shared" ref="B857:C857" si="868">($A857-B$9)/365.25</f>
        <v>129.03764544832308</v>
      </c>
      <c r="C857" s="409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2192</v>
      </c>
      <c r="I857" s="25">
        <f>IF(C857&lt;62,0,'Combined Retirement'!$I$13)</f>
        <v>2420</v>
      </c>
      <c r="J857" s="25">
        <f t="shared" si="783"/>
        <v>7863.2184191855868</v>
      </c>
      <c r="K857" s="25">
        <f t="shared" si="784"/>
        <v>20282.026119384056</v>
      </c>
      <c r="L857" s="25"/>
      <c r="N857" s="25">
        <f>'Combined Retirement'!$C$18/12</f>
        <v>39153.069999999992</v>
      </c>
      <c r="O857" s="25">
        <f t="shared" si="785"/>
        <v>11007.82546143035</v>
      </c>
      <c r="P857" s="25">
        <f t="shared" si="786"/>
        <v>28145.244538569641</v>
      </c>
      <c r="Q857" s="25">
        <f t="array" aca="1" ref="Q857" ca="1">INDEX('Isaac 401k'!L:L,MATCH('Retirement Calculator'!A857,'Isaac 401k'!N:N,0),0)</f>
        <v>-4385469.5481572486</v>
      </c>
      <c r="R857" s="25">
        <f t="array" aca="1" ref="R857" ca="1">INDEX('Lorri 401b'!L:L,MATCH('Retirement Calculator'!A857,'Lorri 401b'!N:N,0),0)</f>
        <v>-11042827.730006354</v>
      </c>
      <c r="S857" s="25">
        <f t="shared" ca="1" si="787"/>
        <v>-15428297.278163603</v>
      </c>
    </row>
    <row r="858" spans="1:19" ht="15.75" customHeight="1" x14ac:dyDescent="0.3">
      <c r="A858" s="37">
        <v>77068</v>
      </c>
      <c r="B858" s="409">
        <f t="shared" ref="B858:C858" si="869">($A858-B$9)/365.25</f>
        <v>129.12251882272417</v>
      </c>
      <c r="C858" s="409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2192</v>
      </c>
      <c r="I858" s="25">
        <f>IF(C858&lt;62,0,'Combined Retirement'!$I$13)</f>
        <v>2420</v>
      </c>
      <c r="J858" s="25">
        <f t="shared" si="783"/>
        <v>7863.2184191855868</v>
      </c>
      <c r="K858" s="25">
        <f t="shared" si="784"/>
        <v>20282.026119384056</v>
      </c>
      <c r="L858" s="25"/>
      <c r="N858" s="25">
        <f>'Combined Retirement'!$C$18/12</f>
        <v>39153.069999999992</v>
      </c>
      <c r="O858" s="25">
        <f t="shared" si="785"/>
        <v>11007.82546143035</v>
      </c>
      <c r="P858" s="25">
        <f t="shared" si="786"/>
        <v>28145.244538569641</v>
      </c>
      <c r="Q858" s="25">
        <f t="array" aca="1" ref="Q858" ca="1">INDEX('Isaac 401k'!L:L,MATCH('Retirement Calculator'!A858,'Isaac 401k'!N:N,0),0)</f>
        <v>-4411638.3197705029</v>
      </c>
      <c r="R858" s="25">
        <f t="array" aca="1" ref="R858" ca="1">INDEX('Lorri 401b'!L:L,MATCH('Retirement Calculator'!A858,'Lorri 401b'!N:N,0),0)</f>
        <v>-11109206.046776263</v>
      </c>
      <c r="S858" s="25">
        <f t="shared" ca="1" si="787"/>
        <v>-15520844.366546765</v>
      </c>
    </row>
    <row r="859" spans="1:19" ht="15.75" customHeight="1" x14ac:dyDescent="0.3">
      <c r="A859" s="37">
        <v>77099</v>
      </c>
      <c r="B859" s="409">
        <f t="shared" ref="B859:C859" si="870">($A859-B$9)/365.25</f>
        <v>129.20739219712524</v>
      </c>
      <c r="C859" s="409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2192</v>
      </c>
      <c r="I859" s="25">
        <f>IF(C859&lt;62,0,'Combined Retirement'!$I$13)</f>
        <v>2420</v>
      </c>
      <c r="J859" s="25">
        <f t="shared" si="783"/>
        <v>7863.2184191855868</v>
      </c>
      <c r="K859" s="25">
        <f t="shared" si="784"/>
        <v>20282.026119384056</v>
      </c>
      <c r="L859" s="25"/>
      <c r="N859" s="25">
        <f>'Combined Retirement'!$C$18/12</f>
        <v>39153.069999999992</v>
      </c>
      <c r="O859" s="25">
        <f t="shared" si="785"/>
        <v>11007.82546143035</v>
      </c>
      <c r="P859" s="25">
        <f t="shared" si="786"/>
        <v>28145.244538569641</v>
      </c>
      <c r="Q859" s="25">
        <f t="array" aca="1" ref="Q859" ca="1">INDEX('Isaac 401k'!L:L,MATCH('Retirement Calculator'!A859,'Isaac 401k'!N:N,0),0)</f>
        <v>-4437916.1279321462</v>
      </c>
      <c r="R859" s="25">
        <f t="array" aca="1" ref="R859" ca="1">INDEX('Lorri 401b'!L:L,MATCH('Retirement Calculator'!A859,'Lorri 401b'!N:N,0),0)</f>
        <v>-11175860.939866047</v>
      </c>
      <c r="S859" s="25">
        <f t="shared" ca="1" si="787"/>
        <v>-15613777.067798194</v>
      </c>
    </row>
    <row r="860" spans="1:19" ht="15.75" customHeight="1" x14ac:dyDescent="0.3">
      <c r="A860" s="37">
        <v>77127</v>
      </c>
      <c r="B860" s="409">
        <f t="shared" ref="B860:C860" si="871">($A860-B$9)/365.25</f>
        <v>129.28405201916496</v>
      </c>
      <c r="C860" s="409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2192</v>
      </c>
      <c r="I860" s="25">
        <f>IF(C860&lt;62,0,'Combined Retirement'!$I$13)</f>
        <v>2420</v>
      </c>
      <c r="J860" s="25">
        <f t="shared" si="783"/>
        <v>7863.2184191855868</v>
      </c>
      <c r="K860" s="25">
        <f t="shared" si="784"/>
        <v>20282.026119384056</v>
      </c>
      <c r="L860" s="25"/>
      <c r="N860" s="25">
        <f>'Combined Retirement'!$C$18/12</f>
        <v>39153.069999999992</v>
      </c>
      <c r="O860" s="25">
        <f t="shared" si="785"/>
        <v>11007.82546143035</v>
      </c>
      <c r="P860" s="25">
        <f t="shared" si="786"/>
        <v>28145.244538569641</v>
      </c>
      <c r="Q860" s="25">
        <f t="array" aca="1" ref="Q860" ca="1">INDEX('Isaac 401k'!L:L,MATCH('Retirement Calculator'!A860,'Isaac 401k'!N:N,0),0)</f>
        <v>-4464303.4269611295</v>
      </c>
      <c r="R860" s="25">
        <f t="array" aca="1" ref="R860" ca="1">INDEX('Lorri 401b'!L:L,MATCH('Retirement Calculator'!A860,'Lorri 401b'!N:N,0),0)</f>
        <v>-11242793.561677039</v>
      </c>
      <c r="S860" s="25">
        <f t="shared" ca="1" si="787"/>
        <v>-15707096.988638168</v>
      </c>
    </row>
    <row r="861" spans="1:19" ht="15.75" customHeight="1" x14ac:dyDescent="0.3">
      <c r="A861" s="37">
        <v>77158</v>
      </c>
      <c r="B861" s="409">
        <f t="shared" ref="B861:C861" si="872">($A861-B$9)/365.25</f>
        <v>129.36892539356606</v>
      </c>
      <c r="C861" s="409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2192</v>
      </c>
      <c r="I861" s="25">
        <f>IF(C861&lt;62,0,'Combined Retirement'!$I$13)</f>
        <v>2420</v>
      </c>
      <c r="J861" s="25">
        <f t="shared" si="783"/>
        <v>7863.2184191855868</v>
      </c>
      <c r="K861" s="25">
        <f t="shared" si="784"/>
        <v>20282.026119384056</v>
      </c>
      <c r="L861" s="25"/>
      <c r="N861" s="25">
        <f>'Combined Retirement'!$C$18/12</f>
        <v>39153.069999999992</v>
      </c>
      <c r="O861" s="25">
        <f t="shared" si="785"/>
        <v>11007.82546143035</v>
      </c>
      <c r="P861" s="25">
        <f t="shared" si="786"/>
        <v>28145.244538569641</v>
      </c>
      <c r="Q861" s="25">
        <f t="array" aca="1" ref="Q861" ca="1">INDEX('Isaac 401k'!L:L,MATCH('Retirement Calculator'!A861,'Isaac 401k'!N:N,0),0)</f>
        <v>-4490800.6730693998</v>
      </c>
      <c r="R861" s="25">
        <f t="array" aca="1" ref="R861" ca="1">INDEX('Lorri 401b'!L:L,MATCH('Retirement Calculator'!A861,'Lorri 401b'!N:N,0),0)</f>
        <v>-11310005.069412243</v>
      </c>
      <c r="S861" s="25">
        <f t="shared" ca="1" si="787"/>
        <v>-15800805.742481641</v>
      </c>
    </row>
    <row r="862" spans="1:19" ht="15.75" customHeight="1" x14ac:dyDescent="0.3">
      <c r="A862" s="37">
        <v>77188</v>
      </c>
      <c r="B862" s="409">
        <f t="shared" ref="B862:C862" si="873">($A862-B$9)/365.25</f>
        <v>129.45106091718</v>
      </c>
      <c r="C862" s="409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2192</v>
      </c>
      <c r="I862" s="25">
        <f>IF(C862&lt;62,0,'Combined Retirement'!$I$13)</f>
        <v>2420</v>
      </c>
      <c r="J862" s="25">
        <f t="shared" si="783"/>
        <v>7863.2184191855868</v>
      </c>
      <c r="K862" s="25">
        <f t="shared" si="784"/>
        <v>20282.026119384056</v>
      </c>
      <c r="L862" s="25"/>
      <c r="N862" s="25">
        <f>'Combined Retirement'!$C$18/12</f>
        <v>39153.069999999992</v>
      </c>
      <c r="O862" s="25">
        <f t="shared" si="785"/>
        <v>11007.82546143035</v>
      </c>
      <c r="P862" s="25">
        <f t="shared" si="786"/>
        <v>28145.244538569641</v>
      </c>
      <c r="Q862" s="25">
        <f t="array" aca="1" ref="Q862" ca="1">INDEX('Isaac 401k'!L:L,MATCH('Retirement Calculator'!A862,'Isaac 401k'!N:N,0),0)</f>
        <v>-4517408.3243697882</v>
      </c>
      <c r="R862" s="25">
        <f t="array" aca="1" ref="R862" ca="1">INDEX('Lorri 401b'!L:L,MATCH('Retirement Calculator'!A862,'Lorri 401b'!N:N,0),0)</f>
        <v>-11377496.625096343</v>
      </c>
      <c r="S862" s="25">
        <f t="shared" ca="1" si="787"/>
        <v>-15894904.949466132</v>
      </c>
    </row>
    <row r="863" spans="1:19" ht="15.75" customHeight="1" x14ac:dyDescent="0.3">
      <c r="A863" s="37">
        <v>77219</v>
      </c>
      <c r="B863" s="409">
        <f t="shared" ref="B863:C863" si="874">($A863-B$9)/365.25</f>
        <v>129.5359342915811</v>
      </c>
      <c r="C863" s="409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2192</v>
      </c>
      <c r="I863" s="25">
        <f>IF(C863&lt;62,0,'Combined Retirement'!$I$13)</f>
        <v>2420</v>
      </c>
      <c r="J863" s="25">
        <f t="shared" si="783"/>
        <v>7863.2184191855868</v>
      </c>
      <c r="K863" s="25">
        <f t="shared" si="784"/>
        <v>20282.026119384056</v>
      </c>
      <c r="L863" s="25"/>
      <c r="N863" s="25">
        <f>'Combined Retirement'!$C$18/12</f>
        <v>39153.069999999992</v>
      </c>
      <c r="O863" s="25">
        <f t="shared" si="785"/>
        <v>11007.82546143035</v>
      </c>
      <c r="P863" s="25">
        <f t="shared" si="786"/>
        <v>28145.244538569641</v>
      </c>
      <c r="Q863" s="25">
        <f t="array" aca="1" ref="Q863" ca="1">INDEX('Isaac 401k'!L:L,MATCH('Retirement Calculator'!A863,'Isaac 401k'!N:N,0),0)</f>
        <v>-4544126.8408839284</v>
      </c>
      <c r="R863" s="25">
        <f t="array" aca="1" ref="R863" ca="1">INDEX('Lorri 401b'!L:L,MATCH('Retirement Calculator'!A863,'Lorri 401b'!N:N,0),0)</f>
        <v>-11445269.395595795</v>
      </c>
      <c r="S863" s="25">
        <f t="shared" ca="1" si="787"/>
        <v>-15989396.236479722</v>
      </c>
    </row>
    <row r="864" spans="1:19" ht="15.75" customHeight="1" x14ac:dyDescent="0.3">
      <c r="A864" s="37">
        <v>77249</v>
      </c>
      <c r="B864" s="409">
        <f t="shared" ref="B864:C864" si="875">($A864-B$9)/365.25</f>
        <v>129.61806981519507</v>
      </c>
      <c r="C864" s="409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2192</v>
      </c>
      <c r="I864" s="25">
        <f>IF(C864&lt;62,0,'Combined Retirement'!$I$13)</f>
        <v>2420</v>
      </c>
      <c r="J864" s="25">
        <f t="shared" si="783"/>
        <v>7863.2184191855868</v>
      </c>
      <c r="K864" s="25">
        <f t="shared" si="784"/>
        <v>20282.026119384056</v>
      </c>
      <c r="L864" s="25"/>
      <c r="N864" s="25">
        <f>'Combined Retirement'!$C$18/12</f>
        <v>39153.069999999992</v>
      </c>
      <c r="O864" s="25">
        <f t="shared" si="785"/>
        <v>11007.82546143035</v>
      </c>
      <c r="P864" s="25">
        <f t="shared" si="786"/>
        <v>28145.244538569641</v>
      </c>
      <c r="Q864" s="25">
        <f t="array" aca="1" ref="Q864" ca="1">INDEX('Isaac 401k'!L:L,MATCH('Retirement Calculator'!A864,'Isaac 401k'!N:N,0),0)</f>
        <v>-4570956.6845502108</v>
      </c>
      <c r="R864" s="25">
        <f t="array" aca="1" ref="R864" ca="1">INDEX('Lorri 401b'!L:L,MATCH('Retirement Calculator'!A864,'Lorri 401b'!N:N,0),0)</f>
        <v>-11513324.552638993</v>
      </c>
      <c r="S864" s="25">
        <f t="shared" ca="1" si="787"/>
        <v>-16084281.237189204</v>
      </c>
    </row>
    <row r="865" spans="1:19" ht="15.75" customHeight="1" x14ac:dyDescent="0.3">
      <c r="A865" s="37">
        <v>77280</v>
      </c>
      <c r="B865" s="409">
        <f t="shared" ref="B865:C865" si="876">($A865-B$9)/365.25</f>
        <v>129.70294318959617</v>
      </c>
      <c r="C865" s="409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2192</v>
      </c>
      <c r="I865" s="25">
        <f>IF(C865&lt;62,0,'Combined Retirement'!$I$13)</f>
        <v>2420</v>
      </c>
      <c r="J865" s="25">
        <f t="shared" si="783"/>
        <v>7863.2184191855868</v>
      </c>
      <c r="K865" s="25">
        <f t="shared" si="784"/>
        <v>20282.026119384056</v>
      </c>
      <c r="L865" s="25"/>
      <c r="N865" s="25">
        <f>'Combined Retirement'!$C$18/12</f>
        <v>39153.069999999992</v>
      </c>
      <c r="O865" s="25">
        <f t="shared" si="785"/>
        <v>11007.82546143035</v>
      </c>
      <c r="P865" s="25">
        <f t="shared" si="786"/>
        <v>28145.244538569641</v>
      </c>
      <c r="Q865" s="25">
        <f t="array" aca="1" ref="Q865" ca="1">INDEX('Isaac 401k'!L:L,MATCH('Retirement Calculator'!A865,'Isaac 401k'!N:N,0),0)</f>
        <v>-4597898.3192317691</v>
      </c>
      <c r="R865" s="25">
        <f t="array" aca="1" ref="R865" ca="1">INDEX('Lorri 401b'!L:L,MATCH('Retirement Calculator'!A865,'Lorri 401b'!N:N,0),0)</f>
        <v>-11581663.272836538</v>
      </c>
      <c r="S865" s="25">
        <f t="shared" ca="1" si="787"/>
        <v>-16179561.592068307</v>
      </c>
    </row>
    <row r="866" spans="1:19" ht="15.75" customHeight="1" x14ac:dyDescent="0.3">
      <c r="A866" s="37">
        <v>77311</v>
      </c>
      <c r="B866" s="409">
        <f t="shared" ref="B866:C866" si="877">($A866-B$9)/365.25</f>
        <v>129.78781656399727</v>
      </c>
      <c r="C866" s="409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2192</v>
      </c>
      <c r="I866" s="25">
        <f>IF(C866&lt;62,0,'Combined Retirement'!$I$13)</f>
        <v>2420</v>
      </c>
      <c r="J866" s="25">
        <f t="shared" si="783"/>
        <v>7863.2184191855868</v>
      </c>
      <c r="K866" s="25">
        <f t="shared" si="784"/>
        <v>20282.026119384056</v>
      </c>
      <c r="L866" s="25"/>
      <c r="N866" s="25">
        <f>'Combined Retirement'!$C$18/12</f>
        <v>39153.069999999992</v>
      </c>
      <c r="O866" s="25">
        <f t="shared" si="785"/>
        <v>11007.82546143035</v>
      </c>
      <c r="P866" s="25">
        <f t="shared" si="786"/>
        <v>28145.244538569641</v>
      </c>
      <c r="Q866" s="25">
        <f t="array" aca="1" ref="Q866" ca="1">INDEX('Isaac 401k'!L:L,MATCH('Retirement Calculator'!A866,'Isaac 401k'!N:N,0),0)</f>
        <v>-4624952.2107245009</v>
      </c>
      <c r="R866" s="25">
        <f t="array" aca="1" ref="R866" ca="1">INDEX('Lorri 401b'!L:L,MATCH('Retirement Calculator'!A866,'Lorri 401b'!N:N,0),0)</f>
        <v>-11650286.737701572</v>
      </c>
      <c r="S866" s="25">
        <f t="shared" ca="1" si="787"/>
        <v>-16275238.948426073</v>
      </c>
    </row>
    <row r="867" spans="1:19" ht="15.75" customHeight="1" x14ac:dyDescent="0.3">
      <c r="A867" s="37">
        <v>77341</v>
      </c>
      <c r="B867" s="409">
        <f t="shared" ref="B867:C867" si="878">($A867-B$9)/365.25</f>
        <v>129.86995208761124</v>
      </c>
      <c r="C867" s="409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2192</v>
      </c>
      <c r="I867" s="25">
        <f>IF(C867&lt;62,0,'Combined Retirement'!$I$13)</f>
        <v>2420</v>
      </c>
      <c r="J867" s="25">
        <f t="shared" si="783"/>
        <v>7863.2184191855868</v>
      </c>
      <c r="K867" s="25">
        <f t="shared" si="784"/>
        <v>20282.026119384056</v>
      </c>
      <c r="L867" s="25"/>
      <c r="N867" s="25">
        <f>'Combined Retirement'!$C$18/12</f>
        <v>39153.069999999992</v>
      </c>
      <c r="O867" s="25">
        <f t="shared" si="785"/>
        <v>11007.82546143035</v>
      </c>
      <c r="P867" s="25">
        <f t="shared" si="786"/>
        <v>28145.244538569641</v>
      </c>
      <c r="Q867" s="25">
        <f t="array" aca="1" ref="Q867" ca="1">INDEX('Isaac 401k'!L:L,MATCH('Retirement Calculator'!A867,'Isaac 401k'!N:N,0),0)</f>
        <v>-4652118.8267651191</v>
      </c>
      <c r="R867" s="25">
        <f t="array" aca="1" ref="R867" ca="1">INDEX('Lorri 401b'!L:L,MATCH('Retirement Calculator'!A867,'Lorri 401b'!N:N,0),0)</f>
        <v>-11719196.133670211</v>
      </c>
      <c r="S867" s="25">
        <f t="shared" ca="1" si="787"/>
        <v>-16371314.960435331</v>
      </c>
    </row>
    <row r="868" spans="1:19" ht="15.75" customHeight="1" x14ac:dyDescent="0.3">
      <c r="A868" s="37">
        <v>77372</v>
      </c>
      <c r="B868" s="409">
        <f t="shared" ref="B868:C868" si="879">($A868-B$9)/365.25</f>
        <v>129.95482546201231</v>
      </c>
      <c r="C868" s="409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2192</v>
      </c>
      <c r="I868" s="25">
        <f>IF(C868&lt;62,0,'Combined Retirement'!$I$13)</f>
        <v>2420</v>
      </c>
      <c r="J868" s="25">
        <f t="shared" si="783"/>
        <v>7863.2184191855868</v>
      </c>
      <c r="K868" s="25">
        <f t="shared" si="784"/>
        <v>20282.026119384056</v>
      </c>
      <c r="L868" s="25"/>
      <c r="N868" s="25">
        <f>'Combined Retirement'!$C$18/12</f>
        <v>39153.069999999992</v>
      </c>
      <c r="O868" s="25">
        <f t="shared" si="785"/>
        <v>11007.82546143035</v>
      </c>
      <c r="P868" s="25">
        <f t="shared" si="786"/>
        <v>28145.244538569641</v>
      </c>
      <c r="Q868" s="25">
        <f t="array" aca="1" ref="Q868" ca="1">INDEX('Isaac 401k'!L:L,MATCH('Retirement Calculator'!A868,'Isaac 401k'!N:N,0),0)</f>
        <v>-4679398.6370392395</v>
      </c>
      <c r="R868" s="25">
        <f t="array" aca="1" ref="R868" ca="1">INDEX('Lorri 401b'!L:L,MATCH('Retirement Calculator'!A868,'Lorri 401b'!N:N,0),0)</f>
        <v>-11788392.652122052</v>
      </c>
      <c r="S868" s="25">
        <f t="shared" ca="1" si="787"/>
        <v>-16467791.289161291</v>
      </c>
    </row>
    <row r="869" spans="1:19" ht="15.75" customHeight="1" x14ac:dyDescent="0.3">
      <c r="A869" s="37">
        <v>77402</v>
      </c>
      <c r="B869" s="409">
        <f t="shared" ref="B869:C869" si="880">($A869-B$9)/365.25</f>
        <v>130.03696098562628</v>
      </c>
      <c r="C869" s="409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2192</v>
      </c>
      <c r="I869" s="25">
        <f>IF(C869&lt;62,0,'Combined Retirement'!$I$13)</f>
        <v>2420</v>
      </c>
      <c r="J869" s="25">
        <f t="shared" si="783"/>
        <v>7863.2184191855868</v>
      </c>
      <c r="K869" s="25">
        <f t="shared" si="784"/>
        <v>20282.026119384056</v>
      </c>
      <c r="L869" s="25"/>
      <c r="N869" s="25">
        <f>'Combined Retirement'!$C$18/12</f>
        <v>39153.069999999992</v>
      </c>
      <c r="O869" s="25">
        <f t="shared" si="785"/>
        <v>11007.82546143035</v>
      </c>
      <c r="P869" s="25">
        <f t="shared" si="786"/>
        <v>28145.244538569641</v>
      </c>
      <c r="Q869" s="25">
        <f t="array" aca="1" ref="Q869" ca="1">INDEX('Isaac 401k'!L:L,MATCH('Retirement Calculator'!A869,'Isaac 401k'!N:N,0),0)</f>
        <v>-4706792.1131895017</v>
      </c>
      <c r="R869" s="25">
        <f t="array" aca="1" ref="R869" ca="1">INDEX('Lorri 401b'!L:L,MATCH('Retirement Calculator'!A869,'Lorri 401b'!N:N,0),0)</f>
        <v>-11857877.489400776</v>
      </c>
      <c r="S869" s="25">
        <f t="shared" ca="1" si="787"/>
        <v>-16564669.602590278</v>
      </c>
    </row>
    <row r="870" spans="1:19" ht="15.75" customHeight="1" x14ac:dyDescent="0.3">
      <c r="A870" s="37">
        <v>77433</v>
      </c>
      <c r="B870" s="409">
        <f t="shared" ref="B870:C870" si="881">($A870-B$9)/365.25</f>
        <v>130.12183436002738</v>
      </c>
      <c r="C870" s="409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2192</v>
      </c>
      <c r="I870" s="25">
        <f>IF(C870&lt;62,0,'Combined Retirement'!$I$13)</f>
        <v>2420</v>
      </c>
      <c r="J870" s="25">
        <f t="shared" si="783"/>
        <v>7863.2184191855868</v>
      </c>
      <c r="K870" s="25">
        <f t="shared" si="784"/>
        <v>20282.026119384056</v>
      </c>
      <c r="L870" s="25"/>
      <c r="N870" s="25">
        <f>'Combined Retirement'!$C$18/12</f>
        <v>39153.069999999992</v>
      </c>
      <c r="O870" s="25">
        <f t="shared" si="785"/>
        <v>11007.82546143035</v>
      </c>
      <c r="P870" s="25">
        <f t="shared" si="786"/>
        <v>28145.244538569641</v>
      </c>
      <c r="Q870" s="25">
        <f t="array" aca="1" ref="Q870" ca="1">INDEX('Isaac 401k'!L:L,MATCH('Retirement Calculator'!A870,'Isaac 401k'!N:N,0),0)</f>
        <v>-4734299.7288237233</v>
      </c>
      <c r="R870" s="25">
        <f t="array" aca="1" ref="R870" ca="1">INDEX('Lorri 401b'!L:L,MATCH('Retirement Calculator'!A870,'Lorri 401b'!N:N,0),0)</f>
        <v>-11927651.846834829</v>
      </c>
      <c r="S870" s="25">
        <f t="shared" ca="1" si="787"/>
        <v>-16661951.575658552</v>
      </c>
    </row>
    <row r="871" spans="1:19" ht="15.75" customHeight="1" x14ac:dyDescent="0.3">
      <c r="A871" s="37">
        <v>77464</v>
      </c>
      <c r="B871" s="409">
        <f t="shared" ref="B871:C871" si="882">($A871-B$9)/365.25</f>
        <v>130.20670773442848</v>
      </c>
      <c r="C871" s="409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2192</v>
      </c>
      <c r="I871" s="25">
        <f>IF(C871&lt;62,0,'Combined Retirement'!$I$13)</f>
        <v>2420</v>
      </c>
      <c r="J871" s="25">
        <f t="shared" si="783"/>
        <v>7863.2184191855868</v>
      </c>
      <c r="K871" s="25">
        <f t="shared" si="784"/>
        <v>20282.026119384056</v>
      </c>
      <c r="L871" s="25"/>
      <c r="N871" s="25">
        <f>'Combined Retirement'!$C$18/12</f>
        <v>39153.069999999992</v>
      </c>
      <c r="O871" s="25">
        <f t="shared" si="785"/>
        <v>11007.82546143035</v>
      </c>
      <c r="P871" s="25">
        <f t="shared" si="786"/>
        <v>28145.244538569641</v>
      </c>
      <c r="Q871" s="25">
        <f t="array" aca="1" ref="Q871" ca="1">INDEX('Isaac 401k'!L:L,MATCH('Retirement Calculator'!A871,'Isaac 401k'!N:N,0),0)</f>
        <v>-4761921.9595230883</v>
      </c>
      <c r="R871" s="25">
        <f t="array" aca="1" ref="R871" ca="1">INDEX('Lorri 401b'!L:L,MATCH('Retirement Calculator'!A871,'Lorri 401b'!N:N,0),0)</f>
        <v>-11997716.930758189</v>
      </c>
      <c r="S871" s="25">
        <f t="shared" ca="1" si="787"/>
        <v>-16759638.890281279</v>
      </c>
    </row>
    <row r="872" spans="1:19" ht="15.75" customHeight="1" x14ac:dyDescent="0.3">
      <c r="A872" s="37">
        <v>77493</v>
      </c>
      <c r="B872" s="409">
        <f t="shared" ref="B872:C872" si="883">($A872-B$9)/365.25</f>
        <v>130.28610540725529</v>
      </c>
      <c r="C872" s="409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2192</v>
      </c>
      <c r="I872" s="25">
        <f>IF(C872&lt;62,0,'Combined Retirement'!$I$13)</f>
        <v>2420</v>
      </c>
      <c r="J872" s="25">
        <f t="shared" si="783"/>
        <v>7863.2184191855868</v>
      </c>
      <c r="K872" s="25">
        <f t="shared" si="784"/>
        <v>20282.026119384056</v>
      </c>
      <c r="L872" s="25"/>
      <c r="N872" s="25">
        <f>'Combined Retirement'!$C$18/12</f>
        <v>39153.069999999992</v>
      </c>
      <c r="O872" s="25">
        <f t="shared" si="785"/>
        <v>11007.82546143035</v>
      </c>
      <c r="P872" s="25">
        <f t="shared" si="786"/>
        <v>28145.244538569641</v>
      </c>
      <c r="Q872" s="25">
        <f t="array" aca="1" ref="Q872" ca="1">INDEX('Isaac 401k'!L:L,MATCH('Retirement Calculator'!A872,'Isaac 401k'!N:N,0),0)</f>
        <v>-4789659.282850367</v>
      </c>
      <c r="R872" s="25">
        <f t="array" aca="1" ref="R872" ca="1">INDEX('Lorri 401b'!L:L,MATCH('Retirement Calculator'!A872,'Lorri 401b'!N:N,0),0)</f>
        <v>-12068073.952531232</v>
      </c>
      <c r="S872" s="25">
        <f t="shared" ca="1" si="787"/>
        <v>-16857733.2353816</v>
      </c>
    </row>
    <row r="873" spans="1:19" ht="15.75" customHeight="1" x14ac:dyDescent="0.3">
      <c r="A873" s="37">
        <v>77524</v>
      </c>
      <c r="B873" s="409">
        <f t="shared" ref="B873:C873" si="884">($A873-B$9)/365.25</f>
        <v>130.37097878165639</v>
      </c>
      <c r="C873" s="409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2192</v>
      </c>
      <c r="I873" s="25">
        <f>IF(C873&lt;62,0,'Combined Retirement'!$I$13)</f>
        <v>2420</v>
      </c>
      <c r="J873" s="25">
        <f t="shared" si="783"/>
        <v>7863.2184191855868</v>
      </c>
      <c r="K873" s="25">
        <f t="shared" si="784"/>
        <v>20282.026119384056</v>
      </c>
      <c r="L873" s="25"/>
      <c r="N873" s="25">
        <f>'Combined Retirement'!$C$18/12</f>
        <v>39153.069999999992</v>
      </c>
      <c r="O873" s="25">
        <f t="shared" si="785"/>
        <v>11007.82546143035</v>
      </c>
      <c r="P873" s="25">
        <f t="shared" si="786"/>
        <v>28145.244538569641</v>
      </c>
      <c r="Q873" s="25">
        <f t="array" aca="1" ref="Q873" ca="1">INDEX('Isaac 401k'!L:L,MATCH('Retirement Calculator'!A873,'Isaac 401k'!N:N,0),0)</f>
        <v>-4817512.1783581758</v>
      </c>
      <c r="R873" s="25">
        <f t="array" aca="1" ref="R873" ca="1">INDEX('Lorri 401b'!L:L,MATCH('Retirement Calculator'!A873,'Lorri 401b'!N:N,0),0)</f>
        <v>-12138724.128561661</v>
      </c>
      <c r="S873" s="25">
        <f t="shared" ca="1" si="787"/>
        <v>-16956236.306919836</v>
      </c>
    </row>
    <row r="874" spans="1:19" ht="15.75" customHeight="1" x14ac:dyDescent="0.3">
      <c r="A874" s="37">
        <v>77554</v>
      </c>
      <c r="B874" s="409">
        <f t="shared" ref="B874:C874" si="885">($A874-B$9)/365.25</f>
        <v>130.45311430527036</v>
      </c>
      <c r="C874" s="409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2192</v>
      </c>
      <c r="I874" s="25">
        <f>IF(C874&lt;62,0,'Combined Retirement'!$I$13)</f>
        <v>2420</v>
      </c>
      <c r="J874" s="25">
        <f t="shared" si="783"/>
        <v>7863.2184191855868</v>
      </c>
      <c r="K874" s="25">
        <f t="shared" si="784"/>
        <v>20282.026119384056</v>
      </c>
      <c r="L874" s="25"/>
      <c r="N874" s="25">
        <f>'Combined Retirement'!$C$18/12</f>
        <v>39153.069999999992</v>
      </c>
      <c r="O874" s="25">
        <f t="shared" si="785"/>
        <v>11007.82546143035</v>
      </c>
      <c r="P874" s="25">
        <f t="shared" si="786"/>
        <v>28145.244538569641</v>
      </c>
      <c r="Q874" s="25">
        <f t="array" aca="1" ref="Q874" ca="1">INDEX('Isaac 401k'!L:L,MATCH('Retirement Calculator'!A874,'Isaac 401k'!N:N,0),0)</f>
        <v>-4845481.1275972677</v>
      </c>
      <c r="R874" s="25">
        <f t="array" aca="1" ref="R874" ca="1">INDEX('Lorri 401b'!L:L,MATCH('Retirement Calculator'!A874,'Lorri 401b'!N:N,0),0)</f>
        <v>-12209668.680325549</v>
      </c>
      <c r="S874" s="25">
        <f t="shared" ca="1" si="787"/>
        <v>-17055149.807922818</v>
      </c>
    </row>
    <row r="875" spans="1:19" ht="15.75" customHeight="1" x14ac:dyDescent="0.3">
      <c r="A875" s="37">
        <v>77585</v>
      </c>
      <c r="B875" s="409">
        <f t="shared" ref="B875:C875" si="886">($A875-B$9)/365.25</f>
        <v>130.53798767967146</v>
      </c>
      <c r="C875" s="409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2192</v>
      </c>
      <c r="I875" s="25">
        <f>IF(C875&lt;62,0,'Combined Retirement'!$I$13)</f>
        <v>2420</v>
      </c>
      <c r="J875" s="25">
        <f t="shared" si="783"/>
        <v>7863.2184191855868</v>
      </c>
      <c r="K875" s="25">
        <f t="shared" si="784"/>
        <v>20282.026119384056</v>
      </c>
      <c r="L875" s="25"/>
      <c r="N875" s="25">
        <f>'Combined Retirement'!$C$18/12</f>
        <v>39153.069999999992</v>
      </c>
      <c r="O875" s="25">
        <f t="shared" si="785"/>
        <v>11007.82546143035</v>
      </c>
      <c r="P875" s="25">
        <f t="shared" si="786"/>
        <v>28145.244538569641</v>
      </c>
      <c r="Q875" s="25">
        <f t="array" aca="1" ref="Q875" ca="1">INDEX('Isaac 401k'!L:L,MATCH('Retirement Calculator'!A875,'Isaac 401k'!N:N,0),0)</f>
        <v>-4873566.614124855</v>
      </c>
      <c r="R875" s="25">
        <f t="array" aca="1" ref="R875" ca="1">INDEX('Lorri 401b'!L:L,MATCH('Retirement Calculator'!A875,'Lorri 401b'!N:N,0),0)</f>
        <v>-12280908.834388455</v>
      </c>
      <c r="S875" s="25">
        <f t="shared" ca="1" si="787"/>
        <v>-17154475.44851331</v>
      </c>
    </row>
    <row r="876" spans="1:19" ht="15.75" customHeight="1" x14ac:dyDescent="0.3">
      <c r="A876" s="37">
        <v>77615</v>
      </c>
      <c r="B876" s="409">
        <f t="shared" ref="B876:C876" si="887">($A876-B$9)/365.25</f>
        <v>130.62012320328543</v>
      </c>
      <c r="C876" s="409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2192</v>
      </c>
      <c r="I876" s="25">
        <f>IF(C876&lt;62,0,'Combined Retirement'!$I$13)</f>
        <v>2420</v>
      </c>
      <c r="J876" s="25">
        <f t="shared" si="783"/>
        <v>7863.2184191855868</v>
      </c>
      <c r="K876" s="25">
        <f t="shared" si="784"/>
        <v>20282.026119384056</v>
      </c>
      <c r="L876" s="25"/>
      <c r="N876" s="25">
        <f>'Combined Retirement'!$C$18/12</f>
        <v>39153.069999999992</v>
      </c>
      <c r="O876" s="25">
        <f t="shared" si="785"/>
        <v>11007.82546143035</v>
      </c>
      <c r="P876" s="25">
        <f t="shared" si="786"/>
        <v>28145.244538569641</v>
      </c>
      <c r="Q876" s="25">
        <f t="array" aca="1" ref="Q876" ca="1">INDEX('Isaac 401k'!L:L,MATCH('Retirement Calculator'!A876,'Isaac 401k'!N:N,0),0)</f>
        <v>-4901769.123512974</v>
      </c>
      <c r="R876" s="25">
        <f t="array" aca="1" ref="R876" ca="1">INDEX('Lorri 401b'!L:L,MATCH('Retirement Calculator'!A876,'Lorri 401b'!N:N,0),0)</f>
        <v>-12352445.822426623</v>
      </c>
      <c r="S876" s="25">
        <f t="shared" ca="1" si="787"/>
        <v>-17254214.945939597</v>
      </c>
    </row>
    <row r="877" spans="1:19" ht="15.75" customHeight="1" x14ac:dyDescent="0.3">
      <c r="A877" s="37">
        <v>77646</v>
      </c>
      <c r="B877" s="409">
        <f t="shared" ref="B877:C877" si="888">($A877-B$9)/365.25</f>
        <v>130.70499657768653</v>
      </c>
      <c r="C877" s="409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2192</v>
      </c>
      <c r="I877" s="25">
        <f>IF(C877&lt;62,0,'Combined Retirement'!$I$13)</f>
        <v>2420</v>
      </c>
      <c r="J877" s="25">
        <f t="shared" si="783"/>
        <v>7863.2184191855868</v>
      </c>
      <c r="K877" s="25">
        <f t="shared" si="784"/>
        <v>20282.026119384056</v>
      </c>
      <c r="L877" s="25"/>
      <c r="N877" s="25">
        <f>'Combined Retirement'!$C$18/12</f>
        <v>39153.069999999992</v>
      </c>
      <c r="O877" s="25">
        <f t="shared" si="785"/>
        <v>11007.82546143035</v>
      </c>
      <c r="P877" s="25">
        <f t="shared" si="786"/>
        <v>28145.244538569641</v>
      </c>
      <c r="Q877" s="25">
        <f t="array" aca="1" ref="Q877" ca="1">INDEX('Isaac 401k'!L:L,MATCH('Retirement Calculator'!A877,'Isaac 401k'!N:N,0),0)</f>
        <v>-4930089.1433568774</v>
      </c>
      <c r="R877" s="25">
        <f t="array" aca="1" ref="R877" ca="1">INDEX('Lorri 401b'!L:L,MATCH('Retirement Calculator'!A877,'Lorri 401b'!N:N,0),0)</f>
        <v>-12424280.881248282</v>
      </c>
      <c r="S877" s="25">
        <f t="shared" ca="1" si="787"/>
        <v>-17354370.024605159</v>
      </c>
    </row>
    <row r="878" spans="1:19" ht="15.75" customHeight="1" x14ac:dyDescent="0.3">
      <c r="A878" s="37">
        <v>77677</v>
      </c>
      <c r="B878" s="409">
        <f t="shared" ref="B878:C878" si="889">($A878-B$9)/365.25</f>
        <v>130.7898699520876</v>
      </c>
      <c r="C878" s="409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2192</v>
      </c>
      <c r="I878" s="25">
        <f>IF(C878&lt;62,0,'Combined Retirement'!$I$13)</f>
        <v>2420</v>
      </c>
      <c r="J878" s="25">
        <f t="shared" si="783"/>
        <v>7863.2184191855868</v>
      </c>
      <c r="K878" s="25">
        <f t="shared" si="784"/>
        <v>20282.026119384056</v>
      </c>
      <c r="L878" s="25"/>
      <c r="N878" s="25">
        <f>'Combined Retirement'!$C$18/12</f>
        <v>39153.069999999992</v>
      </c>
      <c r="O878" s="25">
        <f t="shared" si="785"/>
        <v>11007.82546143035</v>
      </c>
      <c r="P878" s="25">
        <f t="shared" si="786"/>
        <v>28145.244538569641</v>
      </c>
      <c r="Q878" s="25">
        <f t="array" aca="1" ref="Q878" ca="1">INDEX('Isaac 401k'!L:L,MATCH('Retirement Calculator'!A878,'Isaac 401k'!N:N,0),0)</f>
        <v>-4958527.1632834636</v>
      </c>
      <c r="R878" s="25">
        <f t="array" aca="1" ref="R878" ca="1">INDEX('Lorri 401b'!L:L,MATCH('Retirement Calculator'!A878,'Lorri 401b'!N:N,0),0)</f>
        <v>-12496415.252815032</v>
      </c>
      <c r="S878" s="25">
        <f t="shared" ca="1" si="787"/>
        <v>-17454942.416098498</v>
      </c>
    </row>
    <row r="879" spans="1:19" ht="15.75" customHeight="1" x14ac:dyDescent="0.3">
      <c r="A879" s="37">
        <v>77707</v>
      </c>
      <c r="B879" s="409">
        <f t="shared" ref="B879:C879" si="890">($A879-B$9)/365.25</f>
        <v>130.87200547570157</v>
      </c>
      <c r="C879" s="409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2192</v>
      </c>
      <c r="I879" s="25">
        <f>IF(C879&lt;62,0,'Combined Retirement'!$I$13)</f>
        <v>2420</v>
      </c>
      <c r="J879" s="25">
        <f t="shared" si="783"/>
        <v>7863.2184191855868</v>
      </c>
      <c r="K879" s="25">
        <f t="shared" si="784"/>
        <v>20282.026119384056</v>
      </c>
      <c r="L879" s="25"/>
      <c r="N879" s="25">
        <f>'Combined Retirement'!$C$18/12</f>
        <v>39153.069999999992</v>
      </c>
      <c r="O879" s="25">
        <f t="shared" si="785"/>
        <v>11007.82546143035</v>
      </c>
      <c r="P879" s="25">
        <f t="shared" si="786"/>
        <v>28145.244538569641</v>
      </c>
      <c r="Q879" s="25">
        <f t="array" aca="1" ref="Q879" ca="1">INDEX('Isaac 401k'!L:L,MATCH('Retirement Calculator'!A879,'Isaac 401k'!N:N,0),0)</f>
        <v>-4987083.6749597434</v>
      </c>
      <c r="R879" s="25">
        <f t="array" aca="1" ref="R879" ca="1">INDEX('Lorri 401b'!L:L,MATCH('Retirement Calculator'!A879,'Lorri 401b'!N:N,0),0)</f>
        <v>-12568850.184263311</v>
      </c>
      <c r="S879" s="25">
        <f t="shared" ca="1" si="787"/>
        <v>-17555933.859223053</v>
      </c>
    </row>
    <row r="880" spans="1:19" ht="15.75" customHeight="1" x14ac:dyDescent="0.3">
      <c r="A880" s="37">
        <v>77738</v>
      </c>
      <c r="B880" s="409">
        <f t="shared" ref="B880:C880" si="891">($A880-B$9)/365.25</f>
        <v>130.95687885010267</v>
      </c>
      <c r="C880" s="409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2192</v>
      </c>
      <c r="I880" s="25">
        <f>IF(C880&lt;62,0,'Combined Retirement'!$I$13)</f>
        <v>2420</v>
      </c>
      <c r="J880" s="25">
        <f t="shared" si="783"/>
        <v>7863.2184191855868</v>
      </c>
      <c r="K880" s="25">
        <f t="shared" si="784"/>
        <v>20282.026119384056</v>
      </c>
      <c r="L880" s="25"/>
      <c r="N880" s="25">
        <f>'Combined Retirement'!$C$18/12</f>
        <v>39153.069999999992</v>
      </c>
      <c r="O880" s="25">
        <f t="shared" si="785"/>
        <v>11007.82546143035</v>
      </c>
      <c r="P880" s="25">
        <f t="shared" si="786"/>
        <v>28145.244538569641</v>
      </c>
      <c r="Q880" s="25">
        <f t="array" aca="1" ref="Q880" ca="1">INDEX('Isaac 401k'!L:L,MATCH('Retirement Calculator'!A880,'Isaac 401k'!N:N,0),0)</f>
        <v>-5015759.1721013412</v>
      </c>
      <c r="R880" s="25">
        <f t="array" aca="1" ref="R880" ca="1">INDEX('Lorri 401b'!L:L,MATCH('Retirement Calculator'!A880,'Lorri 401b'!N:N,0),0)</f>
        <v>-12641586.927925957</v>
      </c>
      <c r="S880" s="25">
        <f t="shared" ca="1" si="787"/>
        <v>-17657346.1000273</v>
      </c>
    </row>
    <row r="881" spans="1:19" ht="15.75" customHeight="1" x14ac:dyDescent="0.3">
      <c r="A881" s="37">
        <v>77768</v>
      </c>
      <c r="B881" s="409">
        <f t="shared" ref="B881:C881" si="892">($A881-B$9)/365.25</f>
        <v>131.03901437371664</v>
      </c>
      <c r="C881" s="409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2192</v>
      </c>
      <c r="I881" s="25">
        <f>IF(C881&lt;62,0,'Combined Retirement'!$I$13)</f>
        <v>2420</v>
      </c>
      <c r="J881" s="25">
        <f t="shared" si="783"/>
        <v>7863.2184191855868</v>
      </c>
      <c r="K881" s="25">
        <f t="shared" si="784"/>
        <v>20282.026119384056</v>
      </c>
      <c r="L881" s="25"/>
      <c r="N881" s="25">
        <f>'Combined Retirement'!$C$18/12</f>
        <v>39153.069999999992</v>
      </c>
      <c r="O881" s="25">
        <f t="shared" si="785"/>
        <v>11007.82546143035</v>
      </c>
      <c r="P881" s="25">
        <f t="shared" si="786"/>
        <v>28145.244538569641</v>
      </c>
      <c r="Q881" s="25">
        <f t="array" aca="1" ref="Q881" ca="1">INDEX('Isaac 401k'!L:L,MATCH('Retirement Calculator'!A881,'Isaac 401k'!N:N,0),0)</f>
        <v>-5044554.1504810294</v>
      </c>
      <c r="R881" s="25">
        <f t="array" aca="1" ref="R881" ca="1">INDEX('Lorri 401b'!L:L,MATCH('Retirement Calculator'!A881,'Lorri 401b'!N:N,0),0)</f>
        <v>-12714626.741353864</v>
      </c>
      <c r="S881" s="25">
        <f t="shared" ca="1" si="787"/>
        <v>-17759180.891834892</v>
      </c>
    </row>
    <row r="882" spans="1:19" ht="15.75" customHeight="1" x14ac:dyDescent="0.3">
      <c r="A882" s="37">
        <v>77799</v>
      </c>
      <c r="B882" s="409">
        <f t="shared" ref="B882:C882" si="893">($A882-B$9)/365.25</f>
        <v>131.12388774811774</v>
      </c>
      <c r="C882" s="409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2192</v>
      </c>
      <c r="I882" s="25">
        <f>IF(C882&lt;62,0,'Combined Retirement'!$I$13)</f>
        <v>2420</v>
      </c>
      <c r="J882" s="25">
        <f t="shared" si="783"/>
        <v>7863.2184191855868</v>
      </c>
      <c r="K882" s="25">
        <f t="shared" si="784"/>
        <v>20282.026119384056</v>
      </c>
      <c r="L882" s="25"/>
      <c r="N882" s="25">
        <f>'Combined Retirement'!$C$18/12</f>
        <v>39153.069999999992</v>
      </c>
      <c r="O882" s="25">
        <f t="shared" si="785"/>
        <v>11007.82546143035</v>
      </c>
      <c r="P882" s="25">
        <f t="shared" si="786"/>
        <v>28145.244538569641</v>
      </c>
      <c r="Q882" s="25">
        <f t="array" aca="1" ref="Q882" ca="1">INDEX('Isaac 401k'!L:L,MATCH('Retirement Calculator'!A882,'Isaac 401k'!N:N,0),0)</f>
        <v>-5073469.1079372996</v>
      </c>
      <c r="R882" s="25">
        <f t="array" aca="1" ref="R882" ca="1">INDEX('Lorri 401b'!L:L,MATCH('Retirement Calculator'!A882,'Lorri 401b'!N:N,0),0)</f>
        <v>-12787970.88733772</v>
      </c>
      <c r="S882" s="25">
        <f t="shared" ca="1" si="787"/>
        <v>-17861439.995275021</v>
      </c>
    </row>
    <row r="883" spans="1:19" ht="15.75" customHeight="1" x14ac:dyDescent="0.3">
      <c r="A883" s="37">
        <v>77830</v>
      </c>
      <c r="B883" s="409">
        <f t="shared" ref="B883:C883" si="894">($A883-B$9)/365.25</f>
        <v>131.20876112251884</v>
      </c>
      <c r="C883" s="409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2192</v>
      </c>
      <c r="I883" s="25">
        <f>IF(C883&lt;62,0,'Combined Retirement'!$I$13)</f>
        <v>2420</v>
      </c>
      <c r="J883" s="25">
        <f t="shared" si="783"/>
        <v>7863.2184191855868</v>
      </c>
      <c r="K883" s="25">
        <f t="shared" si="784"/>
        <v>20282.026119384056</v>
      </c>
      <c r="L883" s="25"/>
      <c r="N883" s="25">
        <f>'Combined Retirement'!$C$18/12</f>
        <v>39153.069999999992</v>
      </c>
      <c r="O883" s="25">
        <f t="shared" si="785"/>
        <v>11007.82546143035</v>
      </c>
      <c r="P883" s="25">
        <f t="shared" si="786"/>
        <v>28145.244538569641</v>
      </c>
      <c r="Q883" s="25">
        <f t="array" aca="1" ref="Q883" ca="1">INDEX('Isaac 401k'!L:L,MATCH('Retirement Calculator'!A883,'Isaac 401k'!N:N,0),0)</f>
        <v>-5102504.5443829708</v>
      </c>
      <c r="R883" s="25">
        <f t="array" aca="1" ref="R883" ca="1">INDEX('Lorri 401b'!L:L,MATCH('Retirement Calculator'!A883,'Lorri 401b'!N:N,0),0)</f>
        <v>-12861620.633929843</v>
      </c>
      <c r="S883" s="25">
        <f t="shared" ca="1" si="787"/>
        <v>-17964125.178312816</v>
      </c>
    </row>
    <row r="884" spans="1:19" ht="15.75" customHeight="1" x14ac:dyDescent="0.3">
      <c r="A884" s="37">
        <v>77858</v>
      </c>
      <c r="B884" s="409">
        <f t="shared" ref="B884:C884" si="895">($A884-B$9)/365.25</f>
        <v>131.28542094455852</v>
      </c>
      <c r="C884" s="409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2192</v>
      </c>
      <c r="I884" s="25">
        <f>IF(C884&lt;62,0,'Combined Retirement'!$I$13)</f>
        <v>2420</v>
      </c>
      <c r="J884" s="25">
        <f t="shared" si="783"/>
        <v>7863.2184191855868</v>
      </c>
      <c r="K884" s="25">
        <f t="shared" si="784"/>
        <v>20282.026119384056</v>
      </c>
      <c r="L884" s="25"/>
      <c r="N884" s="25">
        <f>'Combined Retirement'!$C$18/12</f>
        <v>39153.069999999992</v>
      </c>
      <c r="O884" s="25">
        <f t="shared" si="785"/>
        <v>11007.82546143035</v>
      </c>
      <c r="P884" s="25">
        <f t="shared" si="786"/>
        <v>28145.244538569641</v>
      </c>
      <c r="Q884" s="25">
        <f t="array" aca="1" ref="Q884" ca="1">INDEX('Isaac 401k'!L:L,MATCH('Retirement Calculator'!A884,'Isaac 401k'!N:N,0),0)</f>
        <v>-5131660.9618138326</v>
      </c>
      <c r="R884" s="25">
        <f t="array" aca="1" ref="R884" ca="1">INDEX('Lorri 401b'!L:L,MATCH('Retirement Calculator'!A884,'Lorri 401b'!N:N,0),0)</f>
        <v>-12935577.2544661</v>
      </c>
      <c r="S884" s="25">
        <f t="shared" ca="1" si="787"/>
        <v>-18067238.216279931</v>
      </c>
    </row>
    <row r="885" spans="1:19" ht="15.75" customHeight="1" x14ac:dyDescent="0.3">
      <c r="A885" s="37">
        <v>77889</v>
      </c>
      <c r="B885" s="409">
        <f t="shared" ref="B885:C885" si="896">($A885-B$9)/365.25</f>
        <v>131.37029431895962</v>
      </c>
      <c r="C885" s="409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2192</v>
      </c>
      <c r="I885" s="25">
        <f>IF(C885&lt;62,0,'Combined Retirement'!$I$13)</f>
        <v>2420</v>
      </c>
      <c r="J885" s="25">
        <f t="shared" si="783"/>
        <v>7863.2184191855868</v>
      </c>
      <c r="K885" s="25">
        <f t="shared" si="784"/>
        <v>20282.026119384056</v>
      </c>
      <c r="L885" s="25"/>
      <c r="N885" s="25">
        <f>'Combined Retirement'!$C$18/12</f>
        <v>39153.069999999992</v>
      </c>
      <c r="O885" s="25">
        <f t="shared" si="785"/>
        <v>11007.82546143035</v>
      </c>
      <c r="P885" s="25">
        <f t="shared" si="786"/>
        <v>28145.244538569641</v>
      </c>
      <c r="Q885" s="25">
        <f t="array" aca="1" ref="Q885" ca="1">INDEX('Isaac 401k'!L:L,MATCH('Retirement Calculator'!A885,'Isaac 401k'!N:N,0),0)</f>
        <v>-5160938.8643173231</v>
      </c>
      <c r="R885" s="25">
        <f t="array" aca="1" ref="R885" ca="1">INDEX('Lorri 401b'!L:L,MATCH('Retirement Calculator'!A885,'Lorri 401b'!N:N,0),0)</f>
        <v>-13009842.027587924</v>
      </c>
      <c r="S885" s="25">
        <f t="shared" ca="1" si="787"/>
        <v>-18170780.891905248</v>
      </c>
    </row>
    <row r="886" spans="1:19" ht="15.75" customHeight="1" x14ac:dyDescent="0.3">
      <c r="A886" s="37">
        <v>77919</v>
      </c>
      <c r="B886" s="409">
        <f t="shared" ref="B886:C886" si="897">($A886-B$9)/365.25</f>
        <v>131.45242984257359</v>
      </c>
      <c r="C886" s="409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2192</v>
      </c>
      <c r="I886" s="25">
        <f>IF(C886&lt;62,0,'Combined Retirement'!$I$13)</f>
        <v>2420</v>
      </c>
      <c r="J886" s="25">
        <f t="shared" si="783"/>
        <v>7863.2184191855868</v>
      </c>
      <c r="K886" s="25">
        <f t="shared" si="784"/>
        <v>20282.026119384056</v>
      </c>
      <c r="L886" s="25"/>
      <c r="N886" s="25">
        <f>'Combined Retirement'!$C$18/12</f>
        <v>39153.069999999992</v>
      </c>
      <c r="O886" s="25">
        <f t="shared" si="785"/>
        <v>11007.82546143035</v>
      </c>
      <c r="P886" s="25">
        <f t="shared" si="786"/>
        <v>28145.244538569641</v>
      </c>
      <c r="Q886" s="25">
        <f t="array" aca="1" ref="Q886" ca="1">INDEX('Isaac 401k'!L:L,MATCH('Retirement Calculator'!A886,'Isaac 401k'!N:N,0),0)</f>
        <v>-5190338.7580812443</v>
      </c>
      <c r="R886" s="25">
        <f t="array" aca="1" ref="R886" ca="1">INDEX('Lorri 401b'!L:L,MATCH('Retirement Calculator'!A886,'Lorri 401b'!N:N,0),0)</f>
        <v>-13084416.237264423</v>
      </c>
      <c r="S886" s="25">
        <f t="shared" ca="1" si="787"/>
        <v>-18274754.995345667</v>
      </c>
    </row>
    <row r="887" spans="1:19" ht="15.75" customHeight="1" x14ac:dyDescent="0.3">
      <c r="A887" s="37">
        <v>77950</v>
      </c>
      <c r="B887" s="409">
        <f t="shared" ref="B887:C887" si="898">($A887-B$9)/365.25</f>
        <v>131.53730321697466</v>
      </c>
      <c r="C887" s="409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2192</v>
      </c>
      <c r="I887" s="25">
        <f>IF(C887&lt;62,0,'Combined Retirement'!$I$13)</f>
        <v>2420</v>
      </c>
      <c r="J887" s="25">
        <f t="shared" si="783"/>
        <v>7863.2184191855868</v>
      </c>
      <c r="K887" s="25">
        <f t="shared" si="784"/>
        <v>20282.026119384056</v>
      </c>
      <c r="L887" s="25"/>
      <c r="N887" s="25">
        <f>'Combined Retirement'!$C$18/12</f>
        <v>39153.069999999992</v>
      </c>
      <c r="O887" s="25">
        <f t="shared" si="785"/>
        <v>11007.82546143035</v>
      </c>
      <c r="P887" s="25">
        <f t="shared" si="786"/>
        <v>28145.244538569641</v>
      </c>
      <c r="Q887" s="25">
        <f t="array" aca="1" ref="Q887" ca="1">INDEX('Isaac 401k'!L:L,MATCH('Retirement Calculator'!A887,'Isaac 401k'!N:N,0),0)</f>
        <v>-5219861.1514025154</v>
      </c>
      <c r="R887" s="25">
        <f t="array" aca="1" ref="R887" ca="1">INDEX('Lorri 401b'!L:L,MATCH('Retirement Calculator'!A887,'Lorri 401b'!N:N,0),0)</f>
        <v>-13159301.172814574</v>
      </c>
      <c r="S887" s="25">
        <f t="shared" ca="1" si="787"/>
        <v>-18379162.324217089</v>
      </c>
    </row>
    <row r="888" spans="1:19" ht="15.75" customHeight="1" x14ac:dyDescent="0.3">
      <c r="A888" s="37">
        <v>77980</v>
      </c>
      <c r="B888" s="409">
        <f t="shared" ref="B888:C888" si="899">($A888-B$9)/365.25</f>
        <v>131.61943874058863</v>
      </c>
      <c r="C888" s="409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2192</v>
      </c>
      <c r="I888" s="25">
        <f>IF(C888&lt;62,0,'Combined Retirement'!$I$13)</f>
        <v>2420</v>
      </c>
      <c r="J888" s="25">
        <f t="shared" si="783"/>
        <v>7863.2184191855868</v>
      </c>
      <c r="K888" s="25">
        <f t="shared" si="784"/>
        <v>20282.026119384056</v>
      </c>
      <c r="L888" s="25"/>
      <c r="N888" s="25">
        <f>'Combined Retirement'!$C$18/12</f>
        <v>39153.069999999992</v>
      </c>
      <c r="O888" s="25">
        <f t="shared" si="785"/>
        <v>11007.82546143035</v>
      </c>
      <c r="P888" s="25">
        <f t="shared" si="786"/>
        <v>28145.244538569641</v>
      </c>
      <c r="Q888" s="25">
        <f t="array" aca="1" ref="Q888" ca="1">INDEX('Isaac 401k'!L:L,MATCH('Retirement Calculator'!A888,'Isaac 401k'!N:N,0),0)</f>
        <v>-5249506.5546959583</v>
      </c>
      <c r="R888" s="25">
        <f t="array" aca="1" ref="R888" ca="1">INDEX('Lorri 401b'!L:L,MATCH('Retirement Calculator'!A888,'Lorri 401b'!N:N,0),0)</f>
        <v>-13234498.128929516</v>
      </c>
      <c r="S888" s="25">
        <f t="shared" ca="1" si="787"/>
        <v>-18484004.683625475</v>
      </c>
    </row>
    <row r="889" spans="1:19" ht="15.75" customHeight="1" x14ac:dyDescent="0.3">
      <c r="A889" s="37">
        <v>78011</v>
      </c>
      <c r="B889" s="409">
        <f t="shared" ref="B889:C889" si="900">($A889-B$9)/365.25</f>
        <v>131.70431211498973</v>
      </c>
      <c r="C889" s="409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2192</v>
      </c>
      <c r="I889" s="25">
        <f>IF(C889&lt;62,0,'Combined Retirement'!$I$13)</f>
        <v>2420</v>
      </c>
      <c r="J889" s="25">
        <f t="shared" si="783"/>
        <v>7863.2184191855868</v>
      </c>
      <c r="K889" s="25">
        <f t="shared" si="784"/>
        <v>20282.026119384056</v>
      </c>
      <c r="L889" s="25"/>
      <c r="N889" s="25">
        <f>'Combined Retirement'!$C$18/12</f>
        <v>39153.069999999992</v>
      </c>
      <c r="O889" s="25">
        <f t="shared" si="785"/>
        <v>11007.82546143035</v>
      </c>
      <c r="P889" s="25">
        <f t="shared" si="786"/>
        <v>28145.244538569641</v>
      </c>
      <c r="Q889" s="25">
        <f t="array" aca="1" ref="Q889" ca="1">INDEX('Isaac 401k'!L:L,MATCH('Retirement Calculator'!A889,'Isaac 401k'!N:N,0),0)</f>
        <v>-5279275.4805031242</v>
      </c>
      <c r="R889" s="25">
        <f t="array" aca="1" ref="R889" ca="1">INDEX('Lorri 401b'!L:L,MATCH('Retirement Calculator'!A889,'Lorri 401b'!N:N,0),0)</f>
        <v>-13310008.405694939</v>
      </c>
      <c r="S889" s="25">
        <f t="shared" ca="1" si="787"/>
        <v>-18589283.886198062</v>
      </c>
    </row>
    <row r="890" spans="1:19" ht="15.75" customHeight="1" x14ac:dyDescent="0.3">
      <c r="A890" s="37">
        <v>78042</v>
      </c>
      <c r="B890" s="409">
        <f t="shared" ref="B890:C890" si="901">($A890-B$9)/365.25</f>
        <v>131.78918548939083</v>
      </c>
      <c r="C890" s="409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2192</v>
      </c>
      <c r="I890" s="25">
        <f>IF(C890&lt;62,0,'Combined Retirement'!$I$13)</f>
        <v>2420</v>
      </c>
      <c r="J890" s="25">
        <f t="shared" si="783"/>
        <v>7863.2184191855868</v>
      </c>
      <c r="K890" s="25">
        <f t="shared" si="784"/>
        <v>20282.026119384056</v>
      </c>
      <c r="L890" s="25"/>
      <c r="N890" s="25">
        <f>'Combined Retirement'!$C$18/12</f>
        <v>39153.069999999992</v>
      </c>
      <c r="O890" s="25">
        <f t="shared" si="785"/>
        <v>11007.82546143035</v>
      </c>
      <c r="P890" s="25">
        <f t="shared" si="786"/>
        <v>28145.244538569641</v>
      </c>
      <c r="Q890" s="25">
        <f t="array" aca="1" ref="Q890" ca="1">INDEX('Isaac 401k'!L:L,MATCH('Retirement Calculator'!A890,'Isaac 401k'!N:N,0),0)</f>
        <v>-5309168.443501153</v>
      </c>
      <c r="R890" s="25">
        <f t="array" aca="1" ref="R890" ca="1">INDEX('Lorri 401b'!L:L,MATCH('Retirement Calculator'!A890,'Lorri 401b'!N:N,0),0)</f>
        <v>-13385833.30861355</v>
      </c>
      <c r="S890" s="25">
        <f t="shared" ca="1" si="787"/>
        <v>-18695001.752114702</v>
      </c>
    </row>
    <row r="891" spans="1:19" ht="15.75" customHeight="1" x14ac:dyDescent="0.3">
      <c r="A891" s="37">
        <v>78072</v>
      </c>
      <c r="B891" s="409">
        <f t="shared" ref="B891:C891" si="902">($A891-B$9)/365.25</f>
        <v>131.8713210130048</v>
      </c>
      <c r="C891" s="409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2192</v>
      </c>
      <c r="I891" s="25">
        <f>IF(C891&lt;62,0,'Combined Retirement'!$I$13)</f>
        <v>2420</v>
      </c>
      <c r="J891" s="25">
        <f t="shared" si="783"/>
        <v>7863.2184191855868</v>
      </c>
      <c r="K891" s="25">
        <f t="shared" si="784"/>
        <v>20282.026119384056</v>
      </c>
      <c r="L891" s="25"/>
      <c r="N891" s="25">
        <f>'Combined Retirement'!$C$18/12</f>
        <v>39153.069999999992</v>
      </c>
      <c r="O891" s="25">
        <f t="shared" si="785"/>
        <v>11007.82546143035</v>
      </c>
      <c r="P891" s="25">
        <f t="shared" si="786"/>
        <v>28145.244538569641</v>
      </c>
      <c r="Q891" s="25">
        <f t="array" aca="1" ref="Q891" ca="1">INDEX('Isaac 401k'!L:L,MATCH('Retirement Calculator'!A891,'Isaac 401k'!N:N,0),0)</f>
        <v>-5339185.9605116732</v>
      </c>
      <c r="R891" s="25">
        <f t="array" aca="1" ref="R891" ca="1">INDEX('Lorri 401b'!L:L,MATCH('Retirement Calculator'!A891,'Lorri 401b'!N:N,0),0)</f>
        <v>-13461974.148627656</v>
      </c>
      <c r="S891" s="25">
        <f t="shared" ca="1" si="787"/>
        <v>-18801160.109139331</v>
      </c>
    </row>
    <row r="892" spans="1:19" ht="15.75" customHeight="1" x14ac:dyDescent="0.3">
      <c r="A892" s="37">
        <v>78103</v>
      </c>
      <c r="B892" s="409">
        <f t="shared" ref="B892:C892" si="903">($A892-B$9)/365.25</f>
        <v>131.95619438740587</v>
      </c>
      <c r="C892" s="409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2192</v>
      </c>
      <c r="I892" s="25">
        <f>IF(C892&lt;62,0,'Combined Retirement'!$I$13)</f>
        <v>2420</v>
      </c>
      <c r="J892" s="25">
        <f t="shared" si="783"/>
        <v>7863.2184191855868</v>
      </c>
      <c r="K892" s="25">
        <f t="shared" si="784"/>
        <v>20282.026119384056</v>
      </c>
      <c r="L892" s="25"/>
      <c r="N892" s="25">
        <f>'Combined Retirement'!$C$18/12</f>
        <v>39153.069999999992</v>
      </c>
      <c r="O892" s="25">
        <f t="shared" si="785"/>
        <v>11007.82546143035</v>
      </c>
      <c r="P892" s="25">
        <f t="shared" si="786"/>
        <v>28145.244538569641</v>
      </c>
      <c r="Q892" s="25">
        <f t="array" aca="1" ref="Q892" ca="1">INDEX('Isaac 401k'!L:L,MATCH('Retirement Calculator'!A892,'Isaac 401k'!N:N,0),0)</f>
        <v>-5369328.5505097378</v>
      </c>
      <c r="R892" s="25">
        <f t="array" aca="1" ref="R892" ca="1">INDEX('Lorri 401b'!L:L,MATCH('Retirement Calculator'!A892,'Lorri 401b'!N:N,0),0)</f>
        <v>-13538432.24214182</v>
      </c>
      <c r="S892" s="25">
        <f t="shared" ca="1" si="787"/>
        <v>-18907760.792651556</v>
      </c>
    </row>
    <row r="893" spans="1:19" ht="15.75" customHeight="1" x14ac:dyDescent="0.3">
      <c r="A893" s="37">
        <v>78133</v>
      </c>
      <c r="B893" s="409">
        <f t="shared" ref="B893:C893" si="904">($A893-B$9)/365.25</f>
        <v>132.03832991101984</v>
      </c>
      <c r="C893" s="409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2192</v>
      </c>
      <c r="I893" s="25">
        <f>IF(C893&lt;62,0,'Combined Retirement'!$I$13)</f>
        <v>2420</v>
      </c>
      <c r="J893" s="25">
        <f t="shared" si="783"/>
        <v>7863.2184191855868</v>
      </c>
      <c r="K893" s="25">
        <f t="shared" si="784"/>
        <v>20282.026119384056</v>
      </c>
      <c r="L893" s="25"/>
      <c r="N893" s="25">
        <f>'Combined Retirement'!$C$18/12</f>
        <v>39153.069999999992</v>
      </c>
      <c r="O893" s="25">
        <f t="shared" si="785"/>
        <v>11007.82546143035</v>
      </c>
      <c r="P893" s="25">
        <f t="shared" si="786"/>
        <v>28145.244538569641</v>
      </c>
      <c r="Q893" s="25">
        <f t="array" aca="1" ref="Q893" ca="1">INDEX('Isaac 401k'!L:L,MATCH('Retirement Calculator'!A893,'Isaac 401k'!N:N,0),0)</f>
        <v>-5399596.7346327938</v>
      </c>
      <c r="R893" s="25">
        <f t="array" aca="1" ref="R893" ca="1">INDEX('Lorri 401b'!L:L,MATCH('Retirement Calculator'!A893,'Lorri 401b'!N:N,0),0)</f>
        <v>-13615208.911045628</v>
      </c>
      <c r="S893" s="25">
        <f t="shared" ca="1" si="787"/>
        <v>-19014805.645678423</v>
      </c>
    </row>
    <row r="894" spans="1:19" ht="15.75" customHeight="1" x14ac:dyDescent="0.3">
      <c r="A894" s="37">
        <v>78164</v>
      </c>
      <c r="B894" s="409">
        <f t="shared" ref="B894:C894" si="905">($A894-B$9)/365.25</f>
        <v>132.12320328542094</v>
      </c>
      <c r="C894" s="409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2192</v>
      </c>
      <c r="I894" s="25">
        <f>IF(C894&lt;62,0,'Combined Retirement'!$I$13)</f>
        <v>2420</v>
      </c>
      <c r="J894" s="25">
        <f t="shared" si="783"/>
        <v>7863.2184191855868</v>
      </c>
      <c r="K894" s="25">
        <f t="shared" si="784"/>
        <v>20282.026119384056</v>
      </c>
      <c r="L894" s="25"/>
      <c r="N894" s="25">
        <f>'Combined Retirement'!$C$18/12</f>
        <v>39153.069999999992</v>
      </c>
      <c r="O894" s="25">
        <f t="shared" si="785"/>
        <v>11007.82546143035</v>
      </c>
      <c r="P894" s="25">
        <f t="shared" si="786"/>
        <v>28145.244538569641</v>
      </c>
      <c r="Q894" s="25">
        <f t="array" aca="1" ref="Q894" ca="1">INDEX('Isaac 401k'!L:L,MATCH('Retirement Calculator'!A894,'Isaac 401k'!N:N,0),0)</f>
        <v>-5429991.0361896958</v>
      </c>
      <c r="R894" s="25">
        <f t="array" aca="1" ref="R894" ca="1">INDEX('Lorri 401b'!L:L,MATCH('Retirement Calculator'!A894,'Lorri 401b'!N:N,0),0)</f>
        <v>-13692305.482736534</v>
      </c>
      <c r="S894" s="25">
        <f t="shared" ca="1" si="787"/>
        <v>-19122296.518926229</v>
      </c>
    </row>
    <row r="895" spans="1:19" ht="15.75" customHeight="1" x14ac:dyDescent="0.3">
      <c r="A895" s="37">
        <v>78195</v>
      </c>
      <c r="B895" s="409">
        <f t="shared" ref="B895:C895" si="906">($A895-B$9)/365.25</f>
        <v>132.20807665982204</v>
      </c>
      <c r="C895" s="409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2192</v>
      </c>
      <c r="I895" s="25">
        <f>IF(C895&lt;62,0,'Combined Retirement'!$I$13)</f>
        <v>2420</v>
      </c>
      <c r="J895" s="25">
        <f t="shared" si="783"/>
        <v>7863.2184191855868</v>
      </c>
      <c r="K895" s="25">
        <f t="shared" si="784"/>
        <v>20282.026119384056</v>
      </c>
      <c r="L895" s="25"/>
      <c r="N895" s="25">
        <f>'Combined Retirement'!$C$18/12</f>
        <v>39153.069999999992</v>
      </c>
      <c r="O895" s="25">
        <f t="shared" si="785"/>
        <v>11007.82546143035</v>
      </c>
      <c r="P895" s="25">
        <f t="shared" si="786"/>
        <v>28145.244538569641</v>
      </c>
      <c r="Q895" s="25">
        <f t="array" aca="1" ref="Q895" ca="1">INDEX('Isaac 401k'!L:L,MATCH('Retirement Calculator'!A895,'Isaac 401k'!N:N,0),0)</f>
        <v>-5460511.9806697518</v>
      </c>
      <c r="R895" s="25">
        <f t="array" aca="1" ref="R895" ca="1">INDEX('Lorri 401b'!L:L,MATCH('Retirement Calculator'!A895,'Lorri 401b'!N:N,0),0)</f>
        <v>-13769723.290142817</v>
      </c>
      <c r="S895" s="25">
        <f t="shared" ca="1" si="787"/>
        <v>-19230235.270812571</v>
      </c>
    </row>
    <row r="896" spans="1:19" ht="15.75" customHeight="1" x14ac:dyDescent="0.3">
      <c r="A896" s="37">
        <v>78223</v>
      </c>
      <c r="B896" s="409">
        <f t="shared" ref="B896:C896" si="907">($A896-B$9)/365.25</f>
        <v>132.28473648186173</v>
      </c>
      <c r="C896" s="409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2192</v>
      </c>
      <c r="I896" s="25">
        <f>IF(C896&lt;62,0,'Combined Retirement'!$I$13)</f>
        <v>2420</v>
      </c>
      <c r="J896" s="25">
        <f t="shared" si="783"/>
        <v>7863.2184191855868</v>
      </c>
      <c r="K896" s="25">
        <f t="shared" si="784"/>
        <v>20282.026119384056</v>
      </c>
      <c r="L896" s="25"/>
      <c r="N896" s="25">
        <f>'Combined Retirement'!$C$18/12</f>
        <v>39153.069999999992</v>
      </c>
      <c r="O896" s="25">
        <f t="shared" si="785"/>
        <v>11007.82546143035</v>
      </c>
      <c r="P896" s="25">
        <f t="shared" si="786"/>
        <v>28145.244538569641</v>
      </c>
      <c r="Q896" s="25">
        <f t="array" aca="1" ref="Q896" ca="1">INDEX('Isaac 401k'!L:L,MATCH('Retirement Calculator'!A896,'Isaac 401k'!N:N,0),0)</f>
        <v>-5491160.095751808</v>
      </c>
      <c r="R896" s="25">
        <f t="array" aca="1" ref="R896" ca="1">INDEX('Lorri 401b'!L:L,MATCH('Retirement Calculator'!A896,'Lorri 401b'!N:N,0),0)</f>
        <v>-13847463.671746628</v>
      </c>
      <c r="S896" s="25">
        <f t="shared" ca="1" si="787"/>
        <v>-19338623.767498437</v>
      </c>
    </row>
    <row r="897" spans="1:19" ht="15.75" customHeight="1" x14ac:dyDescent="0.3">
      <c r="A897" s="37">
        <v>78254</v>
      </c>
      <c r="B897" s="409">
        <f t="shared" ref="B897:C897" si="908">($A897-B$9)/365.25</f>
        <v>132.36960985626283</v>
      </c>
      <c r="C897" s="409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2192</v>
      </c>
      <c r="I897" s="25">
        <f>IF(C897&lt;62,0,'Combined Retirement'!$I$13)</f>
        <v>2420</v>
      </c>
      <c r="J897" s="25">
        <f t="shared" si="783"/>
        <v>7863.2184191855868</v>
      </c>
      <c r="K897" s="25">
        <f t="shared" si="784"/>
        <v>20282.026119384056</v>
      </c>
      <c r="L897" s="25"/>
      <c r="N897" s="25">
        <f>'Combined Retirement'!$C$18/12</f>
        <v>39153.069999999992</v>
      </c>
      <c r="O897" s="25">
        <f t="shared" si="785"/>
        <v>11007.82546143035</v>
      </c>
      <c r="P897" s="25">
        <f t="shared" si="786"/>
        <v>28145.244538569641</v>
      </c>
      <c r="Q897" s="25">
        <f t="array" aca="1" ref="Q897" ca="1">INDEX('Isaac 401k'!L:L,MATCH('Retirement Calculator'!A897,'Isaac 401k'!N:N,0),0)</f>
        <v>-5521935.9113133727</v>
      </c>
      <c r="R897" s="25">
        <f t="array" aca="1" ref="R897" ca="1">INDEX('Lorri 401b'!L:L,MATCH('Retirement Calculator'!A897,'Lorri 401b'!N:N,0),0)</f>
        <v>-13925527.971607123</v>
      </c>
      <c r="S897" s="25">
        <f t="shared" ca="1" si="787"/>
        <v>-19447463.882920496</v>
      </c>
    </row>
    <row r="898" spans="1:19" ht="15.75" customHeight="1" x14ac:dyDescent="0.3">
      <c r="A898" s="37">
        <v>78284</v>
      </c>
      <c r="B898" s="409">
        <f t="shared" ref="B898:C898" si="909">($A898-B$9)/365.25</f>
        <v>132.4517453798768</v>
      </c>
      <c r="C898" s="409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2192</v>
      </c>
      <c r="I898" s="25">
        <f>IF(C898&lt;62,0,'Combined Retirement'!$I$13)</f>
        <v>2420</v>
      </c>
      <c r="J898" s="25">
        <f t="shared" si="783"/>
        <v>7863.2184191855868</v>
      </c>
      <c r="K898" s="25">
        <f t="shared" si="784"/>
        <v>20282.026119384056</v>
      </c>
      <c r="L898" s="25"/>
      <c r="N898" s="25">
        <f>'Combined Retirement'!$C$18/12</f>
        <v>39153.069999999992</v>
      </c>
      <c r="O898" s="25">
        <f t="shared" si="785"/>
        <v>11007.82546143035</v>
      </c>
      <c r="P898" s="25">
        <f t="shared" si="786"/>
        <v>28145.244538569641</v>
      </c>
      <c r="Q898" s="25">
        <f t="array" aca="1" ref="Q898" ca="1">INDEX('Isaac 401k'!L:L,MATCH('Retirement Calculator'!A898,'Isaac 401k'!N:N,0),0)</f>
        <v>-5552839.9594397778</v>
      </c>
      <c r="R898" s="25">
        <f t="array" aca="1" ref="R898" ca="1">INDEX('Lorri 401b'!L:L,MATCH('Retirement Calculator'!A898,'Lorri 401b'!N:N,0),0)</f>
        <v>-14003917.539383702</v>
      </c>
      <c r="S898" s="25">
        <f t="shared" ca="1" si="787"/>
        <v>-19556757.498823479</v>
      </c>
    </row>
    <row r="899" spans="1:19" ht="15.75" customHeight="1" x14ac:dyDescent="0.3">
      <c r="A899" s="37">
        <v>78315</v>
      </c>
      <c r="B899" s="409">
        <f t="shared" ref="B899:C899" si="910">($A899-B$9)/365.25</f>
        <v>132.5366187542779</v>
      </c>
      <c r="C899" s="409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2192</v>
      </c>
      <c r="I899" s="25">
        <f>IF(C899&lt;62,0,'Combined Retirement'!$I$13)</f>
        <v>2420</v>
      </c>
      <c r="J899" s="25">
        <f t="shared" si="783"/>
        <v>7863.2184191855868</v>
      </c>
      <c r="K899" s="25">
        <f t="shared" si="784"/>
        <v>20282.026119384056</v>
      </c>
      <c r="L899" s="25"/>
      <c r="N899" s="25">
        <f>'Combined Retirement'!$C$18/12</f>
        <v>39153.069999999992</v>
      </c>
      <c r="O899" s="25">
        <f t="shared" si="785"/>
        <v>11007.82546143035</v>
      </c>
      <c r="P899" s="25">
        <f t="shared" si="786"/>
        <v>28145.244538569641</v>
      </c>
      <c r="Q899" s="25">
        <f t="array" aca="1" ref="Q899" ca="1">INDEX('Isaac 401k'!L:L,MATCH('Retirement Calculator'!A899,'Isaac 401k'!N:N,0),0)</f>
        <v>-5583872.7744333763</v>
      </c>
      <c r="R899" s="25">
        <f t="array" aca="1" ref="R899" ca="1">INDEX('Lorri 401b'!L:L,MATCH('Retirement Calculator'!A899,'Lorri 401b'!N:N,0),0)</f>
        <v>-14082633.730359349</v>
      </c>
      <c r="S899" s="25">
        <f t="shared" ca="1" si="787"/>
        <v>-19666506.504792728</v>
      </c>
    </row>
    <row r="900" spans="1:19" ht="15.75" customHeight="1" x14ac:dyDescent="0.3">
      <c r="A900" s="37">
        <v>78345</v>
      </c>
      <c r="B900" s="409">
        <f t="shared" ref="B900:C900" si="911">($A900-B$9)/365.25</f>
        <v>132.61875427789187</v>
      </c>
      <c r="C900" s="409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2192</v>
      </c>
      <c r="I900" s="25">
        <f>IF(C900&lt;62,0,'Combined Retirement'!$I$13)</f>
        <v>2420</v>
      </c>
      <c r="J900" s="25">
        <f t="shared" si="783"/>
        <v>7863.2184191855868</v>
      </c>
      <c r="K900" s="25">
        <f t="shared" si="784"/>
        <v>20282.026119384056</v>
      </c>
      <c r="L900" s="25"/>
      <c r="N900" s="25">
        <f>'Combined Retirement'!$C$18/12</f>
        <v>39153.069999999992</v>
      </c>
      <c r="O900" s="25">
        <f t="shared" si="785"/>
        <v>11007.82546143035</v>
      </c>
      <c r="P900" s="25">
        <f t="shared" si="786"/>
        <v>28145.244538569641</v>
      </c>
      <c r="Q900" s="25">
        <f t="array" aca="1" ref="Q900" ca="1">INDEX('Isaac 401k'!L:L,MATCH('Retirement Calculator'!A900,'Isaac 401k'!N:N,0),0)</f>
        <v>-5615034.8928227816</v>
      </c>
      <c r="R900" s="25">
        <f t="array" aca="1" ref="R900" ca="1">INDEX('Lorri 401b'!L:L,MATCH('Retirement Calculator'!A900,'Lorri 401b'!N:N,0),0)</f>
        <v>-14161677.905464062</v>
      </c>
      <c r="S900" s="25">
        <f t="shared" ca="1" si="787"/>
        <v>-19776712.798286844</v>
      </c>
    </row>
    <row r="901" spans="1:19" ht="15.75" customHeight="1" x14ac:dyDescent="0.3">
      <c r="A901" s="37">
        <v>78376</v>
      </c>
      <c r="B901" s="409">
        <f t="shared" ref="B901:C901" si="912">($A901-B$9)/365.25</f>
        <v>132.70362765229294</v>
      </c>
      <c r="C901" s="409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2192</v>
      </c>
      <c r="I901" s="25">
        <f>IF(C901&lt;62,0,'Combined Retirement'!$I$13)</f>
        <v>2420</v>
      </c>
      <c r="J901" s="25">
        <f t="shared" si="783"/>
        <v>7863.2184191855868</v>
      </c>
      <c r="K901" s="25">
        <f t="shared" si="784"/>
        <v>20282.026119384056</v>
      </c>
      <c r="L901" s="25"/>
      <c r="N901" s="25">
        <f>'Combined Retirement'!$C$18/12</f>
        <v>39153.069999999992</v>
      </c>
      <c r="O901" s="25">
        <f t="shared" si="785"/>
        <v>11007.82546143035</v>
      </c>
      <c r="P901" s="25">
        <f t="shared" si="786"/>
        <v>28145.244538569641</v>
      </c>
      <c r="Q901" s="25">
        <f t="array" aca="1" ref="Q901" ca="1">INDEX('Isaac 401k'!L:L,MATCH('Retirement Calculator'!A901,'Isaac 401k'!N:N,0),0)</f>
        <v>-5646326.8533721427</v>
      </c>
      <c r="R901" s="25">
        <f t="array" aca="1" ref="R901" ca="1">INDEX('Lorri 401b'!L:L,MATCH('Retirement Calculator'!A901,'Lorri 401b'!N:N,0),0)</f>
        <v>-14241051.431298379</v>
      </c>
      <c r="S901" s="25">
        <f t="shared" ca="1" si="787"/>
        <v>-19887378.284670521</v>
      </c>
    </row>
    <row r="902" spans="1:19" ht="15.75" customHeight="1" x14ac:dyDescent="0.3">
      <c r="A902" s="37">
        <v>78407</v>
      </c>
      <c r="B902" s="409">
        <f t="shared" ref="B902:C902" si="913">($A902-B$9)/365.25</f>
        <v>132.78850102669404</v>
      </c>
      <c r="C902" s="409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2192</v>
      </c>
      <c r="I902" s="25">
        <f>IF(C902&lt;62,0,'Combined Retirement'!$I$13)</f>
        <v>2420</v>
      </c>
      <c r="J902" s="25">
        <f t="shared" si="783"/>
        <v>7863.2184191855868</v>
      </c>
      <c r="K902" s="25">
        <f t="shared" si="784"/>
        <v>20282.026119384056</v>
      </c>
      <c r="L902" s="25"/>
      <c r="N902" s="25">
        <f>'Combined Retirement'!$C$18/12</f>
        <v>39153.069999999992</v>
      </c>
      <c r="O902" s="25">
        <f t="shared" si="785"/>
        <v>11007.82546143035</v>
      </c>
      <c r="P902" s="25">
        <f t="shared" si="786"/>
        <v>28145.244538569641</v>
      </c>
      <c r="Q902" s="25">
        <f t="array" aca="1" ref="Q902" ca="1">INDEX('Isaac 401k'!L:L,MATCH('Retirement Calculator'!A902,'Isaac 401k'!N:N,0),0)</f>
        <v>-5677749.1970904591</v>
      </c>
      <c r="R902" s="25">
        <f t="array" aca="1" ref="R902" ca="1">INDEX('Lorri 401b'!L:L,MATCH('Retirement Calculator'!A902,'Lorri 401b'!N:N,0),0)</f>
        <v>-14320755.680157004</v>
      </c>
      <c r="S902" s="25">
        <f t="shared" ca="1" si="787"/>
        <v>-19998504.877247464</v>
      </c>
    </row>
    <row r="903" spans="1:19" ht="15.75" customHeight="1" x14ac:dyDescent="0.3">
      <c r="A903" s="37">
        <v>78437</v>
      </c>
      <c r="B903" s="409">
        <f t="shared" ref="B903:C903" si="914">($A903-B$9)/365.25</f>
        <v>132.87063655030801</v>
      </c>
      <c r="C903" s="409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2192</v>
      </c>
      <c r="I903" s="25">
        <f>IF(C903&lt;62,0,'Combined Retirement'!$I$13)</f>
        <v>2420</v>
      </c>
      <c r="J903" s="25">
        <f t="shared" si="783"/>
        <v>7863.2184191855868</v>
      </c>
      <c r="K903" s="25">
        <f t="shared" si="784"/>
        <v>20282.026119384056</v>
      </c>
      <c r="L903" s="25"/>
      <c r="N903" s="25">
        <f>'Combined Retirement'!$C$18/12</f>
        <v>39153.069999999992</v>
      </c>
      <c r="O903" s="25">
        <f t="shared" si="785"/>
        <v>11007.82546143035</v>
      </c>
      <c r="P903" s="25">
        <f t="shared" si="786"/>
        <v>28145.244538569641</v>
      </c>
      <c r="Q903" s="25">
        <f t="array" aca="1" ref="Q903" ca="1">INDEX('Isaac 401k'!L:L,MATCH('Retirement Calculator'!A903,'Isaac 401k'!N:N,0),0)</f>
        <v>-5709302.4672409352</v>
      </c>
      <c r="R903" s="25">
        <f t="array" aca="1" ref="R903" ca="1">INDEX('Lorri 401b'!L:L,MATCH('Retirement Calculator'!A903,'Lorri 401b'!N:N,0),0)</f>
        <v>-14400792.030052541</v>
      </c>
      <c r="S903" s="25">
        <f t="shared" ca="1" si="787"/>
        <v>-20110094.497293476</v>
      </c>
    </row>
    <row r="904" spans="1:19" ht="15.75" customHeight="1" x14ac:dyDescent="0.3">
      <c r="A904" s="37">
        <v>78468</v>
      </c>
      <c r="B904" s="409">
        <f t="shared" ref="B904:C904" si="915">($A904-B$9)/365.25</f>
        <v>132.95550992470911</v>
      </c>
      <c r="C904" s="409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2192</v>
      </c>
      <c r="I904" s="25">
        <f>IF(C904&lt;62,0,'Combined Retirement'!$I$13)</f>
        <v>2420</v>
      </c>
      <c r="J904" s="25">
        <f t="shared" si="783"/>
        <v>7863.2184191855868</v>
      </c>
      <c r="K904" s="25">
        <f t="shared" si="784"/>
        <v>20282.026119384056</v>
      </c>
      <c r="L904" s="25"/>
      <c r="N904" s="25">
        <f>'Combined Retirement'!$C$18/12</f>
        <v>39153.069999999992</v>
      </c>
      <c r="O904" s="25">
        <f t="shared" si="785"/>
        <v>11007.82546143035</v>
      </c>
      <c r="P904" s="25">
        <f t="shared" si="786"/>
        <v>28145.244538569641</v>
      </c>
      <c r="Q904" s="25">
        <f t="array" aca="1" ref="Q904" ca="1">INDEX('Isaac 401k'!L:L,MATCH('Retirement Calculator'!A904,'Isaac 401k'!N:N,0),0)</f>
        <v>-5740987.2093503717</v>
      </c>
      <c r="R904" s="25">
        <f t="array" aca="1" ref="R904" ca="1">INDEX('Lorri 401b'!L:L,MATCH('Retirement Calculator'!A904,'Lorri 401b'!N:N,0),0)</f>
        <v>-14481161.864739308</v>
      </c>
      <c r="S904" s="25">
        <f t="shared" ca="1" si="787"/>
        <v>-20222149.07408968</v>
      </c>
    </row>
    <row r="905" spans="1:19" ht="15.75" customHeight="1" x14ac:dyDescent="0.3">
      <c r="A905" s="37">
        <v>78498</v>
      </c>
      <c r="B905" s="409">
        <f t="shared" ref="B905:C905" si="916">($A905-B$9)/365.25</f>
        <v>133.03764544832308</v>
      </c>
      <c r="C905" s="409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2192</v>
      </c>
      <c r="I905" s="25">
        <f>IF(C905&lt;62,0,'Combined Retirement'!$I$13)</f>
        <v>2420</v>
      </c>
      <c r="J905" s="25">
        <f t="shared" si="783"/>
        <v>7863.2184191855868</v>
      </c>
      <c r="K905" s="25">
        <f t="shared" si="784"/>
        <v>20282.026119384056</v>
      </c>
      <c r="L905" s="25"/>
      <c r="N905" s="25">
        <f>'Combined Retirement'!$C$18/12</f>
        <v>39153.069999999992</v>
      </c>
      <c r="O905" s="25">
        <f t="shared" si="785"/>
        <v>11007.82546143035</v>
      </c>
      <c r="P905" s="25">
        <f t="shared" si="786"/>
        <v>28145.244538569641</v>
      </c>
      <c r="Q905" s="25">
        <f t="array" aca="1" ref="Q905" ca="1">INDEX('Isaac 401k'!L:L,MATCH('Retirement Calculator'!A905,'Isaac 401k'!N:N,0),0)</f>
        <v>-5772803.9712185971</v>
      </c>
      <c r="R905" s="25">
        <f t="array" aca="1" ref="R905" ca="1">INDEX('Lorri 401b'!L:L,MATCH('Retirement Calculator'!A905,'Lorri 401b'!N:N,0),0)</f>
        <v>-14561866.573737271</v>
      </c>
      <c r="S905" s="25">
        <f t="shared" ca="1" si="787"/>
        <v>-20334670.544955868</v>
      </c>
    </row>
    <row r="906" spans="1:19" ht="15.75" customHeight="1" x14ac:dyDescent="0.3">
      <c r="A906" s="37">
        <v>78529</v>
      </c>
      <c r="B906" s="409">
        <f t="shared" ref="B906:C906" si="917">($A906-B$9)/365.25</f>
        <v>133.12251882272417</v>
      </c>
      <c r="C906" s="409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2192</v>
      </c>
      <c r="I906" s="25">
        <f>IF(C906&lt;62,0,'Combined Retirement'!$I$13)</f>
        <v>2420</v>
      </c>
      <c r="J906" s="25">
        <f t="shared" si="783"/>
        <v>7863.2184191855868</v>
      </c>
      <c r="K906" s="25">
        <f t="shared" si="784"/>
        <v>20282.026119384056</v>
      </c>
      <c r="L906" s="25"/>
      <c r="N906" s="25">
        <f>'Combined Retirement'!$C$18/12</f>
        <v>39153.069999999992</v>
      </c>
      <c r="O906" s="25">
        <f t="shared" si="785"/>
        <v>11007.82546143035</v>
      </c>
      <c r="P906" s="25">
        <f t="shared" si="786"/>
        <v>28145.244538569641</v>
      </c>
      <c r="Q906" s="25">
        <f t="array" aca="1" ref="Q906" ca="1">INDEX('Isaac 401k'!L:L,MATCH('Retirement Calculator'!A906,'Isaac 401k'!N:N,0),0)</f>
        <v>-5804753.3029279402</v>
      </c>
      <c r="R906" s="25">
        <f t="array" aca="1" ref="R906" ca="1">INDEX('Lorri 401b'!L:L,MATCH('Retirement Calculator'!A906,'Lorri 401b'!N:N,0),0)</f>
        <v>-14642907.552356059</v>
      </c>
      <c r="S906" s="25">
        <f t="shared" ca="1" si="787"/>
        <v>-20447660.855283998</v>
      </c>
    </row>
    <row r="907" spans="1:19" ht="15.75" customHeight="1" x14ac:dyDescent="0.3">
      <c r="A907" s="37">
        <v>78560</v>
      </c>
      <c r="B907" s="409">
        <f t="shared" ref="B907:C907" si="918">($A907-B$9)/365.25</f>
        <v>133.20739219712524</v>
      </c>
      <c r="C907" s="409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2192</v>
      </c>
      <c r="I907" s="25">
        <f>IF(C907&lt;62,0,'Combined Retirement'!$I$13)</f>
        <v>2420</v>
      </c>
      <c r="J907" s="25">
        <f t="shared" si="783"/>
        <v>7863.2184191855868</v>
      </c>
      <c r="K907" s="25">
        <f t="shared" si="784"/>
        <v>20282.026119384056</v>
      </c>
      <c r="L907" s="25"/>
      <c r="N907" s="25">
        <f>'Combined Retirement'!$C$18/12</f>
        <v>39153.069999999992</v>
      </c>
      <c r="O907" s="25">
        <f t="shared" si="785"/>
        <v>11007.82546143035</v>
      </c>
      <c r="P907" s="25">
        <f t="shared" si="786"/>
        <v>28145.244538569641</v>
      </c>
      <c r="Q907" s="25">
        <f t="array" aca="1" ref="Q907" ca="1">INDEX('Isaac 401k'!L:L,MATCH('Retirement Calculator'!A907,'Isaac 401k'!N:N,0),0)</f>
        <v>-5836835.7568527386</v>
      </c>
      <c r="R907" s="25">
        <f t="array" aca="1" ref="R907" ca="1">INDEX('Lorri 401b'!L:L,MATCH('Retirement Calculator'!A907,'Lorri 401b'!N:N,0),0)</f>
        <v>-14724286.201719092</v>
      </c>
      <c r="S907" s="25">
        <f t="shared" ca="1" si="787"/>
        <v>-20561121.958571829</v>
      </c>
    </row>
    <row r="908" spans="1:19" ht="15.75" customHeight="1" x14ac:dyDescent="0.3">
      <c r="A908" s="37">
        <v>78588</v>
      </c>
      <c r="B908" s="409">
        <f t="shared" ref="B908:C908" si="919">($A908-B$9)/365.25</f>
        <v>133.28405201916496</v>
      </c>
      <c r="C908" s="409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2192</v>
      </c>
      <c r="I908" s="25">
        <f>IF(C908&lt;62,0,'Combined Retirement'!$I$13)</f>
        <v>2420</v>
      </c>
      <c r="J908" s="25">
        <f t="shared" si="783"/>
        <v>7863.2184191855868</v>
      </c>
      <c r="K908" s="25">
        <f t="shared" si="784"/>
        <v>20282.026119384056</v>
      </c>
      <c r="L908" s="25"/>
      <c r="N908" s="25">
        <f>'Combined Retirement'!$C$18/12</f>
        <v>39153.069999999992</v>
      </c>
      <c r="O908" s="25">
        <f t="shared" si="785"/>
        <v>11007.82546143035</v>
      </c>
      <c r="P908" s="25">
        <f t="shared" si="786"/>
        <v>28145.244538569641</v>
      </c>
      <c r="Q908" s="25">
        <f t="array" aca="1" ref="Q908" ca="1">INDEX('Isaac 401k'!L:L,MATCH('Retirement Calculator'!A908,'Isaac 401k'!N:N,0),0)</f>
        <v>-5869051.8876688909</v>
      </c>
      <c r="R908" s="25">
        <f t="array" aca="1" ref="R908" ca="1">INDEX('Lorri 401b'!L:L,MATCH('Retirement Calculator'!A908,'Lorri 401b'!N:N,0),0)</f>
        <v>-14806003.928787803</v>
      </c>
      <c r="S908" s="25">
        <f t="shared" ca="1" si="787"/>
        <v>-20675055.816456694</v>
      </c>
    </row>
    <row r="909" spans="1:19" ht="15.75" customHeight="1" x14ac:dyDescent="0.3">
      <c r="A909" s="37">
        <v>78619</v>
      </c>
      <c r="B909" s="409">
        <f t="shared" ref="B909:C909" si="920">($A909-B$9)/365.25</f>
        <v>133.36892539356606</v>
      </c>
      <c r="C909" s="409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2192</v>
      </c>
      <c r="I909" s="25">
        <f>IF(C909&lt;62,0,'Combined Retirement'!$I$13)</f>
        <v>2420</v>
      </c>
      <c r="J909" s="25">
        <f t="shared" si="783"/>
        <v>7863.2184191855868</v>
      </c>
      <c r="K909" s="25">
        <f t="shared" si="784"/>
        <v>20282.026119384056</v>
      </c>
      <c r="L909" s="25"/>
      <c r="N909" s="25">
        <f>'Combined Retirement'!$C$18/12</f>
        <v>39153.069999999992</v>
      </c>
      <c r="O909" s="25">
        <f t="shared" si="785"/>
        <v>11007.82546143035</v>
      </c>
      <c r="P909" s="25">
        <f t="shared" si="786"/>
        <v>28145.244538569641</v>
      </c>
      <c r="Q909" s="25">
        <f t="array" aca="1" ref="Q909" ca="1">INDEX('Isaac 401k'!L:L,MATCH('Retirement Calculator'!A909,'Isaac 401k'!N:N,0),0)</f>
        <v>-5901402.2523634434</v>
      </c>
      <c r="R909" s="25">
        <f t="array" aca="1" ref="R909" ca="1">INDEX('Lorri 401b'!L:L,MATCH('Retirement Calculator'!A909,'Lorri 401b'!N:N,0),0)</f>
        <v>-14888062.146385968</v>
      </c>
      <c r="S909" s="25">
        <f t="shared" ca="1" si="787"/>
        <v>-20789464.398749411</v>
      </c>
    </row>
    <row r="910" spans="1:19" ht="15.75" customHeight="1" x14ac:dyDescent="0.3">
      <c r="A910" s="37">
        <v>78649</v>
      </c>
      <c r="B910" s="409">
        <f t="shared" ref="B910:C910" si="921">($A910-B$9)/365.25</f>
        <v>133.45106091718</v>
      </c>
      <c r="C910" s="409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2192</v>
      </c>
      <c r="I910" s="25">
        <f>IF(C910&lt;62,0,'Combined Retirement'!$I$13)</f>
        <v>2420</v>
      </c>
      <c r="J910" s="25">
        <f t="shared" si="783"/>
        <v>7863.2184191855868</v>
      </c>
      <c r="K910" s="25">
        <f t="shared" si="784"/>
        <v>20282.026119384056</v>
      </c>
      <c r="L910" s="25"/>
      <c r="N910" s="25">
        <f>'Combined Retirement'!$C$18/12</f>
        <v>39153.069999999992</v>
      </c>
      <c r="O910" s="25">
        <f t="shared" si="785"/>
        <v>11007.82546143035</v>
      </c>
      <c r="P910" s="25">
        <f t="shared" si="786"/>
        <v>28145.244538569641</v>
      </c>
      <c r="Q910" s="25">
        <f t="array" aca="1" ref="Q910" ca="1">INDEX('Isaac 401k'!L:L,MATCH('Retirement Calculator'!A910,'Isaac 401k'!N:N,0),0)</f>
        <v>-5933887.4102442237</v>
      </c>
      <c r="R910" s="25">
        <f t="array" aca="1" ref="R910" ca="1">INDEX('Lorri 401b'!L:L,MATCH('Retirement Calculator'!A910,'Lorri 401b'!N:N,0),0)</f>
        <v>-14970462.273224125</v>
      </c>
      <c r="S910" s="25">
        <f t="shared" ca="1" si="787"/>
        <v>-20904349.683468349</v>
      </c>
    </row>
    <row r="911" spans="1:19" ht="15.75" customHeight="1" x14ac:dyDescent="0.3">
      <c r="A911" s="37">
        <v>78680</v>
      </c>
      <c r="B911" s="409">
        <f t="shared" ref="B911:C911" si="922">($A911-B$9)/365.25</f>
        <v>133.5359342915811</v>
      </c>
      <c r="C911" s="409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2192</v>
      </c>
      <c r="I911" s="25">
        <f>IF(C911&lt;62,0,'Combined Retirement'!$I$13)</f>
        <v>2420</v>
      </c>
      <c r="J911" s="25">
        <f t="shared" si="783"/>
        <v>7863.2184191855868</v>
      </c>
      <c r="K911" s="25">
        <f t="shared" si="784"/>
        <v>20282.026119384056</v>
      </c>
      <c r="L911" s="25"/>
      <c r="N911" s="25">
        <f>'Combined Retirement'!$C$18/12</f>
        <v>39153.069999999992</v>
      </c>
      <c r="O911" s="25">
        <f t="shared" si="785"/>
        <v>11007.82546143035</v>
      </c>
      <c r="P911" s="25">
        <f t="shared" si="786"/>
        <v>28145.244538569641</v>
      </c>
      <c r="Q911" s="25">
        <f t="array" aca="1" ref="Q911" ca="1">INDEX('Isaac 401k'!L:L,MATCH('Retirement Calculator'!A911,'Isaac 401k'!N:N,0),0)</f>
        <v>-5966507.9229495069</v>
      </c>
      <c r="R911" s="25">
        <f t="array" aca="1" ref="R911" ca="1">INDEX('Lorri 401b'!L:L,MATCH('Retirement Calculator'!A911,'Lorri 401b'!N:N,0),0)</f>
        <v>-15053205.733924108</v>
      </c>
      <c r="S911" s="25">
        <f t="shared" ca="1" si="787"/>
        <v>-21019713.656873614</v>
      </c>
    </row>
    <row r="912" spans="1:19" ht="15.75" customHeight="1" x14ac:dyDescent="0.3">
      <c r="A912" s="37">
        <v>78710</v>
      </c>
      <c r="B912" s="409">
        <f t="shared" ref="B912:C912" si="923">($A912-B$9)/365.25</f>
        <v>133.61806981519507</v>
      </c>
      <c r="C912" s="409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2192</v>
      </c>
      <c r="I912" s="25">
        <f>IF(C912&lt;62,0,'Combined Retirement'!$I$13)</f>
        <v>2420</v>
      </c>
      <c r="J912" s="25">
        <f t="shared" si="783"/>
        <v>7863.2184191855868</v>
      </c>
      <c r="K912" s="25">
        <f t="shared" si="784"/>
        <v>20282.026119384056</v>
      </c>
      <c r="L912" s="25"/>
      <c r="N912" s="25">
        <f>'Combined Retirement'!$C$18/12</f>
        <v>39153.069999999992</v>
      </c>
      <c r="O912" s="25">
        <f t="shared" si="785"/>
        <v>11007.82546143035</v>
      </c>
      <c r="P912" s="25">
        <f t="shared" si="786"/>
        <v>28145.244538569641</v>
      </c>
      <c r="Q912" s="25">
        <f t="array" aca="1" ref="Q912" ca="1">INDEX('Isaac 401k'!L:L,MATCH('Retirement Calculator'!A912,'Isaac 401k'!N:N,0),0)</f>
        <v>-5999264.3544577286</v>
      </c>
      <c r="R912" s="25">
        <f t="array" aca="1" ref="R912" ca="1">INDEX('Lorri 401b'!L:L,MATCH('Retirement Calculator'!A912,'Lorri 401b'!N:N,0),0)</f>
        <v>-15136293.959043674</v>
      </c>
      <c r="S912" s="25">
        <f t="shared" ca="1" si="787"/>
        <v>-21135558.313501403</v>
      </c>
    </row>
    <row r="913" spans="1:19" ht="15.75" customHeight="1" x14ac:dyDescent="0.3">
      <c r="A913" s="37">
        <v>78741</v>
      </c>
      <c r="B913" s="409">
        <f t="shared" ref="B913:C913" si="924">($A913-B$9)/365.25</f>
        <v>133.70294318959617</v>
      </c>
      <c r="C913" s="409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2192</v>
      </c>
      <c r="I913" s="25">
        <f>IF(C913&lt;62,0,'Combined Retirement'!$I$13)</f>
        <v>2420</v>
      </c>
      <c r="J913" s="25">
        <f t="shared" si="783"/>
        <v>7863.2184191855868</v>
      </c>
      <c r="K913" s="25">
        <f t="shared" si="784"/>
        <v>20282.026119384056</v>
      </c>
      <c r="L913" s="25"/>
      <c r="N913" s="25">
        <f>'Combined Retirement'!$C$18/12</f>
        <v>39153.069999999992</v>
      </c>
      <c r="O913" s="25">
        <f t="shared" si="785"/>
        <v>11007.82546143035</v>
      </c>
      <c r="P913" s="25">
        <f t="shared" si="786"/>
        <v>28145.244538569641</v>
      </c>
      <c r="Q913" s="25">
        <f t="array" aca="1" ref="Q913" ca="1">INDEX('Isaac 401k'!L:L,MATCH('Retirement Calculator'!A913,'Isaac 401k'!N:N,0),0)</f>
        <v>-6032157.2710972345</v>
      </c>
      <c r="R913" s="25">
        <f t="array" aca="1" ref="R913" ca="1">INDEX('Lorri 401b'!L:L,MATCH('Retirement Calculator'!A913,'Lorri 401b'!N:N,0),0)</f>
        <v>-15219728.385101238</v>
      </c>
      <c r="S913" s="25">
        <f t="shared" ca="1" si="787"/>
        <v>-21251885.656198472</v>
      </c>
    </row>
    <row r="914" spans="1:19" ht="15.75" customHeight="1" x14ac:dyDescent="0.3">
      <c r="A914" s="37">
        <v>78772</v>
      </c>
      <c r="B914" s="409">
        <f t="shared" ref="B914:C914" si="925">($A914-B$9)/365.25</f>
        <v>133.78781656399727</v>
      </c>
      <c r="C914" s="409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2192</v>
      </c>
      <c r="I914" s="25">
        <f>IF(C914&lt;62,0,'Combined Retirement'!$I$13)</f>
        <v>2420</v>
      </c>
      <c r="J914" s="25">
        <f t="shared" si="783"/>
        <v>7863.2184191855868</v>
      </c>
      <c r="K914" s="25">
        <f t="shared" si="784"/>
        <v>20282.026119384056</v>
      </c>
      <c r="L914" s="25"/>
      <c r="N914" s="25">
        <f>'Combined Retirement'!$C$18/12</f>
        <v>39153.069999999992</v>
      </c>
      <c r="O914" s="25">
        <f t="shared" si="785"/>
        <v>11007.82546143035</v>
      </c>
      <c r="P914" s="25">
        <f t="shared" si="786"/>
        <v>28145.244538569641</v>
      </c>
      <c r="Q914" s="25">
        <f t="array" aca="1" ref="Q914" ca="1">INDEX('Isaac 401k'!L:L,MATCH('Retirement Calculator'!A914,'Isaac 401k'!N:N,0),0)</f>
        <v>-6065187.2415560717</v>
      </c>
      <c r="R914" s="25">
        <f t="array" aca="1" ref="R914" ca="1">INDEX('Lorri 401b'!L:L,MATCH('Retirement Calculator'!A914,'Lorri 401b'!N:N,0),0)</f>
        <v>-15303510.454600709</v>
      </c>
      <c r="S914" s="25">
        <f t="shared" ca="1" si="787"/>
        <v>-21368697.696156781</v>
      </c>
    </row>
    <row r="915" spans="1:19" ht="15.75" customHeight="1" x14ac:dyDescent="0.3">
      <c r="A915" s="37">
        <v>78802</v>
      </c>
      <c r="B915" s="409">
        <f t="shared" ref="B915:C915" si="926">($A915-B$9)/365.25</f>
        <v>133.86995208761124</v>
      </c>
      <c r="C915" s="409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2192</v>
      </c>
      <c r="I915" s="25">
        <f>IF(C915&lt;62,0,'Combined Retirement'!$I$13)</f>
        <v>2420</v>
      </c>
      <c r="J915" s="25">
        <f t="shared" si="783"/>
        <v>7863.2184191855868</v>
      </c>
      <c r="K915" s="25">
        <f t="shared" si="784"/>
        <v>20282.026119384056</v>
      </c>
      <c r="L915" s="25"/>
      <c r="N915" s="25">
        <f>'Combined Retirement'!$C$18/12</f>
        <v>39153.069999999992</v>
      </c>
      <c r="O915" s="25">
        <f t="shared" si="785"/>
        <v>11007.82546143035</v>
      </c>
      <c r="P915" s="25">
        <f t="shared" si="786"/>
        <v>28145.244538569641</v>
      </c>
      <c r="Q915" s="25">
        <f t="array" aca="1" ref="Q915" ca="1">INDEX('Isaac 401k'!L:L,MATCH('Retirement Calculator'!A915,'Isaac 401k'!N:N,0),0)</f>
        <v>-6098354.8368918207</v>
      </c>
      <c r="R915" s="25">
        <f t="array" aca="1" ref="R915" ca="1">INDEX('Lorri 401b'!L:L,MATCH('Retirement Calculator'!A915,'Lorri 401b'!N:N,0),0)</f>
        <v>-15387641.616056427</v>
      </c>
      <c r="S915" s="25">
        <f t="shared" ca="1" si="787"/>
        <v>-21485996.45294825</v>
      </c>
    </row>
    <row r="916" spans="1:19" ht="15.75" customHeight="1" x14ac:dyDescent="0.3">
      <c r="A916" s="37">
        <v>78833</v>
      </c>
      <c r="B916" s="409">
        <f t="shared" ref="B916:C916" si="927">($A916-B$9)/365.25</f>
        <v>133.95482546201231</v>
      </c>
      <c r="C916" s="409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2192</v>
      </c>
      <c r="I916" s="25">
        <f>IF(C916&lt;62,0,'Combined Retirement'!$I$13)</f>
        <v>2420</v>
      </c>
      <c r="J916" s="25">
        <f t="shared" si="783"/>
        <v>7863.2184191855868</v>
      </c>
      <c r="K916" s="25">
        <f t="shared" si="784"/>
        <v>20282.026119384056</v>
      </c>
      <c r="L916" s="25"/>
      <c r="N916" s="25">
        <f>'Combined Retirement'!$C$18/12</f>
        <v>39153.069999999992</v>
      </c>
      <c r="O916" s="25">
        <f t="shared" si="785"/>
        <v>11007.82546143035</v>
      </c>
      <c r="P916" s="25">
        <f t="shared" si="786"/>
        <v>28145.244538569641</v>
      </c>
      <c r="Q916" s="25">
        <f t="array" aca="1" ref="Q916" ca="1">INDEX('Isaac 401k'!L:L,MATCH('Retirement Calculator'!A916,'Isaac 401k'!N:N,0),0)</f>
        <v>-6131660.630541469</v>
      </c>
      <c r="R916" s="25">
        <f t="array" aca="1" ref="R916" ca="1">INDEX('Lorri 401b'!L:L,MATCH('Retirement Calculator'!A916,'Lorri 401b'!N:N,0),0)</f>
        <v>-15472123.324018212</v>
      </c>
      <c r="S916" s="25">
        <f t="shared" ca="1" si="787"/>
        <v>-21603783.95455968</v>
      </c>
    </row>
    <row r="917" spans="1:19" ht="15.75" customHeight="1" x14ac:dyDescent="0.3">
      <c r="A917" s="37">
        <v>78863</v>
      </c>
      <c r="B917" s="409">
        <f t="shared" ref="B917:C917" si="928">($A917-B$9)/365.25</f>
        <v>134.03696098562628</v>
      </c>
      <c r="C917" s="409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2192</v>
      </c>
      <c r="I917" s="25">
        <f>IF(C917&lt;62,0,'Combined Retirement'!$I$13)</f>
        <v>2420</v>
      </c>
      <c r="J917" s="25">
        <f t="shared" si="783"/>
        <v>7863.2184191855868</v>
      </c>
      <c r="K917" s="25">
        <f t="shared" si="784"/>
        <v>20282.026119384056</v>
      </c>
      <c r="L917" s="25"/>
      <c r="N917" s="25">
        <f>'Combined Retirement'!$C$18/12</f>
        <v>39153.069999999992</v>
      </c>
      <c r="O917" s="25">
        <f t="shared" si="785"/>
        <v>11007.82546143035</v>
      </c>
      <c r="P917" s="25">
        <f t="shared" si="786"/>
        <v>28145.244538569641</v>
      </c>
      <c r="Q917" s="25">
        <f t="array" aca="1" ref="Q917" ca="1">INDEX('Isaac 401k'!L:L,MATCH('Retirement Calculator'!A917,'Isaac 401k'!N:N,0),0)</f>
        <v>-6165105.1983313244</v>
      </c>
      <c r="R917" s="25">
        <f t="array" aca="1" ref="R917" ca="1">INDEX('Lorri 401b'!L:L,MATCH('Retirement Calculator'!A917,'Lorri 401b'!N:N,0),0)</f>
        <v>-15556957.039096504</v>
      </c>
      <c r="S917" s="25">
        <f t="shared" ca="1" si="787"/>
        <v>-21722062.237427831</v>
      </c>
    </row>
    <row r="918" spans="1:19" ht="15.75" customHeight="1" x14ac:dyDescent="0.3">
      <c r="A918" s="37">
        <v>78894</v>
      </c>
      <c r="B918" s="409">
        <f t="shared" ref="B918:C918" si="929">($A918-B$9)/365.25</f>
        <v>134.12183436002738</v>
      </c>
      <c r="C918" s="409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2192</v>
      </c>
      <c r="I918" s="25">
        <f>IF(C918&lt;62,0,'Combined Retirement'!$I$13)</f>
        <v>2420</v>
      </c>
      <c r="J918" s="25">
        <f t="shared" si="783"/>
        <v>7863.2184191855868</v>
      </c>
      <c r="K918" s="25">
        <f t="shared" si="784"/>
        <v>20282.026119384056</v>
      </c>
      <c r="L918" s="25"/>
      <c r="N918" s="25">
        <f>'Combined Retirement'!$C$18/12</f>
        <v>39153.069999999992</v>
      </c>
      <c r="O918" s="25">
        <f t="shared" si="785"/>
        <v>11007.82546143035</v>
      </c>
      <c r="P918" s="25">
        <f t="shared" si="786"/>
        <v>28145.244538569641</v>
      </c>
      <c r="Q918" s="25">
        <f t="array" aca="1" ref="Q918" ca="1">INDEX('Isaac 401k'!L:L,MATCH('Retirement Calculator'!A918,'Isaac 401k'!N:N,0),0)</f>
        <v>-6198689.1184869707</v>
      </c>
      <c r="R918" s="25">
        <f t="array" aca="1" ref="R918" ca="1">INDEX('Lorri 401b'!L:L,MATCH('Retirement Calculator'!A918,'Lorri 401b'!N:N,0),0)</f>
        <v>-15642144.227987623</v>
      </c>
      <c r="S918" s="25">
        <f t="shared" ca="1" si="787"/>
        <v>-21840833.346474595</v>
      </c>
    </row>
    <row r="919" spans="1:19" ht="15.75" customHeight="1" x14ac:dyDescent="0.3">
      <c r="A919" s="37">
        <v>78925</v>
      </c>
      <c r="B919" s="409">
        <f t="shared" ref="B919:C919" si="930">($A919-B$9)/365.25</f>
        <v>134.20670773442848</v>
      </c>
      <c r="C919" s="409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2192</v>
      </c>
      <c r="I919" s="25">
        <f>IF(C919&lt;62,0,'Combined Retirement'!$I$13)</f>
        <v>2420</v>
      </c>
      <c r="J919" s="25">
        <f t="shared" si="783"/>
        <v>7863.2184191855868</v>
      </c>
      <c r="K919" s="25">
        <f t="shared" si="784"/>
        <v>20282.026119384056</v>
      </c>
      <c r="L919" s="25"/>
      <c r="N919" s="25">
        <f>'Combined Retirement'!$C$18/12</f>
        <v>39153.069999999992</v>
      </c>
      <c r="O919" s="25">
        <f t="shared" si="785"/>
        <v>11007.82546143035</v>
      </c>
      <c r="P919" s="25">
        <f t="shared" si="786"/>
        <v>28145.244538569641</v>
      </c>
      <c r="Q919" s="25">
        <f t="array" aca="1" ref="Q919" ca="1">INDEX('Isaac 401k'!L:L,MATCH('Retirement Calculator'!A919,'Isaac 401k'!N:N,0),0)</f>
        <v>-6232412.9716432653</v>
      </c>
      <c r="R919" s="25">
        <f t="array" aca="1" ref="R919" ca="1">INDEX('Lorri 401b'!L:L,MATCH('Retirement Calculator'!A919,'Lorri 401b'!N:N,0),0)</f>
        <v>-15727686.36349912</v>
      </c>
      <c r="S919" s="25">
        <f t="shared" ca="1" si="787"/>
        <v>-21960099.335142385</v>
      </c>
    </row>
    <row r="920" spans="1:19" ht="15.75" customHeight="1" x14ac:dyDescent="0.3">
      <c r="A920" s="37">
        <v>78954</v>
      </c>
      <c r="B920" s="409">
        <f t="shared" ref="B920:C920" si="931">($A920-B$9)/365.25</f>
        <v>134.28610540725529</v>
      </c>
      <c r="C920" s="409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2192</v>
      </c>
      <c r="I920" s="25">
        <f>IF(C920&lt;62,0,'Combined Retirement'!$I$13)</f>
        <v>2420</v>
      </c>
      <c r="J920" s="25">
        <f t="shared" si="783"/>
        <v>7863.2184191855868</v>
      </c>
      <c r="K920" s="25">
        <f t="shared" si="784"/>
        <v>20282.026119384056</v>
      </c>
      <c r="L920" s="25"/>
      <c r="N920" s="25">
        <f>'Combined Retirement'!$C$18/12</f>
        <v>39153.069999999992</v>
      </c>
      <c r="O920" s="25">
        <f t="shared" si="785"/>
        <v>11007.82546143035</v>
      </c>
      <c r="P920" s="25">
        <f t="shared" si="786"/>
        <v>28145.244538569641</v>
      </c>
      <c r="Q920" s="25">
        <f t="array" aca="1" ref="Q920" ca="1">INDEX('Isaac 401k'!L:L,MATCH('Retirement Calculator'!A920,'Isaac 401k'!N:N,0),0)</f>
        <v>-6266277.3408543784</v>
      </c>
      <c r="R920" s="25">
        <f t="array" aca="1" ref="R920" ca="1">INDEX('Lorri 401b'!L:L,MATCH('Retirement Calculator'!A920,'Lorri 401b'!N:N,0),0)</f>
        <v>-15813584.924575249</v>
      </c>
      <c r="S920" s="25">
        <f t="shared" ca="1" si="787"/>
        <v>-22079862.265429627</v>
      </c>
    </row>
    <row r="921" spans="1:19" ht="15.75" customHeight="1" x14ac:dyDescent="0.3">
      <c r="A921" s="37">
        <v>78985</v>
      </c>
      <c r="B921" s="409">
        <f t="shared" ref="B921:C921" si="932">($A921-B$9)/365.25</f>
        <v>134.37097878165639</v>
      </c>
      <c r="C921" s="409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2192</v>
      </c>
      <c r="I921" s="25">
        <f>IF(C921&lt;62,0,'Combined Retirement'!$I$13)</f>
        <v>2420</v>
      </c>
      <c r="J921" s="25">
        <f t="shared" si="783"/>
        <v>7863.2184191855868</v>
      </c>
      <c r="K921" s="25">
        <f t="shared" si="784"/>
        <v>20282.026119384056</v>
      </c>
      <c r="L921" s="25"/>
      <c r="N921" s="25">
        <f>'Combined Retirement'!$C$18/12</f>
        <v>39153.069999999992</v>
      </c>
      <c r="O921" s="25">
        <f t="shared" si="785"/>
        <v>11007.82546143035</v>
      </c>
      <c r="P921" s="25">
        <f t="shared" si="786"/>
        <v>28145.244538569641</v>
      </c>
      <c r="Q921" s="25">
        <f t="array" aca="1" ref="Q921" ca="1">INDEX('Isaac 401k'!L:L,MATCH('Retirement Calculator'!A921,'Isaac 401k'!N:N,0),0)</f>
        <v>-6300282.8116038712</v>
      </c>
      <c r="R921" s="25">
        <f t="array" aca="1" ref="R921" ca="1">INDEX('Lorri 401b'!L:L,MATCH('Retirement Calculator'!A921,'Lorri 401b'!N:N,0),0)</f>
        <v>-15899841.396322528</v>
      </c>
      <c r="S921" s="25">
        <f t="shared" ca="1" si="787"/>
        <v>-22200124.2079264</v>
      </c>
    </row>
    <row r="922" spans="1:19" ht="15.75" customHeight="1" x14ac:dyDescent="0.3">
      <c r="A922" s="37">
        <v>79015</v>
      </c>
      <c r="B922" s="409">
        <f t="shared" ref="B922:C922" si="933">($A922-B$9)/365.25</f>
        <v>134.45311430527036</v>
      </c>
      <c r="C922" s="409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2192</v>
      </c>
      <c r="I922" s="25">
        <f>IF(C922&lt;62,0,'Combined Retirement'!$I$13)</f>
        <v>2420</v>
      </c>
      <c r="J922" s="25">
        <f t="shared" si="783"/>
        <v>7863.2184191855868</v>
      </c>
      <c r="K922" s="25">
        <f t="shared" si="784"/>
        <v>20282.026119384056</v>
      </c>
      <c r="L922" s="25"/>
      <c r="N922" s="25">
        <f>'Combined Retirement'!$C$18/12</f>
        <v>39153.069999999992</v>
      </c>
      <c r="O922" s="25">
        <f t="shared" si="785"/>
        <v>11007.82546143035</v>
      </c>
      <c r="P922" s="25">
        <f t="shared" si="786"/>
        <v>28145.244538569641</v>
      </c>
      <c r="Q922" s="25">
        <f t="array" aca="1" ref="Q922" ca="1">INDEX('Isaac 401k'!L:L,MATCH('Retirement Calculator'!A922,'Isaac 401k'!N:N,0),0)</f>
        <v>-6334429.9718148196</v>
      </c>
      <c r="R922" s="25">
        <f t="array" aca="1" ref="R922" ca="1">INDEX('Lorri 401b'!L:L,MATCH('Retirement Calculator'!A922,'Lorri 401b'!N:N,0),0)</f>
        <v>-15986457.270035421</v>
      </c>
      <c r="S922" s="25">
        <f t="shared" ca="1" si="787"/>
        <v>-22320887.241850242</v>
      </c>
    </row>
    <row r="923" spans="1:19" ht="15.75" customHeight="1" x14ac:dyDescent="0.3">
      <c r="A923" s="37">
        <v>79046</v>
      </c>
      <c r="B923" s="409">
        <f t="shared" ref="B923:C923" si="934">($A923-B$9)/365.25</f>
        <v>134.53798767967146</v>
      </c>
      <c r="C923" s="409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2192</v>
      </c>
      <c r="I923" s="25">
        <f>IF(C923&lt;62,0,'Combined Retirement'!$I$13)</f>
        <v>2420</v>
      </c>
      <c r="J923" s="25">
        <f t="shared" si="783"/>
        <v>7863.2184191855868</v>
      </c>
      <c r="K923" s="25">
        <f t="shared" si="784"/>
        <v>20282.026119384056</v>
      </c>
      <c r="L923" s="25"/>
      <c r="N923" s="25">
        <f>'Combined Retirement'!$C$18/12</f>
        <v>39153.069999999992</v>
      </c>
      <c r="O923" s="25">
        <f t="shared" si="785"/>
        <v>11007.82546143035</v>
      </c>
      <c r="P923" s="25">
        <f t="shared" si="786"/>
        <v>28145.244538569641</v>
      </c>
      <c r="Q923" s="25">
        <f t="array" aca="1" ref="Q923" ca="1">INDEX('Isaac 401k'!L:L,MATCH('Retirement Calculator'!A923,'Isaac 401k'!N:N,0),0)</f>
        <v>-6368719.4118599808</v>
      </c>
      <c r="R923" s="25">
        <f t="array" aca="1" ref="R923" ca="1">INDEX('Lorri 401b'!L:L,MATCH('Retirement Calculator'!A923,'Lorri 401b'!N:N,0),0)</f>
        <v>-16073434.043222118</v>
      </c>
      <c r="S923" s="25">
        <f t="shared" ca="1" si="787"/>
        <v>-22442153.4550821</v>
      </c>
    </row>
    <row r="924" spans="1:19" ht="15.75" customHeight="1" x14ac:dyDescent="0.3">
      <c r="A924" s="37">
        <v>79076</v>
      </c>
      <c r="B924" s="409">
        <f t="shared" ref="B924:C924" si="935">($A924-B$9)/365.25</f>
        <v>134.62012320328543</v>
      </c>
      <c r="C924" s="409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2192</v>
      </c>
      <c r="I924" s="25">
        <f>IF(C924&lt;62,0,'Combined Retirement'!$I$13)</f>
        <v>2420</v>
      </c>
      <c r="J924" s="25">
        <f t="shared" si="783"/>
        <v>7863.2184191855868</v>
      </c>
      <c r="K924" s="25">
        <f t="shared" si="784"/>
        <v>20282.026119384056</v>
      </c>
      <c r="L924" s="25"/>
      <c r="N924" s="25">
        <f>'Combined Retirement'!$C$18/12</f>
        <v>39153.069999999992</v>
      </c>
      <c r="O924" s="25">
        <f t="shared" si="785"/>
        <v>11007.82546143035</v>
      </c>
      <c r="P924" s="25">
        <f t="shared" si="786"/>
        <v>28145.244538569641</v>
      </c>
      <c r="Q924" s="25">
        <f t="array" aca="1" ref="Q924" ca="1">INDEX('Isaac 401k'!L:L,MATCH('Retirement Calculator'!A924,'Isaac 401k'!N:N,0),0)</f>
        <v>-6403151.7245719964</v>
      </c>
      <c r="R924" s="25">
        <f t="array" aca="1" ref="R924" ca="1">INDEX('Lorri 401b'!L:L,MATCH('Retirement Calculator'!A924,'Lorri 401b'!N:N,0),0)</f>
        <v>-16160773.219630426</v>
      </c>
      <c r="S924" s="25">
        <f t="shared" ca="1" si="787"/>
        <v>-22563924.944202423</v>
      </c>
    </row>
    <row r="925" spans="1:19" ht="15.75" customHeight="1" x14ac:dyDescent="0.3">
      <c r="A925" s="37">
        <v>79107</v>
      </c>
      <c r="B925" s="409">
        <f t="shared" ref="B925:C925" si="936">($A925-B$9)/365.25</f>
        <v>134.70499657768653</v>
      </c>
      <c r="C925" s="409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2192</v>
      </c>
      <c r="I925" s="25">
        <f>IF(C925&lt;62,0,'Combined Retirement'!$I$13)</f>
        <v>2420</v>
      </c>
      <c r="J925" s="25">
        <f t="shared" si="783"/>
        <v>7863.2184191855868</v>
      </c>
      <c r="K925" s="25">
        <f t="shared" si="784"/>
        <v>20282.026119384056</v>
      </c>
      <c r="L925" s="25"/>
      <c r="N925" s="25">
        <f>'Combined Retirement'!$C$18/12</f>
        <v>39153.069999999992</v>
      </c>
      <c r="O925" s="25">
        <f t="shared" si="785"/>
        <v>11007.82546143035</v>
      </c>
      <c r="P925" s="25">
        <f t="shared" si="786"/>
        <v>28145.244538569641</v>
      </c>
      <c r="Q925" s="25">
        <f t="array" aca="1" ref="Q925" ca="1">INDEX('Isaac 401k'!L:L,MATCH('Retirement Calculator'!A925,'Isaac 401k'!N:N,0),0)</f>
        <v>-6437727.5052536456</v>
      </c>
      <c r="R925" s="25">
        <f t="array" aca="1" ref="R925" ca="1">INDEX('Lorri 401b'!L:L,MATCH('Retirement Calculator'!A925,'Lorri 401b'!N:N,0),0)</f>
        <v>-16248476.309273768</v>
      </c>
      <c r="S925" s="25">
        <f t="shared" ca="1" si="787"/>
        <v>-22686203.814527415</v>
      </c>
    </row>
    <row r="926" spans="1:19" ht="15.75" customHeight="1" x14ac:dyDescent="0.3">
      <c r="A926" s="37">
        <v>79138</v>
      </c>
      <c r="B926" s="409">
        <f t="shared" ref="B926:C926" si="937">($A926-B$9)/365.25</f>
        <v>134.7898699520876</v>
      </c>
      <c r="C926" s="409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2192</v>
      </c>
      <c r="I926" s="25">
        <f>IF(C926&lt;62,0,'Combined Retirement'!$I$13)</f>
        <v>2420</v>
      </c>
      <c r="J926" s="25">
        <f t="shared" si="783"/>
        <v>7863.2184191855868</v>
      </c>
      <c r="K926" s="25">
        <f t="shared" si="784"/>
        <v>20282.026119384056</v>
      </c>
      <c r="L926" s="25"/>
      <c r="N926" s="25">
        <f>'Combined Retirement'!$C$18/12</f>
        <v>39153.069999999992</v>
      </c>
      <c r="O926" s="25">
        <f t="shared" si="785"/>
        <v>11007.82546143035</v>
      </c>
      <c r="P926" s="25">
        <f t="shared" si="786"/>
        <v>28145.244538569641</v>
      </c>
      <c r="Q926" s="25">
        <f t="array" aca="1" ref="Q926" ca="1">INDEX('Isaac 401k'!L:L,MATCH('Retirement Calculator'!A926,'Isaac 401k'!N:N,0),0)</f>
        <v>-6472447.3516881345</v>
      </c>
      <c r="R926" s="25">
        <f t="array" aca="1" ref="R926" ca="1">INDEX('Lorri 401b'!L:L,MATCH('Retirement Calculator'!A926,'Lorri 401b'!N:N,0),0)</f>
        <v>-16336544.828457292</v>
      </c>
      <c r="S926" s="25">
        <f t="shared" ca="1" si="787"/>
        <v>-22808992.180145428</v>
      </c>
    </row>
    <row r="927" spans="1:19" ht="15.75" customHeight="1" x14ac:dyDescent="0.3">
      <c r="A927" s="37">
        <v>79168</v>
      </c>
      <c r="B927" s="409">
        <f t="shared" ref="B927:C927" si="938">($A927-B$9)/365.25</f>
        <v>134.87200547570157</v>
      </c>
      <c r="C927" s="409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2192</v>
      </c>
      <c r="I927" s="25">
        <f>IF(C927&lt;62,0,'Combined Retirement'!$I$13)</f>
        <v>2420</v>
      </c>
      <c r="J927" s="25">
        <f t="shared" si="783"/>
        <v>7863.2184191855868</v>
      </c>
      <c r="K927" s="25">
        <f t="shared" si="784"/>
        <v>20282.026119384056</v>
      </c>
      <c r="L927" s="25"/>
      <c r="N927" s="25">
        <f>'Combined Retirement'!$C$18/12</f>
        <v>39153.069999999992</v>
      </c>
      <c r="O927" s="25">
        <f t="shared" si="785"/>
        <v>11007.82546143035</v>
      </c>
      <c r="P927" s="25">
        <f t="shared" si="786"/>
        <v>28145.244538569641</v>
      </c>
      <c r="Q927" s="25">
        <f t="array" aca="1" ref="Q927" ca="1">INDEX('Isaac 401k'!L:L,MATCH('Retirement Calculator'!A927,'Isaac 401k'!N:N,0),0)</f>
        <v>-6507311.8641494345</v>
      </c>
      <c r="R927" s="25">
        <f t="array" aca="1" ref="R927" ca="1">INDEX('Lorri 401b'!L:L,MATCH('Retirement Calculator'!A927,'Lorri 401b'!N:N,0),0)</f>
        <v>-16424980.29980408</v>
      </c>
      <c r="S927" s="25">
        <f t="shared" ca="1" si="787"/>
        <v>-22932292.163953513</v>
      </c>
    </row>
    <row r="928" spans="1:19" ht="15.75" customHeight="1" x14ac:dyDescent="0.3">
      <c r="A928" s="37">
        <v>79199</v>
      </c>
      <c r="B928" s="409">
        <f t="shared" ref="B928:C928" si="939">($A928-B$9)/365.25</f>
        <v>134.95687885010267</v>
      </c>
      <c r="C928" s="409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2192</v>
      </c>
      <c r="I928" s="25">
        <f>IF(C928&lt;62,0,'Combined Retirement'!$I$13)</f>
        <v>2420</v>
      </c>
      <c r="J928" s="25">
        <f t="shared" si="783"/>
        <v>7863.2184191855868</v>
      </c>
      <c r="K928" s="25">
        <f t="shared" si="784"/>
        <v>20282.026119384056</v>
      </c>
      <c r="L928" s="25"/>
      <c r="N928" s="25">
        <f>'Combined Retirement'!$C$18/12</f>
        <v>39153.069999999992</v>
      </c>
      <c r="O928" s="25">
        <f t="shared" si="785"/>
        <v>11007.82546143035</v>
      </c>
      <c r="P928" s="25">
        <f t="shared" si="786"/>
        <v>28145.244538569641</v>
      </c>
      <c r="Q928" s="25">
        <f t="array" aca="1" ref="Q928" ca="1">INDEX('Isaac 401k'!L:L,MATCH('Retirement Calculator'!A928,'Isaac 401k'!N:N,0),0)</f>
        <v>-6542321.6454126565</v>
      </c>
      <c r="R928" s="25">
        <f t="array" aca="1" ref="R928" ca="1">INDEX('Lorri 401b'!L:L,MATCH('Retirement Calculator'!A928,'Lorri 401b'!N:N,0),0)</f>
        <v>-16513784.25228148</v>
      </c>
      <c r="S928" s="25">
        <f t="shared" ca="1" si="787"/>
        <v>-23056105.897694137</v>
      </c>
    </row>
    <row r="929" spans="1:19" ht="15.75" customHeight="1" x14ac:dyDescent="0.3">
      <c r="A929" s="37">
        <v>79229</v>
      </c>
      <c r="B929" s="409">
        <f t="shared" ref="B929:C929" si="940">($A929-B$9)/365.25</f>
        <v>135.03901437371664</v>
      </c>
      <c r="C929" s="409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2192</v>
      </c>
      <c r="I929" s="25">
        <f>IF(C929&lt;62,0,'Combined Retirement'!$I$13)</f>
        <v>2420</v>
      </c>
      <c r="J929" s="25">
        <f t="shared" si="783"/>
        <v>7863.2184191855868</v>
      </c>
      <c r="K929" s="25">
        <f t="shared" si="784"/>
        <v>20282.026119384056</v>
      </c>
      <c r="L929" s="25"/>
      <c r="N929" s="25">
        <f>'Combined Retirement'!$C$18/12</f>
        <v>39153.069999999992</v>
      </c>
      <c r="O929" s="25">
        <f t="shared" si="785"/>
        <v>11007.82546143035</v>
      </c>
      <c r="P929" s="25">
        <f t="shared" si="786"/>
        <v>28145.244538569641</v>
      </c>
      <c r="Q929" s="25">
        <f t="array" aca="1" ref="Q929" ca="1">INDEX('Isaac 401k'!L:L,MATCH('Retirement Calculator'!A929,'Isaac 401k'!N:N,0),0)</f>
        <v>-6577477.300764475</v>
      </c>
      <c r="R929" s="25">
        <f t="array" aca="1" ref="R929" ca="1">INDEX('Lorri 401b'!L:L,MATCH('Retirement Calculator'!A929,'Lorri 401b'!N:N,0),0)</f>
        <v>-16602958.221227534</v>
      </c>
      <c r="S929" s="25">
        <f t="shared" ca="1" si="787"/>
        <v>-23180435.521992009</v>
      </c>
    </row>
    <row r="930" spans="1:19" ht="15.75" customHeight="1" x14ac:dyDescent="0.3">
      <c r="A930" s="37">
        <v>79260</v>
      </c>
      <c r="B930" s="409">
        <f t="shared" ref="B930:C930" si="941">($A930-B$9)/365.25</f>
        <v>135.12388774811774</v>
      </c>
      <c r="C930" s="409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2192</v>
      </c>
      <c r="I930" s="25">
        <f>IF(C930&lt;62,0,'Combined Retirement'!$I$13)</f>
        <v>2420</v>
      </c>
      <c r="J930" s="25">
        <f t="shared" si="783"/>
        <v>7863.2184191855868</v>
      </c>
      <c r="K930" s="25">
        <f t="shared" si="784"/>
        <v>20282.026119384056</v>
      </c>
      <c r="L930" s="25"/>
      <c r="N930" s="25">
        <f>'Combined Retirement'!$C$18/12</f>
        <v>39153.069999999992</v>
      </c>
      <c r="O930" s="25">
        <f t="shared" si="785"/>
        <v>11007.82546143035</v>
      </c>
      <c r="P930" s="25">
        <f t="shared" si="786"/>
        <v>28145.244538569641</v>
      </c>
      <c r="Q930" s="25">
        <f t="array" aca="1" ref="Q930" ca="1">INDEX('Isaac 401k'!L:L,MATCH('Retirement Calculator'!A930,'Isaac 401k'!N:N,0),0)</f>
        <v>-6612779.4380135927</v>
      </c>
      <c r="R930" s="25">
        <f t="array" aca="1" ref="R930" ca="1">INDEX('Lorri 401b'!L:L,MATCH('Retirement Calculator'!A930,'Lorri 401b'!N:N,0),0)</f>
        <v>-16692503.748377532</v>
      </c>
      <c r="S930" s="25">
        <f t="shared" ca="1" si="787"/>
        <v>-23305283.186391123</v>
      </c>
    </row>
    <row r="931" spans="1:19" ht="15.75" customHeight="1" x14ac:dyDescent="0.3">
      <c r="A931" s="37">
        <v>79291</v>
      </c>
      <c r="B931" s="409">
        <f t="shared" ref="B931:C931" si="942">($A931-B$9)/365.25</f>
        <v>135.20876112251884</v>
      </c>
      <c r="C931" s="409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2192</v>
      </c>
      <c r="I931" s="25">
        <f>IF(C931&lt;62,0,'Combined Retirement'!$I$13)</f>
        <v>2420</v>
      </c>
      <c r="J931" s="25">
        <f t="shared" si="783"/>
        <v>7863.2184191855868</v>
      </c>
      <c r="K931" s="25">
        <f t="shared" si="784"/>
        <v>20282.026119384056</v>
      </c>
      <c r="L931" s="25"/>
      <c r="N931" s="25">
        <f>'Combined Retirement'!$C$18/12</f>
        <v>39153.069999999992</v>
      </c>
      <c r="O931" s="25">
        <f t="shared" si="785"/>
        <v>11007.82546143035</v>
      </c>
      <c r="P931" s="25">
        <f t="shared" si="786"/>
        <v>28145.244538569641</v>
      </c>
      <c r="Q931" s="25">
        <f t="array" aca="1" ref="Q931" ca="1">INDEX('Isaac 401k'!L:L,MATCH('Retirement Calculator'!A931,'Isaac 401k'!N:N,0),0)</f>
        <v>-6648228.6675012484</v>
      </c>
      <c r="R931" s="25">
        <f t="array" aca="1" ref="R931" ca="1">INDEX('Lorri 401b'!L:L,MATCH('Retirement Calculator'!A931,'Lorri 401b'!N:N,0),0)</f>
        <v>-16782422.381890655</v>
      </c>
      <c r="S931" s="25">
        <f t="shared" ca="1" si="787"/>
        <v>-23430651.049391903</v>
      </c>
    </row>
    <row r="932" spans="1:19" ht="15.75" customHeight="1" x14ac:dyDescent="0.3">
      <c r="A932" s="37">
        <v>79319</v>
      </c>
      <c r="B932" s="409">
        <f t="shared" ref="B932:C932" si="943">($A932-B$9)/365.25</f>
        <v>135.28542094455852</v>
      </c>
      <c r="C932" s="409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2192</v>
      </c>
      <c r="I932" s="25">
        <f>IF(C932&lt;62,0,'Combined Retirement'!$I$13)</f>
        <v>2420</v>
      </c>
      <c r="J932" s="25">
        <f t="shared" si="783"/>
        <v>7863.2184191855868</v>
      </c>
      <c r="K932" s="25">
        <f t="shared" si="784"/>
        <v>20282.026119384056</v>
      </c>
      <c r="L932" s="25"/>
      <c r="N932" s="25">
        <f>'Combined Retirement'!$C$18/12</f>
        <v>39153.069999999992</v>
      </c>
      <c r="O932" s="25">
        <f t="shared" si="785"/>
        <v>11007.82546143035</v>
      </c>
      <c r="P932" s="25">
        <f t="shared" si="786"/>
        <v>28145.244538569641</v>
      </c>
      <c r="Q932" s="25">
        <f t="array" aca="1" ref="Q932" ca="1">INDEX('Isaac 401k'!L:L,MATCH('Retirement Calculator'!A932,'Isaac 401k'!N:N,0),0)</f>
        <v>-6683825.6021117698</v>
      </c>
      <c r="R932" s="25">
        <f t="array" aca="1" ref="R932" ca="1">INDEX('Lorri 401b'!L:L,MATCH('Retirement Calculator'!A932,'Lorri 401b'!N:N,0),0)</f>
        <v>-16872715.676376749</v>
      </c>
      <c r="S932" s="25">
        <f t="shared" ca="1" si="787"/>
        <v>-23556541.278488517</v>
      </c>
    </row>
    <row r="933" spans="1:19" ht="15.75" customHeight="1" x14ac:dyDescent="0.3">
      <c r="A933" s="37">
        <v>79350</v>
      </c>
      <c r="B933" s="409">
        <f t="shared" ref="B933:C933" si="944">($A933-B$9)/365.25</f>
        <v>135.37029431895962</v>
      </c>
      <c r="C933" s="409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2192</v>
      </c>
      <c r="I933" s="25">
        <f>IF(C933&lt;62,0,'Combined Retirement'!$I$13)</f>
        <v>2420</v>
      </c>
      <c r="J933" s="25">
        <f t="shared" si="783"/>
        <v>7863.2184191855868</v>
      </c>
      <c r="K933" s="25">
        <f t="shared" si="784"/>
        <v>20282.026119384056</v>
      </c>
      <c r="L933" s="25"/>
      <c r="N933" s="25">
        <f>'Combined Retirement'!$C$18/12</f>
        <v>39153.069999999992</v>
      </c>
      <c r="O933" s="25">
        <f t="shared" si="785"/>
        <v>11007.82546143035</v>
      </c>
      <c r="P933" s="25">
        <f t="shared" si="786"/>
        <v>28145.244538569641</v>
      </c>
      <c r="Q933" s="25">
        <f t="array" aca="1" ref="Q933" ca="1">INDEX('Isaac 401k'!L:L,MATCH('Retirement Calculator'!A933,'Isaac 401k'!N:N,0),0)</f>
        <v>-6719570.8572831675</v>
      </c>
      <c r="R933" s="25">
        <f t="array" aca="1" ref="R933" ca="1">INDEX('Lorri 401b'!L:L,MATCH('Retirement Calculator'!A933,'Lorri 401b'!N:N,0),0)</f>
        <v>-16963385.192923199</v>
      </c>
      <c r="S933" s="25">
        <f t="shared" ca="1" si="787"/>
        <v>-23682956.050206367</v>
      </c>
    </row>
    <row r="934" spans="1:19" ht="15.75" customHeight="1" x14ac:dyDescent="0.3">
      <c r="A934" s="37">
        <v>79380</v>
      </c>
      <c r="B934" s="409">
        <f t="shared" ref="B934:C934" si="945">($A934-B$9)/365.25</f>
        <v>135.45242984257359</v>
      </c>
      <c r="C934" s="409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2192</v>
      </c>
      <c r="I934" s="25">
        <f>IF(C934&lt;62,0,'Combined Retirement'!$I$13)</f>
        <v>2420</v>
      </c>
      <c r="J934" s="25">
        <f t="shared" si="783"/>
        <v>7863.2184191855868</v>
      </c>
      <c r="K934" s="25">
        <f t="shared" si="784"/>
        <v>20282.026119384056</v>
      </c>
      <c r="L934" s="25"/>
      <c r="N934" s="25">
        <f>'Combined Retirement'!$C$18/12</f>
        <v>39153.069999999992</v>
      </c>
      <c r="O934" s="25">
        <f t="shared" si="785"/>
        <v>11007.82546143035</v>
      </c>
      <c r="P934" s="25">
        <f t="shared" si="786"/>
        <v>28145.244538569641</v>
      </c>
      <c r="Q934" s="25">
        <f t="array" aca="1" ref="Q934" ca="1">INDEX('Isaac 401k'!L:L,MATCH('Retirement Calculator'!A934,'Isaac 401k'!N:N,0),0)</f>
        <v>-6755465.0510177799</v>
      </c>
      <c r="R934" s="25">
        <f t="array" aca="1" ref="R934" ca="1">INDEX('Lorri 401b'!L:L,MATCH('Retirement Calculator'!A934,'Lorri 401b'!N:N,0),0)</f>
        <v>-17054432.499121927</v>
      </c>
      <c r="S934" s="25">
        <f t="shared" ca="1" si="787"/>
        <v>-23809897.550139707</v>
      </c>
    </row>
    <row r="935" spans="1:19" ht="15.75" customHeight="1" x14ac:dyDescent="0.3">
      <c r="A935" s="37">
        <v>79411</v>
      </c>
      <c r="B935" s="409">
        <f t="shared" ref="B935:C935" si="946">($A935-B$9)/365.25</f>
        <v>135.53730321697466</v>
      </c>
      <c r="C935" s="409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2192</v>
      </c>
      <c r="I935" s="25">
        <f>IF(C935&lt;62,0,'Combined Retirement'!$I$13)</f>
        <v>2420</v>
      </c>
      <c r="J935" s="25">
        <f t="shared" si="783"/>
        <v>7863.2184191855868</v>
      </c>
      <c r="K935" s="25">
        <f t="shared" si="784"/>
        <v>20282.026119384056</v>
      </c>
      <c r="L935" s="25"/>
      <c r="N935" s="25">
        <f>'Combined Retirement'!$C$18/12</f>
        <v>39153.069999999992</v>
      </c>
      <c r="O935" s="25">
        <f t="shared" si="785"/>
        <v>11007.82546143035</v>
      </c>
      <c r="P935" s="25">
        <f t="shared" si="786"/>
        <v>28145.244538569641</v>
      </c>
      <c r="Q935" s="25">
        <f t="array" aca="1" ref="Q935" ca="1">INDEX('Isaac 401k'!L:L,MATCH('Retirement Calculator'!A935,'Isaac 401k'!N:N,0),0)</f>
        <v>-6791508.8038929533</v>
      </c>
      <c r="R935" s="25">
        <f t="array" aca="1" ref="R935" ca="1">INDEX('Lorri 401b'!L:L,MATCH('Retirement Calculator'!A935,'Lorri 401b'!N:N,0),0)</f>
        <v>-17145859.169096485</v>
      </c>
      <c r="S935" s="25">
        <f t="shared" ca="1" si="787"/>
        <v>-23937367.97298944</v>
      </c>
    </row>
    <row r="936" spans="1:19" ht="15.75" customHeight="1" x14ac:dyDescent="0.3">
      <c r="A936" s="37">
        <v>79441</v>
      </c>
      <c r="B936" s="409">
        <f t="shared" ref="B936:C936" si="947">($A936-B$9)/365.25</f>
        <v>135.61943874058863</v>
      </c>
      <c r="C936" s="409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2192</v>
      </c>
      <c r="I936" s="25">
        <f>IF(C936&lt;62,0,'Combined Retirement'!$I$13)</f>
        <v>2420</v>
      </c>
      <c r="J936" s="25">
        <f t="shared" si="783"/>
        <v>7863.2184191855868</v>
      </c>
      <c r="K936" s="25">
        <f t="shared" si="784"/>
        <v>20282.026119384056</v>
      </c>
      <c r="L936" s="25"/>
      <c r="N936" s="25">
        <f>'Combined Retirement'!$C$18/12</f>
        <v>39153.069999999992</v>
      </c>
      <c r="O936" s="25">
        <f t="shared" si="785"/>
        <v>11007.82546143035</v>
      </c>
      <c r="P936" s="25">
        <f t="shared" si="786"/>
        <v>28145.244538569641</v>
      </c>
      <c r="Q936" s="25">
        <f t="array" aca="1" ref="Q936" ca="1">INDEX('Isaac 401k'!L:L,MATCH('Retirement Calculator'!A936,'Isaac 401k'!N:N,0),0)</f>
        <v>-6827702.7390717734</v>
      </c>
      <c r="R936" s="25">
        <f t="array" aca="1" ref="R936" ca="1">INDEX('Lorri 401b'!L:L,MATCH('Retirement Calculator'!A936,'Lorri 401b'!N:N,0),0)</f>
        <v>-17237666.78352927</v>
      </c>
      <c r="S936" s="25">
        <f t="shared" ca="1" si="787"/>
        <v>-24065369.522601046</v>
      </c>
    </row>
    <row r="937" spans="1:19" ht="15.75" customHeight="1" x14ac:dyDescent="0.3">
      <c r="A937" s="37">
        <v>79472</v>
      </c>
      <c r="B937" s="409">
        <f t="shared" ref="B937:C937" si="948">($A937-B$9)/365.25</f>
        <v>135.70431211498973</v>
      </c>
      <c r="C937" s="409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2192</v>
      </c>
      <c r="I937" s="25">
        <f>IF(C937&lt;62,0,'Combined Retirement'!$I$13)</f>
        <v>2420</v>
      </c>
      <c r="J937" s="25">
        <f t="shared" si="783"/>
        <v>7863.2184191855868</v>
      </c>
      <c r="K937" s="25">
        <f t="shared" si="784"/>
        <v>20282.026119384056</v>
      </c>
      <c r="L937" s="25"/>
      <c r="N937" s="25">
        <f>'Combined Retirement'!$C$18/12</f>
        <v>39153.069999999992</v>
      </c>
      <c r="O937" s="25">
        <f t="shared" si="785"/>
        <v>11007.82546143035</v>
      </c>
      <c r="P937" s="25">
        <f t="shared" si="786"/>
        <v>28145.244538569641</v>
      </c>
      <c r="Q937" s="25">
        <f t="array" aca="1" ref="Q937" ca="1">INDEX('Isaac 401k'!L:L,MATCH('Retirement Calculator'!A937,'Isaac 401k'!N:N,0),0)</f>
        <v>-6864047.4823138379</v>
      </c>
      <c r="R937" s="25">
        <f t="array" aca="1" ref="R937" ca="1">INDEX('Lorri 401b'!L:L,MATCH('Retirement Calculator'!A937,'Lorri 401b'!N:N,0),0)</f>
        <v>-17329856.92968886</v>
      </c>
      <c r="S937" s="25">
        <f t="shared" ca="1" si="787"/>
        <v>-24193904.412002698</v>
      </c>
    </row>
    <row r="938" spans="1:19" ht="15.75" customHeight="1" x14ac:dyDescent="0.3">
      <c r="A938" s="37">
        <v>79503</v>
      </c>
      <c r="B938" s="409">
        <f t="shared" ref="B938:C938" si="949">($A938-B$9)/365.25</f>
        <v>135.78918548939083</v>
      </c>
      <c r="C938" s="409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2192</v>
      </c>
      <c r="I938" s="25">
        <f>IF(C938&lt;62,0,'Combined Retirement'!$I$13)</f>
        <v>2420</v>
      </c>
      <c r="J938" s="25">
        <f t="shared" si="783"/>
        <v>7863.2184191855868</v>
      </c>
      <c r="K938" s="25">
        <f t="shared" si="784"/>
        <v>20282.026119384056</v>
      </c>
      <c r="L938" s="25"/>
      <c r="N938" s="25">
        <f>'Combined Retirement'!$C$18/12</f>
        <v>39153.069999999992</v>
      </c>
      <c r="O938" s="25">
        <f t="shared" si="785"/>
        <v>11007.82546143035</v>
      </c>
      <c r="P938" s="25">
        <f t="shared" si="786"/>
        <v>28145.244538569641</v>
      </c>
      <c r="Q938" s="25">
        <f t="array" aca="1" ref="Q938" ca="1">INDEX('Isaac 401k'!L:L,MATCH('Retirement Calculator'!A938,'Isaac 401k'!N:N,0),0)</f>
        <v>-6900543.6619860781</v>
      </c>
      <c r="R938" s="25">
        <f t="array" aca="1" ref="R938" ca="1">INDEX('Lorri 401b'!L:L,MATCH('Retirement Calculator'!A938,'Lorri 401b'!N:N,0),0)</f>
        <v>-17422431.201457445</v>
      </c>
      <c r="S938" s="25">
        <f t="shared" ca="1" si="787"/>
        <v>-24322974.863443524</v>
      </c>
    </row>
    <row r="939" spans="1:19" ht="15.75" customHeight="1" x14ac:dyDescent="0.3">
      <c r="A939" s="37">
        <v>79533</v>
      </c>
      <c r="B939" s="409">
        <f t="shared" ref="B939:C939" si="950">($A939-B$9)/365.25</f>
        <v>135.8713210130048</v>
      </c>
      <c r="C939" s="409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2192</v>
      </c>
      <c r="I939" s="25">
        <f>IF(C939&lt;62,0,'Combined Retirement'!$I$13)</f>
        <v>2420</v>
      </c>
      <c r="J939" s="25">
        <f t="shared" si="783"/>
        <v>7863.2184191855868</v>
      </c>
      <c r="K939" s="25">
        <f t="shared" si="784"/>
        <v>20282.026119384056</v>
      </c>
      <c r="L939" s="25"/>
      <c r="N939" s="25">
        <f>'Combined Retirement'!$C$18/12</f>
        <v>39153.069999999992</v>
      </c>
      <c r="O939" s="25">
        <f t="shared" si="785"/>
        <v>11007.82546143035</v>
      </c>
      <c r="P939" s="25">
        <f t="shared" si="786"/>
        <v>28145.244538569641</v>
      </c>
      <c r="Q939" s="25">
        <f t="array" aca="1" ref="Q939" ca="1">INDEX('Isaac 401k'!L:L,MATCH('Retirement Calculator'!A939,'Isaac 401k'!N:N,0),0)</f>
        <v>-6937191.9090736192</v>
      </c>
      <c r="R939" s="25">
        <f t="array" aca="1" ref="R939" ca="1">INDEX('Lorri 401b'!L:L,MATCH('Retirement Calculator'!A939,'Lorri 401b'!N:N,0),0)</f>
        <v>-17515391.1993584</v>
      </c>
      <c r="S939" s="25">
        <f t="shared" ca="1" si="787"/>
        <v>-24452583.108432017</v>
      </c>
    </row>
    <row r="940" spans="1:19" ht="15.75" customHeight="1" x14ac:dyDescent="0.3">
      <c r="A940" s="37">
        <v>79564</v>
      </c>
      <c r="B940" s="409">
        <f t="shared" ref="B940:C940" si="951">($A940-B$9)/365.25</f>
        <v>135.95619438740587</v>
      </c>
      <c r="C940" s="409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2192</v>
      </c>
      <c r="I940" s="25">
        <f>IF(C940&lt;62,0,'Combined Retirement'!$I$13)</f>
        <v>2420</v>
      </c>
      <c r="J940" s="25">
        <f t="shared" si="783"/>
        <v>7863.2184191855868</v>
      </c>
      <c r="K940" s="25">
        <f t="shared" si="784"/>
        <v>20282.026119384056</v>
      </c>
      <c r="L940" s="25"/>
      <c r="N940" s="25">
        <f>'Combined Retirement'!$C$18/12</f>
        <v>39153.069999999992</v>
      </c>
      <c r="O940" s="25">
        <f t="shared" si="785"/>
        <v>11007.82546143035</v>
      </c>
      <c r="P940" s="25">
        <f t="shared" si="786"/>
        <v>28145.244538569641</v>
      </c>
      <c r="Q940" s="25">
        <f t="array" aca="1" ref="Q940" ca="1">INDEX('Isaac 401k'!L:L,MATCH('Retirement Calculator'!A940,'Isaac 401k'!N:N,0),0)</f>
        <v>-6973992.8571906919</v>
      </c>
      <c r="R940" s="25">
        <f t="array" aca="1" ref="R940" ca="1">INDEX('Lorri 401b'!L:L,MATCH('Retirement Calculator'!A940,'Lorri 401b'!N:N,0),0)</f>
        <v>-17608738.53058394</v>
      </c>
      <c r="S940" s="25">
        <f t="shared" ca="1" si="787"/>
        <v>-24582731.387774631</v>
      </c>
    </row>
    <row r="941" spans="1:19" ht="15.75" customHeight="1" x14ac:dyDescent="0.3">
      <c r="A941" s="37">
        <v>79594</v>
      </c>
      <c r="B941" s="409">
        <f t="shared" ref="B941:C941" si="952">($A941-B$9)/365.25</f>
        <v>136.03832991101984</v>
      </c>
      <c r="C941" s="409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2192</v>
      </c>
      <c r="I941" s="25">
        <f>IF(C941&lt;62,0,'Combined Retirement'!$I$13)</f>
        <v>2420</v>
      </c>
      <c r="J941" s="25">
        <f t="shared" si="783"/>
        <v>7863.2184191855868</v>
      </c>
      <c r="K941" s="25">
        <f t="shared" si="784"/>
        <v>20282.026119384056</v>
      </c>
      <c r="L941" s="25"/>
      <c r="N941" s="25">
        <f>'Combined Retirement'!$C$18/12</f>
        <v>39153.069999999992</v>
      </c>
      <c r="O941" s="25">
        <f t="shared" si="785"/>
        <v>11007.82546143035</v>
      </c>
      <c r="P941" s="25">
        <f t="shared" si="786"/>
        <v>28145.244538569641</v>
      </c>
      <c r="Q941" s="25">
        <f t="array" aca="1" ref="Q941" ca="1">INDEX('Isaac 401k'!L:L,MATCH('Retirement Calculator'!A941,'Isaac 401k'!N:N,0),0)</f>
        <v>-7010947.1425915854</v>
      </c>
      <c r="R941" s="25">
        <f t="array" aca="1" ref="R941" ca="1">INDEX('Lorri 401b'!L:L,MATCH('Retirement Calculator'!A941,'Lorri 401b'!N:N,0),0)</f>
        <v>-17702474.809022922</v>
      </c>
      <c r="S941" s="25">
        <f t="shared" ca="1" si="787"/>
        <v>-24713421.951614507</v>
      </c>
    </row>
    <row r="942" spans="1:19" ht="15.75" customHeight="1" x14ac:dyDescent="0.3">
      <c r="A942" s="37">
        <v>79625</v>
      </c>
      <c r="B942" s="409">
        <f t="shared" ref="B942:C942" si="953">($A942-B$9)/365.25</f>
        <v>136.12320328542094</v>
      </c>
      <c r="C942" s="409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2192</v>
      </c>
      <c r="I942" s="25">
        <f>IF(C942&lt;62,0,'Combined Retirement'!$I$13)</f>
        <v>2420</v>
      </c>
      <c r="J942" s="25">
        <f t="shared" si="783"/>
        <v>7863.2184191855868</v>
      </c>
      <c r="K942" s="25">
        <f t="shared" si="784"/>
        <v>20282.026119384056</v>
      </c>
      <c r="L942" s="25"/>
      <c r="N942" s="25">
        <f>'Combined Retirement'!$C$18/12</f>
        <v>39153.069999999992</v>
      </c>
      <c r="O942" s="25">
        <f t="shared" si="785"/>
        <v>11007.82546143035</v>
      </c>
      <c r="P942" s="25">
        <f t="shared" si="786"/>
        <v>28145.244538569641</v>
      </c>
      <c r="Q942" s="25">
        <f t="array" aca="1" ref="Q942" ca="1">INDEX('Isaac 401k'!L:L,MATCH('Retirement Calculator'!A942,'Isaac 401k'!N:N,0),0)</f>
        <v>-7048055.4041816499</v>
      </c>
      <c r="R942" s="25">
        <f t="array" aca="1" ref="R942" ca="1">INDEX('Lorri 401b'!L:L,MATCH('Retirement Calculator'!A942,'Lorri 401b'!N:N,0),0)</f>
        <v>-17796601.655288734</v>
      </c>
      <c r="S942" s="25">
        <f t="shared" ca="1" si="787"/>
        <v>-24844657.059470385</v>
      </c>
    </row>
    <row r="943" spans="1:19" ht="15.75" customHeight="1" x14ac:dyDescent="0.3">
      <c r="A943" s="37">
        <v>79656</v>
      </c>
      <c r="B943" s="409">
        <f t="shared" ref="B943:C943" si="954">($A943-B$9)/365.25</f>
        <v>136.20807665982204</v>
      </c>
      <c r="C943" s="409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2192</v>
      </c>
      <c r="I943" s="25">
        <f>IF(C943&lt;62,0,'Combined Retirement'!$I$13)</f>
        <v>2420</v>
      </c>
      <c r="J943" s="25">
        <f t="shared" si="783"/>
        <v>7863.2184191855868</v>
      </c>
      <c r="K943" s="25">
        <f t="shared" si="784"/>
        <v>20282.026119384056</v>
      </c>
      <c r="L943" s="25"/>
      <c r="N943" s="25">
        <f>'Combined Retirement'!$C$18/12</f>
        <v>39153.069999999992</v>
      </c>
      <c r="O943" s="25">
        <f t="shared" si="785"/>
        <v>11007.82546143035</v>
      </c>
      <c r="P943" s="25">
        <f t="shared" si="786"/>
        <v>28145.244538569641</v>
      </c>
      <c r="Q943" s="25">
        <f t="array" aca="1" ref="Q943" ca="1">INDEX('Isaac 401k'!L:L,MATCH('Retirement Calculator'!A943,'Isaac 401k'!N:N,0),0)</f>
        <v>-7085318.2835283391</v>
      </c>
      <c r="R943" s="25">
        <f t="array" aca="1" ref="R943" ca="1">INDEX('Lorri 401b'!L:L,MATCH('Retirement Calculator'!A943,'Lorri 401b'!N:N,0),0)</f>
        <v>-17891120.696747318</v>
      </c>
      <c r="S943" s="25">
        <f t="shared" ca="1" si="787"/>
        <v>-24976438.980275657</v>
      </c>
    </row>
    <row r="944" spans="1:19" ht="15.75" customHeight="1" x14ac:dyDescent="0.3">
      <c r="A944" s="37">
        <v>79684</v>
      </c>
      <c r="B944" s="409">
        <f t="shared" ref="B944:C944" si="955">($A944-B$9)/365.25</f>
        <v>136.28473648186173</v>
      </c>
      <c r="C944" s="409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2192</v>
      </c>
      <c r="I944" s="25">
        <f>IF(C944&lt;62,0,'Combined Retirement'!$I$13)</f>
        <v>2420</v>
      </c>
      <c r="J944" s="25">
        <f t="shared" si="783"/>
        <v>7863.2184191855868</v>
      </c>
      <c r="K944" s="25">
        <f t="shared" si="784"/>
        <v>20282.026119384056</v>
      </c>
      <c r="L944" s="25"/>
      <c r="N944" s="25">
        <f>'Combined Retirement'!$C$18/12</f>
        <v>39153.069999999992</v>
      </c>
      <c r="O944" s="25">
        <f t="shared" si="785"/>
        <v>11007.82546143035</v>
      </c>
      <c r="P944" s="25">
        <f t="shared" si="786"/>
        <v>28145.244538569641</v>
      </c>
      <c r="Q944" s="25">
        <f t="array" aca="1" ref="Q944" ca="1">INDEX('Isaac 401k'!L:L,MATCH('Retirement Calculator'!A944,'Isaac 401k'!N:N,0),0)</f>
        <v>-7122736.4248723062</v>
      </c>
      <c r="R944" s="25">
        <f t="array" aca="1" ref="R944" ca="1">INDEX('Lorri 401b'!L:L,MATCH('Retirement Calculator'!A944,'Lorri 401b'!N:N,0),0)</f>
        <v>-17986033.567545313</v>
      </c>
      <c r="S944" s="25">
        <f t="shared" ca="1" si="787"/>
        <v>-25108769.992417619</v>
      </c>
    </row>
    <row r="945" spans="1:19" ht="15.75" customHeight="1" x14ac:dyDescent="0.3">
      <c r="A945" s="37">
        <v>79715</v>
      </c>
      <c r="B945" s="409">
        <f t="shared" ref="B945:C945" si="956">($A945-B$9)/365.25</f>
        <v>136.36960985626283</v>
      </c>
      <c r="C945" s="409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2192</v>
      </c>
      <c r="I945" s="25">
        <f>IF(C945&lt;62,0,'Combined Retirement'!$I$13)</f>
        <v>2420</v>
      </c>
      <c r="J945" s="25">
        <f t="shared" si="783"/>
        <v>7863.2184191855868</v>
      </c>
      <c r="K945" s="25">
        <f t="shared" si="784"/>
        <v>20282.026119384056</v>
      </c>
      <c r="L945" s="25"/>
      <c r="N945" s="25">
        <f>'Combined Retirement'!$C$18/12</f>
        <v>39153.069999999992</v>
      </c>
      <c r="O945" s="25">
        <f t="shared" si="785"/>
        <v>11007.82546143035</v>
      </c>
      <c r="P945" s="25">
        <f t="shared" si="786"/>
        <v>28145.244538569641</v>
      </c>
      <c r="Q945" s="25">
        <f t="array" aca="1" ref="Q945" ca="1">INDEX('Isaac 401k'!L:L,MATCH('Retirement Calculator'!A945,'Isaac 401k'!N:N,0),0)</f>
        <v>-7160310.4751385394</v>
      </c>
      <c r="R945" s="25">
        <f t="array" aca="1" ref="R945" ca="1">INDEX('Lorri 401b'!L:L,MATCH('Retirement Calculator'!A945,'Lorri 401b'!N:N,0),0)</f>
        <v>-18081341.908638302</v>
      </c>
      <c r="S945" s="25">
        <f t="shared" ca="1" si="787"/>
        <v>-25241652.383776844</v>
      </c>
    </row>
    <row r="946" spans="1:19" ht="15.75" customHeight="1" x14ac:dyDescent="0.3">
      <c r="A946" s="37">
        <v>79745</v>
      </c>
      <c r="B946" s="409">
        <f t="shared" ref="B946:C946" si="957">($A946-B$9)/365.25</f>
        <v>136.4517453798768</v>
      </c>
      <c r="C946" s="409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2192</v>
      </c>
      <c r="I946" s="25">
        <f>IF(C946&lt;62,0,'Combined Retirement'!$I$13)</f>
        <v>2420</v>
      </c>
      <c r="J946" s="25">
        <f t="shared" si="783"/>
        <v>7863.2184191855868</v>
      </c>
      <c r="K946" s="25">
        <f t="shared" si="784"/>
        <v>20282.026119384056</v>
      </c>
      <c r="L946" s="25"/>
      <c r="N946" s="25">
        <f>'Combined Retirement'!$C$18/12</f>
        <v>39153.069999999992</v>
      </c>
      <c r="O946" s="25">
        <f t="shared" si="785"/>
        <v>11007.82546143035</v>
      </c>
      <c r="P946" s="25">
        <f t="shared" si="786"/>
        <v>28145.244538569641</v>
      </c>
      <c r="Q946" s="25">
        <f t="array" aca="1" ref="Q946" ca="1">INDEX('Isaac 401k'!L:L,MATCH('Retirement Calculator'!A946,'Isaac 401k'!N:N,0),0)</f>
        <v>-7198041.0839475496</v>
      </c>
      <c r="R946" s="25">
        <f t="array" aca="1" ref="R946" ca="1">INDEX('Lorri 401b'!L:L,MATCH('Retirement Calculator'!A946,'Lorri 401b'!N:N,0),0)</f>
        <v>-18177047.367819179</v>
      </c>
      <c r="S946" s="25">
        <f t="shared" ca="1" si="787"/>
        <v>-25375088.451766729</v>
      </c>
    </row>
    <row r="947" spans="1:19" ht="15.75" customHeight="1" x14ac:dyDescent="0.3">
      <c r="A947" s="37">
        <v>79776</v>
      </c>
      <c r="B947" s="409">
        <f t="shared" ref="B947:C947" si="958">($A947-B$9)/365.25</f>
        <v>136.5366187542779</v>
      </c>
      <c r="C947" s="409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2192</v>
      </c>
      <c r="I947" s="25">
        <f>IF(C947&lt;62,0,'Combined Retirement'!$I$13)</f>
        <v>2420</v>
      </c>
      <c r="J947" s="25">
        <f t="shared" si="783"/>
        <v>7863.2184191855868</v>
      </c>
      <c r="K947" s="25">
        <f t="shared" si="784"/>
        <v>20282.026119384056</v>
      </c>
      <c r="L947" s="25"/>
      <c r="N947" s="25">
        <f>'Combined Retirement'!$C$18/12</f>
        <v>39153.069999999992</v>
      </c>
      <c r="O947" s="25">
        <f t="shared" si="785"/>
        <v>11007.82546143035</v>
      </c>
      <c r="P947" s="25">
        <f t="shared" si="786"/>
        <v>28145.244538569641</v>
      </c>
      <c r="Q947" s="25">
        <f t="array" aca="1" ref="Q947" ca="1">INDEX('Isaac 401k'!L:L,MATCH('Retirement Calculator'!A947,'Isaac 401k'!N:N,0),0)</f>
        <v>-7235928.9036265966</v>
      </c>
      <c r="R947" s="25">
        <f t="array" aca="1" ref="R947" ca="1">INDEX('Lorri 401b'!L:L,MATCH('Retirement Calculator'!A947,'Lorri 401b'!N:N,0),0)</f>
        <v>-18273151.599746641</v>
      </c>
      <c r="S947" s="25">
        <f t="shared" ca="1" si="787"/>
        <v>-25509080.503373235</v>
      </c>
    </row>
    <row r="948" spans="1:19" ht="15.75" customHeight="1" x14ac:dyDescent="0.3">
      <c r="A948" s="37">
        <v>79806</v>
      </c>
      <c r="B948" s="409">
        <f t="shared" ref="B948:C948" si="959">($A948-B$9)/365.25</f>
        <v>136.61875427789187</v>
      </c>
      <c r="C948" s="409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2192</v>
      </c>
      <c r="I948" s="25">
        <f>IF(C948&lt;62,0,'Combined Retirement'!$I$13)</f>
        <v>2420</v>
      </c>
      <c r="J948" s="25">
        <f t="shared" si="783"/>
        <v>7863.2184191855868</v>
      </c>
      <c r="K948" s="25">
        <f t="shared" si="784"/>
        <v>20282.026119384056</v>
      </c>
      <c r="L948" s="25"/>
      <c r="N948" s="25">
        <f>'Combined Retirement'!$C$18/12</f>
        <v>39153.069999999992</v>
      </c>
      <c r="O948" s="25">
        <f t="shared" si="785"/>
        <v>11007.82546143035</v>
      </c>
      <c r="P948" s="25">
        <f t="shared" si="786"/>
        <v>28145.244538569641</v>
      </c>
      <c r="Q948" s="25">
        <f t="array" aca="1" ref="Q948" ca="1">INDEX('Isaac 401k'!L:L,MATCH('Retirement Calculator'!A948,'Isaac 401k'!N:N,0),0)</f>
        <v>-7273974.5892209727</v>
      </c>
      <c r="R948" s="25">
        <f t="array" aca="1" ref="R948" ca="1">INDEX('Lorri 401b'!L:L,MATCH('Retirement Calculator'!A948,'Lorri 401b'!N:N,0),0)</f>
        <v>-18369656.265973799</v>
      </c>
      <c r="S948" s="25">
        <f t="shared" ca="1" si="787"/>
        <v>-25643630.85519477</v>
      </c>
    </row>
    <row r="949" spans="1:19" ht="15.75" customHeight="1" x14ac:dyDescent="0.3">
      <c r="A949" s="37">
        <v>79837</v>
      </c>
      <c r="B949" s="409">
        <f t="shared" ref="B949:C949" si="960">($A949-B$9)/365.25</f>
        <v>136.70362765229294</v>
      </c>
      <c r="C949" s="409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2192</v>
      </c>
      <c r="I949" s="25">
        <f>IF(C949&lt;62,0,'Combined Retirement'!$I$13)</f>
        <v>2420</v>
      </c>
      <c r="J949" s="25">
        <f t="shared" si="783"/>
        <v>7863.2184191855868</v>
      </c>
      <c r="K949" s="25">
        <f t="shared" si="784"/>
        <v>20282.026119384056</v>
      </c>
      <c r="L949" s="25"/>
      <c r="N949" s="25">
        <f>'Combined Retirement'!$C$18/12</f>
        <v>39153.069999999992</v>
      </c>
      <c r="O949" s="25">
        <f t="shared" si="785"/>
        <v>11007.82546143035</v>
      </c>
      <c r="P949" s="25">
        <f t="shared" si="786"/>
        <v>28145.244538569641</v>
      </c>
      <c r="Q949" s="25">
        <f t="array" aca="1" ref="Q949" ca="1">INDEX('Isaac 401k'!L:L,MATCH('Retirement Calculator'!A949,'Isaac 401k'!N:N,0),0)</f>
        <v>-7312178.7985053258</v>
      </c>
      <c r="R949" s="25">
        <f t="array" aca="1" ref="R949" ca="1">INDEX('Lorri 401b'!L:L,MATCH('Retirement Calculator'!A949,'Lorri 401b'!N:N,0),0)</f>
        <v>-18466563.034976907</v>
      </c>
      <c r="S949" s="25">
        <f t="shared" ca="1" si="787"/>
        <v>-25778741.833482232</v>
      </c>
    </row>
    <row r="950" spans="1:19" ht="15.75" customHeight="1" x14ac:dyDescent="0.3">
      <c r="A950" s="37">
        <v>79868</v>
      </c>
      <c r="B950" s="409">
        <f t="shared" ref="B950:C950" si="961">($A950-B$9)/365.25</f>
        <v>136.78850102669404</v>
      </c>
      <c r="C950" s="409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2192</v>
      </c>
      <c r="I950" s="25">
        <f>IF(C950&lt;62,0,'Combined Retirement'!$I$13)</f>
        <v>2420</v>
      </c>
      <c r="J950" s="25">
        <f t="shared" si="783"/>
        <v>7863.2184191855868</v>
      </c>
      <c r="K950" s="25">
        <f t="shared" si="784"/>
        <v>20282.026119384056</v>
      </c>
      <c r="L950" s="25"/>
      <c r="N950" s="25">
        <f>'Combined Retirement'!$C$18/12</f>
        <v>39153.069999999992</v>
      </c>
      <c r="O950" s="25">
        <f t="shared" si="785"/>
        <v>11007.82546143035</v>
      </c>
      <c r="P950" s="25">
        <f t="shared" si="786"/>
        <v>28145.244538569641</v>
      </c>
      <c r="Q950" s="25">
        <f t="array" aca="1" ref="Q950" ca="1">INDEX('Isaac 401k'!L:L,MATCH('Retirement Calculator'!A950,'Isaac 401k'!N:N,0),0)</f>
        <v>-7350542.1919950303</v>
      </c>
      <c r="R950" s="25">
        <f t="array" aca="1" ref="R950" ca="1">INDEX('Lorri 401b'!L:L,MATCH('Retirement Calculator'!A950,'Lorri 401b'!N:N,0),0)</f>
        <v>-18563873.582184192</v>
      </c>
      <c r="S950" s="25">
        <f t="shared" ca="1" si="787"/>
        <v>-25914415.77417922</v>
      </c>
    </row>
    <row r="951" spans="1:19" ht="15.75" customHeight="1" x14ac:dyDescent="0.3">
      <c r="A951" s="37">
        <v>79898</v>
      </c>
      <c r="B951" s="409">
        <f t="shared" ref="B951:C951" si="962">($A951-B$9)/365.25</f>
        <v>136.87063655030801</v>
      </c>
      <c r="C951" s="409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2192</v>
      </c>
      <c r="I951" s="25">
        <f>IF(C951&lt;62,0,'Combined Retirement'!$I$13)</f>
        <v>2420</v>
      </c>
      <c r="J951" s="25">
        <f t="shared" si="783"/>
        <v>7863.2184191855868</v>
      </c>
      <c r="K951" s="25">
        <f t="shared" si="784"/>
        <v>20282.026119384056</v>
      </c>
      <c r="L951" s="25"/>
      <c r="N951" s="25">
        <f>'Combined Retirement'!$C$18/12</f>
        <v>39153.069999999992</v>
      </c>
      <c r="O951" s="25">
        <f t="shared" si="785"/>
        <v>11007.82546143035</v>
      </c>
      <c r="P951" s="25">
        <f t="shared" si="786"/>
        <v>28145.244538569641</v>
      </c>
      <c r="Q951" s="25">
        <f t="array" aca="1" ref="Q951" ca="1">INDEX('Isaac 401k'!L:L,MATCH('Retirement Calculator'!A951,'Isaac 401k'!N:N,0),0)</f>
        <v>-7389065.4329576083</v>
      </c>
      <c r="R951" s="25">
        <f t="array" aca="1" ref="R951" ca="1">INDEX('Lorri 401b'!L:L,MATCH('Retirement Calculator'!A951,'Lorri 401b'!N:N,0),0)</f>
        <v>-18661589.590004843</v>
      </c>
      <c r="S951" s="25">
        <f t="shared" ca="1" si="787"/>
        <v>-26050655.022962451</v>
      </c>
    </row>
    <row r="952" spans="1:19" ht="15.75" customHeight="1" x14ac:dyDescent="0.3">
      <c r="A952" s="37">
        <v>79929</v>
      </c>
      <c r="B952" s="409">
        <f t="shared" ref="B952:C952" si="963">($A952-B$9)/365.25</f>
        <v>136.95550992470911</v>
      </c>
      <c r="C952" s="409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2192</v>
      </c>
      <c r="I952" s="25">
        <f>IF(C952&lt;62,0,'Combined Retirement'!$I$13)</f>
        <v>2420</v>
      </c>
      <c r="J952" s="25">
        <f t="shared" si="783"/>
        <v>7863.2184191855868</v>
      </c>
      <c r="K952" s="25">
        <f t="shared" si="784"/>
        <v>20282.026119384056</v>
      </c>
      <c r="L952" s="25"/>
      <c r="N952" s="25">
        <f>'Combined Retirement'!$C$18/12</f>
        <v>39153.069999999992</v>
      </c>
      <c r="O952" s="25">
        <f t="shared" si="785"/>
        <v>11007.82546143035</v>
      </c>
      <c r="P952" s="25">
        <f t="shared" si="786"/>
        <v>28145.244538569641</v>
      </c>
      <c r="Q952" s="25">
        <f t="array" aca="1" ref="Q952" ca="1">INDEX('Isaac 401k'!L:L,MATCH('Retirement Calculator'!A952,'Isaac 401k'!N:N,0),0)</f>
        <v>-7427749.1874241978</v>
      </c>
      <c r="R952" s="25">
        <f t="array" aca="1" ref="R952" ca="1">INDEX('Lorri 401b'!L:L,MATCH('Retirement Calculator'!A952,'Lorri 401b'!N:N,0),0)</f>
        <v>-18759712.747858077</v>
      </c>
      <c r="S952" s="25">
        <f t="shared" ca="1" si="787"/>
        <v>-26187461.935282275</v>
      </c>
    </row>
    <row r="953" spans="1:19" ht="15.75" customHeight="1" x14ac:dyDescent="0.3">
      <c r="A953" s="37">
        <v>79959</v>
      </c>
      <c r="B953" s="409">
        <f t="shared" ref="B953:C953" si="964">($A953-B$9)/365.25</f>
        <v>137.03764544832308</v>
      </c>
      <c r="C953" s="409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2192</v>
      </c>
      <c r="I953" s="25">
        <f>IF(C953&lt;62,0,'Combined Retirement'!$I$13)</f>
        <v>2420</v>
      </c>
      <c r="J953" s="25">
        <f t="shared" si="783"/>
        <v>7863.2184191855868</v>
      </c>
      <c r="K953" s="25">
        <f t="shared" si="784"/>
        <v>20282.026119384056</v>
      </c>
      <c r="L953" s="25"/>
      <c r="N953" s="25">
        <f>'Combined Retirement'!$C$18/12</f>
        <v>39153.069999999992</v>
      </c>
      <c r="O953" s="25">
        <f t="shared" si="785"/>
        <v>11007.82546143035</v>
      </c>
      <c r="P953" s="25">
        <f t="shared" si="786"/>
        <v>28145.244538569641</v>
      </c>
      <c r="Q953" s="25">
        <f t="array" aca="1" ref="Q953" ca="1">INDEX('Isaac 401k'!L:L,MATCH('Retirement Calculator'!A953,'Isaac 401k'!N:N,0),0)</f>
        <v>-7466594.124201064</v>
      </c>
      <c r="R953" s="25">
        <f t="array" aca="1" ref="R953" ca="1">INDEX('Lorri 401b'!L:L,MATCH('Retirement Calculator'!A953,'Lorri 401b'!N:N,0),0)</f>
        <v>-18858244.752202369</v>
      </c>
      <c r="S953" s="25">
        <f t="shared" ca="1" si="787"/>
        <v>-26324838.876403432</v>
      </c>
    </row>
    <row r="954" spans="1:19" ht="15.75" customHeight="1" x14ac:dyDescent="0.3">
      <c r="A954" s="37">
        <v>79990</v>
      </c>
      <c r="B954" s="409">
        <f t="shared" ref="B954:C954" si="965">($A954-B$9)/365.25</f>
        <v>137.12251882272417</v>
      </c>
      <c r="C954" s="409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2192</v>
      </c>
      <c r="I954" s="25">
        <f>IF(C954&lt;62,0,'Combined Retirement'!$I$13)</f>
        <v>2420</v>
      </c>
      <c r="J954" s="25">
        <f t="shared" si="783"/>
        <v>7863.2184191855868</v>
      </c>
      <c r="K954" s="25">
        <f t="shared" si="784"/>
        <v>20282.026119384056</v>
      </c>
      <c r="L954" s="25"/>
      <c r="N954" s="25">
        <f>'Combined Retirement'!$C$18/12</f>
        <v>39153.069999999992</v>
      </c>
      <c r="O954" s="25">
        <f t="shared" si="785"/>
        <v>11007.82546143035</v>
      </c>
      <c r="P954" s="25">
        <f t="shared" si="786"/>
        <v>28145.244538569641</v>
      </c>
      <c r="Q954" s="25">
        <f t="array" aca="1" ref="Q954" ca="1">INDEX('Isaac 401k'!L:L,MATCH('Retirement Calculator'!A954,'Isaac 401k'!N:N,0),0)</f>
        <v>-7505600.9148811679</v>
      </c>
      <c r="R954" s="25">
        <f t="array" aca="1" ref="R954" ca="1">INDEX('Lorri 401b'!L:L,MATCH('Retirement Calculator'!A954,'Lorri 401b'!N:N,0),0)</f>
        <v>-18957187.306564763</v>
      </c>
      <c r="S954" s="25">
        <f t="shared" ca="1" si="787"/>
        <v>-26462788.221445933</v>
      </c>
    </row>
    <row r="955" spans="1:19" ht="15.75" customHeight="1" x14ac:dyDescent="0.3">
      <c r="A955" s="37">
        <v>80021</v>
      </c>
      <c r="B955" s="409">
        <f t="shared" ref="B955:C955" si="966">($A955-B$9)/365.25</f>
        <v>137.20739219712524</v>
      </c>
      <c r="C955" s="409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2192</v>
      </c>
      <c r="I955" s="25">
        <f>IF(C955&lt;62,0,'Combined Retirement'!$I$13)</f>
        <v>2420</v>
      </c>
      <c r="J955" s="25">
        <f t="shared" si="783"/>
        <v>7863.2184191855868</v>
      </c>
      <c r="K955" s="25">
        <f t="shared" si="784"/>
        <v>20282.026119384056</v>
      </c>
      <c r="L955" s="25"/>
      <c r="N955" s="25">
        <f>'Combined Retirement'!$C$18/12</f>
        <v>39153.069999999992</v>
      </c>
      <c r="O955" s="25">
        <f t="shared" si="785"/>
        <v>11007.82546143035</v>
      </c>
      <c r="P955" s="25">
        <f t="shared" si="786"/>
        <v>28145.244538569641</v>
      </c>
      <c r="Q955" s="25">
        <f t="array" aca="1" ref="Q955" ca="1">INDEX('Isaac 401k'!L:L,MATCH('Retirement Calculator'!A955,'Isaac 401k'!N:N,0),0)</f>
        <v>-7544770.2338557718</v>
      </c>
      <c r="R955" s="25">
        <f t="array" aca="1" ref="R955" ca="1">INDEX('Lorri 401b'!L:L,MATCH('Retirement Calculator'!A955,'Lorri 401b'!N:N,0),0)</f>
        <v>-19056542.121570334</v>
      </c>
      <c r="S955" s="25">
        <f t="shared" ca="1" si="787"/>
        <v>-26601312.355426107</v>
      </c>
    </row>
    <row r="956" spans="1:19" ht="15.75" customHeight="1" x14ac:dyDescent="0.3">
      <c r="A956" s="37">
        <v>80049</v>
      </c>
      <c r="B956" s="409">
        <f t="shared" ref="B956:C956" si="967">($A956-B$9)/365.25</f>
        <v>137.28405201916496</v>
      </c>
      <c r="C956" s="409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2192</v>
      </c>
      <c r="I956" s="25">
        <f>IF(C956&lt;62,0,'Combined Retirement'!$I$13)</f>
        <v>2420</v>
      </c>
      <c r="J956" s="25">
        <f t="shared" si="783"/>
        <v>7863.2184191855868</v>
      </c>
      <c r="K956" s="25">
        <f t="shared" si="784"/>
        <v>20282.026119384056</v>
      </c>
      <c r="L956" s="25"/>
      <c r="N956" s="25">
        <f>'Combined Retirement'!$C$18/12</f>
        <v>39153.069999999992</v>
      </c>
      <c r="O956" s="25">
        <f t="shared" si="785"/>
        <v>11007.82546143035</v>
      </c>
      <c r="P956" s="25">
        <f t="shared" si="786"/>
        <v>28145.244538569641</v>
      </c>
      <c r="Q956" s="25">
        <f t="array" aca="1" ref="Q956" ca="1">INDEX('Isaac 401k'!L:L,MATCH('Retirement Calculator'!A956,'Isaac 401k'!N:N,0),0)</f>
        <v>-7584102.758326103</v>
      </c>
      <c r="R956" s="25">
        <f t="array" aca="1" ref="R956" ca="1">INDEX('Lorri 401b'!L:L,MATCH('Retirement Calculator'!A956,'Lorri 401b'!N:N,0),0)</f>
        <v>-19156310.914971758</v>
      </c>
      <c r="S956" s="25">
        <f t="shared" ca="1" si="787"/>
        <v>-26740413.67329786</v>
      </c>
    </row>
    <row r="957" spans="1:19" ht="15.75" customHeight="1" x14ac:dyDescent="0.3">
      <c r="A957" s="37">
        <v>80080</v>
      </c>
      <c r="B957" s="409">
        <f t="shared" ref="B957:C957" si="968">($A957-B$9)/365.25</f>
        <v>137.36892539356606</v>
      </c>
      <c r="C957" s="409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2192</v>
      </c>
      <c r="I957" s="25">
        <f>IF(C957&lt;62,0,'Combined Retirement'!$I$13)</f>
        <v>2420</v>
      </c>
      <c r="J957" s="25">
        <f t="shared" si="783"/>
        <v>7863.2184191855868</v>
      </c>
      <c r="K957" s="25">
        <f t="shared" si="784"/>
        <v>20282.026119384056</v>
      </c>
      <c r="L957" s="25"/>
      <c r="N957" s="25">
        <f>'Combined Retirement'!$C$18/12</f>
        <v>39153.069999999992</v>
      </c>
      <c r="O957" s="25">
        <f t="shared" si="785"/>
        <v>11007.82546143035</v>
      </c>
      <c r="P957" s="25">
        <f t="shared" si="786"/>
        <v>28145.244538569641</v>
      </c>
      <c r="Q957" s="25">
        <f t="array" aca="1" ref="Q957" ca="1">INDEX('Isaac 401k'!L:L,MATCH('Retirement Calculator'!A957,'Isaac 401k'!N:N,0),0)</f>
        <v>-7623599.1683150604</v>
      </c>
      <c r="R957" s="25">
        <f t="array" aca="1" ref="R957" ca="1">INDEX('Lorri 401b'!L:L,MATCH('Retirement Calculator'!A957,'Lorri 401b'!N:N,0),0)</f>
        <v>-19256495.411679022</v>
      </c>
      <c r="S957" s="25">
        <f t="shared" ca="1" si="787"/>
        <v>-26880094.579994082</v>
      </c>
    </row>
    <row r="958" spans="1:19" ht="15.75" customHeight="1" x14ac:dyDescent="0.3">
      <c r="A958" s="37">
        <v>80110</v>
      </c>
      <c r="B958" s="409">
        <f t="shared" ref="B958:C958" si="969">($A958-B$9)/365.25</f>
        <v>137.45106091718</v>
      </c>
      <c r="C958" s="409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2192</v>
      </c>
      <c r="I958" s="25">
        <f>IF(C958&lt;62,0,'Combined Retirement'!$I$13)</f>
        <v>2420</v>
      </c>
      <c r="J958" s="25">
        <f t="shared" si="783"/>
        <v>7863.2184191855868</v>
      </c>
      <c r="K958" s="25">
        <f t="shared" si="784"/>
        <v>20282.026119384056</v>
      </c>
      <c r="L958" s="25"/>
      <c r="N958" s="25">
        <f>'Combined Retirement'!$C$18/12</f>
        <v>39153.069999999992</v>
      </c>
      <c r="O958" s="25">
        <f t="shared" si="785"/>
        <v>11007.82546143035</v>
      </c>
      <c r="P958" s="25">
        <f t="shared" si="786"/>
        <v>28145.244538569641</v>
      </c>
      <c r="Q958" s="25">
        <f t="array" aca="1" ref="Q958" ca="1">INDEX('Isaac 401k'!L:L,MATCH('Retirement Calculator'!A958,'Isaac 401k'!N:N,0),0)</f>
        <v>-7663260.1466789721</v>
      </c>
      <c r="R958" s="25">
        <f t="array" aca="1" ref="R958" ca="1">INDEX('Lorri 401b'!L:L,MATCH('Retirement Calculator'!A958,'Lorri 401b'!N:N,0),0)</f>
        <v>-19357097.343789235</v>
      </c>
      <c r="S958" s="25">
        <f t="shared" ca="1" si="787"/>
        <v>-27020357.490468208</v>
      </c>
    </row>
    <row r="959" spans="1:19" ht="15.75" customHeight="1" x14ac:dyDescent="0.3">
      <c r="A959" s="37">
        <v>80141</v>
      </c>
      <c r="B959" s="409">
        <f t="shared" ref="B959:C959" si="970">($A959-B$9)/365.25</f>
        <v>137.5359342915811</v>
      </c>
      <c r="C959" s="409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2192</v>
      </c>
      <c r="I959" s="25">
        <f>IF(C959&lt;62,0,'Combined Retirement'!$I$13)</f>
        <v>2420</v>
      </c>
      <c r="J959" s="25">
        <f t="shared" si="783"/>
        <v>7863.2184191855868</v>
      </c>
      <c r="K959" s="25">
        <f t="shared" si="784"/>
        <v>20282.026119384056</v>
      </c>
      <c r="L959" s="25"/>
      <c r="N959" s="25">
        <f>'Combined Retirement'!$C$18/12</f>
        <v>39153.069999999992</v>
      </c>
      <c r="O959" s="25">
        <f t="shared" si="785"/>
        <v>11007.82546143035</v>
      </c>
      <c r="P959" s="25">
        <f t="shared" si="786"/>
        <v>28145.244538569641</v>
      </c>
      <c r="Q959" s="25">
        <f t="array" aca="1" ref="Q959" ca="1">INDEX('Isaac 401k'!L:L,MATCH('Retirement Calculator'!A959,'Isaac 401k'!N:N,0),0)</f>
        <v>-7703086.3791193999</v>
      </c>
      <c r="R959" s="25">
        <f t="array" aca="1" ref="R959" ca="1">INDEX('Lorri 401b'!L:L,MATCH('Retirement Calculator'!A959,'Lorri 401b'!N:N,0),0)</f>
        <v>-19458118.450616572</v>
      </c>
      <c r="S959" s="25">
        <f t="shared" ca="1" si="787"/>
        <v>-27161204.829735972</v>
      </c>
    </row>
    <row r="960" spans="1:19" ht="15.75" customHeight="1" x14ac:dyDescent="0.3">
      <c r="A960" s="37">
        <v>80171</v>
      </c>
      <c r="B960" s="409">
        <f t="shared" ref="B960:C960" si="971">($A960-B$9)/365.25</f>
        <v>137.61806981519507</v>
      </c>
      <c r="C960" s="409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2192</v>
      </c>
      <c r="I960" s="25">
        <f>IF(C960&lt;62,0,'Combined Retirement'!$I$13)</f>
        <v>2420</v>
      </c>
      <c r="J960" s="25">
        <f t="shared" si="783"/>
        <v>7863.2184191855868</v>
      </c>
      <c r="K960" s="25">
        <f t="shared" si="784"/>
        <v>20282.026119384056</v>
      </c>
      <c r="L960" s="25"/>
      <c r="N960" s="25">
        <f>'Combined Retirement'!$C$18/12</f>
        <v>39153.069999999992</v>
      </c>
      <c r="O960" s="25">
        <f t="shared" si="785"/>
        <v>11007.82546143035</v>
      </c>
      <c r="P960" s="25">
        <f t="shared" si="786"/>
        <v>28145.244538569641</v>
      </c>
      <c r="Q960" s="25">
        <f t="array" aca="1" ref="Q960" ca="1">INDEX('Isaac 401k'!L:L,MATCH('Retirement Calculator'!A960,'Isaac 401k'!N:N,0),0)</f>
        <v>-7743078.5541949961</v>
      </c>
      <c r="R960" s="25">
        <f t="array" aca="1" ref="R960" ca="1">INDEX('Lorri 401b'!L:L,MATCH('Retirement Calculator'!A960,'Lorri 401b'!N:N,0),0)</f>
        <v>-19559560.478722356</v>
      </c>
      <c r="S960" s="25">
        <f t="shared" ca="1" si="787"/>
        <v>-27302639.032917351</v>
      </c>
    </row>
    <row r="961" spans="1:19" ht="15.75" customHeight="1" x14ac:dyDescent="0.3">
      <c r="A961" s="37">
        <v>80202</v>
      </c>
      <c r="B961" s="409">
        <f t="shared" ref="B961:C961" si="972">($A961-B$9)/365.25</f>
        <v>137.70294318959617</v>
      </c>
      <c r="C961" s="409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2192</v>
      </c>
      <c r="I961" s="25">
        <f>IF(C961&lt;62,0,'Combined Retirement'!$I$13)</f>
        <v>2420</v>
      </c>
      <c r="J961" s="25">
        <f t="shared" si="783"/>
        <v>7863.2184191855868</v>
      </c>
      <c r="K961" s="25">
        <f t="shared" si="784"/>
        <v>20282.026119384056</v>
      </c>
      <c r="L961" s="25"/>
      <c r="N961" s="25">
        <f>'Combined Retirement'!$C$18/12</f>
        <v>39153.069999999992</v>
      </c>
      <c r="O961" s="25">
        <f t="shared" si="785"/>
        <v>11007.82546143035</v>
      </c>
      <c r="P961" s="25">
        <f t="shared" si="786"/>
        <v>28145.244538569641</v>
      </c>
      <c r="Q961" s="25">
        <f t="array" aca="1" ref="Q961" ca="1">INDEX('Isaac 401k'!L:L,MATCH('Retirement Calculator'!A961,'Isaac 401k'!N:N,0),0)</f>
        <v>-7783237.3633334078</v>
      </c>
      <c r="R961" s="25">
        <f t="array" aca="1" ref="R961" ca="1">INDEX('Lorri 401b'!L:L,MATCH('Retirement Calculator'!A961,'Lorri 401b'!N:N,0),0)</f>
        <v>-19661425.181945249</v>
      </c>
      <c r="S961" s="25">
        <f t="shared" ca="1" si="787"/>
        <v>-27444662.545278657</v>
      </c>
    </row>
    <row r="962" spans="1:19" ht="15.75" customHeight="1" x14ac:dyDescent="0.3">
      <c r="A962" s="37">
        <v>80233</v>
      </c>
      <c r="B962" s="409">
        <f t="shared" ref="B962:C962" si="973">($A962-B$9)/365.25</f>
        <v>137.78781656399727</v>
      </c>
      <c r="C962" s="409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2192</v>
      </c>
      <c r="I962" s="25">
        <f>IF(C962&lt;62,0,'Combined Retirement'!$I$13)</f>
        <v>2420</v>
      </c>
      <c r="J962" s="25">
        <f t="shared" si="783"/>
        <v>7863.2184191855868</v>
      </c>
      <c r="K962" s="25">
        <f t="shared" si="784"/>
        <v>20282.026119384056</v>
      </c>
      <c r="L962" s="25"/>
      <c r="N962" s="25">
        <f>'Combined Retirement'!$C$18/12</f>
        <v>39153.069999999992</v>
      </c>
      <c r="O962" s="25">
        <f t="shared" si="785"/>
        <v>11007.82546143035</v>
      </c>
      <c r="P962" s="25">
        <f t="shared" si="786"/>
        <v>28145.244538569641</v>
      </c>
      <c r="Q962" s="25">
        <f t="array" aca="1" ref="Q962" ca="1">INDEX('Isaac 401k'!L:L,MATCH('Retirement Calculator'!A962,'Isaac 401k'!N:N,0),0)</f>
        <v>-7823563.5008432297</v>
      </c>
      <c r="R962" s="25">
        <f t="array" aca="1" ref="R962" ca="1">INDEX('Lorri 401b'!L:L,MATCH('Retirement Calculator'!A962,'Lorri 401b'!N:N,0),0)</f>
        <v>-19763714.32143157</v>
      </c>
      <c r="S962" s="25">
        <f t="shared" ca="1" si="787"/>
        <v>-27587277.8222748</v>
      </c>
    </row>
    <row r="963" spans="1:19" ht="15.75" customHeight="1" x14ac:dyDescent="0.3">
      <c r="A963" s="37">
        <v>80263</v>
      </c>
      <c r="B963" s="409">
        <f t="shared" ref="B963:C963" si="974">($A963-B$9)/365.25</f>
        <v>137.86995208761124</v>
      </c>
      <c r="C963" s="409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2192</v>
      </c>
      <c r="I963" s="25">
        <f>IF(C963&lt;62,0,'Combined Retirement'!$I$13)</f>
        <v>2420</v>
      </c>
      <c r="J963" s="25">
        <f t="shared" si="783"/>
        <v>7863.2184191855868</v>
      </c>
      <c r="K963" s="25">
        <f t="shared" si="784"/>
        <v>20282.026119384056</v>
      </c>
      <c r="L963" s="25"/>
      <c r="N963" s="25">
        <f>'Combined Retirement'!$C$18/12</f>
        <v>39153.069999999992</v>
      </c>
      <c r="O963" s="25">
        <f t="shared" si="785"/>
        <v>11007.82546143035</v>
      </c>
      <c r="P963" s="25">
        <f t="shared" si="786"/>
        <v>28145.244538569641</v>
      </c>
      <c r="Q963" s="25">
        <f t="array" aca="1" ref="Q963" ca="1">INDEX('Isaac 401k'!L:L,MATCH('Retirement Calculator'!A963,'Isaac 401k'!N:N,0),0)</f>
        <v>-7864057.6639260091</v>
      </c>
      <c r="R963" s="25">
        <f t="array" aca="1" ref="R963" ca="1">INDEX('Lorri 401b'!L:L,MATCH('Retirement Calculator'!A963,'Lorri 401b'!N:N,0),0)</f>
        <v>-19866429.665665749</v>
      </c>
      <c r="S963" s="25">
        <f t="shared" ca="1" si="787"/>
        <v>-27730487.329591759</v>
      </c>
    </row>
    <row r="964" spans="1:19" ht="15.75" customHeight="1" x14ac:dyDescent="0.3">
      <c r="A964" s="37">
        <v>80294</v>
      </c>
      <c r="B964" s="409">
        <f t="shared" ref="B964:C964" si="975">($A964-B$9)/365.25</f>
        <v>137.95482546201231</v>
      </c>
      <c r="C964" s="409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2192</v>
      </c>
      <c r="I964" s="25">
        <f>IF(C964&lt;62,0,'Combined Retirement'!$I$13)</f>
        <v>2420</v>
      </c>
      <c r="J964" s="25">
        <f t="shared" si="783"/>
        <v>7863.2184191855868</v>
      </c>
      <c r="K964" s="25">
        <f t="shared" si="784"/>
        <v>20282.026119384056</v>
      </c>
      <c r="L964" s="25"/>
      <c r="N964" s="25">
        <f>'Combined Retirement'!$C$18/12</f>
        <v>39153.069999999992</v>
      </c>
      <c r="O964" s="25">
        <f t="shared" si="785"/>
        <v>11007.82546143035</v>
      </c>
      <c r="P964" s="25">
        <f t="shared" si="786"/>
        <v>28145.244538569641</v>
      </c>
      <c r="Q964" s="25">
        <f t="array" aca="1" ref="Q964" ca="1">INDEX('Isaac 401k'!L:L,MATCH('Retirement Calculator'!A964,'Isaac 401k'!N:N,0),0)</f>
        <v>-7904720.5526882997</v>
      </c>
      <c r="R964" s="25">
        <f t="array" aca="1" ref="R964" ca="1">INDEX('Lorri 401b'!L:L,MATCH('Retirement Calculator'!A964,'Lorri 401b'!N:N,0),0)</f>
        <v>-19969572.990500905</v>
      </c>
      <c r="S964" s="25">
        <f t="shared" ca="1" si="787"/>
        <v>-27874293.543189205</v>
      </c>
    </row>
    <row r="965" spans="1:19" ht="15.75" customHeight="1" x14ac:dyDescent="0.3">
      <c r="A965" s="37">
        <v>80324</v>
      </c>
      <c r="B965" s="409">
        <f t="shared" ref="B965:C965" si="976">($A965-B$9)/365.25</f>
        <v>138.03696098562628</v>
      </c>
      <c r="C965" s="409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2192</v>
      </c>
      <c r="I965" s="25">
        <f>IF(C965&lt;62,0,'Combined Retirement'!$I$13)</f>
        <v>2420</v>
      </c>
      <c r="J965" s="25">
        <f t="shared" si="783"/>
        <v>7863.2184191855868</v>
      </c>
      <c r="K965" s="25">
        <f t="shared" si="784"/>
        <v>20282.026119384056</v>
      </c>
      <c r="L965" s="25"/>
      <c r="N965" s="25">
        <f>'Combined Retirement'!$C$18/12</f>
        <v>39153.069999999992</v>
      </c>
      <c r="O965" s="25">
        <f t="shared" si="785"/>
        <v>11007.82546143035</v>
      </c>
      <c r="P965" s="25">
        <f t="shared" si="786"/>
        <v>28145.244538569641</v>
      </c>
      <c r="Q965" s="25">
        <f t="array" aca="1" ref="Q965" ca="1">INDEX('Isaac 401k'!L:L,MATCH('Retirement Calculator'!A965,'Isaac 401k'!N:N,0),0)</f>
        <v>-7945552.8701537671</v>
      </c>
      <c r="R965" s="25">
        <f t="array" aca="1" ref="R965" ca="1">INDEX('Lorri 401b'!L:L,MATCH('Retirement Calculator'!A965,'Lorri 401b'!N:N,0),0)</f>
        <v>-20073146.079189539</v>
      </c>
      <c r="S965" s="25">
        <f t="shared" ca="1" si="787"/>
        <v>-28018698.949343305</v>
      </c>
    </row>
    <row r="966" spans="1:19" ht="15.75" customHeight="1" x14ac:dyDescent="0.3">
      <c r="A966" s="37">
        <v>80355</v>
      </c>
      <c r="B966" s="409">
        <f t="shared" ref="B966:C966" si="977">($A966-B$9)/365.25</f>
        <v>138.12183436002738</v>
      </c>
      <c r="C966" s="409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2192</v>
      </c>
      <c r="I966" s="25">
        <f>IF(C966&lt;62,0,'Combined Retirement'!$I$13)</f>
        <v>2420</v>
      </c>
      <c r="J966" s="25">
        <f t="shared" si="783"/>
        <v>7863.2184191855868</v>
      </c>
      <c r="K966" s="25">
        <f t="shared" si="784"/>
        <v>20282.026119384056</v>
      </c>
      <c r="L966" s="25"/>
      <c r="N966" s="25">
        <f>'Combined Retirement'!$C$18/12</f>
        <v>39153.069999999992</v>
      </c>
      <c r="O966" s="25">
        <f t="shared" si="785"/>
        <v>11007.82546143035</v>
      </c>
      <c r="P966" s="25">
        <f t="shared" si="786"/>
        <v>28145.244538569641</v>
      </c>
      <c r="Q966" s="25">
        <f t="array" aca="1" ref="Q966" ca="1">INDEX('Isaac 401k'!L:L,MATCH('Retirement Calculator'!A966,'Isaac 401k'!N:N,0),0)</f>
        <v>-7986555.3222753406</v>
      </c>
      <c r="R966" s="25">
        <f t="array" aca="1" ref="R966" ca="1">INDEX('Lorri 401b'!L:L,MATCH('Retirement Calculator'!A966,'Lorri 401b'!N:N,0),0)</f>
        <v>-20177150.722414378</v>
      </c>
      <c r="S966" s="25">
        <f t="shared" ca="1" si="787"/>
        <v>-28163706.044689719</v>
      </c>
    </row>
    <row r="967" spans="1:19" ht="15.75" customHeight="1" x14ac:dyDescent="0.3">
      <c r="A967" s="37">
        <v>80386</v>
      </c>
      <c r="B967" s="409">
        <f t="shared" ref="B967:C967" si="978">($A967-B$9)/365.25</f>
        <v>138.20670773442848</v>
      </c>
      <c r="C967" s="409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2192</v>
      </c>
      <c r="I967" s="25">
        <f>IF(C967&lt;62,0,'Combined Retirement'!$I$13)</f>
        <v>2420</v>
      </c>
      <c r="J967" s="25">
        <f t="shared" si="783"/>
        <v>7863.2184191855868</v>
      </c>
      <c r="K967" s="25">
        <f t="shared" si="784"/>
        <v>20282.026119384056</v>
      </c>
      <c r="L967" s="25"/>
      <c r="N967" s="25">
        <f>'Combined Retirement'!$C$18/12</f>
        <v>39153.069999999992</v>
      </c>
      <c r="O967" s="25">
        <f t="shared" si="785"/>
        <v>11007.82546143035</v>
      </c>
      <c r="P967" s="25">
        <f t="shared" si="786"/>
        <v>28145.244538569641</v>
      </c>
      <c r="Q967" s="25">
        <f t="array" aca="1" ref="Q967" ca="1">INDEX('Isaac 401k'!L:L,MATCH('Retirement Calculator'!A967,'Isaac 401k'!N:N,0),0)</f>
        <v>-8027728.6179474201</v>
      </c>
      <c r="R967" s="25">
        <f t="array" aca="1" ref="R967" ca="1">INDEX('Lorri 401b'!L:L,MATCH('Retirement Calculator'!A967,'Lorri 401b'!N:N,0),0)</f>
        <v>-20281588.718319319</v>
      </c>
      <c r="S967" s="25">
        <f t="shared" ca="1" si="787"/>
        <v>-28309317.336266741</v>
      </c>
    </row>
    <row r="968" spans="1:19" ht="15.75" customHeight="1" x14ac:dyDescent="0.3">
      <c r="A968" s="37">
        <v>80415</v>
      </c>
      <c r="B968" s="409">
        <f t="shared" ref="B968:C968" si="979">($A968-B$9)/365.25</f>
        <v>138.28610540725529</v>
      </c>
      <c r="C968" s="409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2192</v>
      </c>
      <c r="I968" s="25">
        <f>IF(C968&lt;62,0,'Combined Retirement'!$I$13)</f>
        <v>2420</v>
      </c>
      <c r="J968" s="25">
        <f t="shared" si="783"/>
        <v>7863.2184191855868</v>
      </c>
      <c r="K968" s="25">
        <f t="shared" si="784"/>
        <v>20282.026119384056</v>
      </c>
      <c r="L968" s="25"/>
      <c r="N968" s="25">
        <f>'Combined Retirement'!$C$18/12</f>
        <v>39153.069999999992</v>
      </c>
      <c r="O968" s="25">
        <f t="shared" si="785"/>
        <v>11007.82546143035</v>
      </c>
      <c r="P968" s="25">
        <f t="shared" si="786"/>
        <v>28145.244538569641</v>
      </c>
      <c r="Q968" s="25">
        <f t="array" aca="1" ref="Q968" ca="1">INDEX('Isaac 401k'!L:L,MATCH('Retirement Calculator'!A968,'Isaac 401k'!N:N,0),0)</f>
        <v>-8069073.4690181334</v>
      </c>
      <c r="R968" s="25">
        <f t="array" aca="1" ref="R968" ca="1">INDEX('Lorri 401b'!L:L,MATCH('Retirement Calculator'!A968,'Lorri 401b'!N:N,0),0)</f>
        <v>-20386461.872540534</v>
      </c>
      <c r="S968" s="25">
        <f t="shared" ca="1" si="787"/>
        <v>-28455535.341558665</v>
      </c>
    </row>
    <row r="969" spans="1:19" ht="15.75" customHeight="1" x14ac:dyDescent="0.3">
      <c r="A969" s="37">
        <v>80446</v>
      </c>
      <c r="B969" s="409">
        <f t="shared" ref="B969:C969" si="980">($A969-B$9)/365.25</f>
        <v>138.37097878165639</v>
      </c>
      <c r="C969" s="409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2192</v>
      </c>
      <c r="I969" s="25">
        <f>IF(C969&lt;62,0,'Combined Retirement'!$I$13)</f>
        <v>2420</v>
      </c>
      <c r="J969" s="25">
        <f t="shared" si="783"/>
        <v>7863.2184191855868</v>
      </c>
      <c r="K969" s="25">
        <f t="shared" si="784"/>
        <v>20282.026119384056</v>
      </c>
      <c r="L969" s="25"/>
      <c r="N969" s="25">
        <f>'Combined Retirement'!$C$18/12</f>
        <v>39153.069999999992</v>
      </c>
      <c r="O969" s="25">
        <f t="shared" si="785"/>
        <v>11007.82546143035</v>
      </c>
      <c r="P969" s="25">
        <f t="shared" si="786"/>
        <v>28145.244538569641</v>
      </c>
      <c r="Q969" s="25">
        <f t="array" aca="1" ref="Q969" ca="1">INDEX('Isaac 401k'!L:L,MATCH('Retirement Calculator'!A969,'Isaac 401k'!N:N,0),0)</f>
        <v>-8110590.5903016413</v>
      </c>
      <c r="R969" s="25">
        <f t="array" aca="1" ref="R969" ca="1">INDEX('Lorri 401b'!L:L,MATCH('Retirement Calculator'!A969,'Lorri 401b'!N:N,0),0)</f>
        <v>-20491771.998237669</v>
      </c>
      <c r="S969" s="25">
        <f t="shared" ca="1" si="787"/>
        <v>-28602362.58853931</v>
      </c>
    </row>
    <row r="970" spans="1:19" ht="15.75" customHeight="1" x14ac:dyDescent="0.3">
      <c r="A970" s="37">
        <v>80476</v>
      </c>
      <c r="B970" s="409">
        <f t="shared" ref="B970:C970" si="981">($A970-B$9)/365.25</f>
        <v>138.45311430527036</v>
      </c>
      <c r="C970" s="409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2192</v>
      </c>
      <c r="I970" s="25">
        <f>IF(C970&lt;62,0,'Combined Retirement'!$I$13)</f>
        <v>2420</v>
      </c>
      <c r="J970" s="25">
        <f t="shared" si="783"/>
        <v>7863.2184191855868</v>
      </c>
      <c r="K970" s="25">
        <f t="shared" si="784"/>
        <v>20282.026119384056</v>
      </c>
      <c r="L970" s="25"/>
      <c r="N970" s="25">
        <f>'Combined Retirement'!$C$18/12</f>
        <v>39153.069999999992</v>
      </c>
      <c r="O970" s="25">
        <f t="shared" si="785"/>
        <v>11007.82546143035</v>
      </c>
      <c r="P970" s="25">
        <f t="shared" si="786"/>
        <v>28145.244538569641</v>
      </c>
      <c r="Q970" s="25">
        <f t="array" aca="1" ref="Q970" ca="1">INDEX('Isaac 401k'!L:L,MATCH('Retirement Calculator'!A970,'Isaac 401k'!N:N,0),0)</f>
        <v>-8152280.6995904977</v>
      </c>
      <c r="R970" s="25">
        <f t="array" aca="1" ref="R970" ca="1">INDEX('Lorri 401b'!L:L,MATCH('Retirement Calculator'!A970,'Lorri 401b'!N:N,0),0)</f>
        <v>-20597520.916125208</v>
      </c>
      <c r="S970" s="25">
        <f t="shared" ca="1" si="787"/>
        <v>-28749801.615715705</v>
      </c>
    </row>
    <row r="971" spans="1:19" ht="15.75" customHeight="1" x14ac:dyDescent="0.3">
      <c r="A971" s="37">
        <v>80507</v>
      </c>
      <c r="B971" s="409">
        <f t="shared" ref="B971:C971" si="982">($A971-B$9)/365.25</f>
        <v>138.53798767967146</v>
      </c>
      <c r="C971" s="409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2192</v>
      </c>
      <c r="I971" s="25">
        <f>IF(C971&lt;62,0,'Combined Retirement'!$I$13)</f>
        <v>2420</v>
      </c>
      <c r="J971" s="25">
        <f t="shared" si="783"/>
        <v>7863.2184191855868</v>
      </c>
      <c r="K971" s="25">
        <f t="shared" si="784"/>
        <v>20282.026119384056</v>
      </c>
      <c r="L971" s="25"/>
      <c r="N971" s="25">
        <f>'Combined Retirement'!$C$18/12</f>
        <v>39153.069999999992</v>
      </c>
      <c r="O971" s="25">
        <f t="shared" si="785"/>
        <v>11007.82546143035</v>
      </c>
      <c r="P971" s="25">
        <f t="shared" si="786"/>
        <v>28145.244538569641</v>
      </c>
      <c r="Q971" s="25">
        <f t="array" aca="1" ref="Q971" ca="1">INDEX('Isaac 401k'!L:L,MATCH('Retirement Calculator'!A971,'Isaac 401k'!N:N,0),0)</f>
        <v>-8194144.5176680572</v>
      </c>
      <c r="R971" s="25">
        <f t="array" aca="1" ref="R971" ca="1">INDEX('Lorri 401b'!L:L,MATCH('Retirement Calculator'!A971,'Lorri 401b'!N:N,0),0)</f>
        <v>-20703710.454503946</v>
      </c>
      <c r="S971" s="25">
        <f t="shared" ca="1" si="787"/>
        <v>-28897854.972172003</v>
      </c>
    </row>
    <row r="972" spans="1:19" ht="15.75" customHeight="1" x14ac:dyDescent="0.3">
      <c r="A972" s="37">
        <v>80537</v>
      </c>
      <c r="B972" s="409">
        <f t="shared" ref="B972:C972" si="983">($A972-B$9)/365.25</f>
        <v>138.62012320328543</v>
      </c>
      <c r="C972" s="409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2192</v>
      </c>
      <c r="I972" s="25">
        <f>IF(C972&lt;62,0,'Combined Retirement'!$I$13)</f>
        <v>2420</v>
      </c>
      <c r="J972" s="25">
        <f t="shared" si="783"/>
        <v>7863.2184191855868</v>
      </c>
      <c r="K972" s="25">
        <f t="shared" si="784"/>
        <v>20282.026119384056</v>
      </c>
      <c r="L972" s="25"/>
      <c r="N972" s="25">
        <f>'Combined Retirement'!$C$18/12</f>
        <v>39153.069999999992</v>
      </c>
      <c r="O972" s="25">
        <f t="shared" si="785"/>
        <v>11007.82546143035</v>
      </c>
      <c r="P972" s="25">
        <f t="shared" si="786"/>
        <v>28145.244538569641</v>
      </c>
      <c r="Q972" s="25">
        <f t="array" aca="1" ref="Q972" ca="1">INDEX('Isaac 401k'!L:L,MATCH('Retirement Calculator'!A972,'Isaac 401k'!N:N,0),0)</f>
        <v>-8236182.7683209395</v>
      </c>
      <c r="R972" s="25">
        <f t="array" aca="1" ref="R972" ca="1">INDEX('Lorri 401b'!L:L,MATCH('Retirement Calculator'!A972,'Lorri 401b'!N:N,0),0)</f>
        <v>-20810342.449292596</v>
      </c>
      <c r="S972" s="25">
        <f t="shared" ca="1" si="787"/>
        <v>-29046525.217613537</v>
      </c>
    </row>
    <row r="973" spans="1:19" ht="15.75" customHeight="1" x14ac:dyDescent="0.3">
      <c r="A973" s="37">
        <v>80568</v>
      </c>
      <c r="B973" s="409">
        <f t="shared" ref="B973:C973" si="984">($A973-B$9)/365.25</f>
        <v>138.70499657768653</v>
      </c>
      <c r="C973" s="409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2192</v>
      </c>
      <c r="I973" s="25">
        <f>IF(C973&lt;62,0,'Combined Retirement'!$I$13)</f>
        <v>2420</v>
      </c>
      <c r="J973" s="25">
        <f t="shared" si="783"/>
        <v>7863.2184191855868</v>
      </c>
      <c r="K973" s="25">
        <f t="shared" si="784"/>
        <v>20282.026119384056</v>
      </c>
      <c r="L973" s="25"/>
      <c r="N973" s="25">
        <f>'Combined Retirement'!$C$18/12</f>
        <v>39153.069999999992</v>
      </c>
      <c r="O973" s="25">
        <f t="shared" si="785"/>
        <v>11007.82546143035</v>
      </c>
      <c r="P973" s="25">
        <f t="shared" si="786"/>
        <v>28145.244538569641</v>
      </c>
      <c r="Q973" s="25">
        <f t="array" aca="1" ref="Q973" ca="1">INDEX('Isaac 401k'!L:L,MATCH('Retirement Calculator'!A973,'Isaac 401k'!N:N,0),0)</f>
        <v>-8278396.1783515429</v>
      </c>
      <c r="R973" s="25">
        <f t="array" aca="1" ref="R973" ca="1">INDEX('Lorri 401b'!L:L,MATCH('Retirement Calculator'!A973,'Lorri 401b'!N:N,0),0)</f>
        <v>-20917418.744059533</v>
      </c>
      <c r="S973" s="25">
        <f t="shared" ca="1" si="787"/>
        <v>-29195814.922411077</v>
      </c>
    </row>
    <row r="974" spans="1:19" ht="15.75" customHeight="1" x14ac:dyDescent="0.3">
      <c r="A974" s="37">
        <v>80599</v>
      </c>
      <c r="B974" s="409">
        <f t="shared" ref="B974:C974" si="985">($A974-B$9)/365.25</f>
        <v>138.7898699520876</v>
      </c>
      <c r="C974" s="409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2192</v>
      </c>
      <c r="I974" s="25">
        <f>IF(C974&lt;62,0,'Combined Retirement'!$I$13)</f>
        <v>2420</v>
      </c>
      <c r="J974" s="25">
        <f t="shared" si="783"/>
        <v>7863.2184191855868</v>
      </c>
      <c r="K974" s="25">
        <f t="shared" si="784"/>
        <v>20282.026119384056</v>
      </c>
      <c r="L974" s="25"/>
      <c r="N974" s="25">
        <f>'Combined Retirement'!$C$18/12</f>
        <v>39153.069999999992</v>
      </c>
      <c r="O974" s="25">
        <f t="shared" si="785"/>
        <v>11007.82546143035</v>
      </c>
      <c r="P974" s="25">
        <f t="shared" si="786"/>
        <v>28145.244538569641</v>
      </c>
      <c r="Q974" s="25">
        <f t="array" aca="1" ref="Q974" ca="1">INDEX('Isaac 401k'!L:L,MATCH('Retirement Calculator'!A974,'Isaac 401k'!N:N,0),0)</f>
        <v>-8320785.4775906065</v>
      </c>
      <c r="R974" s="25">
        <f t="array" aca="1" ref="R974" ca="1">INDEX('Lorri 401b'!L:L,MATCH('Retirement Calculator'!A974,'Lorri 401b'!N:N,0),0)</f>
        <v>-21024941.190054663</v>
      </c>
      <c r="S974" s="25">
        <f t="shared" ca="1" si="787"/>
        <v>-29345726.667645268</v>
      </c>
    </row>
    <row r="975" spans="1:19" ht="15.75" customHeight="1" x14ac:dyDescent="0.3">
      <c r="A975" s="37">
        <v>80629</v>
      </c>
      <c r="B975" s="409">
        <f t="shared" ref="B975:C975" si="986">($A975-B$9)/365.25</f>
        <v>138.87200547570157</v>
      </c>
      <c r="C975" s="409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2192</v>
      </c>
      <c r="I975" s="25">
        <f>IF(C975&lt;62,0,'Combined Retirement'!$I$13)</f>
        <v>2420</v>
      </c>
      <c r="J975" s="25">
        <f t="shared" si="783"/>
        <v>7863.2184191855868</v>
      </c>
      <c r="K975" s="25">
        <f t="shared" si="784"/>
        <v>20282.026119384056</v>
      </c>
      <c r="L975" s="25"/>
      <c r="N975" s="25">
        <f>'Combined Retirement'!$C$18/12</f>
        <v>39153.069999999992</v>
      </c>
      <c r="O975" s="25">
        <f t="shared" si="785"/>
        <v>11007.82546143035</v>
      </c>
      <c r="P975" s="25">
        <f t="shared" si="786"/>
        <v>28145.244538569641</v>
      </c>
      <c r="Q975" s="25">
        <f t="array" aca="1" ref="Q975" ca="1">INDEX('Isaac 401k'!L:L,MATCH('Retirement Calculator'!A975,'Isaac 401k'!N:N,0),0)</f>
        <v>-8363351.3989098333</v>
      </c>
      <c r="R975" s="25">
        <f t="array" aca="1" ref="R975" ca="1">INDEX('Lorri 401b'!L:L,MATCH('Retirement Calculator'!A975,'Lorri 401b'!N:N,0),0)</f>
        <v>-21132911.646241438</v>
      </c>
      <c r="S975" s="25">
        <f t="shared" ca="1" si="787"/>
        <v>-29496263.045151271</v>
      </c>
    </row>
    <row r="976" spans="1:19" ht="15.75" customHeight="1" x14ac:dyDescent="0.3">
      <c r="A976" s="37">
        <v>80660</v>
      </c>
      <c r="B976" s="409">
        <f t="shared" ref="B976:C976" si="987">($A976-B$9)/365.25</f>
        <v>138.95687885010267</v>
      </c>
      <c r="C976" s="409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2192</v>
      </c>
      <c r="I976" s="25">
        <f>IF(C976&lt;62,0,'Combined Retirement'!$I$13)</f>
        <v>2420</v>
      </c>
      <c r="J976" s="25">
        <f t="shared" si="783"/>
        <v>7863.2184191855868</v>
      </c>
      <c r="K976" s="25">
        <f t="shared" si="784"/>
        <v>20282.026119384056</v>
      </c>
      <c r="L976" s="25"/>
      <c r="N976" s="25">
        <f>'Combined Retirement'!$C$18/12</f>
        <v>39153.069999999992</v>
      </c>
      <c r="O976" s="25">
        <f t="shared" si="785"/>
        <v>11007.82546143035</v>
      </c>
      <c r="P976" s="25">
        <f t="shared" si="786"/>
        <v>28145.244538569641</v>
      </c>
      <c r="Q976" s="25">
        <f t="array" aca="1" ref="Q976" ca="1">INDEX('Isaac 401k'!L:L,MATCH('Retirement Calculator'!A976,'Isaac 401k'!N:N,0),0)</f>
        <v>-8406094.6782345567</v>
      </c>
      <c r="R976" s="25">
        <f t="array" aca="1" ref="R976" ca="1">INDEX('Lorri 401b'!L:L,MATCH('Retirement Calculator'!A976,'Lorri 401b'!N:N,0),0)</f>
        <v>-21241331.979328994</v>
      </c>
      <c r="S976" s="25">
        <f t="shared" ca="1" si="787"/>
        <v>-29647426.657563552</v>
      </c>
    </row>
    <row r="977" spans="1:19" ht="15.75" customHeight="1" x14ac:dyDescent="0.3">
      <c r="A977" s="37">
        <v>80690</v>
      </c>
      <c r="B977" s="409">
        <f t="shared" ref="B977:C977" si="988">($A977-B$9)/365.25</f>
        <v>139.03901437371664</v>
      </c>
      <c r="C977" s="409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2192</v>
      </c>
      <c r="I977" s="25">
        <f>IF(C977&lt;62,0,'Combined Retirement'!$I$13)</f>
        <v>2420</v>
      </c>
      <c r="J977" s="25">
        <f t="shared" si="783"/>
        <v>7863.2184191855868</v>
      </c>
      <c r="K977" s="25">
        <f t="shared" si="784"/>
        <v>20282.026119384056</v>
      </c>
      <c r="L977" s="25"/>
      <c r="N977" s="25">
        <f>'Combined Retirement'!$C$18/12</f>
        <v>39153.069999999992</v>
      </c>
      <c r="O977" s="25">
        <f t="shared" si="785"/>
        <v>11007.82546143035</v>
      </c>
      <c r="P977" s="25">
        <f t="shared" si="786"/>
        <v>28145.244538569641</v>
      </c>
      <c r="Q977" s="25">
        <f t="array" aca="1" ref="Q977" ca="1">INDEX('Isaac 401k'!L:L,MATCH('Retirement Calculator'!A977,'Isaac 401k'!N:N,0),0)</f>
        <v>-8449016.0545564648</v>
      </c>
      <c r="R977" s="25">
        <f t="array" aca="1" ref="R977" ca="1">INDEX('Lorri 401b'!L:L,MATCH('Retirement Calculator'!A977,'Lorri 401b'!N:N,0),0)</f>
        <v>-21350204.063804414</v>
      </c>
      <c r="S977" s="25">
        <f t="shared" ca="1" si="787"/>
        <v>-29799220.118360877</v>
      </c>
    </row>
    <row r="978" spans="1:19" ht="15.75" customHeight="1" x14ac:dyDescent="0.3">
      <c r="A978" s="37">
        <v>80721</v>
      </c>
      <c r="B978" s="409">
        <f t="shared" ref="B978:C978" si="989">($A978-B$9)/365.25</f>
        <v>139.12388774811774</v>
      </c>
      <c r="C978" s="409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2192</v>
      </c>
      <c r="I978" s="25">
        <f>IF(C978&lt;62,0,'Combined Retirement'!$I$13)</f>
        <v>2420</v>
      </c>
      <c r="J978" s="25">
        <f t="shared" si="783"/>
        <v>7863.2184191855868</v>
      </c>
      <c r="K978" s="25">
        <f t="shared" si="784"/>
        <v>20282.026119384056</v>
      </c>
      <c r="L978" s="25"/>
      <c r="N978" s="25">
        <f>'Combined Retirement'!$C$18/12</f>
        <v>39153.069999999992</v>
      </c>
      <c r="O978" s="25">
        <f t="shared" si="785"/>
        <v>11007.82546143035</v>
      </c>
      <c r="P978" s="25">
        <f t="shared" si="786"/>
        <v>28145.244538569641</v>
      </c>
      <c r="Q978" s="25">
        <f t="array" aca="1" ref="Q978" ca="1">INDEX('Isaac 401k'!L:L,MATCH('Retirement Calculator'!A978,'Isaac 401k'!N:N,0),0)</f>
        <v>-8492116.2699463814</v>
      </c>
      <c r="R978" s="25">
        <f t="array" aca="1" ref="R978" ca="1">INDEX('Lorri 401b'!L:L,MATCH('Retirement Calculator'!A978,'Lorri 401b'!N:N,0),0)</f>
        <v>-21459529.781965148</v>
      </c>
      <c r="S978" s="25">
        <f t="shared" ca="1" si="787"/>
        <v>-29951646.051911529</v>
      </c>
    </row>
    <row r="979" spans="1:19" ht="15.75" customHeight="1" x14ac:dyDescent="0.3">
      <c r="A979" s="37">
        <v>80752</v>
      </c>
      <c r="B979" s="409">
        <f t="shared" ref="B979:C979" si="990">($A979-B$9)/365.25</f>
        <v>139.20876112251884</v>
      </c>
      <c r="C979" s="409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2192</v>
      </c>
      <c r="I979" s="25">
        <f>IF(C979&lt;62,0,'Combined Retirement'!$I$13)</f>
        <v>2420</v>
      </c>
      <c r="J979" s="25">
        <f t="shared" si="783"/>
        <v>7863.2184191855868</v>
      </c>
      <c r="K979" s="25">
        <f t="shared" si="784"/>
        <v>20282.026119384056</v>
      </c>
      <c r="L979" s="25"/>
      <c r="N979" s="25">
        <f>'Combined Retirement'!$C$18/12</f>
        <v>39153.069999999992</v>
      </c>
      <c r="O979" s="25">
        <f t="shared" si="785"/>
        <v>11007.82546143035</v>
      </c>
      <c r="P979" s="25">
        <f t="shared" si="786"/>
        <v>28145.244538569641</v>
      </c>
      <c r="Q979" s="25">
        <f t="array" aca="1" ref="Q979" ca="1">INDEX('Isaac 401k'!L:L,MATCH('Retirement Calculator'!A979,'Isaac 401k'!N:N,0),0)</f>
        <v>-8535396.0695670899</v>
      </c>
      <c r="R979" s="25">
        <f t="array" aca="1" ref="R979" ca="1">INDEX('Lorri 401b'!L:L,MATCH('Retirement Calculator'!A979,'Lorri 401b'!N:N,0),0)</f>
        <v>-21569311.023951553</v>
      </c>
      <c r="S979" s="25">
        <f t="shared" ca="1" si="787"/>
        <v>-30104707.093518645</v>
      </c>
    </row>
    <row r="980" spans="1:19" ht="15.75" customHeight="1" x14ac:dyDescent="0.3">
      <c r="A980" s="37">
        <v>80780</v>
      </c>
      <c r="B980" s="409">
        <f t="shared" ref="B980:C980" si="991">($A980-B$9)/365.25</f>
        <v>139.28542094455852</v>
      </c>
      <c r="C980" s="409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2192</v>
      </c>
      <c r="I980" s="25">
        <f>IF(C980&lt;62,0,'Combined Retirement'!$I$13)</f>
        <v>2420</v>
      </c>
      <c r="J980" s="25">
        <f t="shared" si="783"/>
        <v>7863.2184191855868</v>
      </c>
      <c r="K980" s="25">
        <f t="shared" si="784"/>
        <v>20282.026119384056</v>
      </c>
      <c r="L980" s="25"/>
      <c r="N980" s="25">
        <f>'Combined Retirement'!$C$18/12</f>
        <v>39153.069999999992</v>
      </c>
      <c r="O980" s="25">
        <f t="shared" si="785"/>
        <v>11007.82546143035</v>
      </c>
      <c r="P980" s="25">
        <f t="shared" si="786"/>
        <v>28145.244538569641</v>
      </c>
      <c r="Q980" s="25">
        <f t="array" aca="1" ref="Q980" ca="1">INDEX('Isaac 401k'!L:L,MATCH('Retirement Calculator'!A980,'Isaac 401k'!N:N,0),0)</f>
        <v>-8578856.2016862184</v>
      </c>
      <c r="R980" s="25">
        <f t="array" aca="1" ref="R980" ca="1">INDEX('Lorri 401b'!L:L,MATCH('Retirement Calculator'!A980,'Lorri 401b'!N:N,0),0)</f>
        <v>-21679549.687779568</v>
      </c>
      <c r="S980" s="25">
        <f t="shared" ca="1" si="787"/>
        <v>-30258405.889465787</v>
      </c>
    </row>
    <row r="981" spans="1:19" ht="15.75" customHeight="1" x14ac:dyDescent="0.3">
      <c r="A981" s="37">
        <v>80811</v>
      </c>
      <c r="B981" s="409">
        <f t="shared" ref="B981:C981" si="992">($A981-B$9)/365.25</f>
        <v>139.37029431895962</v>
      </c>
      <c r="C981" s="409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2192</v>
      </c>
      <c r="I981" s="25">
        <f>IF(C981&lt;62,0,'Combined Retirement'!$I$13)</f>
        <v>2420</v>
      </c>
      <c r="J981" s="25">
        <f t="shared" si="783"/>
        <v>7863.2184191855868</v>
      </c>
      <c r="K981" s="25">
        <f t="shared" si="784"/>
        <v>20282.026119384056</v>
      </c>
      <c r="L981" s="25"/>
      <c r="N981" s="25">
        <f>'Combined Retirement'!$C$18/12</f>
        <v>39153.069999999992</v>
      </c>
      <c r="O981" s="25">
        <f t="shared" si="785"/>
        <v>11007.82546143035</v>
      </c>
      <c r="P981" s="25">
        <f t="shared" si="786"/>
        <v>28145.244538569641</v>
      </c>
      <c r="Q981" s="25">
        <f t="array" aca="1" ref="Q981" ca="1">INDEX('Isaac 401k'!L:L,MATCH('Retirement Calculator'!A981,'Isaac 401k'!N:N,0),0)</f>
        <v>-8622497.4176891763</v>
      </c>
      <c r="R981" s="25">
        <f t="array" aca="1" ref="R981" ca="1">INDEX('Lorri 401b'!L:L,MATCH('Retirement Calculator'!A981,'Lorri 401b'!N:N,0),0)</f>
        <v>-21790247.679373533</v>
      </c>
      <c r="S981" s="25">
        <f t="shared" ca="1" si="787"/>
        <v>-30412745.097062707</v>
      </c>
    </row>
    <row r="982" spans="1:19" ht="15.75" customHeight="1" x14ac:dyDescent="0.3">
      <c r="A982" s="37">
        <v>80841</v>
      </c>
      <c r="B982" s="409">
        <f t="shared" ref="B982:C982" si="993">($A982-B$9)/365.25</f>
        <v>139.45242984257359</v>
      </c>
      <c r="C982" s="409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2192</v>
      </c>
      <c r="I982" s="25">
        <f>IF(C982&lt;62,0,'Combined Retirement'!$I$13)</f>
        <v>2420</v>
      </c>
      <c r="J982" s="25">
        <f t="shared" si="783"/>
        <v>7863.2184191855868</v>
      </c>
      <c r="K982" s="25">
        <f t="shared" si="784"/>
        <v>20282.026119384056</v>
      </c>
      <c r="L982" s="25"/>
      <c r="N982" s="25">
        <f>'Combined Retirement'!$C$18/12</f>
        <v>39153.069999999992</v>
      </c>
      <c r="O982" s="25">
        <f t="shared" si="785"/>
        <v>11007.82546143035</v>
      </c>
      <c r="P982" s="25">
        <f t="shared" si="786"/>
        <v>28145.244538569641</v>
      </c>
      <c r="Q982" s="25">
        <f t="array" aca="1" ref="Q982" ca="1">INDEX('Isaac 401k'!L:L,MATCH('Retirement Calculator'!A982,'Isaac 401k'!N:N,0),0)</f>
        <v>-8666320.4720921461</v>
      </c>
      <c r="R982" s="25">
        <f t="array" aca="1" ref="R982" ca="1">INDEX('Lorri 401b'!L:L,MATCH('Retirement Calculator'!A982,'Lorri 401b'!N:N,0),0)</f>
        <v>-21901406.912599139</v>
      </c>
      <c r="S982" s="25">
        <f t="shared" ca="1" si="787"/>
        <v>-30567727.384691283</v>
      </c>
    </row>
    <row r="983" spans="1:19" ht="15.75" customHeight="1" x14ac:dyDescent="0.3">
      <c r="A983" s="37">
        <v>80872</v>
      </c>
      <c r="B983" s="409">
        <f t="shared" ref="B983:C983" si="994">($A983-B$9)/365.25</f>
        <v>139.53730321697466</v>
      </c>
      <c r="C983" s="409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2192</v>
      </c>
      <c r="I983" s="25">
        <f>IF(C983&lt;62,0,'Combined Retirement'!$I$13)</f>
        <v>2420</v>
      </c>
      <c r="J983" s="25">
        <f t="shared" si="783"/>
        <v>7863.2184191855868</v>
      </c>
      <c r="K983" s="25">
        <f t="shared" si="784"/>
        <v>20282.026119384056</v>
      </c>
      <c r="L983" s="25"/>
      <c r="N983" s="25">
        <f>'Combined Retirement'!$C$18/12</f>
        <v>39153.069999999992</v>
      </c>
      <c r="O983" s="25">
        <f t="shared" si="785"/>
        <v>11007.82546143035</v>
      </c>
      <c r="P983" s="25">
        <f t="shared" si="786"/>
        <v>28145.244538569641</v>
      </c>
      <c r="Q983" s="25">
        <f t="array" aca="1" ref="Q983" ca="1">INDEX('Isaac 401k'!L:L,MATCH('Retirement Calculator'!A983,'Isaac 401k'!N:N,0),0)</f>
        <v>-8710326.1225551274</v>
      </c>
      <c r="R983" s="25">
        <f t="array" aca="1" ref="R983" ca="1">INDEX('Lorri 401b'!L:L,MATCH('Retirement Calculator'!A983,'Lorri 401b'!N:N,0),0)</f>
        <v>-22013029.309296519</v>
      </c>
      <c r="S983" s="25">
        <f t="shared" ca="1" si="787"/>
        <v>-30723355.431851648</v>
      </c>
    </row>
    <row r="984" spans="1:19" ht="15.75" customHeight="1" x14ac:dyDescent="0.3">
      <c r="A984" s="37">
        <v>80902</v>
      </c>
      <c r="B984" s="409">
        <f t="shared" ref="B984:C984" si="995">($A984-B$9)/365.25</f>
        <v>139.61943874058863</v>
      </c>
      <c r="C984" s="409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2192</v>
      </c>
      <c r="I984" s="25">
        <f>IF(C984&lt;62,0,'Combined Retirement'!$I$13)</f>
        <v>2420</v>
      </c>
      <c r="J984" s="25">
        <f t="shared" si="783"/>
        <v>7863.2184191855868</v>
      </c>
      <c r="K984" s="25">
        <f t="shared" si="784"/>
        <v>20282.026119384056</v>
      </c>
      <c r="L984" s="25"/>
      <c r="N984" s="25">
        <f>'Combined Retirement'!$C$18/12</f>
        <v>39153.069999999992</v>
      </c>
      <c r="O984" s="25">
        <f t="shared" si="785"/>
        <v>11007.82546143035</v>
      </c>
      <c r="P984" s="25">
        <f t="shared" si="786"/>
        <v>28145.244538569641</v>
      </c>
      <c r="Q984" s="25">
        <f t="array" aca="1" ref="Q984" ca="1">INDEX('Isaac 401k'!L:L,MATCH('Retirement Calculator'!A984,'Isaac 401k'!N:N,0),0)</f>
        <v>-8754515.1298950389</v>
      </c>
      <c r="R984" s="25">
        <f t="array" aca="1" ref="R984" ca="1">INDEX('Lorri 401b'!L:L,MATCH('Retirement Calculator'!A984,'Lorri 401b'!N:N,0),0)</f>
        <v>-22125116.799313471</v>
      </c>
      <c r="S984" s="25">
        <f t="shared" ca="1" si="787"/>
        <v>-30879631.92920851</v>
      </c>
    </row>
    <row r="985" spans="1:19" ht="15.75" customHeight="1" x14ac:dyDescent="0.3">
      <c r="A985" s="37">
        <v>80933</v>
      </c>
      <c r="B985" s="409">
        <f t="shared" ref="B985:C985" si="996">($A985-B$9)/365.25</f>
        <v>139.70431211498973</v>
      </c>
      <c r="C985" s="409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2192</v>
      </c>
      <c r="I985" s="25">
        <f>IF(C985&lt;62,0,'Combined Retirement'!$I$13)</f>
        <v>2420</v>
      </c>
      <c r="J985" s="25">
        <f t="shared" si="783"/>
        <v>7863.2184191855868</v>
      </c>
      <c r="K985" s="25">
        <f t="shared" si="784"/>
        <v>20282.026119384056</v>
      </c>
      <c r="L985" s="25"/>
      <c r="N985" s="25">
        <f>'Combined Retirement'!$C$18/12</f>
        <v>39153.069999999992</v>
      </c>
      <c r="O985" s="25">
        <f t="shared" si="785"/>
        <v>11007.82546143035</v>
      </c>
      <c r="P985" s="25">
        <f t="shared" si="786"/>
        <v>28145.244538569641</v>
      </c>
      <c r="Q985" s="25">
        <f t="array" aca="1" ref="Q985" ca="1">INDEX('Isaac 401k'!L:L,MATCH('Retirement Calculator'!A985,'Isaac 401k'!N:N,0),0)</f>
        <v>-8798888.2580988668</v>
      </c>
      <c r="R985" s="25">
        <f t="array" aca="1" ref="R985" ca="1">INDEX('Lorri 401b'!L:L,MATCH('Retirement Calculator'!A985,'Lorri 401b'!N:N,0),0)</f>
        <v>-22237671.320538826</v>
      </c>
      <c r="S985" s="25">
        <f t="shared" ca="1" si="787"/>
        <v>-31036559.578637693</v>
      </c>
    </row>
    <row r="986" spans="1:19" ht="15.75" customHeight="1" x14ac:dyDescent="0.3">
      <c r="A986" s="37">
        <v>80964</v>
      </c>
      <c r="B986" s="409">
        <f t="shared" ref="B986:C986" si="997">($A986-B$9)/365.25</f>
        <v>139.78918548939083</v>
      </c>
      <c r="C986" s="409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2192</v>
      </c>
      <c r="I986" s="25">
        <f>IF(C986&lt;62,0,'Combined Retirement'!$I$13)</f>
        <v>2420</v>
      </c>
      <c r="J986" s="25">
        <f t="shared" si="783"/>
        <v>7863.2184191855868</v>
      </c>
      <c r="K986" s="25">
        <f t="shared" si="784"/>
        <v>20282.026119384056</v>
      </c>
      <c r="L986" s="25"/>
      <c r="N986" s="25">
        <f>'Combined Retirement'!$C$18/12</f>
        <v>39153.069999999992</v>
      </c>
      <c r="O986" s="25">
        <f t="shared" si="785"/>
        <v>11007.82546143035</v>
      </c>
      <c r="P986" s="25">
        <f t="shared" si="786"/>
        <v>28145.244538569641</v>
      </c>
      <c r="Q986" s="25">
        <f t="array" aca="1" ref="Q986" ca="1">INDEX('Isaac 401k'!L:L,MATCH('Retirement Calculator'!A986,'Isaac 401k'!N:N,0),0)</f>
        <v>-8843446.2743368763</v>
      </c>
      <c r="R986" s="25">
        <f t="array" aca="1" ref="R986" ca="1">INDEX('Lorri 401b'!L:L,MATCH('Retirement Calculator'!A986,'Lorri 401b'!N:N,0),0)</f>
        <v>-22350694.818935953</v>
      </c>
      <c r="S986" s="25">
        <f t="shared" ca="1" si="787"/>
        <v>-31194141.093272828</v>
      </c>
    </row>
    <row r="987" spans="1:19" ht="15.75" customHeight="1" x14ac:dyDescent="0.3">
      <c r="A987" s="37">
        <v>80994</v>
      </c>
      <c r="B987" s="409">
        <f t="shared" ref="B987:C987" si="998">($A987-B$9)/365.25</f>
        <v>139.8713210130048</v>
      </c>
      <c r="C987" s="409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2192</v>
      </c>
      <c r="I987" s="25">
        <f>IF(C987&lt;62,0,'Combined Retirement'!$I$13)</f>
        <v>2420</v>
      </c>
      <c r="J987" s="25">
        <f t="shared" si="783"/>
        <v>7863.2184191855868</v>
      </c>
      <c r="K987" s="25">
        <f t="shared" si="784"/>
        <v>20282.026119384056</v>
      </c>
      <c r="L987" s="25"/>
      <c r="N987" s="25">
        <f>'Combined Retirement'!$C$18/12</f>
        <v>39153.069999999992</v>
      </c>
      <c r="O987" s="25">
        <f t="shared" si="785"/>
        <v>11007.82546143035</v>
      </c>
      <c r="P987" s="25">
        <f t="shared" si="786"/>
        <v>28145.244538569641</v>
      </c>
      <c r="Q987" s="25">
        <f t="array" aca="1" ref="Q987" ca="1">INDEX('Isaac 401k'!L:L,MATCH('Retirement Calculator'!A987,'Isaac 401k'!N:N,0),0)</f>
        <v>-8888189.9489758778</v>
      </c>
      <c r="R987" s="25">
        <f t="array" aca="1" ref="R987" ca="1">INDEX('Lorri 401b'!L:L,MATCH('Retirement Calculator'!A987,'Lorri 401b'!N:N,0),0)</f>
        <v>-22464189.248576403</v>
      </c>
      <c r="S987" s="25">
        <f t="shared" ca="1" si="787"/>
        <v>-31352379.197552279</v>
      </c>
    </row>
    <row r="988" spans="1:19" ht="15.75" customHeight="1" x14ac:dyDescent="0.3">
      <c r="A988" s="37">
        <v>81025</v>
      </c>
      <c r="B988" s="409">
        <f t="shared" ref="B988:C988" si="999">($A988-B$9)/365.25</f>
        <v>139.95619438740587</v>
      </c>
      <c r="C988" s="409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2192</v>
      </c>
      <c r="I988" s="25">
        <f>IF(C988&lt;62,0,'Combined Retirement'!$I$13)</f>
        <v>2420</v>
      </c>
      <c r="J988" s="25">
        <f t="shared" si="783"/>
        <v>7863.2184191855868</v>
      </c>
      <c r="K988" s="25">
        <f t="shared" si="784"/>
        <v>20282.026119384056</v>
      </c>
      <c r="L988" s="25"/>
      <c r="N988" s="25">
        <f>'Combined Retirement'!$C$18/12</f>
        <v>39153.069999999992</v>
      </c>
      <c r="O988" s="25">
        <f t="shared" si="785"/>
        <v>11007.82546143035</v>
      </c>
      <c r="P988" s="25">
        <f t="shared" si="786"/>
        <v>28145.244538569641</v>
      </c>
      <c r="Q988" s="25">
        <f t="array" aca="1" ref="Q988" ca="1">INDEX('Isaac 401k'!L:L,MATCH('Retirement Calculator'!A988,'Isaac 401k'!N:N,0),0)</f>
        <v>-8933120.0555925425</v>
      </c>
      <c r="R988" s="25">
        <f t="array" aca="1" ref="R988" ca="1">INDEX('Lorri 401b'!L:L,MATCH('Retirement Calculator'!A988,'Lorri 401b'!N:N,0),0)</f>
        <v>-22578156.571673688</v>
      </c>
      <c r="S988" s="25">
        <f t="shared" ca="1" si="787"/>
        <v>-31511276.627266228</v>
      </c>
    </row>
    <row r="989" spans="1:19" ht="15.75" customHeight="1" x14ac:dyDescent="0.3">
      <c r="A989" s="37">
        <v>81055</v>
      </c>
      <c r="B989" s="409">
        <f t="shared" ref="B989:C989" si="1000">($A989-B$9)/365.25</f>
        <v>140.03832991101984</v>
      </c>
      <c r="C989" s="409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2192</v>
      </c>
      <c r="I989" s="25">
        <f>IF(C989&lt;62,0,'Combined Retirement'!$I$13)</f>
        <v>2420</v>
      </c>
      <c r="J989" s="25">
        <f t="shared" si="783"/>
        <v>7863.2184191855868</v>
      </c>
      <c r="K989" s="25">
        <f t="shared" si="784"/>
        <v>20282.026119384056</v>
      </c>
      <c r="L989" s="25"/>
      <c r="N989" s="25">
        <f>'Combined Retirement'!$C$18/12</f>
        <v>39153.069999999992</v>
      </c>
      <c r="O989" s="25">
        <f t="shared" si="785"/>
        <v>11007.82546143035</v>
      </c>
      <c r="P989" s="25">
        <f t="shared" si="786"/>
        <v>28145.244538569641</v>
      </c>
      <c r="Q989" s="25">
        <f t="array" aca="1" ref="Q989" ca="1">INDEX('Isaac 401k'!L:L,MATCH('Retirement Calculator'!A989,'Isaac 401k'!N:N,0),0)</f>
        <v>-8978237.3709867764</v>
      </c>
      <c r="R989" s="25">
        <f t="array" aca="1" ref="R989" ca="1">INDEX('Lorri 401b'!L:L,MATCH('Retirement Calculator'!A989,'Lorri 401b'!N:N,0),0)</f>
        <v>-22692598.758617211</v>
      </c>
      <c r="S989" s="25">
        <f t="shared" ca="1" si="787"/>
        <v>-31670836.129603989</v>
      </c>
    </row>
    <row r="990" spans="1:19" ht="15.75" customHeight="1" x14ac:dyDescent="0.3">
      <c r="A990" s="37">
        <v>81086</v>
      </c>
      <c r="B990" s="409">
        <f t="shared" ref="B990:C990" si="1001">($A990-B$9)/365.25</f>
        <v>140.12320328542094</v>
      </c>
      <c r="C990" s="409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2192</v>
      </c>
      <c r="I990" s="25">
        <f>IF(C990&lt;62,0,'Combined Retirement'!$I$13)</f>
        <v>2420</v>
      </c>
      <c r="J990" s="25">
        <f t="shared" si="783"/>
        <v>7863.2184191855868</v>
      </c>
      <c r="K990" s="25">
        <f t="shared" si="784"/>
        <v>20282.026119384056</v>
      </c>
      <c r="L990" s="25"/>
      <c r="N990" s="25">
        <f>'Combined Retirement'!$C$18/12</f>
        <v>39153.069999999992</v>
      </c>
      <c r="O990" s="25">
        <f t="shared" si="785"/>
        <v>11007.82546143035</v>
      </c>
      <c r="P990" s="25">
        <f t="shared" si="786"/>
        <v>28145.244538569641</v>
      </c>
      <c r="Q990" s="25">
        <f t="array" aca="1" ref="Q990" ca="1">INDEX('Isaac 401k'!L:L,MATCH('Retirement Calculator'!A990,'Isaac 401k'!N:N,0),0)</f>
        <v>-9023542.6751951519</v>
      </c>
      <c r="R990" s="25">
        <f t="array" aca="1" ref="R990" ca="1">INDEX('Lorri 401b'!L:L,MATCH('Retirement Calculator'!A990,'Lorri 401b'!N:N,0),0)</f>
        <v>-22807517.788006332</v>
      </c>
      <c r="S990" s="25">
        <f t="shared" ca="1" si="787"/>
        <v>-31831060.463201486</v>
      </c>
    </row>
    <row r="991" spans="1:19" ht="15.75" customHeight="1" x14ac:dyDescent="0.3">
      <c r="A991" s="37">
        <v>81117</v>
      </c>
      <c r="B991" s="409">
        <f t="shared" ref="B991:C991" si="1002">($A991-B$9)/365.25</f>
        <v>140.20807665982204</v>
      </c>
      <c r="C991" s="409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2192</v>
      </c>
      <c r="I991" s="25">
        <f>IF(C991&lt;62,0,'Combined Retirement'!$I$13)</f>
        <v>2420</v>
      </c>
      <c r="J991" s="25">
        <f t="shared" si="783"/>
        <v>7863.2184191855868</v>
      </c>
      <c r="K991" s="25">
        <f t="shared" si="784"/>
        <v>20282.026119384056</v>
      </c>
      <c r="L991" s="25"/>
      <c r="N991" s="25">
        <f>'Combined Retirement'!$C$18/12</f>
        <v>39153.069999999992</v>
      </c>
      <c r="O991" s="25">
        <f t="shared" si="785"/>
        <v>11007.82546143035</v>
      </c>
      <c r="P991" s="25">
        <f t="shared" si="786"/>
        <v>28145.244538569641</v>
      </c>
      <c r="Q991" s="25">
        <f t="array" aca="1" ref="Q991" ca="1">INDEX('Isaac 401k'!L:L,MATCH('Retirement Calculator'!A991,'Isaac 401k'!N:N,0),0)</f>
        <v>-9069036.751504397</v>
      </c>
      <c r="R991" s="25">
        <f t="array" aca="1" ref="R991" ca="1">INDEX('Lorri 401b'!L:L,MATCH('Retirement Calculator'!A991,'Lorri 401b'!N:N,0),0)</f>
        <v>-22922915.646684572</v>
      </c>
      <c r="S991" s="25">
        <f t="shared" ca="1" si="787"/>
        <v>-31991952.398188971</v>
      </c>
    </row>
    <row r="992" spans="1:19" ht="15.75" customHeight="1" x14ac:dyDescent="0.3">
      <c r="A992" s="37">
        <v>81145</v>
      </c>
      <c r="B992" s="409">
        <f t="shared" ref="B992:C992" si="1003">($A992-B$9)/365.25</f>
        <v>140.28473648186173</v>
      </c>
      <c r="C992" s="409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2192</v>
      </c>
      <c r="I992" s="25">
        <f>IF(C992&lt;62,0,'Combined Retirement'!$I$13)</f>
        <v>2420</v>
      </c>
      <c r="J992" s="25">
        <f t="shared" si="783"/>
        <v>7863.2184191855868</v>
      </c>
      <c r="K992" s="25">
        <f t="shared" si="784"/>
        <v>20282.026119384056</v>
      </c>
      <c r="L992" s="25"/>
      <c r="N992" s="25">
        <f>'Combined Retirement'!$C$18/12</f>
        <v>39153.069999999992</v>
      </c>
      <c r="O992" s="25">
        <f t="shared" si="785"/>
        <v>11007.82546143035</v>
      </c>
      <c r="P992" s="25">
        <f t="shared" si="786"/>
        <v>28145.244538569641</v>
      </c>
      <c r="Q992" s="25">
        <f t="array" aca="1" ref="Q992" ca="1">INDEX('Isaac 401k'!L:L,MATCH('Retirement Calculator'!A992,'Isaac 401k'!N:N,0),0)</f>
        <v>-9114720.3864649311</v>
      </c>
      <c r="R992" s="25">
        <f t="array" aca="1" ref="R992" ca="1">INDEX('Lorri 401b'!L:L,MATCH('Retirement Calculator'!A992,'Lorri 401b'!N:N,0),0)</f>
        <v>-23038794.329773974</v>
      </c>
      <c r="S992" s="25">
        <f t="shared" ca="1" si="787"/>
        <v>-32153514.716238905</v>
      </c>
    </row>
    <row r="993" spans="1:19" ht="15.75" customHeight="1" x14ac:dyDescent="0.3">
      <c r="A993" s="37">
        <v>81176</v>
      </c>
      <c r="B993" s="409">
        <f t="shared" ref="B993:C993" si="1004">($A993-B$9)/365.25</f>
        <v>140.36960985626283</v>
      </c>
      <c r="C993" s="409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2192</v>
      </c>
      <c r="I993" s="25">
        <f>IF(C993&lt;62,0,'Combined Retirement'!$I$13)</f>
        <v>2420</v>
      </c>
      <c r="J993" s="25">
        <f t="shared" si="783"/>
        <v>7863.2184191855868</v>
      </c>
      <c r="K993" s="25">
        <f t="shared" si="784"/>
        <v>20282.026119384056</v>
      </c>
      <c r="L993" s="25"/>
      <c r="N993" s="25">
        <f>'Combined Retirement'!$C$18/12</f>
        <v>39153.069999999992</v>
      </c>
      <c r="O993" s="25">
        <f t="shared" si="785"/>
        <v>11007.82546143035</v>
      </c>
      <c r="P993" s="25">
        <f t="shared" si="786"/>
        <v>28145.244538569641</v>
      </c>
      <c r="Q993" s="25">
        <f t="array" aca="1" ref="Q993" ca="1">INDEX('Isaac 401k'!L:L,MATCH('Retirement Calculator'!A993,'Isaac 401k'!N:N,0),0)</f>
        <v>-9160594.369904466</v>
      </c>
      <c r="R993" s="25">
        <f t="array" aca="1" ref="R993" ca="1">INDEX('Lorri 401b'!L:L,MATCH('Retirement Calculator'!A993,'Lorri 401b'!N:N,0),0)</f>
        <v>-23155155.840709582</v>
      </c>
      <c r="S993" s="25">
        <f t="shared" ca="1" si="787"/>
        <v>-32315750.210614048</v>
      </c>
    </row>
    <row r="994" spans="1:19" ht="15.75" customHeight="1" x14ac:dyDescent="0.3">
      <c r="A994" s="37">
        <v>81206</v>
      </c>
      <c r="B994" s="409">
        <f t="shared" ref="B994:C994" si="1005">($A994-B$9)/365.25</f>
        <v>140.4517453798768</v>
      </c>
      <c r="C994" s="409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2192</v>
      </c>
      <c r="I994" s="25">
        <f>IF(C994&lt;62,0,'Combined Retirement'!$I$13)</f>
        <v>2420</v>
      </c>
      <c r="J994" s="25">
        <f t="shared" si="783"/>
        <v>7863.2184191855868</v>
      </c>
      <c r="K994" s="25">
        <f t="shared" si="784"/>
        <v>20282.026119384056</v>
      </c>
      <c r="L994" s="25"/>
      <c r="N994" s="25">
        <f>'Combined Retirement'!$C$18/12</f>
        <v>39153.069999999992</v>
      </c>
      <c r="O994" s="25">
        <f t="shared" si="785"/>
        <v>11007.82546143035</v>
      </c>
      <c r="P994" s="25">
        <f t="shared" si="786"/>
        <v>28145.244538569641</v>
      </c>
      <c r="Q994" s="25">
        <f t="array" aca="1" ref="Q994" ca="1">INDEX('Isaac 401k'!L:L,MATCH('Retirement Calculator'!A994,'Isaac 401k'!N:N,0),0)</f>
        <v>-9206659.4949416667</v>
      </c>
      <c r="R994" s="25">
        <f t="array" aca="1" ref="R994" ca="1">INDEX('Lorri 401b'!L:L,MATCH('Retirement Calculator'!A994,'Lorri 401b'!N:N,0),0)</f>
        <v>-23272002.191274088</v>
      </c>
      <c r="S994" s="25">
        <f t="shared" ca="1" si="787"/>
        <v>-32478661.686215755</v>
      </c>
    </row>
    <row r="995" spans="1:19" ht="15.75" customHeight="1" x14ac:dyDescent="0.3">
      <c r="A995" s="37">
        <v>81237</v>
      </c>
      <c r="B995" s="409">
        <f t="shared" ref="B995:C995" si="1006">($A995-B$9)/365.25</f>
        <v>140.5366187542779</v>
      </c>
      <c r="C995" s="409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2192</v>
      </c>
      <c r="I995" s="25">
        <f>IF(C995&lt;62,0,'Combined Retirement'!$I$13)</f>
        <v>2420</v>
      </c>
      <c r="J995" s="25">
        <f t="shared" si="783"/>
        <v>7863.2184191855868</v>
      </c>
      <c r="K995" s="25">
        <f t="shared" si="784"/>
        <v>20282.026119384056</v>
      </c>
      <c r="L995" s="25"/>
      <c r="N995" s="25">
        <f>'Combined Retirement'!$C$18/12</f>
        <v>39153.069999999992</v>
      </c>
      <c r="O995" s="25">
        <f t="shared" si="785"/>
        <v>11007.82546143035</v>
      </c>
      <c r="P995" s="25">
        <f t="shared" si="786"/>
        <v>28145.244538569641</v>
      </c>
      <c r="Q995" s="25">
        <f t="array" aca="1" ref="Q995" ca="1">INDEX('Isaac 401k'!L:L,MATCH('Retirement Calculator'!A995,'Isaac 401k'!N:N,0),0)</f>
        <v>-9252916.5579998549</v>
      </c>
      <c r="R995" s="25">
        <f t="array" aca="1" ref="R995" ca="1">INDEX('Lorri 401b'!L:L,MATCH('Retirement Calculator'!A995,'Lorri 401b'!N:N,0),0)</f>
        <v>-23389335.401632611</v>
      </c>
      <c r="S995" s="25">
        <f t="shared" ca="1" si="787"/>
        <v>-32642251.959632464</v>
      </c>
    </row>
    <row r="996" spans="1:19" ht="15.75" customHeight="1" x14ac:dyDescent="0.3">
      <c r="A996" s="37">
        <v>81267</v>
      </c>
      <c r="B996" s="409">
        <f t="shared" ref="B996:C996" si="1007">($A996-B$9)/365.25</f>
        <v>140.61875427789187</v>
      </c>
      <c r="C996" s="409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2192</v>
      </c>
      <c r="I996" s="25">
        <f>IF(C996&lt;62,0,'Combined Retirement'!$I$13)</f>
        <v>2420</v>
      </c>
      <c r="J996" s="25">
        <f t="shared" si="783"/>
        <v>7863.2184191855868</v>
      </c>
      <c r="K996" s="25">
        <f t="shared" si="784"/>
        <v>20282.026119384056</v>
      </c>
      <c r="L996" s="25"/>
      <c r="N996" s="25">
        <f>'Combined Retirement'!$C$18/12</f>
        <v>39153.069999999992</v>
      </c>
      <c r="O996" s="25">
        <f t="shared" si="785"/>
        <v>11007.82546143035</v>
      </c>
      <c r="P996" s="25">
        <f t="shared" si="786"/>
        <v>28145.244538569641</v>
      </c>
      <c r="Q996" s="25">
        <f t="array" aca="1" ref="Q996" ca="1">INDEX('Isaac 401k'!L:L,MATCH('Retirement Calculator'!A996,'Isaac 401k'!N:N,0),0)</f>
        <v>-9299366.3588207867</v>
      </c>
      <c r="R996" s="25">
        <f t="array" aca="1" ref="R996" ca="1">INDEX('Lorri 401b'!L:L,MATCH('Retirement Calculator'!A996,'Lorri 401b'!N:N,0),0)</f>
        <v>-23507157.50036763</v>
      </c>
      <c r="S996" s="25">
        <f t="shared" ca="1" si="787"/>
        <v>-32806523.859188415</v>
      </c>
    </row>
    <row r="997" spans="1:19" ht="15.75" customHeight="1" x14ac:dyDescent="0.3">
      <c r="A997" s="37">
        <v>81298</v>
      </c>
      <c r="B997" s="409">
        <f t="shared" ref="B997:C997" si="1008">($A997-B$9)/365.25</f>
        <v>140.70362765229294</v>
      </c>
      <c r="C997" s="409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2192</v>
      </c>
      <c r="I997" s="25">
        <f>IF(C997&lt;62,0,'Combined Retirement'!$I$13)</f>
        <v>2420</v>
      </c>
      <c r="J997" s="25">
        <f t="shared" si="783"/>
        <v>7863.2184191855868</v>
      </c>
      <c r="K997" s="25">
        <f t="shared" si="784"/>
        <v>20282.026119384056</v>
      </c>
      <c r="L997" s="25"/>
      <c r="N997" s="25">
        <f>'Combined Retirement'!$C$18/12</f>
        <v>39153.069999999992</v>
      </c>
      <c r="O997" s="25">
        <f t="shared" si="785"/>
        <v>11007.82546143035</v>
      </c>
      <c r="P997" s="25">
        <f t="shared" si="786"/>
        <v>28145.244538569641</v>
      </c>
      <c r="Q997" s="25">
        <f t="array" aca="1" ref="Q997" ca="1">INDEX('Isaac 401k'!L:L,MATCH('Retirement Calculator'!A997,'Isaac 401k'!N:N,0),0)</f>
        <v>-9346009.7004784718</v>
      </c>
      <c r="R997" s="25">
        <f t="array" aca="1" ref="R997" ca="1">INDEX('Lorri 401b'!L:L,MATCH('Retirement Calculator'!A997,'Lorri 401b'!N:N,0),0)</f>
        <v>-23625470.524514046</v>
      </c>
      <c r="S997" s="25">
        <f t="shared" ca="1" si="787"/>
        <v>-32971480.224992517</v>
      </c>
    </row>
    <row r="998" spans="1:19" ht="15.75" customHeight="1" x14ac:dyDescent="0.3">
      <c r="A998" s="37">
        <v>81329</v>
      </c>
      <c r="B998" s="409">
        <f t="shared" ref="B998:C998" si="1009">($A998-B$9)/365.25</f>
        <v>140.78850102669404</v>
      </c>
      <c r="C998" s="409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2192</v>
      </c>
      <c r="I998" s="25">
        <f>IF(C998&lt;62,0,'Combined Retirement'!$I$13)</f>
        <v>2420</v>
      </c>
      <c r="J998" s="25">
        <f t="shared" si="783"/>
        <v>7863.2184191855868</v>
      </c>
      <c r="K998" s="25">
        <f t="shared" si="784"/>
        <v>20282.026119384056</v>
      </c>
      <c r="L998" s="25"/>
      <c r="N998" s="25">
        <f>'Combined Retirement'!$C$18/12</f>
        <v>39153.069999999992</v>
      </c>
      <c r="O998" s="25">
        <f t="shared" si="785"/>
        <v>11007.82546143035</v>
      </c>
      <c r="P998" s="25">
        <f t="shared" si="786"/>
        <v>28145.244538569641</v>
      </c>
      <c r="Q998" s="25">
        <f t="array" aca="1" ref="Q998" ca="1">INDEX('Isaac 401k'!L:L,MATCH('Retirement Calculator'!A998,'Isaac 401k'!N:N,0),0)</f>
        <v>-9392847.3893930633</v>
      </c>
      <c r="R998" s="25">
        <f t="array" aca="1" ref="R998" ca="1">INDEX('Lorri 401b'!L:L,MATCH('Retirement Calculator'!A998,'Lorri 401b'!N:N,0),0)</f>
        <v>-23744276.519594405</v>
      </c>
      <c r="S998" s="25">
        <f t="shared" ca="1" si="787"/>
        <v>-33137123.90898747</v>
      </c>
    </row>
    <row r="999" spans="1:19" ht="15.75" customHeight="1" x14ac:dyDescent="0.3">
      <c r="A999" s="37">
        <v>81359</v>
      </c>
      <c r="B999" s="409">
        <f t="shared" ref="B999:C999" si="1010">($A999-B$9)/365.25</f>
        <v>140.87063655030801</v>
      </c>
      <c r="C999" s="409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2192</v>
      </c>
      <c r="I999" s="25">
        <f>IF(C999&lt;62,0,'Combined Retirement'!$I$13)</f>
        <v>2420</v>
      </c>
      <c r="J999" s="25">
        <f t="shared" si="783"/>
        <v>7863.2184191855868</v>
      </c>
      <c r="K999" s="25">
        <f t="shared" si="784"/>
        <v>20282.026119384056</v>
      </c>
      <c r="L999" s="25"/>
      <c r="N999" s="25">
        <f>'Combined Retirement'!$C$18/12</f>
        <v>39153.069999999992</v>
      </c>
      <c r="O999" s="25">
        <f t="shared" si="785"/>
        <v>11007.82546143035</v>
      </c>
      <c r="P999" s="25">
        <f t="shared" si="786"/>
        <v>28145.244538569641</v>
      </c>
      <c r="Q999" s="25">
        <f t="array" aca="1" ref="Q999" ca="1">INDEX('Isaac 401k'!L:L,MATCH('Retirement Calculator'!A999,'Isaac 401k'!N:N,0),0)</f>
        <v>-9439880.2353447992</v>
      </c>
      <c r="R999" s="25">
        <f t="array" aca="1" ref="R999" ca="1">INDEX('Lorri 401b'!L:L,MATCH('Retirement Calculator'!A999,'Lorri 401b'!N:N,0),0)</f>
        <v>-23863577.539654262</v>
      </c>
      <c r="S999" s="25">
        <f t="shared" ca="1" si="787"/>
        <v>-33303457.77499906</v>
      </c>
    </row>
    <row r="1000" spans="1:19" ht="15.75" customHeight="1" x14ac:dyDescent="0.3">
      <c r="A1000" s="37">
        <v>81390</v>
      </c>
      <c r="B1000" s="409">
        <f t="shared" ref="B1000:C1000" si="1011">($A1000-B$9)/365.25</f>
        <v>140.95550992470911</v>
      </c>
      <c r="C1000" s="409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2192</v>
      </c>
      <c r="I1000" s="25">
        <f>IF(C1000&lt;62,0,'Combined Retirement'!$I$13)</f>
        <v>2420</v>
      </c>
      <c r="J1000" s="25">
        <f t="shared" si="783"/>
        <v>7863.2184191855868</v>
      </c>
      <c r="K1000" s="25">
        <f t="shared" si="784"/>
        <v>20282.026119384056</v>
      </c>
      <c r="L1000" s="25"/>
      <c r="N1000" s="25">
        <f>'Combined Retirement'!$C$18/12</f>
        <v>39153.069999999992</v>
      </c>
      <c r="O1000" s="25">
        <f t="shared" si="785"/>
        <v>11007.82546143035</v>
      </c>
      <c r="P1000" s="25">
        <f t="shared" si="786"/>
        <v>28145.244538569641</v>
      </c>
      <c r="Q1000" s="25">
        <f t="array" aca="1" ref="Q1000" ca="1">INDEX('Isaac 401k'!L:L,MATCH('Retirement Calculator'!A1000,'Isaac 401k'!N:N,0),0)</f>
        <v>-9487109.0514880009</v>
      </c>
      <c r="R1000" s="25">
        <f t="array" aca="1" ref="R1000" ca="1">INDEX('Lorri 401b'!L:L,MATCH('Retirement Calculator'!A1000,'Lorri 401b'!N:N,0),0)</f>
        <v>-23983375.647297703</v>
      </c>
      <c r="S1000" s="25">
        <f t="shared" ca="1" si="787"/>
        <v>-33470484.698785704</v>
      </c>
    </row>
    <row r="1001" spans="1:19" ht="15.75" customHeight="1" x14ac:dyDescent="0.3">
      <c r="A1001" s="37">
        <v>81420</v>
      </c>
      <c r="B1001" s="409">
        <f t="shared" ref="B1001:C1001" si="1012">($A1001-B$9)/365.25</f>
        <v>141.03764544832308</v>
      </c>
      <c r="C1001" s="409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2192</v>
      </c>
      <c r="I1001" s="25">
        <f>IF(C1001&lt;62,0,'Combined Retirement'!$I$13)</f>
        <v>2420</v>
      </c>
      <c r="J1001" s="25">
        <f t="shared" si="783"/>
        <v>7863.2184191855868</v>
      </c>
      <c r="K1001" s="25">
        <f t="shared" si="784"/>
        <v>20282.026119384056</v>
      </c>
      <c r="L1001" s="25"/>
      <c r="N1001" s="25">
        <f>'Combined Retirement'!$C$18/12</f>
        <v>39153.069999999992</v>
      </c>
      <c r="O1001" s="25">
        <f t="shared" si="785"/>
        <v>11007.82546143035</v>
      </c>
      <c r="P1001" s="25">
        <f t="shared" si="786"/>
        <v>28145.244538569641</v>
      </c>
      <c r="Q1001" s="25">
        <f t="array" aca="1" ref="Q1001" ca="1">INDEX('Isaac 401k'!L:L,MATCH('Retirement Calculator'!A1001,'Isaac 401k'!N:N,0),0)</f>
        <v>-9534534.6543651316</v>
      </c>
      <c r="R1001" s="25">
        <f t="array" aca="1" ref="R1001" ca="1">INDEX('Lorri 401b'!L:L,MATCH('Retirement Calculator'!A1001,'Lorri 401b'!N:N,0),0)</f>
        <v>-24103672.913722992</v>
      </c>
      <c r="S1001" s="25">
        <f t="shared" ca="1" si="787"/>
        <v>-33638207.568088122</v>
      </c>
    </row>
    <row r="1002" spans="1:19" ht="15.75" customHeight="1" x14ac:dyDescent="0.3">
      <c r="A1002" s="37">
        <v>81451</v>
      </c>
      <c r="B1002" s="409">
        <f t="shared" ref="B1002:C1002" si="1013">($A1002-B$9)/365.25</f>
        <v>141.12251882272417</v>
      </c>
      <c r="C1002" s="409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2192</v>
      </c>
      <c r="I1002" s="25">
        <f>IF(C1002&lt;62,0,'Combined Retirement'!$I$13)</f>
        <v>2420</v>
      </c>
      <c r="J1002" s="25">
        <f t="shared" si="783"/>
        <v>7863.2184191855868</v>
      </c>
      <c r="K1002" s="25">
        <f t="shared" si="784"/>
        <v>20282.026119384056</v>
      </c>
      <c r="L1002" s="25"/>
      <c r="N1002" s="25">
        <f>'Combined Retirement'!$C$18/12</f>
        <v>39153.069999999992</v>
      </c>
      <c r="O1002" s="25">
        <f t="shared" si="785"/>
        <v>11007.82546143035</v>
      </c>
      <c r="P1002" s="25">
        <f t="shared" si="786"/>
        <v>28145.244538569641</v>
      </c>
      <c r="Q1002" s="25">
        <f t="array" aca="1" ref="Q1002" ca="1">INDEX('Isaac 401k'!L:L,MATCH('Retirement Calculator'!A1002,'Isaac 401k'!N:N,0),0)</f>
        <v>-9582157.8639209177</v>
      </c>
      <c r="R1002" s="25">
        <f t="array" aca="1" ref="R1002" ca="1">INDEX('Lorri 401b'!L:L,MATCH('Retirement Calculator'!A1002,'Lorri 401b'!N:N,0),0)</f>
        <v>-24224471.418758389</v>
      </c>
      <c r="S1002" s="25">
        <f t="shared" ca="1" si="787"/>
        <v>-33806629.282679304</v>
      </c>
    </row>
    <row r="1003" spans="1:19" ht="15.75" customHeight="1" x14ac:dyDescent="0.3">
      <c r="A1003" s="37">
        <v>81482</v>
      </c>
      <c r="B1003" s="409">
        <f t="shared" ref="B1003:C1003" si="1014">($A1003-B$9)/365.25</f>
        <v>141.20739219712524</v>
      </c>
      <c r="C1003" s="409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2192</v>
      </c>
      <c r="I1003" s="25">
        <f>IF(C1003&lt;62,0,'Combined Retirement'!$I$13)</f>
        <v>2420</v>
      </c>
      <c r="J1003" s="25">
        <f t="shared" si="783"/>
        <v>7863.2184191855868</v>
      </c>
      <c r="K1003" s="25">
        <f t="shared" si="784"/>
        <v>20282.026119384056</v>
      </c>
      <c r="L1003" s="25"/>
      <c r="N1003" s="25">
        <f>'Combined Retirement'!$C$18/12</f>
        <v>39153.069999999992</v>
      </c>
      <c r="O1003" s="25">
        <f t="shared" si="785"/>
        <v>11007.82546143035</v>
      </c>
      <c r="P1003" s="25">
        <f t="shared" si="786"/>
        <v>28145.244538569641</v>
      </c>
      <c r="Q1003" s="25">
        <f t="array" aca="1" ref="Q1003" ca="1">INDEX('Isaac 401k'!L:L,MATCH('Retirement Calculator'!A1003,'Isaac 401k'!N:N,0),0)</f>
        <v>-9629979.5035165194</v>
      </c>
      <c r="R1003" s="25">
        <f t="array" aca="1" ref="R1003" ca="1">INDEX('Lorri 401b'!L:L,MATCH('Retirement Calculator'!A1003,'Lorri 401b'!N:N,0),0)</f>
        <v>-24345773.250898097</v>
      </c>
      <c r="S1003" s="25">
        <f t="shared" ca="1" si="787"/>
        <v>-33975752.754414618</v>
      </c>
    </row>
    <row r="1004" spans="1:19" ht="15.75" customHeight="1" x14ac:dyDescent="0.3">
      <c r="A1004" s="37">
        <v>81510</v>
      </c>
      <c r="B1004" s="409">
        <f t="shared" ref="B1004:C1004" si="1015">($A1004-B$9)/365.25</f>
        <v>141.28405201916496</v>
      </c>
      <c r="C1004" s="409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2192</v>
      </c>
      <c r="I1004" s="25">
        <f>IF(C1004&lt;62,0,'Combined Retirement'!$I$13)</f>
        <v>2420</v>
      </c>
      <c r="J1004" s="25">
        <f t="shared" si="783"/>
        <v>7863.2184191855868</v>
      </c>
      <c r="K1004" s="25">
        <f t="shared" si="784"/>
        <v>20282.026119384056</v>
      </c>
      <c r="L1004" s="25"/>
      <c r="N1004" s="25">
        <f>'Combined Retirement'!$C$18/12</f>
        <v>39153.069999999992</v>
      </c>
      <c r="O1004" s="25">
        <f t="shared" si="785"/>
        <v>11007.82546143035</v>
      </c>
      <c r="P1004" s="25">
        <f t="shared" si="786"/>
        <v>28145.244538569641</v>
      </c>
      <c r="Q1004" s="25">
        <f t="array" aca="1" ref="Q1004" ca="1">INDEX('Isaac 401k'!L:L,MATCH('Retirement Calculator'!A1004,'Isaac 401k'!N:N,0),0)</f>
        <v>-9678000.399943769</v>
      </c>
      <c r="R1004" s="25">
        <f t="array" aca="1" ref="R1004" ca="1">INDEX('Lorri 401b'!L:L,MATCH('Retirement Calculator'!A1004,'Lorri 401b'!N:N,0),0)</f>
        <v>-24467580.507338386</v>
      </c>
      <c r="S1004" s="25">
        <f t="shared" ca="1" si="787"/>
        <v>-34145580.907282159</v>
      </c>
    </row>
    <row r="1005" spans="1:19" ht="15.75" customHeight="1" x14ac:dyDescent="0.3">
      <c r="A1005" s="37">
        <v>81541</v>
      </c>
      <c r="B1005" s="409">
        <f t="shared" ref="B1005:C1005" si="1016">($A1005-B$9)/365.25</f>
        <v>141.36892539356606</v>
      </c>
      <c r="C1005" s="409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2192</v>
      </c>
      <c r="I1005" s="25">
        <f>IF(C1005&lt;62,0,'Combined Retirement'!$I$13)</f>
        <v>2420</v>
      </c>
      <c r="J1005" s="25">
        <f t="shared" si="783"/>
        <v>7863.2184191855868</v>
      </c>
      <c r="K1005" s="25">
        <f t="shared" si="784"/>
        <v>20282.026119384056</v>
      </c>
      <c r="L1005" s="25"/>
      <c r="N1005" s="25">
        <f>'Combined Retirement'!$C$18/12</f>
        <v>39153.069999999992</v>
      </c>
      <c r="O1005" s="25">
        <f t="shared" si="785"/>
        <v>11007.82546143035</v>
      </c>
      <c r="P1005" s="25">
        <f t="shared" si="786"/>
        <v>28145.244538569641</v>
      </c>
      <c r="Q1005" s="25">
        <f t="array" aca="1" ref="Q1005" ca="1">INDEX('Isaac 401k'!L:L,MATCH('Retirement Calculator'!A1005,'Isaac 401k'!N:N,0),0)</f>
        <v>-9726221.3834394664</v>
      </c>
      <c r="R1005" s="25">
        <f t="array" aca="1" ref="R1005" ca="1">INDEX('Lorri 401b'!L:L,MATCH('Retirement Calculator'!A1005,'Lorri 401b'!N:N,0),0)</f>
        <v>-24589895.294013847</v>
      </c>
      <c r="S1005" s="25">
        <f t="shared" ca="1" si="787"/>
        <v>-34316116.677453309</v>
      </c>
    </row>
    <row r="1006" spans="1:19" ht="15.75" customHeight="1" x14ac:dyDescent="0.3">
      <c r="A1006" s="37">
        <v>81571</v>
      </c>
      <c r="B1006" s="409">
        <f t="shared" ref="B1006:C1006" si="1017">($A1006-B$9)/365.25</f>
        <v>141.45106091718</v>
      </c>
      <c r="C1006" s="409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2192</v>
      </c>
      <c r="I1006" s="25">
        <f>IF(C1006&lt;62,0,'Combined Retirement'!$I$13)</f>
        <v>2420</v>
      </c>
      <c r="J1006" s="25">
        <f t="shared" si="783"/>
        <v>7863.2184191855868</v>
      </c>
      <c r="K1006" s="25">
        <f t="shared" si="784"/>
        <v>20282.026119384056</v>
      </c>
      <c r="L1006" s="25"/>
      <c r="N1006" s="25">
        <f>'Combined Retirement'!$C$18/12</f>
        <v>39153.069999999992</v>
      </c>
      <c r="O1006" s="25">
        <f t="shared" si="785"/>
        <v>11007.82546143035</v>
      </c>
      <c r="P1006" s="25">
        <f t="shared" si="786"/>
        <v>28145.244538569641</v>
      </c>
      <c r="Q1006" s="25">
        <f t="array" aca="1" ref="Q1006" ca="1">INDEX('Isaac 401k'!L:L,MATCH('Retirement Calculator'!A1006,'Isaac 401k'!N:N,0),0)</f>
        <v>-9774643.2876997292</v>
      </c>
      <c r="R1006" s="25">
        <f t="array" aca="1" ref="R1006" ca="1">INDEX('Lorri 401b'!L:L,MATCH('Retirement Calculator'!A1006,'Lorri 401b'!N:N,0),0)</f>
        <v>-24712719.725633785</v>
      </c>
      <c r="S1006" s="25">
        <f t="shared" ca="1" si="787"/>
        <v>-34487363.013333514</v>
      </c>
    </row>
    <row r="1007" spans="1:19" ht="15.75" customHeight="1" x14ac:dyDescent="0.3">
      <c r="A1007" s="37">
        <v>81602</v>
      </c>
      <c r="B1007" s="409">
        <f t="shared" ref="B1007:C1007" si="1018">($A1007-B$9)/365.25</f>
        <v>141.5359342915811</v>
      </c>
      <c r="C1007" s="409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2192</v>
      </c>
      <c r="I1007" s="25">
        <f>IF(C1007&lt;62,0,'Combined Retirement'!$I$13)</f>
        <v>2420</v>
      </c>
      <c r="J1007" s="25">
        <f t="shared" si="783"/>
        <v>7863.2184191855868</v>
      </c>
      <c r="K1007" s="25">
        <f t="shared" si="784"/>
        <v>20282.026119384056</v>
      </c>
      <c r="L1007" s="25"/>
      <c r="N1007" s="25">
        <f>'Combined Retirement'!$C$18/12</f>
        <v>39153.069999999992</v>
      </c>
      <c r="O1007" s="25">
        <f t="shared" si="785"/>
        <v>11007.82546143035</v>
      </c>
      <c r="P1007" s="25">
        <f t="shared" si="786"/>
        <v>28145.244538569641</v>
      </c>
      <c r="Q1007" s="25">
        <f t="array" aca="1" ref="Q1007" ca="1">INDEX('Isaac 401k'!L:L,MATCH('Retirement Calculator'!A1007,'Isaac 401k'!N:N,0),0)</f>
        <v>-9823266.9498944096</v>
      </c>
      <c r="R1007" s="25">
        <f t="array" aca="1" ref="R1007" ca="1">INDEX('Lorri 401b'!L:L,MATCH('Retirement Calculator'!A1007,'Lorri 401b'!N:N,0),0)</f>
        <v>-24836055.925718807</v>
      </c>
      <c r="S1007" s="25">
        <f t="shared" ca="1" si="787"/>
        <v>-34659322.875613213</v>
      </c>
    </row>
    <row r="1008" spans="1:19" ht="15.75" customHeight="1" x14ac:dyDescent="0.3">
      <c r="A1008" s="37">
        <v>81632</v>
      </c>
      <c r="B1008" s="409">
        <f t="shared" ref="B1008:C1008" si="1019">($A1008-B$9)/365.25</f>
        <v>141.61806981519507</v>
      </c>
      <c r="C1008" s="409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2192</v>
      </c>
      <c r="I1008" s="25">
        <f>IF(C1008&lt;62,0,'Combined Retirement'!$I$13)</f>
        <v>2420</v>
      </c>
      <c r="J1008" s="25">
        <f t="shared" si="783"/>
        <v>7863.2184191855868</v>
      </c>
      <c r="K1008" s="25">
        <f t="shared" si="784"/>
        <v>20282.026119384056</v>
      </c>
      <c r="L1008" s="25"/>
      <c r="N1008" s="25">
        <f>'Combined Retirement'!$C$18/12</f>
        <v>39153.069999999992</v>
      </c>
      <c r="O1008" s="25">
        <f t="shared" si="785"/>
        <v>11007.82546143035</v>
      </c>
      <c r="P1008" s="25">
        <f t="shared" si="786"/>
        <v>28145.244538569641</v>
      </c>
      <c r="Q1008" s="25">
        <f t="array" aca="1" ref="Q1008" ca="1">INDEX('Isaac 401k'!L:L,MATCH('Retirement Calculator'!A1008,'Isaac 401k'!N:N,0),0)</f>
        <v>-9872093.210681567</v>
      </c>
      <c r="R1008" s="25">
        <f t="array" aca="1" ref="R1008" ca="1">INDEX('Lorri 401b'!L:L,MATCH('Retirement Calculator'!A1008,'Lorri 401b'!N:N,0),0)</f>
        <v>-24959906.026637517</v>
      </c>
      <c r="S1008" s="25">
        <f t="shared" ca="1" si="787"/>
        <v>-34831999.237319082</v>
      </c>
    </row>
    <row r="1009" spans="1:19" ht="15.75" customHeight="1" x14ac:dyDescent="0.3">
      <c r="A1009" s="37">
        <v>81663</v>
      </c>
      <c r="B1009" s="409">
        <f t="shared" ref="B1009:C1009" si="1020">($A1009-B$9)/365.25</f>
        <v>141.70294318959617</v>
      </c>
      <c r="C1009" s="409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2192</v>
      </c>
      <c r="I1009" s="25">
        <f>IF(C1009&lt;62,0,'Combined Retirement'!$I$13)</f>
        <v>2420</v>
      </c>
      <c r="J1009" s="25">
        <f t="shared" si="783"/>
        <v>7863.2184191855868</v>
      </c>
      <c r="K1009" s="25">
        <f t="shared" si="784"/>
        <v>20282.026119384056</v>
      </c>
      <c r="L1009" s="25"/>
      <c r="N1009" s="25">
        <f>'Combined Retirement'!$C$18/12</f>
        <v>39153.069999999992</v>
      </c>
      <c r="O1009" s="25">
        <f t="shared" si="785"/>
        <v>11007.82546143035</v>
      </c>
      <c r="P1009" s="25">
        <f t="shared" si="786"/>
        <v>28145.244538569641</v>
      </c>
      <c r="Q1009" s="25">
        <f t="array" aca="1" ref="Q1009" ca="1">INDEX('Isaac 401k'!L:L,MATCH('Retirement Calculator'!A1009,'Isaac 401k'!N:N,0),0)</f>
        <v>-9921122.9142220058</v>
      </c>
      <c r="R1009" s="25">
        <f t="array" aca="1" ref="R1009" ca="1">INDEX('Lorri 401b'!L:L,MATCH('Retirement Calculator'!A1009,'Lorri 401b'!N:N,0),0)</f>
        <v>-25084272.169643387</v>
      </c>
      <c r="S1009" s="25">
        <f t="shared" ca="1" si="787"/>
        <v>-35005395.083865389</v>
      </c>
    </row>
    <row r="1010" spans="1:19" ht="15.75" customHeight="1" x14ac:dyDescent="0.3">
      <c r="A1010" s="37">
        <v>81694</v>
      </c>
      <c r="B1010" s="409">
        <f t="shared" ref="B1010:C1010" si="1021">($A1010-B$9)/365.25</f>
        <v>141.78781656399727</v>
      </c>
      <c r="C1010" s="409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2192</v>
      </c>
      <c r="I1010" s="25">
        <f>IF(C1010&lt;62,0,'Combined Retirement'!$I$13)</f>
        <v>2420</v>
      </c>
      <c r="J1010" s="25">
        <f t="shared" si="783"/>
        <v>7863.2184191855868</v>
      </c>
      <c r="K1010" s="25">
        <f t="shared" si="784"/>
        <v>20282.026119384056</v>
      </c>
      <c r="L1010" s="25"/>
      <c r="N1010" s="25">
        <f>'Combined Retirement'!$C$18/12</f>
        <v>39153.069999999992</v>
      </c>
      <c r="O1010" s="25">
        <f t="shared" si="785"/>
        <v>11007.82546143035</v>
      </c>
      <c r="P1010" s="25">
        <f t="shared" si="786"/>
        <v>28145.244538569641</v>
      </c>
      <c r="Q1010" s="25">
        <f t="array" aca="1" ref="Q1010" ca="1">INDEX('Isaac 401k'!L:L,MATCH('Retirement Calculator'!A1010,'Isaac 401k'!N:N,0),0)</f>
        <v>-9970356.9081938621</v>
      </c>
      <c r="R1010" s="25">
        <f t="array" aca="1" ref="R1010" ca="1">INDEX('Lorri 401b'!L:L,MATCH('Retirement Calculator'!A1010,'Lorri 401b'!N:N,0),0)</f>
        <v>-25209156.504911784</v>
      </c>
      <c r="S1010" s="25">
        <f t="shared" ca="1" si="787"/>
        <v>-35179513.413105644</v>
      </c>
    </row>
    <row r="1011" spans="1:19" ht="15.75" customHeight="1" x14ac:dyDescent="0.3">
      <c r="A1011" s="37">
        <v>81724</v>
      </c>
      <c r="B1011" s="409">
        <f t="shared" ref="B1011:C1011" si="1022">($A1011-B$9)/365.25</f>
        <v>141.86995208761124</v>
      </c>
      <c r="C1011" s="409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2192</v>
      </c>
      <c r="I1011" s="25">
        <f>IF(C1011&lt;62,0,'Combined Retirement'!$I$13)</f>
        <v>2420</v>
      </c>
      <c r="J1011" s="25">
        <f t="shared" si="783"/>
        <v>7863.2184191855868</v>
      </c>
      <c r="K1011" s="25">
        <f t="shared" si="784"/>
        <v>20282.026119384056</v>
      </c>
      <c r="L1011" s="25"/>
      <c r="N1011" s="25">
        <f>'Combined Retirement'!$C$18/12</f>
        <v>39153.069999999992</v>
      </c>
      <c r="O1011" s="25">
        <f t="shared" si="785"/>
        <v>11007.82546143035</v>
      </c>
      <c r="P1011" s="25">
        <f t="shared" si="786"/>
        <v>28145.244538569641</v>
      </c>
      <c r="Q1011" s="25">
        <f t="array" aca="1" ref="Q1011" ca="1">INDEX('Isaac 401k'!L:L,MATCH('Retirement Calculator'!A1011,'Isaac 401k'!N:N,0),0)</f>
        <v>-10019796.043807268</v>
      </c>
      <c r="R1011" s="25">
        <f t="array" aca="1" ref="R1011" ca="1">INDEX('Lorri 401b'!L:L,MATCH('Retirement Calculator'!A1011,'Lorri 401b'!N:N,0),0)</f>
        <v>-25334561.191577133</v>
      </c>
      <c r="S1011" s="25">
        <f t="shared" ca="1" si="787"/>
        <v>-35354357.235384405</v>
      </c>
    </row>
    <row r="1012" spans="1:19" ht="15.75" customHeight="1" x14ac:dyDescent="0.3">
      <c r="A1012" s="37">
        <v>81755</v>
      </c>
      <c r="B1012" s="409">
        <f t="shared" ref="B1012:C1012" si="1023">($A1012-B$9)/365.25</f>
        <v>141.95482546201231</v>
      </c>
      <c r="C1012" s="409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2192</v>
      </c>
      <c r="I1012" s="25">
        <f>IF(C1012&lt;62,0,'Combined Retirement'!$I$13)</f>
        <v>2420</v>
      </c>
      <c r="J1012" s="25">
        <f t="shared" si="783"/>
        <v>7863.2184191855868</v>
      </c>
      <c r="K1012" s="25">
        <f t="shared" si="784"/>
        <v>20282.026119384056</v>
      </c>
      <c r="L1012" s="25"/>
      <c r="N1012" s="25">
        <f>'Combined Retirement'!$C$18/12</f>
        <v>39153.069999999992</v>
      </c>
      <c r="O1012" s="25">
        <f t="shared" si="785"/>
        <v>11007.82546143035</v>
      </c>
      <c r="P1012" s="25">
        <f t="shared" si="786"/>
        <v>28145.244538569641</v>
      </c>
      <c r="Q1012" s="25">
        <f t="array" aca="1" ref="Q1012" ca="1">INDEX('Isaac 401k'!L:L,MATCH('Retirement Calculator'!A1012,'Isaac 401k'!N:N,0),0)</f>
        <v>-10069441.175819064</v>
      </c>
      <c r="R1012" s="25">
        <f t="array" aca="1" ref="R1012" ca="1">INDEX('Lorri 401b'!L:L,MATCH('Retirement Calculator'!A1012,'Lorri 401b'!N:N,0),0)</f>
        <v>-25460488.397770252</v>
      </c>
      <c r="S1012" s="25">
        <f t="shared" ca="1" si="787"/>
        <v>-35529929.573589318</v>
      </c>
    </row>
    <row r="1013" spans="1:19" ht="15.75" customHeight="1" x14ac:dyDescent="0.3">
      <c r="A1013" s="37">
        <v>81785</v>
      </c>
      <c r="B1013" s="409">
        <f t="shared" ref="B1013:C1013" si="1024">($A1013-B$9)/365.25</f>
        <v>142.03696098562628</v>
      </c>
      <c r="C1013" s="409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2192</v>
      </c>
      <c r="I1013" s="25">
        <f>IF(C1013&lt;62,0,'Combined Retirement'!$I$13)</f>
        <v>2420</v>
      </c>
      <c r="J1013" s="25">
        <f t="shared" si="783"/>
        <v>7863.2184191855868</v>
      </c>
      <c r="K1013" s="25">
        <f t="shared" si="784"/>
        <v>20282.026119384056</v>
      </c>
      <c r="L1013" s="25"/>
      <c r="N1013" s="25">
        <f>'Combined Retirement'!$C$18/12</f>
        <v>39153.069999999992</v>
      </c>
      <c r="O1013" s="25">
        <f t="shared" si="785"/>
        <v>11007.82546143035</v>
      </c>
      <c r="P1013" s="25">
        <f t="shared" si="786"/>
        <v>28145.244538569641</v>
      </c>
      <c r="Q1013" s="25">
        <f t="array" aca="1" ref="Q1013" ca="1">INDEX('Isaac 401k'!L:L,MATCH('Retirement Calculator'!A1013,'Isaac 401k'!N:N,0),0)</f>
        <v>-10119293.162547575</v>
      </c>
      <c r="R1013" s="25">
        <f t="array" aca="1" ref="R1013" ca="1">INDEX('Lorri 401b'!L:L,MATCH('Retirement Calculator'!A1013,'Lorri 401b'!N:N,0),0)</f>
        <v>-25586940.300655846</v>
      </c>
      <c r="S1013" s="25">
        <f t="shared" ca="1" si="787"/>
        <v>-35706233.463203423</v>
      </c>
    </row>
    <row r="1014" spans="1:19" ht="15.75" customHeight="1" x14ac:dyDescent="0.3">
      <c r="A1014" s="37">
        <v>81816</v>
      </c>
      <c r="B1014" s="409">
        <f t="shared" ref="B1014:C1014" si="1025">($A1014-B$9)/365.25</f>
        <v>142.12183436002738</v>
      </c>
      <c r="C1014" s="409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2192</v>
      </c>
      <c r="I1014" s="25">
        <f>IF(C1014&lt;62,0,'Combined Retirement'!$I$13)</f>
        <v>2420</v>
      </c>
      <c r="J1014" s="25">
        <f t="shared" si="783"/>
        <v>7863.2184191855868</v>
      </c>
      <c r="K1014" s="25">
        <f t="shared" si="784"/>
        <v>20282.026119384056</v>
      </c>
      <c r="L1014" s="25"/>
      <c r="N1014" s="25">
        <f>'Combined Retirement'!$C$18/12</f>
        <v>39153.069999999992</v>
      </c>
      <c r="O1014" s="25">
        <f t="shared" si="785"/>
        <v>11007.82546143035</v>
      </c>
      <c r="P1014" s="25">
        <f t="shared" si="786"/>
        <v>28145.244538569641</v>
      </c>
      <c r="Q1014" s="25">
        <f t="array" aca="1" ref="Q1014" ca="1">INDEX('Isaac 401k'!L:L,MATCH('Retirement Calculator'!A1014,'Isaac 401k'!N:N,0),0)</f>
        <v>-10169352.865887456</v>
      </c>
      <c r="R1014" s="25">
        <f t="array" aca="1" ref="R1014" ca="1">INDEX('Lorri 401b'!L:L,MATCH('Retirement Calculator'!A1014,'Lorri 401b'!N:N,0),0)</f>
        <v>-25713919.086470127</v>
      </c>
      <c r="S1014" s="25">
        <f t="shared" ca="1" si="787"/>
        <v>-35883271.952357583</v>
      </c>
    </row>
    <row r="1015" spans="1:19" ht="15.75" customHeight="1" x14ac:dyDescent="0.3">
      <c r="A1015" s="37">
        <v>81847</v>
      </c>
      <c r="B1015" s="409">
        <f t="shared" ref="B1015:C1015" si="1026">($A1015-B$9)/365.25</f>
        <v>142.20670773442848</v>
      </c>
      <c r="C1015" s="409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2192</v>
      </c>
      <c r="I1015" s="25">
        <f>IF(C1015&lt;62,0,'Combined Retirement'!$I$13)</f>
        <v>2420</v>
      </c>
      <c r="J1015" s="25">
        <f t="shared" si="783"/>
        <v>7863.2184191855868</v>
      </c>
      <c r="K1015" s="25">
        <f t="shared" si="784"/>
        <v>20282.026119384056</v>
      </c>
      <c r="L1015" s="25"/>
      <c r="N1015" s="25">
        <f>'Combined Retirement'!$C$18/12</f>
        <v>39153.069999999992</v>
      </c>
      <c r="O1015" s="25">
        <f t="shared" si="785"/>
        <v>11007.82546143035</v>
      </c>
      <c r="P1015" s="25">
        <f t="shared" si="786"/>
        <v>28145.244538569641</v>
      </c>
      <c r="Q1015" s="25">
        <f t="array" aca="1" ref="Q1015" ca="1">INDEX('Isaac 401k'!L:L,MATCH('Retirement Calculator'!A1015,'Isaac 401k'!N:N,0),0)</f>
        <v>-10219621.151324585</v>
      </c>
      <c r="R1015" s="25">
        <f t="array" aca="1" ref="R1015" ca="1">INDEX('Lorri 401b'!L:L,MATCH('Retirement Calculator'!A1015,'Lorri 401b'!N:N,0),0)</f>
        <v>-25841426.950558636</v>
      </c>
      <c r="S1015" s="25">
        <f t="shared" ca="1" si="787"/>
        <v>-36061048.101883218</v>
      </c>
    </row>
    <row r="1016" spans="1:19" ht="15.75" customHeight="1" x14ac:dyDescent="0.3">
      <c r="A1016" s="37">
        <v>81876</v>
      </c>
      <c r="B1016" s="409">
        <f t="shared" ref="B1016:C1016" si="1027">($A1016-B$9)/365.25</f>
        <v>142.28610540725529</v>
      </c>
      <c r="C1016" s="409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2192</v>
      </c>
      <c r="I1016" s="25">
        <f>IF(C1016&lt;62,0,'Combined Retirement'!$I$13)</f>
        <v>2420</v>
      </c>
      <c r="J1016" s="25">
        <f t="shared" si="783"/>
        <v>7863.2184191855868</v>
      </c>
      <c r="K1016" s="25">
        <f t="shared" si="784"/>
        <v>20282.026119384056</v>
      </c>
      <c r="L1016" s="25"/>
      <c r="N1016" s="25">
        <f>'Combined Retirement'!$C$18/12</f>
        <v>39153.069999999992</v>
      </c>
      <c r="O1016" s="25">
        <f t="shared" si="785"/>
        <v>11007.82546143035</v>
      </c>
      <c r="P1016" s="25">
        <f t="shared" si="786"/>
        <v>28145.244538569641</v>
      </c>
      <c r="Q1016" s="25">
        <f t="array" aca="1" ref="Q1016" ca="1">INDEX('Isaac 401k'!L:L,MATCH('Retirement Calculator'!A1016,'Isaac 401k'!N:N,0),0)</f>
        <v>-10270098.887951035</v>
      </c>
      <c r="R1016" s="25">
        <f t="array" aca="1" ref="R1016" ca="1">INDEX('Lorri 401b'!L:L,MATCH('Retirement Calculator'!A1016,'Lorri 401b'!N:N,0),0)</f>
        <v>-25969466.097414181</v>
      </c>
      <c r="S1016" s="25">
        <f t="shared" ca="1" si="787"/>
        <v>-36239564.985365212</v>
      </c>
    </row>
    <row r="1017" spans="1:19" ht="15.75" customHeight="1" x14ac:dyDescent="0.3">
      <c r="A1017" s="37">
        <v>81907</v>
      </c>
      <c r="B1017" s="409">
        <f t="shared" ref="B1017:C1017" si="1028">($A1017-B$9)/365.25</f>
        <v>142.37097878165639</v>
      </c>
      <c r="C1017" s="409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2192</v>
      </c>
      <c r="I1017" s="25">
        <f>IF(C1017&lt;62,0,'Combined Retirement'!$I$13)</f>
        <v>2420</v>
      </c>
      <c r="J1017" s="25">
        <f t="shared" si="783"/>
        <v>7863.2184191855868</v>
      </c>
      <c r="K1017" s="25">
        <f t="shared" si="784"/>
        <v>20282.026119384056</v>
      </c>
      <c r="L1017" s="25"/>
      <c r="N1017" s="25">
        <f>'Combined Retirement'!$C$18/12</f>
        <v>39153.069999999992</v>
      </c>
      <c r="O1017" s="25">
        <f t="shared" si="785"/>
        <v>11007.82546143035</v>
      </c>
      <c r="P1017" s="25">
        <f t="shared" si="786"/>
        <v>28145.244538569641</v>
      </c>
      <c r="Q1017" s="25">
        <f t="array" aca="1" ref="Q1017" ca="1">INDEX('Isaac 401k'!L:L,MATCH('Retirement Calculator'!A1017,'Isaac 401k'!N:N,0),0)</f>
        <v>-10320786.948480096</v>
      </c>
      <c r="R1017" s="25">
        <f t="array" aca="1" ref="R1017" ca="1">INDEX('Lorri 401b'!L:L,MATCH('Retirement Calculator'!A1017,'Lorri 401b'!N:N,0),0)</f>
        <v>-26098038.740714956</v>
      </c>
      <c r="S1017" s="25">
        <f t="shared" ca="1" si="787"/>
        <v>-36418825.689195052</v>
      </c>
    </row>
    <row r="1018" spans="1:19" ht="15.75" customHeight="1" x14ac:dyDescent="0.3">
      <c r="A1018" s="37">
        <v>81937</v>
      </c>
      <c r="B1018" s="409">
        <f t="shared" ref="B1018:C1018" si="1029">($A1018-B$9)/365.25</f>
        <v>142.45311430527036</v>
      </c>
      <c r="C1018" s="409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2192</v>
      </c>
      <c r="I1018" s="25">
        <f>IF(C1018&lt;62,0,'Combined Retirement'!$I$13)</f>
        <v>2420</v>
      </c>
      <c r="J1018" s="25">
        <f t="shared" si="783"/>
        <v>7863.2184191855868</v>
      </c>
      <c r="K1018" s="25">
        <f t="shared" si="784"/>
        <v>20282.026119384056</v>
      </c>
      <c r="L1018" s="25"/>
      <c r="N1018" s="25">
        <f>'Combined Retirement'!$C$18/12</f>
        <v>39153.069999999992</v>
      </c>
      <c r="O1018" s="25">
        <f t="shared" si="785"/>
        <v>11007.82546143035</v>
      </c>
      <c r="P1018" s="25">
        <f t="shared" si="786"/>
        <v>28145.244538569641</v>
      </c>
      <c r="Q1018" s="25">
        <f t="array" aca="1" ref="Q1018" ca="1">INDEX('Isaac 401k'!L:L,MATCH('Retirement Calculator'!A1018,'Isaac 401k'!N:N,0),0)</f>
        <v>-10371686.209261362</v>
      </c>
      <c r="R1018" s="25">
        <f t="array" aca="1" ref="R1018" ca="1">INDEX('Lorri 401b'!L:L,MATCH('Retirement Calculator'!A1018,'Lorri 401b'!N:N,0),0)</f>
        <v>-26227147.103362817</v>
      </c>
      <c r="S1018" s="25">
        <f t="shared" ca="1" si="787"/>
        <v>-36598833.312624179</v>
      </c>
    </row>
    <row r="1019" spans="1:19" ht="15.75" customHeight="1" x14ac:dyDescent="0.3">
      <c r="A1019" s="37">
        <v>81968</v>
      </c>
      <c r="B1019" s="409">
        <f t="shared" ref="B1019:C1019" si="1030">($A1019-B$9)/365.25</f>
        <v>142.53798767967146</v>
      </c>
      <c r="C1019" s="409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2192</v>
      </c>
      <c r="I1019" s="25">
        <f>IF(C1019&lt;62,0,'Combined Retirement'!$I$13)</f>
        <v>2420</v>
      </c>
      <c r="J1019" s="25">
        <f t="shared" si="783"/>
        <v>7863.2184191855868</v>
      </c>
      <c r="K1019" s="25">
        <f t="shared" si="784"/>
        <v>20282.026119384056</v>
      </c>
      <c r="L1019" s="25"/>
      <c r="N1019" s="25">
        <f>'Combined Retirement'!$C$18/12</f>
        <v>39153.069999999992</v>
      </c>
      <c r="O1019" s="25">
        <f t="shared" si="785"/>
        <v>11007.82546143035</v>
      </c>
      <c r="P1019" s="25">
        <f t="shared" si="786"/>
        <v>28145.244538569641</v>
      </c>
      <c r="Q1019" s="25">
        <f t="array" aca="1" ref="Q1019" ca="1">INDEX('Isaac 401k'!L:L,MATCH('Retirement Calculator'!A1019,'Isaac 401k'!N:N,0),0)</f>
        <v>-10422797.550295882</v>
      </c>
      <c r="R1019" s="25">
        <f t="array" aca="1" ref="R1019" ca="1">INDEX('Lorri 401b'!L:L,MATCH('Retirement Calculator'!A1019,'Lorri 401b'!N:N,0),0)</f>
        <v>-26356793.417521711</v>
      </c>
      <c r="S1019" s="25">
        <f t="shared" ca="1" si="787"/>
        <v>-36779590.96781759</v>
      </c>
    </row>
    <row r="1020" spans="1:19" ht="15.75" customHeight="1" x14ac:dyDescent="0.3">
      <c r="A1020" s="37">
        <v>81998</v>
      </c>
      <c r="B1020" s="409">
        <f t="shared" ref="B1020:C1020" si="1031">($A1020-B$9)/365.25</f>
        <v>142.62012320328543</v>
      </c>
      <c r="C1020" s="409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2192</v>
      </c>
      <c r="I1020" s="25">
        <f>IF(C1020&lt;62,0,'Combined Retirement'!$I$13)</f>
        <v>2420</v>
      </c>
      <c r="J1020" s="25">
        <f t="shared" si="783"/>
        <v>7863.2184191855868</v>
      </c>
      <c r="K1020" s="25">
        <f t="shared" si="784"/>
        <v>20282.026119384056</v>
      </c>
      <c r="L1020" s="25"/>
      <c r="N1020" s="25">
        <f>'Combined Retirement'!$C$18/12</f>
        <v>39153.069999999992</v>
      </c>
      <c r="O1020" s="25">
        <f t="shared" si="785"/>
        <v>11007.82546143035</v>
      </c>
      <c r="P1020" s="25">
        <f t="shared" si="786"/>
        <v>28145.244538569641</v>
      </c>
      <c r="Q1020" s="25">
        <f t="array" aca="1" ref="Q1020" ca="1">INDEX('Isaac 401k'!L:L,MATCH('Retirement Calculator'!A1020,'Isaac 401k'!N:N,0),0)</f>
        <v>-10474121.855251379</v>
      </c>
      <c r="R1020" s="25">
        <f t="array" aca="1" ref="R1020" ca="1">INDEX('Lorri 401b'!L:L,MATCH('Retirement Calculator'!A1020,'Lorri 401b'!N:N,0),0)</f>
        <v>-26486979.924656268</v>
      </c>
      <c r="S1020" s="25">
        <f t="shared" ca="1" si="787"/>
        <v>-36961101.779907644</v>
      </c>
    </row>
    <row r="1021" spans="1:19" ht="15.75" customHeight="1" x14ac:dyDescent="0.3">
      <c r="A1021" s="37">
        <v>82029</v>
      </c>
      <c r="B1021" s="409">
        <f t="shared" ref="B1021:C1021" si="1032">($A1021-B$9)/365.25</f>
        <v>142.70499657768653</v>
      </c>
      <c r="C1021" s="409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2192</v>
      </c>
      <c r="I1021" s="25">
        <f>IF(C1021&lt;62,0,'Combined Retirement'!$I$13)</f>
        <v>2420</v>
      </c>
      <c r="J1021" s="25">
        <f t="shared" si="783"/>
        <v>7863.2184191855868</v>
      </c>
      <c r="K1021" s="25">
        <f t="shared" si="784"/>
        <v>20282.026119384056</v>
      </c>
      <c r="L1021" s="25"/>
      <c r="N1021" s="25">
        <f>'Combined Retirement'!$C$18/12</f>
        <v>39153.069999999992</v>
      </c>
      <c r="O1021" s="25">
        <f t="shared" si="785"/>
        <v>11007.82546143035</v>
      </c>
      <c r="P1021" s="25">
        <f t="shared" si="786"/>
        <v>28145.244538569641</v>
      </c>
      <c r="Q1021" s="25">
        <f t="array" aca="1" ref="Q1021" ca="1">INDEX('Isaac 401k'!L:L,MATCH('Retirement Calculator'!A1021,'Isaac 401k'!N:N,0),0)</f>
        <v>-10525660.011477524</v>
      </c>
      <c r="R1021" s="25">
        <f t="array" aca="1" ref="R1021" ca="1">INDEX('Lorri 401b'!L:L,MATCH('Retirement Calculator'!A1021,'Lorri 401b'!N:N,0),0)</f>
        <v>-26617708.875570551</v>
      </c>
      <c r="S1021" s="25">
        <f t="shared" ca="1" si="787"/>
        <v>-37143368.887048073</v>
      </c>
    </row>
    <row r="1022" spans="1:19" ht="15.75" customHeight="1" x14ac:dyDescent="0.3">
      <c r="A1022" s="37">
        <v>82060</v>
      </c>
      <c r="B1022" s="409">
        <f t="shared" ref="B1022:C1022" si="1033">($A1022-B$9)/365.25</f>
        <v>142.7898699520876</v>
      </c>
      <c r="C1022" s="409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2192</v>
      </c>
      <c r="I1022" s="25">
        <f>IF(C1022&lt;62,0,'Combined Retirement'!$I$13)</f>
        <v>2420</v>
      </c>
      <c r="J1022" s="25">
        <f t="shared" si="783"/>
        <v>7863.2184191855868</v>
      </c>
      <c r="K1022" s="25">
        <f t="shared" si="784"/>
        <v>20282.026119384056</v>
      </c>
      <c r="L1022" s="25"/>
      <c r="N1022" s="25">
        <f>'Combined Retirement'!$C$18/12</f>
        <v>39153.069999999992</v>
      </c>
      <c r="O1022" s="25">
        <f t="shared" si="785"/>
        <v>11007.82546143035</v>
      </c>
      <c r="P1022" s="25">
        <f t="shared" si="786"/>
        <v>28145.244538569641</v>
      </c>
      <c r="Q1022" s="25">
        <f t="array" aca="1" ref="Q1022" ca="1">INDEX('Isaac 401k'!L:L,MATCH('Retirement Calculator'!A1022,'Isaac 401k'!N:N,0),0)</f>
        <v>-10577412.910021279</v>
      </c>
      <c r="R1022" s="25">
        <f t="array" aca="1" ref="R1022" ca="1">INDEX('Lorri 401b'!L:L,MATCH('Retirement Calculator'!A1022,'Lorri 401b'!N:N,0),0)</f>
        <v>-26748982.530446976</v>
      </c>
      <c r="S1022" s="25">
        <f t="shared" ca="1" si="787"/>
        <v>-37326395.440468252</v>
      </c>
    </row>
    <row r="1023" spans="1:19" ht="15.75" customHeight="1" x14ac:dyDescent="0.3">
      <c r="A1023" s="37">
        <v>82090</v>
      </c>
      <c r="B1023" s="409">
        <f t="shared" ref="B1023:C1023" si="1034">($A1023-B$9)/365.25</f>
        <v>142.87200547570157</v>
      </c>
      <c r="C1023" s="409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2192</v>
      </c>
      <c r="I1023" s="25">
        <f>IF(C1023&lt;62,0,'Combined Retirement'!$I$13)</f>
        <v>2420</v>
      </c>
      <c r="J1023" s="25">
        <f t="shared" si="783"/>
        <v>7863.2184191855868</v>
      </c>
      <c r="K1023" s="25">
        <f t="shared" si="784"/>
        <v>20282.026119384056</v>
      </c>
      <c r="L1023" s="25"/>
      <c r="N1023" s="25">
        <f>'Combined Retirement'!$C$18/12</f>
        <v>39153.069999999992</v>
      </c>
      <c r="O1023" s="25">
        <f t="shared" si="785"/>
        <v>11007.82546143035</v>
      </c>
      <c r="P1023" s="25">
        <f t="shared" si="786"/>
        <v>28145.244538569641</v>
      </c>
      <c r="Q1023" s="25">
        <f t="array" aca="1" ref="Q1023" ca="1">INDEX('Isaac 401k'!L:L,MATCH('Retirement Calculator'!A1023,'Isaac 401k'!N:N,0),0)</f>
        <v>-10629381.4456423</v>
      </c>
      <c r="R1023" s="25">
        <f t="array" aca="1" ref="R1023" ca="1">INDEX('Lorri 401b'!L:L,MATCH('Retirement Calculator'!A1023,'Lorri 401b'!N:N,0),0)</f>
        <v>-26880803.15888539</v>
      </c>
      <c r="S1023" s="25">
        <f t="shared" ca="1" si="787"/>
        <v>-37510184.60452769</v>
      </c>
    </row>
    <row r="1024" spans="1:19" ht="15.75" customHeight="1" x14ac:dyDescent="0.3">
      <c r="A1024" s="37">
        <v>82121</v>
      </c>
      <c r="B1024" s="409">
        <f t="shared" ref="B1024:C1024" si="1035">($A1024-B$9)/365.25</f>
        <v>142.95687885010267</v>
      </c>
      <c r="C1024" s="409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2192</v>
      </c>
      <c r="I1024" s="25">
        <f>IF(C1024&lt;62,0,'Combined Retirement'!$I$13)</f>
        <v>2420</v>
      </c>
      <c r="J1024" s="25">
        <f t="shared" si="783"/>
        <v>7863.2184191855868</v>
      </c>
      <c r="K1024" s="25">
        <f t="shared" si="784"/>
        <v>20282.026119384056</v>
      </c>
      <c r="L1024" s="25"/>
      <c r="N1024" s="25">
        <f>'Combined Retirement'!$C$18/12</f>
        <v>39153.069999999992</v>
      </c>
      <c r="O1024" s="25">
        <f t="shared" si="785"/>
        <v>11007.82546143035</v>
      </c>
      <c r="P1024" s="25">
        <f t="shared" si="786"/>
        <v>28145.244538569641</v>
      </c>
      <c r="Q1024" s="25">
        <f t="array" aca="1" ref="Q1024" ca="1">INDEX('Isaac 401k'!L:L,MATCH('Retirement Calculator'!A1024,'Isaac 401k'!N:N,0),0)</f>
        <v>-10681566.516828408</v>
      </c>
      <c r="R1024" s="25">
        <f t="array" aca="1" ref="R1024" ca="1">INDEX('Lorri 401b'!L:L,MATCH('Retirement Calculator'!A1024,'Lorri 401b'!N:N,0),0)</f>
        <v>-27013173.039942294</v>
      </c>
      <c r="S1024" s="25">
        <f t="shared" ca="1" si="787"/>
        <v>-37694739.556770705</v>
      </c>
    </row>
    <row r="1025" spans="1:19" ht="15.75" customHeight="1" x14ac:dyDescent="0.3">
      <c r="A1025" s="37">
        <v>82151</v>
      </c>
      <c r="B1025" s="409">
        <f t="shared" ref="B1025:C1025" si="1036">($A1025-B$9)/365.25</f>
        <v>143.03901437371664</v>
      </c>
      <c r="C1025" s="409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2192</v>
      </c>
      <c r="I1025" s="25">
        <f>IF(C1025&lt;62,0,'Combined Retirement'!$I$13)</f>
        <v>2420</v>
      </c>
      <c r="J1025" s="25">
        <f t="shared" si="783"/>
        <v>7863.2184191855868</v>
      </c>
      <c r="K1025" s="25">
        <f t="shared" si="784"/>
        <v>20282.026119384056</v>
      </c>
      <c r="L1025" s="25"/>
      <c r="N1025" s="25">
        <f>'Combined Retirement'!$C$18/12</f>
        <v>39153.069999999992</v>
      </c>
      <c r="O1025" s="25">
        <f t="shared" si="785"/>
        <v>11007.82546143035</v>
      </c>
      <c r="P1025" s="25">
        <f t="shared" si="786"/>
        <v>28145.244538569641</v>
      </c>
      <c r="Q1025" s="25">
        <f t="array" aca="1" ref="Q1025" ca="1">INDEX('Isaac 401k'!L:L,MATCH('Retirement Calculator'!A1025,'Isaac 401k'!N:N,0),0)</f>
        <v>-10733969.025811125</v>
      </c>
      <c r="R1025" s="25">
        <f t="array" aca="1" ref="R1025" ca="1">INDEX('Lorri 401b'!L:L,MATCH('Retirement Calculator'!A1025,'Lorri 401b'!N:N,0),0)</f>
        <v>-27146094.462170269</v>
      </c>
      <c r="S1025" s="25">
        <f t="shared" ca="1" si="787"/>
        <v>-37880063.487981394</v>
      </c>
    </row>
    <row r="1026" spans="1:19" ht="15.75" customHeight="1" x14ac:dyDescent="0.3">
      <c r="A1026" s="37">
        <v>82182</v>
      </c>
      <c r="B1026" s="409">
        <f t="shared" ref="B1026:C1026" si="1037">($A1026-B$9)/365.25</f>
        <v>143.12388774811774</v>
      </c>
      <c r="C1026" s="409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2192</v>
      </c>
      <c r="I1026" s="25">
        <f>IF(C1026&lt;62,0,'Combined Retirement'!$I$13)</f>
        <v>2420</v>
      </c>
      <c r="J1026" s="25">
        <f t="shared" si="783"/>
        <v>7863.2184191855868</v>
      </c>
      <c r="K1026" s="25">
        <f t="shared" si="784"/>
        <v>20282.026119384056</v>
      </c>
      <c r="L1026" s="25"/>
      <c r="N1026" s="25">
        <f>'Combined Retirement'!$C$18/12</f>
        <v>39153.069999999992</v>
      </c>
      <c r="O1026" s="25">
        <f t="shared" si="785"/>
        <v>11007.82546143035</v>
      </c>
      <c r="P1026" s="25">
        <f t="shared" si="786"/>
        <v>28145.244538569641</v>
      </c>
      <c r="Q1026" s="25">
        <f t="array" aca="1" ref="Q1026" ca="1">INDEX('Isaac 401k'!L:L,MATCH('Retirement Calculator'!A1026,'Isaac 401k'!N:N,0),0)</f>
        <v>-10786589.878581269</v>
      </c>
      <c r="R1026" s="25">
        <f t="array" aca="1" ref="R1026" ca="1">INDEX('Lorri 401b'!L:L,MATCH('Retirement Calculator'!A1026,'Lorri 401b'!N:N,0),0)</f>
        <v>-27279569.723657526</v>
      </c>
      <c r="S1026" s="25">
        <f t="shared" ca="1" si="787"/>
        <v>-38066159.602238797</v>
      </c>
    </row>
    <row r="1027" spans="1:19" ht="15.75" customHeight="1" x14ac:dyDescent="0.3">
      <c r="A1027" s="37">
        <v>82213</v>
      </c>
      <c r="B1027" s="409">
        <f t="shared" ref="B1027:C1027" si="1038">($A1027-B$9)/365.25</f>
        <v>143.20876112251884</v>
      </c>
      <c r="C1027" s="409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2192</v>
      </c>
      <c r="I1027" s="25">
        <f>IF(C1027&lt;62,0,'Combined Retirement'!$I$13)</f>
        <v>2420</v>
      </c>
      <c r="J1027" s="25">
        <f t="shared" si="783"/>
        <v>7863.2184191855868</v>
      </c>
      <c r="K1027" s="25">
        <f t="shared" si="784"/>
        <v>20282.026119384056</v>
      </c>
      <c r="L1027" s="25"/>
      <c r="N1027" s="25">
        <f>'Combined Retirement'!$C$18/12</f>
        <v>39153.069999999992</v>
      </c>
      <c r="O1027" s="25">
        <f t="shared" si="785"/>
        <v>11007.82546143035</v>
      </c>
      <c r="P1027" s="25">
        <f t="shared" si="786"/>
        <v>28145.244538569641</v>
      </c>
      <c r="Q1027" s="25">
        <f t="array" aca="1" ref="Q1027" ca="1">INDEX('Isaac 401k'!L:L,MATCH('Retirement Calculator'!A1027,'Isaac 401k'!N:N,0),0)</f>
        <v>-10839429.984904623</v>
      </c>
      <c r="R1027" s="25">
        <f t="array" aca="1" ref="R1027" ca="1">INDEX('Lorri 401b'!L:L,MATCH('Retirement Calculator'!A1027,'Lorri 401b'!N:N,0),0)</f>
        <v>-27413601.132067647</v>
      </c>
      <c r="S1027" s="25">
        <f t="shared" ca="1" si="787"/>
        <v>-38253031.116972268</v>
      </c>
    </row>
    <row r="1028" spans="1:19" ht="15.75" customHeight="1" x14ac:dyDescent="0.3">
      <c r="A1028" s="37">
        <v>82241</v>
      </c>
      <c r="B1028" s="409">
        <f t="shared" ref="B1028:C1028" si="1039">($A1028-B$9)/365.25</f>
        <v>143.28542094455852</v>
      </c>
      <c r="C1028" s="409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2192</v>
      </c>
      <c r="I1028" s="25">
        <f>IF(C1028&lt;62,0,'Combined Retirement'!$I$13)</f>
        <v>2420</v>
      </c>
      <c r="J1028" s="25">
        <f t="shared" si="783"/>
        <v>7863.2184191855868</v>
      </c>
      <c r="K1028" s="25">
        <f t="shared" si="784"/>
        <v>20282.026119384056</v>
      </c>
      <c r="L1028" s="25"/>
      <c r="N1028" s="25">
        <f>'Combined Retirement'!$C$18/12</f>
        <v>39153.069999999992</v>
      </c>
      <c r="O1028" s="25">
        <f t="shared" si="785"/>
        <v>11007.82546143035</v>
      </c>
      <c r="P1028" s="25">
        <f t="shared" si="786"/>
        <v>28145.244538569641</v>
      </c>
      <c r="Q1028" s="25">
        <f t="array" aca="1" ref="Q1028" ca="1">INDEX('Isaac 401k'!L:L,MATCH('Retirement Calculator'!A1028,'Isaac 401k'!N:N,0),0)</f>
        <v>-10892490.258337656</v>
      </c>
      <c r="R1028" s="25">
        <f t="array" aca="1" ref="R1028" ca="1">INDEX('Lorri 401b'!L:L,MATCH('Retirement Calculator'!A1028,'Lorri 401b'!N:N,0),0)</f>
        <v>-27548191.004679479</v>
      </c>
      <c r="S1028" s="25">
        <f t="shared" ca="1" si="787"/>
        <v>-38440681.263017133</v>
      </c>
    </row>
    <row r="1029" spans="1:19" ht="15.75" customHeight="1" x14ac:dyDescent="0.3">
      <c r="A1029" s="37">
        <v>82272</v>
      </c>
      <c r="B1029" s="409">
        <f t="shared" ref="B1029:C1029" si="1040">($A1029-B$9)/365.25</f>
        <v>143.37029431895962</v>
      </c>
      <c r="C1029" s="409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2192</v>
      </c>
      <c r="I1029" s="25">
        <f>IF(C1029&lt;62,0,'Combined Retirement'!$I$13)</f>
        <v>2420</v>
      </c>
      <c r="J1029" s="25">
        <f t="shared" si="783"/>
        <v>7863.2184191855868</v>
      </c>
      <c r="K1029" s="25">
        <f t="shared" si="784"/>
        <v>20282.026119384056</v>
      </c>
      <c r="L1029" s="25"/>
      <c r="N1029" s="25">
        <f>'Combined Retirement'!$C$18/12</f>
        <v>39153.069999999992</v>
      </c>
      <c r="O1029" s="25">
        <f t="shared" si="785"/>
        <v>11007.82546143035</v>
      </c>
      <c r="P1029" s="25">
        <f t="shared" si="786"/>
        <v>28145.244538569641</v>
      </c>
      <c r="Q1029" s="25">
        <f t="array" aca="1" ref="Q1029" ca="1">INDEX('Isaac 401k'!L:L,MATCH('Retirement Calculator'!A1029,'Isaac 401k'!N:N,0),0)</f>
        <v>-10945771.616243327</v>
      </c>
      <c r="R1029" s="25">
        <f t="array" aca="1" ref="R1029" ca="1">INDEX('Lorri 401b'!L:L,MATCH('Retirement Calculator'!A1029,'Lorri 401b'!N:N,0),0)</f>
        <v>-27683341.668427192</v>
      </c>
      <c r="S1029" s="25">
        <f t="shared" ca="1" si="787"/>
        <v>-38629113.284670517</v>
      </c>
    </row>
    <row r="1030" spans="1:19" ht="15.75" customHeight="1" x14ac:dyDescent="0.3">
      <c r="A1030" s="37">
        <v>82302</v>
      </c>
      <c r="B1030" s="409">
        <f t="shared" ref="B1030:C1030" si="1041">($A1030-B$9)/365.25</f>
        <v>143.45242984257359</v>
      </c>
      <c r="C1030" s="409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2192</v>
      </c>
      <c r="I1030" s="25">
        <f>IF(C1030&lt;62,0,'Combined Retirement'!$I$13)</f>
        <v>2420</v>
      </c>
      <c r="J1030" s="25">
        <f t="shared" si="783"/>
        <v>7863.2184191855868</v>
      </c>
      <c r="K1030" s="25">
        <f t="shared" si="784"/>
        <v>20282.026119384056</v>
      </c>
      <c r="L1030" s="25"/>
      <c r="N1030" s="25">
        <f>'Combined Retirement'!$C$18/12</f>
        <v>39153.069999999992</v>
      </c>
      <c r="O1030" s="25">
        <f t="shared" si="785"/>
        <v>11007.82546143035</v>
      </c>
      <c r="P1030" s="25">
        <f t="shared" si="786"/>
        <v>28145.244538569641</v>
      </c>
      <c r="Q1030" s="25">
        <f t="array" aca="1" ref="Q1030" ca="1">INDEX('Isaac 401k'!L:L,MATCH('Retirement Calculator'!A1030,'Isaac 401k'!N:N,0),0)</f>
        <v>-10999274.979806939</v>
      </c>
      <c r="R1030" s="25">
        <f t="array" aca="1" ref="R1030" ca="1">INDEX('Lorri 401b'!L:L,MATCH('Retirement Calculator'!A1030,'Lorri 401b'!N:N,0),0)</f>
        <v>-27819055.459940519</v>
      </c>
      <c r="S1030" s="25">
        <f t="shared" ca="1" si="787"/>
        <v>-38818330.43974746</v>
      </c>
    </row>
    <row r="1031" spans="1:19" ht="15.75" customHeight="1" x14ac:dyDescent="0.3">
      <c r="A1031" s="37">
        <v>82333</v>
      </c>
      <c r="B1031" s="409">
        <f t="shared" ref="B1031:C1031" si="1042">($A1031-B$9)/365.25</f>
        <v>143.53730321697466</v>
      </c>
      <c r="C1031" s="409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2192</v>
      </c>
      <c r="I1031" s="25">
        <f>IF(C1031&lt;62,0,'Combined Retirement'!$I$13)</f>
        <v>2420</v>
      </c>
      <c r="J1031" s="25">
        <f t="shared" ref="J1031:J1171" si="1043">IF(C1031&lt;59.5,P1031,P1031*$J$7)</f>
        <v>7863.2184191855868</v>
      </c>
      <c r="K1031" s="25">
        <f t="shared" ref="K1031:K1171" si="1044">IF(C1031&lt;59.5,0,IF(C1031&lt;$B$7,0,P1031*$K$7))</f>
        <v>20282.026119384056</v>
      </c>
      <c r="L1031" s="25"/>
      <c r="N1031" s="25">
        <f>'Combined Retirement'!$C$18/12</f>
        <v>39153.069999999992</v>
      </c>
      <c r="O1031" s="25">
        <f t="shared" ref="O1031:O1171" si="1045">SUM(E1031:I1031)</f>
        <v>11007.82546143035</v>
      </c>
      <c r="P1031" s="25">
        <f t="shared" ref="P1031:P1171" si="1046">N1031-O1031</f>
        <v>28145.244538569641</v>
      </c>
      <c r="Q1031" s="25">
        <f t="array" aca="1" ref="Q1031" ca="1">INDEX('Isaac 401k'!L:L,MATCH('Retirement Calculator'!A1031,'Isaac 401k'!N:N,0),0)</f>
        <v>-11053001.274052067</v>
      </c>
      <c r="R1031" s="25">
        <f t="array" aca="1" ref="R1031" ca="1">INDEX('Lorri 401b'!L:L,MATCH('Retirement Calculator'!A1031,'Lorri 401b'!N:N,0),0)</f>
        <v>-27955334.725585155</v>
      </c>
      <c r="S1031" s="25">
        <f t="shared" ref="S1031:S1171" ca="1" si="1047">SUM(Q1031:R1031)</f>
        <v>-39008335.999637224</v>
      </c>
    </row>
    <row r="1032" spans="1:19" ht="15.75" customHeight="1" x14ac:dyDescent="0.3">
      <c r="A1032" s="37">
        <v>82363</v>
      </c>
      <c r="B1032" s="409">
        <f t="shared" ref="B1032:C1032" si="1048">($A1032-B$9)/365.25</f>
        <v>143.61943874058863</v>
      </c>
      <c r="C1032" s="409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2192</v>
      </c>
      <c r="I1032" s="25">
        <f>IF(C1032&lt;62,0,'Combined Retirement'!$I$13)</f>
        <v>2420</v>
      </c>
      <c r="J1032" s="25">
        <f t="shared" si="1043"/>
        <v>7863.2184191855868</v>
      </c>
      <c r="K1032" s="25">
        <f t="shared" si="1044"/>
        <v>20282.026119384056</v>
      </c>
      <c r="L1032" s="25"/>
      <c r="N1032" s="25">
        <f>'Combined Retirement'!$C$18/12</f>
        <v>39153.069999999992</v>
      </c>
      <c r="O1032" s="25">
        <f t="shared" si="1045"/>
        <v>11007.82546143035</v>
      </c>
      <c r="P1032" s="25">
        <f t="shared" si="1046"/>
        <v>28145.244538569641</v>
      </c>
      <c r="Q1032" s="25">
        <f t="array" aca="1" ref="Q1032" ca="1">INDEX('Isaac 401k'!L:L,MATCH('Retirement Calculator'!A1032,'Isaac 401k'!N:N,0),0)</f>
        <v>-11106951.427856548</v>
      </c>
      <c r="R1032" s="25">
        <f t="array" aca="1" ref="R1032" ca="1">INDEX('Lorri 401b'!L:L,MATCH('Retirement Calculator'!A1032,'Lorri 401b'!N:N,0),0)</f>
        <v>-28092181.821503308</v>
      </c>
      <c r="S1032" s="25">
        <f t="shared" ca="1" si="1047"/>
        <v>-39199133.249359854</v>
      </c>
    </row>
    <row r="1033" spans="1:19" ht="15.75" customHeight="1" x14ac:dyDescent="0.3">
      <c r="A1033" s="37">
        <v>82394</v>
      </c>
      <c r="B1033" s="409">
        <f t="shared" ref="B1033:C1033" si="1049">($A1033-B$9)/365.25</f>
        <v>143.70431211498973</v>
      </c>
      <c r="C1033" s="409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2192</v>
      </c>
      <c r="I1033" s="25">
        <f>IF(C1033&lt;62,0,'Combined Retirement'!$I$13)</f>
        <v>2420</v>
      </c>
      <c r="J1033" s="25">
        <f t="shared" si="1043"/>
        <v>7863.2184191855868</v>
      </c>
      <c r="K1033" s="25">
        <f t="shared" si="1044"/>
        <v>20282.026119384056</v>
      </c>
      <c r="L1033" s="25"/>
      <c r="N1033" s="25">
        <f>'Combined Retirement'!$C$18/12</f>
        <v>39153.069999999992</v>
      </c>
      <c r="O1033" s="25">
        <f t="shared" si="1045"/>
        <v>11007.82546143035</v>
      </c>
      <c r="P1033" s="25">
        <f t="shared" si="1046"/>
        <v>28145.244538569641</v>
      </c>
      <c r="Q1033" s="25">
        <f t="array" aca="1" ref="Q1033" ca="1">INDEX('Isaac 401k'!L:L,MATCH('Retirement Calculator'!A1033,'Isaac 401k'!N:N,0),0)</f>
        <v>-11161126.373968549</v>
      </c>
      <c r="R1033" s="25">
        <f t="array" aca="1" ref="R1033" ca="1">INDEX('Lorri 401b'!L:L,MATCH('Retirement Calculator'!A1033,'Lorri 401b'!N:N,0),0)</f>
        <v>-28229599.113654453</v>
      </c>
      <c r="S1033" s="25">
        <f t="shared" ca="1" si="1047"/>
        <v>-39390725.487623006</v>
      </c>
    </row>
    <row r="1034" spans="1:19" ht="15.75" customHeight="1" x14ac:dyDescent="0.3">
      <c r="A1034" s="37">
        <v>82425</v>
      </c>
      <c r="B1034" s="409">
        <f t="shared" ref="B1034:C1034" si="1050">($A1034-B$9)/365.25</f>
        <v>143.78918548939083</v>
      </c>
      <c r="C1034" s="409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2192</v>
      </c>
      <c r="I1034" s="25">
        <f>IF(C1034&lt;62,0,'Combined Retirement'!$I$13)</f>
        <v>2420</v>
      </c>
      <c r="J1034" s="25">
        <f t="shared" si="1043"/>
        <v>7863.2184191855868</v>
      </c>
      <c r="K1034" s="25">
        <f t="shared" si="1044"/>
        <v>20282.026119384056</v>
      </c>
      <c r="L1034" s="25"/>
      <c r="N1034" s="25">
        <f>'Combined Retirement'!$C$18/12</f>
        <v>39153.069999999992</v>
      </c>
      <c r="O1034" s="25">
        <f t="shared" si="1045"/>
        <v>11007.82546143035</v>
      </c>
      <c r="P1034" s="25">
        <f t="shared" si="1046"/>
        <v>28145.244538569641</v>
      </c>
      <c r="Q1034" s="25">
        <f t="array" aca="1" ref="Q1034" ca="1">INDEX('Isaac 401k'!L:L,MATCH('Retirement Calculator'!A1034,'Isaac 401k'!N:N,0),0)</f>
        <v>-11215527.049022682</v>
      </c>
      <c r="R1034" s="25">
        <f t="array" aca="1" ref="R1034" ca="1">INDEX('Lorri 401b'!L:L,MATCH('Retirement Calculator'!A1034,'Lorri 401b'!N:N,0),0)</f>
        <v>-28367588.97785623</v>
      </c>
      <c r="S1034" s="25">
        <f t="shared" ca="1" si="1047"/>
        <v>-39583116.026878908</v>
      </c>
    </row>
    <row r="1035" spans="1:19" ht="15.75" customHeight="1" x14ac:dyDescent="0.3">
      <c r="A1035" s="37">
        <v>82455</v>
      </c>
      <c r="B1035" s="409">
        <f t="shared" ref="B1035:C1035" si="1051">($A1035-B$9)/365.25</f>
        <v>143.8713210130048</v>
      </c>
      <c r="C1035" s="409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2192</v>
      </c>
      <c r="I1035" s="25">
        <f>IF(C1035&lt;62,0,'Combined Retirement'!$I$13)</f>
        <v>2420</v>
      </c>
      <c r="J1035" s="25">
        <f t="shared" si="1043"/>
        <v>7863.2184191855868</v>
      </c>
      <c r="K1035" s="25">
        <f t="shared" si="1044"/>
        <v>20282.026119384056</v>
      </c>
      <c r="L1035" s="25"/>
      <c r="N1035" s="25">
        <f>'Combined Retirement'!$C$18/12</f>
        <v>39153.069999999992</v>
      </c>
      <c r="O1035" s="25">
        <f t="shared" si="1045"/>
        <v>11007.82546143035</v>
      </c>
      <c r="P1035" s="25">
        <f t="shared" si="1046"/>
        <v>28145.244538569641</v>
      </c>
      <c r="Q1035" s="25">
        <f t="array" aca="1" ref="Q1035" ca="1">INDEX('Isaac 401k'!L:L,MATCH('Retirement Calculator'!A1035,'Isaac 401k'!N:N,0),0)</f>
        <v>-11270154.393556207</v>
      </c>
      <c r="R1035" s="25">
        <f t="array" aca="1" ref="R1035" ca="1">INDEX('Lorri 401b'!L:L,MATCH('Retirement Calculator'!A1035,'Lorri 401b'!N:N,0),0)</f>
        <v>-28506153.799825512</v>
      </c>
      <c r="S1035" s="25">
        <f t="shared" ca="1" si="1047"/>
        <v>-39776308.193381719</v>
      </c>
    </row>
    <row r="1036" spans="1:19" ht="15.75" customHeight="1" x14ac:dyDescent="0.3">
      <c r="A1036" s="37">
        <v>82486</v>
      </c>
      <c r="B1036" s="409">
        <f t="shared" ref="B1036:C1036" si="1052">($A1036-B$9)/365.25</f>
        <v>143.95619438740587</v>
      </c>
      <c r="C1036" s="409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2192</v>
      </c>
      <c r="I1036" s="25">
        <f>IF(C1036&lt;62,0,'Combined Retirement'!$I$13)</f>
        <v>2420</v>
      </c>
      <c r="J1036" s="25">
        <f t="shared" si="1043"/>
        <v>7863.2184191855868</v>
      </c>
      <c r="K1036" s="25">
        <f t="shared" si="1044"/>
        <v>20282.026119384056</v>
      </c>
      <c r="L1036" s="25"/>
      <c r="N1036" s="25">
        <f>'Combined Retirement'!$C$18/12</f>
        <v>39153.069999999992</v>
      </c>
      <c r="O1036" s="25">
        <f t="shared" si="1045"/>
        <v>11007.82546143035</v>
      </c>
      <c r="P1036" s="25">
        <f t="shared" si="1046"/>
        <v>28145.244538569641</v>
      </c>
      <c r="Q1036" s="25">
        <f t="array" aca="1" ref="Q1036" ca="1">INDEX('Isaac 401k'!L:L,MATCH('Retirement Calculator'!A1036,'Isaac 401k'!N:N,0),0)</f>
        <v>-11325009.352025289</v>
      </c>
      <c r="R1036" s="25">
        <f t="array" aca="1" ref="R1036" ca="1">INDEX('Lorri 401b'!L:L,MATCH('Retirement Calculator'!A1036,'Lorri 401b'!N:N,0),0)</f>
        <v>-28645295.975219667</v>
      </c>
      <c r="S1036" s="25">
        <f t="shared" ca="1" si="1047"/>
        <v>-39970305.327244952</v>
      </c>
    </row>
    <row r="1037" spans="1:19" ht="15.75" customHeight="1" x14ac:dyDescent="0.3">
      <c r="A1037" s="37">
        <v>82516</v>
      </c>
      <c r="B1037" s="409">
        <f t="shared" ref="B1037:C1037" si="1053">($A1037-B$9)/365.25</f>
        <v>144.03832991101984</v>
      </c>
      <c r="C1037" s="409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2192</v>
      </c>
      <c r="I1037" s="25">
        <f>IF(C1037&lt;62,0,'Combined Retirement'!$I$13)</f>
        <v>2420</v>
      </c>
      <c r="J1037" s="25">
        <f t="shared" si="1043"/>
        <v>7863.2184191855868</v>
      </c>
      <c r="K1037" s="25">
        <f t="shared" si="1044"/>
        <v>20282.026119384056</v>
      </c>
      <c r="L1037" s="25"/>
      <c r="N1037" s="25">
        <f>'Combined Retirement'!$C$18/12</f>
        <v>39153.069999999992</v>
      </c>
      <c r="O1037" s="25">
        <f t="shared" si="1045"/>
        <v>11007.82546143035</v>
      </c>
      <c r="P1037" s="25">
        <f t="shared" si="1046"/>
        <v>28145.244538569641</v>
      </c>
      <c r="Q1037" s="25">
        <f t="array" aca="1" ref="Q1037" ca="1">INDEX('Isaac 401k'!L:L,MATCH('Retirement Calculator'!A1037,'Isaac 401k'!N:N,0),0)</f>
        <v>-11380092.872821325</v>
      </c>
      <c r="R1037" s="25">
        <f t="array" aca="1" ref="R1037" ca="1">INDEX('Lorri 401b'!L:L,MATCH('Retirement Calculator'!A1037,'Lorri 401b'!N:N,0),0)</f>
        <v>-28785017.909677964</v>
      </c>
      <c r="S1037" s="25">
        <f t="shared" ca="1" si="1047"/>
        <v>-40165110.782499291</v>
      </c>
    </row>
    <row r="1038" spans="1:19" ht="15.75" customHeight="1" x14ac:dyDescent="0.3">
      <c r="A1038" s="37">
        <v>82547</v>
      </c>
      <c r="B1038" s="409">
        <f t="shared" ref="B1038:C1038" si="1054">($A1038-B$9)/365.25</f>
        <v>144.12320328542094</v>
      </c>
      <c r="C1038" s="409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2192</v>
      </c>
      <c r="I1038" s="25">
        <f>IF(C1038&lt;62,0,'Combined Retirement'!$I$13)</f>
        <v>2420</v>
      </c>
      <c r="J1038" s="25">
        <f t="shared" si="1043"/>
        <v>7863.2184191855868</v>
      </c>
      <c r="K1038" s="25">
        <f t="shared" si="1044"/>
        <v>20282.026119384056</v>
      </c>
      <c r="L1038" s="25"/>
      <c r="N1038" s="25">
        <f>'Combined Retirement'!$C$18/12</f>
        <v>39153.069999999992</v>
      </c>
      <c r="O1038" s="25">
        <f t="shared" si="1045"/>
        <v>11007.82546143035</v>
      </c>
      <c r="P1038" s="25">
        <f t="shared" si="1046"/>
        <v>28145.244538569641</v>
      </c>
      <c r="Q1038" s="25">
        <f t="array" aca="1" ref="Q1038" ca="1">INDEX('Isaac 401k'!L:L,MATCH('Retirement Calculator'!A1038,'Isaac 401k'!N:N,0),0)</f>
        <v>-11435405.908287346</v>
      </c>
      <c r="R1038" s="25">
        <f t="array" aca="1" ref="R1038" ca="1">INDEX('Lorri 401b'!L:L,MATCH('Retirement Calculator'!A1038,'Lorri 401b'!N:N,0),0)</f>
        <v>-28925322.018863171</v>
      </c>
      <c r="S1038" s="25">
        <f t="shared" ca="1" si="1047"/>
        <v>-40360727.927150518</v>
      </c>
    </row>
    <row r="1039" spans="1:19" ht="15.75" customHeight="1" x14ac:dyDescent="0.3">
      <c r="A1039" s="37">
        <v>82578</v>
      </c>
      <c r="B1039" s="409">
        <f t="shared" ref="B1039:C1039" si="1055">($A1039-B$9)/365.25</f>
        <v>144.20807665982204</v>
      </c>
      <c r="C1039" s="409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2192</v>
      </c>
      <c r="I1039" s="25">
        <f>IF(C1039&lt;62,0,'Combined Retirement'!$I$13)</f>
        <v>2420</v>
      </c>
      <c r="J1039" s="25">
        <f t="shared" si="1043"/>
        <v>7863.2184191855868</v>
      </c>
      <c r="K1039" s="25">
        <f t="shared" si="1044"/>
        <v>20282.026119384056</v>
      </c>
      <c r="L1039" s="25"/>
      <c r="N1039" s="25">
        <f>'Combined Retirement'!$C$18/12</f>
        <v>39153.069999999992</v>
      </c>
      <c r="O1039" s="25">
        <f t="shared" si="1045"/>
        <v>11007.82546143035</v>
      </c>
      <c r="P1039" s="25">
        <f t="shared" si="1046"/>
        <v>28145.244538569641</v>
      </c>
      <c r="Q1039" s="25">
        <f t="array" aca="1" ref="Q1039" ca="1">INDEX('Isaac 401k'!L:L,MATCH('Retirement Calculator'!A1039,'Isaac 401k'!N:N,0),0)</f>
        <v>-11490949.414734475</v>
      </c>
      <c r="R1039" s="25">
        <f t="array" aca="1" ref="R1039" ca="1">INDEX('Lorri 401b'!L:L,MATCH('Retirement Calculator'!A1039,'Lorri 401b'!N:N,0),0)</f>
        <v>-29066210.728503317</v>
      </c>
      <c r="S1039" s="25">
        <f t="shared" ca="1" si="1047"/>
        <v>-40557160.143237792</v>
      </c>
    </row>
    <row r="1040" spans="1:19" ht="15.75" customHeight="1" x14ac:dyDescent="0.3">
      <c r="A1040" s="37">
        <v>82606</v>
      </c>
      <c r="B1040" s="409">
        <f t="shared" ref="B1040:C1040" si="1056">($A1040-B$9)/365.25</f>
        <v>144.28473648186173</v>
      </c>
      <c r="C1040" s="409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2192</v>
      </c>
      <c r="I1040" s="25">
        <f>IF(C1040&lt;62,0,'Combined Retirement'!$I$13)</f>
        <v>2420</v>
      </c>
      <c r="J1040" s="25">
        <f t="shared" si="1043"/>
        <v>7863.2184191855868</v>
      </c>
      <c r="K1040" s="25">
        <f t="shared" si="1044"/>
        <v>20282.026119384056</v>
      </c>
      <c r="L1040" s="25"/>
      <c r="N1040" s="25">
        <f>'Combined Retirement'!$C$18/12</f>
        <v>39153.069999999992</v>
      </c>
      <c r="O1040" s="25">
        <f t="shared" si="1045"/>
        <v>11007.82546143035</v>
      </c>
      <c r="P1040" s="25">
        <f t="shared" si="1046"/>
        <v>28145.244538569641</v>
      </c>
      <c r="Q1040" s="25">
        <f t="array" aca="1" ref="Q1040" ca="1">INDEX('Isaac 401k'!L:L,MATCH('Retirement Calculator'!A1040,'Isaac 401k'!N:N,0),0)</f>
        <v>-11546724.352458468</v>
      </c>
      <c r="R1040" s="25">
        <f t="array" aca="1" ref="R1040" ca="1">INDEX('Lorri 401b'!L:L,MATCH('Retirement Calculator'!A1040,'Lorri 401b'!N:N,0),0)</f>
        <v>-29207686.474433631</v>
      </c>
      <c r="S1040" s="25">
        <f t="shared" ca="1" si="1047"/>
        <v>-40754410.8268921</v>
      </c>
    </row>
    <row r="1041" spans="1:19" ht="15.75" customHeight="1" x14ac:dyDescent="0.3">
      <c r="A1041" s="37">
        <v>82637</v>
      </c>
      <c r="B1041" s="409">
        <f t="shared" ref="B1041:C1041" si="1057">($A1041-B$9)/365.25</f>
        <v>144.36960985626283</v>
      </c>
      <c r="C1041" s="409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2192</v>
      </c>
      <c r="I1041" s="25">
        <f>IF(C1041&lt;62,0,'Combined Retirement'!$I$13)</f>
        <v>2420</v>
      </c>
      <c r="J1041" s="25">
        <f t="shared" si="1043"/>
        <v>7863.2184191855868</v>
      </c>
      <c r="K1041" s="25">
        <f t="shared" si="1044"/>
        <v>20282.026119384056</v>
      </c>
      <c r="L1041" s="25"/>
      <c r="N1041" s="25">
        <f>'Combined Retirement'!$C$18/12</f>
        <v>39153.069999999992</v>
      </c>
      <c r="O1041" s="25">
        <f t="shared" si="1045"/>
        <v>11007.82546143035</v>
      </c>
      <c r="P1041" s="25">
        <f t="shared" si="1046"/>
        <v>28145.244538569641</v>
      </c>
      <c r="Q1041" s="25">
        <f t="array" aca="1" ref="Q1041" ca="1">INDEX('Isaac 401k'!L:L,MATCH('Retirement Calculator'!A1041,'Isaac 401k'!N:N,0),0)</f>
        <v>-11602731.685756309</v>
      </c>
      <c r="R1041" s="25">
        <f t="array" aca="1" ref="R1041" ca="1">INDEX('Lorri 401b'!L:L,MATCH('Retirement Calculator'!A1041,'Lorri 401b'!N:N,0),0)</f>
        <v>-29349751.702638652</v>
      </c>
      <c r="S1041" s="25">
        <f t="shared" ca="1" si="1047"/>
        <v>-40952483.388394959</v>
      </c>
    </row>
    <row r="1042" spans="1:19" ht="15.75" customHeight="1" x14ac:dyDescent="0.3">
      <c r="A1042" s="37">
        <v>82667</v>
      </c>
      <c r="B1042" s="409">
        <f t="shared" ref="B1042:C1042" si="1058">($A1042-B$9)/365.25</f>
        <v>144.4517453798768</v>
      </c>
      <c r="C1042" s="409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2192</v>
      </c>
      <c r="I1042" s="25">
        <f>IF(C1042&lt;62,0,'Combined Retirement'!$I$13)</f>
        <v>2420</v>
      </c>
      <c r="J1042" s="25">
        <f t="shared" si="1043"/>
        <v>7863.2184191855868</v>
      </c>
      <c r="K1042" s="25">
        <f t="shared" si="1044"/>
        <v>20282.026119384056</v>
      </c>
      <c r="L1042" s="25"/>
      <c r="N1042" s="25">
        <f>'Combined Retirement'!$C$18/12</f>
        <v>39153.069999999992</v>
      </c>
      <c r="O1042" s="25">
        <f t="shared" si="1045"/>
        <v>11007.82546143035</v>
      </c>
      <c r="P1042" s="25">
        <f t="shared" si="1046"/>
        <v>28145.244538569641</v>
      </c>
      <c r="Q1042" s="25">
        <f t="array" aca="1" ref="Q1042" ca="1">INDEX('Isaac 401k'!L:L,MATCH('Retirement Calculator'!A1042,'Isaac 401k'!N:N,0),0)</f>
        <v>-11658972.382942893</v>
      </c>
      <c r="R1042" s="25">
        <f t="array" aca="1" ref="R1042" ca="1">INDEX('Lorri 401b'!L:L,MATCH('Retirement Calculator'!A1042,'Lorri 401b'!N:N,0),0)</f>
        <v>-29492408.869294528</v>
      </c>
      <c r="S1042" s="25">
        <f t="shared" ca="1" si="1047"/>
        <v>-41151381.252237424</v>
      </c>
    </row>
    <row r="1043" spans="1:19" ht="15.75" customHeight="1" x14ac:dyDescent="0.3">
      <c r="A1043" s="37">
        <v>82698</v>
      </c>
      <c r="B1043" s="409">
        <f t="shared" ref="B1043:C1043" si="1059">($A1043-B$9)/365.25</f>
        <v>144.5366187542779</v>
      </c>
      <c r="C1043" s="409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2192</v>
      </c>
      <c r="I1043" s="25">
        <f>IF(C1043&lt;62,0,'Combined Retirement'!$I$13)</f>
        <v>2420</v>
      </c>
      <c r="J1043" s="25">
        <f t="shared" si="1043"/>
        <v>7863.2184191855868</v>
      </c>
      <c r="K1043" s="25">
        <f t="shared" si="1044"/>
        <v>20282.026119384056</v>
      </c>
      <c r="L1043" s="25"/>
      <c r="N1043" s="25">
        <f>'Combined Retirement'!$C$18/12</f>
        <v>39153.069999999992</v>
      </c>
      <c r="O1043" s="25">
        <f t="shared" si="1045"/>
        <v>11007.82546143035</v>
      </c>
      <c r="P1043" s="25">
        <f t="shared" si="1046"/>
        <v>28145.244538569641</v>
      </c>
      <c r="Q1043" s="25">
        <f t="array" aca="1" ref="Q1043" ca="1">INDEX('Isaac 401k'!L:L,MATCH('Retirement Calculator'!A1043,'Isaac 401k'!N:N,0),0)</f>
        <v>-11715447.416367752</v>
      </c>
      <c r="R1043" s="25">
        <f t="array" aca="1" ref="R1043" ca="1">INDEX('Lorri 401b'!L:L,MATCH('Retirement Calculator'!A1043,'Lorri 401b'!N:N,0),0)</f>
        <v>-29635660.44081147</v>
      </c>
      <c r="S1043" s="25">
        <f t="shared" ca="1" si="1047"/>
        <v>-41351107.857179224</v>
      </c>
    </row>
    <row r="1044" spans="1:19" ht="15.75" customHeight="1" x14ac:dyDescent="0.3">
      <c r="A1044" s="37">
        <v>82728</v>
      </c>
      <c r="B1044" s="409">
        <f t="shared" ref="B1044:C1044" si="1060">($A1044-B$9)/365.25</f>
        <v>144.61875427789187</v>
      </c>
      <c r="C1044" s="409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2192</v>
      </c>
      <c r="I1044" s="25">
        <f>IF(C1044&lt;62,0,'Combined Retirement'!$I$13)</f>
        <v>2420</v>
      </c>
      <c r="J1044" s="25">
        <f t="shared" si="1043"/>
        <v>7863.2184191855868</v>
      </c>
      <c r="K1044" s="25">
        <f t="shared" si="1044"/>
        <v>20282.026119384056</v>
      </c>
      <c r="L1044" s="25"/>
      <c r="N1044" s="25">
        <f>'Combined Retirement'!$C$18/12</f>
        <v>39153.069999999992</v>
      </c>
      <c r="O1044" s="25">
        <f t="shared" si="1045"/>
        <v>11007.82546143035</v>
      </c>
      <c r="P1044" s="25">
        <f t="shared" si="1046"/>
        <v>28145.244538569641</v>
      </c>
      <c r="Q1044" s="25">
        <f t="array" aca="1" ref="Q1044" ca="1">INDEX('Isaac 401k'!L:L,MATCH('Retirement Calculator'!A1044,'Isaac 401k'!N:N,0),0)</f>
        <v>-11772157.762431882</v>
      </c>
      <c r="R1044" s="25">
        <f t="array" aca="1" ref="R1044" ca="1">INDEX('Lorri 401b'!L:L,MATCH('Retirement Calculator'!A1044,'Lorri 401b'!N:N,0),0)</f>
        <v>-29779508.8938764</v>
      </c>
      <c r="S1044" s="25">
        <f t="shared" ca="1" si="1047"/>
        <v>-41551666.656308278</v>
      </c>
    </row>
    <row r="1045" spans="1:19" ht="15.75" customHeight="1" x14ac:dyDescent="0.3">
      <c r="A1045" s="37">
        <v>82759</v>
      </c>
      <c r="B1045" s="409">
        <f t="shared" ref="B1045:C1045" si="1061">($A1045-B$9)/365.25</f>
        <v>144.70362765229294</v>
      </c>
      <c r="C1045" s="409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2192</v>
      </c>
      <c r="I1045" s="25">
        <f>IF(C1045&lt;62,0,'Combined Retirement'!$I$13)</f>
        <v>2420</v>
      </c>
      <c r="J1045" s="25">
        <f t="shared" si="1043"/>
        <v>7863.2184191855868</v>
      </c>
      <c r="K1045" s="25">
        <f t="shared" si="1044"/>
        <v>20282.026119384056</v>
      </c>
      <c r="L1045" s="25"/>
      <c r="N1045" s="25">
        <f>'Combined Retirement'!$C$18/12</f>
        <v>39153.069999999992</v>
      </c>
      <c r="O1045" s="25">
        <f t="shared" si="1045"/>
        <v>11007.82546143035</v>
      </c>
      <c r="P1045" s="25">
        <f t="shared" si="1046"/>
        <v>28145.244538569641</v>
      </c>
      <c r="Q1045" s="25">
        <f t="array" aca="1" ref="Q1045" ca="1">INDEX('Isaac 401k'!L:L,MATCH('Retirement Calculator'!A1045,'Isaac 401k'!N:N,0),0)</f>
        <v>-11829104.401604613</v>
      </c>
      <c r="R1045" s="25">
        <f t="array" aca="1" ref="R1045" ca="1">INDEX('Lorri 401b'!L:L,MATCH('Retirement Calculator'!A1045,'Lorri 401b'!N:N,0),0)</f>
        <v>-29923956.715495769</v>
      </c>
      <c r="S1045" s="25">
        <f t="shared" ca="1" si="1047"/>
        <v>-41753061.11710038</v>
      </c>
    </row>
    <row r="1046" spans="1:19" ht="15.75" customHeight="1" x14ac:dyDescent="0.3">
      <c r="A1046" s="37">
        <v>82790</v>
      </c>
      <c r="B1046" s="409">
        <f t="shared" ref="B1046:C1046" si="1062">($A1046-B$9)/365.25</f>
        <v>144.78850102669404</v>
      </c>
      <c r="C1046" s="409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2192</v>
      </c>
      <c r="I1046" s="25">
        <f>IF(C1046&lt;62,0,'Combined Retirement'!$I$13)</f>
        <v>2420</v>
      </c>
      <c r="J1046" s="25">
        <f t="shared" si="1043"/>
        <v>7863.2184191855868</v>
      </c>
      <c r="K1046" s="25">
        <f t="shared" si="1044"/>
        <v>20282.026119384056</v>
      </c>
      <c r="L1046" s="25"/>
      <c r="N1046" s="25">
        <f>'Combined Retirement'!$C$18/12</f>
        <v>39153.069999999992</v>
      </c>
      <c r="O1046" s="25">
        <f t="shared" si="1045"/>
        <v>11007.82546143035</v>
      </c>
      <c r="P1046" s="25">
        <f t="shared" si="1046"/>
        <v>28145.244538569641</v>
      </c>
      <c r="Q1046" s="25">
        <f t="array" aca="1" ref="Q1046" ca="1">INDEX('Isaac 401k'!L:L,MATCH('Retirement Calculator'!A1046,'Isaac 401k'!N:N,0),0)</f>
        <v>-11886288.318440564</v>
      </c>
      <c r="R1046" s="25">
        <f t="array" aca="1" ref="R1046" ca="1">INDEX('Lorri 401b'!L:L,MATCH('Retirement Calculator'!A1046,'Lorri 401b'!N:N,0),0)</f>
        <v>-30069006.40303855</v>
      </c>
      <c r="S1046" s="25">
        <f t="shared" ca="1" si="1047"/>
        <v>-41955294.721479118</v>
      </c>
    </row>
    <row r="1047" spans="1:19" ht="15.75" customHeight="1" x14ac:dyDescent="0.3">
      <c r="A1047" s="37">
        <v>82820</v>
      </c>
      <c r="B1047" s="409">
        <f t="shared" ref="B1047:C1047" si="1063">($A1047-B$9)/365.25</f>
        <v>144.87063655030801</v>
      </c>
      <c r="C1047" s="409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2192</v>
      </c>
      <c r="I1047" s="25">
        <f>IF(C1047&lt;62,0,'Combined Retirement'!$I$13)</f>
        <v>2420</v>
      </c>
      <c r="J1047" s="25">
        <f t="shared" si="1043"/>
        <v>7863.2184191855868</v>
      </c>
      <c r="K1047" s="25">
        <f t="shared" si="1044"/>
        <v>20282.026119384056</v>
      </c>
      <c r="L1047" s="25"/>
      <c r="N1047" s="25">
        <f>'Combined Retirement'!$C$18/12</f>
        <v>39153.069999999992</v>
      </c>
      <c r="O1047" s="25">
        <f t="shared" si="1045"/>
        <v>11007.82546143035</v>
      </c>
      <c r="P1047" s="25">
        <f t="shared" si="1046"/>
        <v>28145.244538569641</v>
      </c>
      <c r="Q1047" s="25">
        <f t="array" aca="1" ref="Q1047" ca="1">INDEX('Isaac 401k'!L:L,MATCH('Retirement Calculator'!A1047,'Isaac 401k'!N:N,0),0)</f>
        <v>-11943710.501596665</v>
      </c>
      <c r="R1047" s="25">
        <f t="array" aca="1" ref="R1047" ca="1">INDEX('Lorri 401b'!L:L,MATCH('Retirement Calculator'!A1047,'Lorri 401b'!N:N,0),0)</f>
        <v>-30214660.464279428</v>
      </c>
      <c r="S1047" s="25">
        <f t="shared" ca="1" si="1047"/>
        <v>-42158370.965876095</v>
      </c>
    </row>
    <row r="1048" spans="1:19" ht="15.75" customHeight="1" x14ac:dyDescent="0.3">
      <c r="A1048" s="37">
        <v>82851</v>
      </c>
      <c r="B1048" s="409">
        <f t="shared" ref="B1048:C1048" si="1064">($A1048-B$9)/365.25</f>
        <v>144.95550992470911</v>
      </c>
      <c r="C1048" s="409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2192</v>
      </c>
      <c r="I1048" s="25">
        <f>IF(C1048&lt;62,0,'Combined Retirement'!$I$13)</f>
        <v>2420</v>
      </c>
      <c r="J1048" s="25">
        <f t="shared" si="1043"/>
        <v>7863.2184191855868</v>
      </c>
      <c r="K1048" s="25">
        <f t="shared" si="1044"/>
        <v>20282.026119384056</v>
      </c>
      <c r="L1048" s="25"/>
      <c r="N1048" s="25">
        <f>'Combined Retirement'!$C$18/12</f>
        <v>39153.069999999992</v>
      </c>
      <c r="O1048" s="25">
        <f t="shared" si="1045"/>
        <v>11007.82546143035</v>
      </c>
      <c r="P1048" s="25">
        <f t="shared" si="1046"/>
        <v>28145.244538569641</v>
      </c>
      <c r="Q1048" s="25">
        <f t="array" aca="1" ref="Q1048" ca="1">INDEX('Isaac 401k'!L:L,MATCH('Retirement Calculator'!A1048,'Isaac 401k'!N:N,0),0)</f>
        <v>-12001371.943849249</v>
      </c>
      <c r="R1048" s="25">
        <f t="array" aca="1" ref="R1048" ca="1">INDEX('Lorri 401b'!L:L,MATCH('Retirement Calculator'!A1048,'Lorri 401b'!N:N,0),0)</f>
        <v>-30360921.417442143</v>
      </c>
      <c r="S1048" s="25">
        <f t="shared" ca="1" si="1047"/>
        <v>-42362293.361291394</v>
      </c>
    </row>
    <row r="1049" spans="1:19" ht="15.75" customHeight="1" x14ac:dyDescent="0.3">
      <c r="A1049" s="37">
        <v>82881</v>
      </c>
      <c r="B1049" s="409">
        <f t="shared" ref="B1049:C1049" si="1065">($A1049-B$9)/365.25</f>
        <v>145.03764544832308</v>
      </c>
      <c r="C1049" s="409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2192</v>
      </c>
      <c r="I1049" s="25">
        <f>IF(C1049&lt;62,0,'Combined Retirement'!$I$13)</f>
        <v>2420</v>
      </c>
      <c r="J1049" s="25">
        <f t="shared" si="1043"/>
        <v>7863.2184191855868</v>
      </c>
      <c r="K1049" s="25">
        <f t="shared" si="1044"/>
        <v>20282.026119384056</v>
      </c>
      <c r="L1049" s="25"/>
      <c r="N1049" s="25">
        <f>'Combined Retirement'!$C$18/12</f>
        <v>39153.069999999992</v>
      </c>
      <c r="O1049" s="25">
        <f t="shared" si="1045"/>
        <v>11007.82546143035</v>
      </c>
      <c r="P1049" s="25">
        <f t="shared" si="1046"/>
        <v>28145.244538569641</v>
      </c>
      <c r="Q1049" s="25">
        <f t="array" aca="1" ref="Q1049" ca="1">INDEX('Isaac 401k'!L:L,MATCH('Retirement Calculator'!A1049,'Isaac 401k'!N:N,0),0)</f>
        <v>-12059273.642111219</v>
      </c>
      <c r="R1049" s="25">
        <f t="array" aca="1" ref="R1049" ca="1">INDEX('Lorri 401b'!L:L,MATCH('Retirement Calculator'!A1049,'Lorri 401b'!N:N,0),0)</f>
        <v>-30507791.791243035</v>
      </c>
      <c r="S1049" s="25">
        <f t="shared" ca="1" si="1047"/>
        <v>-42567065.433354259</v>
      </c>
    </row>
    <row r="1050" spans="1:19" ht="15.75" customHeight="1" x14ac:dyDescent="0.3">
      <c r="A1050" s="37">
        <v>82912</v>
      </c>
      <c r="B1050" s="409">
        <f t="shared" ref="B1050:C1050" si="1066">($A1050-B$9)/365.25</f>
        <v>145.12251882272417</v>
      </c>
      <c r="C1050" s="409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2192</v>
      </c>
      <c r="I1050" s="25">
        <f>IF(C1050&lt;62,0,'Combined Retirement'!$I$13)</f>
        <v>2420</v>
      </c>
      <c r="J1050" s="25">
        <f t="shared" si="1043"/>
        <v>7863.2184191855868</v>
      </c>
      <c r="K1050" s="25">
        <f t="shared" si="1044"/>
        <v>20282.026119384056</v>
      </c>
      <c r="L1050" s="25"/>
      <c r="N1050" s="25">
        <f>'Combined Retirement'!$C$18/12</f>
        <v>39153.069999999992</v>
      </c>
      <c r="O1050" s="25">
        <f t="shared" si="1045"/>
        <v>11007.82546143035</v>
      </c>
      <c r="P1050" s="25">
        <f t="shared" si="1046"/>
        <v>28145.244538569641</v>
      </c>
      <c r="Q1050" s="25">
        <f t="array" aca="1" ref="Q1050" ca="1">INDEX('Isaac 401k'!L:L,MATCH('Retirement Calculator'!A1050,'Isaac 401k'!N:N,0),0)</f>
        <v>-12117416.59744928</v>
      </c>
      <c r="R1050" s="25">
        <f t="array" aca="1" ref="R1050" ca="1">INDEX('Lorri 401b'!L:L,MATCH('Retirement Calculator'!A1050,'Lorri 401b'!N:N,0),0)</f>
        <v>-30655274.124934763</v>
      </c>
      <c r="S1050" s="25">
        <f t="shared" ca="1" si="1047"/>
        <v>-42772690.722384043</v>
      </c>
    </row>
    <row r="1051" spans="1:19" ht="15.75" customHeight="1" x14ac:dyDescent="0.3">
      <c r="A1051" s="37">
        <v>82943</v>
      </c>
      <c r="B1051" s="409">
        <f t="shared" ref="B1051:C1051" si="1067">($A1051-B$9)/365.25</f>
        <v>145.20739219712524</v>
      </c>
      <c r="C1051" s="409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2192</v>
      </c>
      <c r="I1051" s="25">
        <f>IF(C1051&lt;62,0,'Combined Retirement'!$I$13)</f>
        <v>2420</v>
      </c>
      <c r="J1051" s="25">
        <f t="shared" si="1043"/>
        <v>7863.2184191855868</v>
      </c>
      <c r="K1051" s="25">
        <f t="shared" si="1044"/>
        <v>20282.026119384056</v>
      </c>
      <c r="L1051" s="25"/>
      <c r="N1051" s="25">
        <f>'Combined Retirement'!$C$18/12</f>
        <v>39153.069999999992</v>
      </c>
      <c r="O1051" s="25">
        <f t="shared" si="1045"/>
        <v>11007.82546143035</v>
      </c>
      <c r="P1051" s="25">
        <f t="shared" si="1046"/>
        <v>28145.244538569641</v>
      </c>
      <c r="Q1051" s="25">
        <f t="array" aca="1" ref="Q1051" ca="1">INDEX('Isaac 401k'!L:L,MATCH('Retirement Calculator'!A1051,'Isaac 401k'!N:N,0),0)</f>
        <v>-12175801.815101251</v>
      </c>
      <c r="R1051" s="25">
        <f t="array" aca="1" ref="R1051" ca="1">INDEX('Lorri 401b'!L:L,MATCH('Retirement Calculator'!A1051,'Lorri 401b'!N:N,0),0)</f>
        <v>-30803370.968350206</v>
      </c>
      <c r="S1051" s="25">
        <f t="shared" ca="1" si="1047"/>
        <v>-42979172.783451453</v>
      </c>
    </row>
    <row r="1052" spans="1:19" ht="15.75" customHeight="1" x14ac:dyDescent="0.3">
      <c r="A1052" s="37">
        <v>82971</v>
      </c>
      <c r="B1052" s="409">
        <f t="shared" ref="B1052:C1052" si="1068">($A1052-B$9)/365.25</f>
        <v>145.28405201916496</v>
      </c>
      <c r="C1052" s="409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2192</v>
      </c>
      <c r="I1052" s="25">
        <f>IF(C1052&lt;62,0,'Combined Retirement'!$I$13)</f>
        <v>2420</v>
      </c>
      <c r="J1052" s="25">
        <f t="shared" si="1043"/>
        <v>7863.2184191855868</v>
      </c>
      <c r="K1052" s="25">
        <f t="shared" si="1044"/>
        <v>20282.026119384056</v>
      </c>
      <c r="L1052" s="25"/>
      <c r="N1052" s="25">
        <f>'Combined Retirement'!$C$18/12</f>
        <v>39153.069999999992</v>
      </c>
      <c r="O1052" s="25">
        <f t="shared" si="1045"/>
        <v>11007.82546143035</v>
      </c>
      <c r="P1052" s="25">
        <f t="shared" si="1046"/>
        <v>28145.244538569641</v>
      </c>
      <c r="Q1052" s="25">
        <f t="array" aca="1" ref="Q1052" ca="1">INDEX('Isaac 401k'!L:L,MATCH('Retirement Calculator'!A1052,'Isaac 401k'!N:N,0),0)</f>
        <v>-12234430.304493438</v>
      </c>
      <c r="R1052" s="25">
        <f t="array" aca="1" ref="R1052" ca="1">INDEX('Lorri 401b'!L:L,MATCH('Retirement Calculator'!A1052,'Lorri 401b'!N:N,0),0)</f>
        <v>-30952084.881946549</v>
      </c>
      <c r="S1052" s="25">
        <f t="shared" ca="1" si="1047"/>
        <v>-43186515.186439991</v>
      </c>
    </row>
    <row r="1053" spans="1:19" ht="15.75" customHeight="1" x14ac:dyDescent="0.3">
      <c r="A1053" s="37">
        <v>83002</v>
      </c>
      <c r="B1053" s="409">
        <f t="shared" ref="B1053:C1053" si="1069">($A1053-B$9)/365.25</f>
        <v>145.36892539356606</v>
      </c>
      <c r="C1053" s="409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2192</v>
      </c>
      <c r="I1053" s="25">
        <f>IF(C1053&lt;62,0,'Combined Retirement'!$I$13)</f>
        <v>2420</v>
      </c>
      <c r="J1053" s="25">
        <f t="shared" si="1043"/>
        <v>7863.2184191855868</v>
      </c>
      <c r="K1053" s="25">
        <f t="shared" si="1044"/>
        <v>20282.026119384056</v>
      </c>
      <c r="L1053" s="25"/>
      <c r="N1053" s="25">
        <f>'Combined Retirement'!$C$18/12</f>
        <v>39153.069999999992</v>
      </c>
      <c r="O1053" s="25">
        <f t="shared" si="1045"/>
        <v>11007.82546143035</v>
      </c>
      <c r="P1053" s="25">
        <f t="shared" si="1046"/>
        <v>28145.244538569641</v>
      </c>
      <c r="Q1053" s="25">
        <f t="array" aca="1" ref="Q1053" ca="1">INDEX('Isaac 401k'!L:L,MATCH('Retirement Calculator'!A1053,'Isaac 401k'!N:N,0),0)</f>
        <v>-12293303.079258092</v>
      </c>
      <c r="R1053" s="25">
        <f t="array" aca="1" ref="R1053" ca="1">INDEX('Lorri 401b'!L:L,MATCH('Retirement Calculator'!A1053,'Lorri 401b'!N:N,0),0)</f>
        <v>-31101418.436849542</v>
      </c>
      <c r="S1053" s="25">
        <f t="shared" ca="1" si="1047"/>
        <v>-43394721.516107634</v>
      </c>
    </row>
    <row r="1054" spans="1:19" ht="15.75" customHeight="1" x14ac:dyDescent="0.3">
      <c r="A1054" s="37">
        <v>83032</v>
      </c>
      <c r="B1054" s="409">
        <f t="shared" ref="B1054:C1054" si="1070">($A1054-B$9)/365.25</f>
        <v>145.45106091718</v>
      </c>
      <c r="C1054" s="409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2192</v>
      </c>
      <c r="I1054" s="25">
        <f>IF(C1054&lt;62,0,'Combined Retirement'!$I$13)</f>
        <v>2420</v>
      </c>
      <c r="J1054" s="25">
        <f t="shared" si="1043"/>
        <v>7863.2184191855868</v>
      </c>
      <c r="K1054" s="25">
        <f t="shared" si="1044"/>
        <v>20282.026119384056</v>
      </c>
      <c r="L1054" s="25"/>
      <c r="N1054" s="25">
        <f>'Combined Retirement'!$C$18/12</f>
        <v>39153.069999999992</v>
      </c>
      <c r="O1054" s="25">
        <f t="shared" si="1045"/>
        <v>11007.82546143035</v>
      </c>
      <c r="P1054" s="25">
        <f t="shared" si="1046"/>
        <v>28145.244538569641</v>
      </c>
      <c r="Q1054" s="25">
        <f t="array" aca="1" ref="Q1054" ca="1">INDEX('Isaac 401k'!L:L,MATCH('Retirement Calculator'!A1054,'Isaac 401k'!N:N,0),0)</f>
        <v>-12352421.157250931</v>
      </c>
      <c r="R1054" s="25">
        <f t="array" aca="1" ref="R1054" ca="1">INDEX('Lorri 401b'!L:L,MATCH('Retirement Calculator'!A1054,'Lorri 401b'!N:N,0),0)</f>
        <v>-31251374.214897964</v>
      </c>
      <c r="S1054" s="25">
        <f t="shared" ca="1" si="1047"/>
        <v>-43603795.372148894</v>
      </c>
    </row>
    <row r="1055" spans="1:19" ht="15.75" customHeight="1" x14ac:dyDescent="0.3">
      <c r="A1055" s="37">
        <v>83063</v>
      </c>
      <c r="B1055" s="409">
        <f t="shared" ref="B1055:C1055" si="1071">($A1055-B$9)/365.25</f>
        <v>145.5359342915811</v>
      </c>
      <c r="C1055" s="409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2192</v>
      </c>
      <c r="I1055" s="25">
        <f>IF(C1055&lt;62,0,'Combined Retirement'!$I$13)</f>
        <v>2420</v>
      </c>
      <c r="J1055" s="25">
        <f t="shared" si="1043"/>
        <v>7863.2184191855868</v>
      </c>
      <c r="K1055" s="25">
        <f t="shared" si="1044"/>
        <v>20282.026119384056</v>
      </c>
      <c r="L1055" s="25"/>
      <c r="N1055" s="25">
        <f>'Combined Retirement'!$C$18/12</f>
        <v>39153.069999999992</v>
      </c>
      <c r="O1055" s="25">
        <f t="shared" si="1045"/>
        <v>11007.82546143035</v>
      </c>
      <c r="P1055" s="25">
        <f t="shared" si="1046"/>
        <v>28145.244538569641</v>
      </c>
      <c r="Q1055" s="25">
        <f t="array" aca="1" ref="Q1055" ca="1">INDEX('Isaac 401k'!L:L,MATCH('Retirement Calculator'!A1055,'Isaac 401k'!N:N,0),0)</f>
        <v>-12411785.560568742</v>
      </c>
      <c r="R1055" s="25">
        <f t="array" aca="1" ref="R1055" ca="1">INDEX('Lorri 401b'!L:L,MATCH('Retirement Calculator'!A1055,'Lorri 401b'!N:N,0),0)</f>
        <v>-31401954.808688253</v>
      </c>
      <c r="S1055" s="25">
        <f t="shared" ca="1" si="1047"/>
        <v>-43813740.369256996</v>
      </c>
    </row>
    <row r="1056" spans="1:19" ht="15.75" customHeight="1" x14ac:dyDescent="0.3">
      <c r="A1056" s="37">
        <v>83093</v>
      </c>
      <c r="B1056" s="409">
        <f t="shared" ref="B1056:C1056" si="1072">($A1056-B$9)/365.25</f>
        <v>145.61806981519507</v>
      </c>
      <c r="C1056" s="409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2192</v>
      </c>
      <c r="I1056" s="25">
        <f>IF(C1056&lt;62,0,'Combined Retirement'!$I$13)</f>
        <v>2420</v>
      </c>
      <c r="J1056" s="25">
        <f t="shared" si="1043"/>
        <v>7863.2184191855868</v>
      </c>
      <c r="K1056" s="25">
        <f t="shared" si="1044"/>
        <v>20282.026119384056</v>
      </c>
      <c r="L1056" s="25"/>
      <c r="N1056" s="25">
        <f>'Combined Retirement'!$C$18/12</f>
        <v>39153.069999999992</v>
      </c>
      <c r="O1056" s="25">
        <f t="shared" si="1045"/>
        <v>11007.82546143035</v>
      </c>
      <c r="P1056" s="25">
        <f t="shared" si="1046"/>
        <v>28145.244538569641</v>
      </c>
      <c r="Q1056" s="25">
        <f t="array" aca="1" ref="Q1056" ca="1">INDEX('Isaac 401k'!L:L,MATCH('Retirement Calculator'!A1056,'Isaac 401k'!N:N,0),0)</f>
        <v>-12471397.315567045</v>
      </c>
      <c r="R1056" s="25">
        <f t="array" aca="1" ref="R1056" ca="1">INDEX('Lorri 401b'!L:L,MATCH('Retirement Calculator'!A1056,'Lorri 401b'!N:N,0),0)</f>
        <v>-31553162.821619336</v>
      </c>
      <c r="S1056" s="25">
        <f t="shared" ca="1" si="1047"/>
        <v>-44024560.137186378</v>
      </c>
    </row>
    <row r="1057" spans="1:19" ht="15.75" customHeight="1" x14ac:dyDescent="0.3">
      <c r="A1057" s="37">
        <v>83124</v>
      </c>
      <c r="B1057" s="409">
        <f t="shared" ref="B1057:C1057" si="1073">($A1057-B$9)/365.25</f>
        <v>145.70294318959617</v>
      </c>
      <c r="C1057" s="409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2192</v>
      </c>
      <c r="I1057" s="25">
        <f>IF(C1057&lt;62,0,'Combined Retirement'!$I$13)</f>
        <v>2420</v>
      </c>
      <c r="J1057" s="25">
        <f t="shared" si="1043"/>
        <v>7863.2184191855868</v>
      </c>
      <c r="K1057" s="25">
        <f t="shared" si="1044"/>
        <v>20282.026119384056</v>
      </c>
      <c r="L1057" s="25"/>
      <c r="N1057" s="25">
        <f>'Combined Retirement'!$C$18/12</f>
        <v>39153.069999999992</v>
      </c>
      <c r="O1057" s="25">
        <f t="shared" si="1045"/>
        <v>11007.82546143035</v>
      </c>
      <c r="P1057" s="25">
        <f t="shared" si="1046"/>
        <v>28145.244538569641</v>
      </c>
      <c r="Q1057" s="25">
        <f t="array" aca="1" ref="Q1057" ca="1">INDEX('Isaac 401k'!L:L,MATCH('Retirement Calculator'!A1057,'Isaac 401k'!N:N,0),0)</f>
        <v>-12531257.452877838</v>
      </c>
      <c r="R1057" s="25">
        <f t="array" aca="1" ref="R1057" ca="1">INDEX('Lorri 401b'!L:L,MATCH('Retirement Calculator'!A1057,'Lorri 401b'!N:N,0),0)</f>
        <v>-31705000.867937632</v>
      </c>
      <c r="S1057" s="25">
        <f t="shared" ca="1" si="1047"/>
        <v>-44236258.320815474</v>
      </c>
    </row>
    <row r="1058" spans="1:19" ht="15.75" customHeight="1" x14ac:dyDescent="0.3">
      <c r="A1058" s="37">
        <v>83155</v>
      </c>
      <c r="B1058" s="409">
        <f t="shared" ref="B1058:C1058" si="1074">($A1058-B$9)/365.25</f>
        <v>145.78781656399727</v>
      </c>
      <c r="C1058" s="409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2192</v>
      </c>
      <c r="I1058" s="25">
        <f>IF(C1058&lt;62,0,'Combined Retirement'!$I$13)</f>
        <v>2420</v>
      </c>
      <c r="J1058" s="25">
        <f t="shared" si="1043"/>
        <v>7863.2184191855868</v>
      </c>
      <c r="K1058" s="25">
        <f t="shared" si="1044"/>
        <v>20282.026119384056</v>
      </c>
      <c r="L1058" s="25"/>
      <c r="N1058" s="25">
        <f>'Combined Retirement'!$C$18/12</f>
        <v>39153.069999999992</v>
      </c>
      <c r="O1058" s="25">
        <f t="shared" si="1045"/>
        <v>11007.82546143035</v>
      </c>
      <c r="P1058" s="25">
        <f t="shared" si="1046"/>
        <v>28145.244538569641</v>
      </c>
      <c r="Q1058" s="25">
        <f t="array" aca="1" ref="Q1058" ca="1">INDEX('Isaac 401k'!L:L,MATCH('Retirement Calculator'!A1058,'Isaac 401k'!N:N,0),0)</f>
        <v>-12591367.007427428</v>
      </c>
      <c r="R1058" s="25">
        <f t="array" aca="1" ref="R1058" ca="1">INDEX('Lorri 401b'!L:L,MATCH('Retirement Calculator'!A1058,'Lorri 401b'!N:N,0),0)</f>
        <v>-31857471.572782256</v>
      </c>
      <c r="S1058" s="25">
        <f t="shared" ca="1" si="1047"/>
        <v>-44448838.580209687</v>
      </c>
    </row>
    <row r="1059" spans="1:19" ht="15.75" customHeight="1" x14ac:dyDescent="0.3">
      <c r="A1059" s="37">
        <v>83185</v>
      </c>
      <c r="B1059" s="409">
        <f t="shared" ref="B1059:C1059" si="1075">($A1059-B$9)/365.25</f>
        <v>145.86995208761124</v>
      </c>
      <c r="C1059" s="409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2192</v>
      </c>
      <c r="I1059" s="25">
        <f>IF(C1059&lt;62,0,'Combined Retirement'!$I$13)</f>
        <v>2420</v>
      </c>
      <c r="J1059" s="25">
        <f t="shared" si="1043"/>
        <v>7863.2184191855868</v>
      </c>
      <c r="K1059" s="25">
        <f t="shared" si="1044"/>
        <v>20282.026119384056</v>
      </c>
      <c r="L1059" s="25"/>
      <c r="N1059" s="25">
        <f>'Combined Retirement'!$C$18/12</f>
        <v>39153.069999999992</v>
      </c>
      <c r="O1059" s="25">
        <f t="shared" si="1045"/>
        <v>11007.82546143035</v>
      </c>
      <c r="P1059" s="25">
        <f t="shared" si="1046"/>
        <v>28145.244538569641</v>
      </c>
      <c r="Q1059" s="25">
        <f t="array" aca="1" ref="Q1059" ca="1">INDEX('Isaac 401k'!L:L,MATCH('Retirement Calculator'!A1059,'Isaac 401k'!N:N,0),0)</f>
        <v>-12651727.018454308</v>
      </c>
      <c r="R1059" s="25">
        <f t="array" aca="1" ref="R1059" ca="1">INDEX('Lorri 401b'!L:L,MATCH('Retirement Calculator'!A1059,'Lorri 401b'!N:N,0),0)</f>
        <v>-32010577.572230399</v>
      </c>
      <c r="S1059" s="25">
        <f t="shared" ca="1" si="1047"/>
        <v>-44662304.590684704</v>
      </c>
    </row>
    <row r="1060" spans="1:19" ht="15.75" customHeight="1" x14ac:dyDescent="0.3">
      <c r="A1060" s="37">
        <v>83216</v>
      </c>
      <c r="B1060" s="409">
        <f t="shared" ref="B1060:C1060" si="1076">($A1060-B$9)/365.25</f>
        <v>145.95482546201231</v>
      </c>
      <c r="C1060" s="409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2192</v>
      </c>
      <c r="I1060" s="25">
        <f>IF(C1060&lt;62,0,'Combined Retirement'!$I$13)</f>
        <v>2420</v>
      </c>
      <c r="J1060" s="25">
        <f t="shared" si="1043"/>
        <v>7863.2184191855868</v>
      </c>
      <c r="K1060" s="25">
        <f t="shared" si="1044"/>
        <v>20282.026119384056</v>
      </c>
      <c r="L1060" s="25"/>
      <c r="N1060" s="25">
        <f>'Combined Retirement'!$C$18/12</f>
        <v>39153.069999999992</v>
      </c>
      <c r="O1060" s="25">
        <f t="shared" si="1045"/>
        <v>11007.82546143035</v>
      </c>
      <c r="P1060" s="25">
        <f t="shared" si="1046"/>
        <v>28145.244538569641</v>
      </c>
      <c r="Q1060" s="25">
        <f t="array" aca="1" ref="Q1060" ca="1">INDEX('Isaac 401k'!L:L,MATCH('Retirement Calculator'!A1060,'Isaac 401k'!N:N,0),0)</f>
        <v>-12712338.529527131</v>
      </c>
      <c r="R1060" s="25">
        <f t="array" aca="1" ref="R1060" ca="1">INDEX('Lorri 401b'!L:L,MATCH('Retirement Calculator'!A1060,'Lorri 401b'!N:N,0),0)</f>
        <v>-32164321.51334291</v>
      </c>
      <c r="S1060" s="25">
        <f t="shared" ca="1" si="1047"/>
        <v>-44876660.042870045</v>
      </c>
    </row>
    <row r="1061" spans="1:19" ht="15.75" customHeight="1" x14ac:dyDescent="0.3">
      <c r="A1061" s="37">
        <v>83246</v>
      </c>
      <c r="B1061" s="409">
        <f t="shared" ref="B1061:C1061" si="1077">($A1061-B$9)/365.25</f>
        <v>146.03696098562628</v>
      </c>
      <c r="C1061" s="409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2192</v>
      </c>
      <c r="I1061" s="25">
        <f>IF(C1061&lt;62,0,'Combined Retirement'!$I$13)</f>
        <v>2420</v>
      </c>
      <c r="J1061" s="25">
        <f t="shared" si="1043"/>
        <v>7863.2184191855868</v>
      </c>
      <c r="K1061" s="25">
        <f t="shared" si="1044"/>
        <v>20282.026119384056</v>
      </c>
      <c r="L1061" s="25"/>
      <c r="N1061" s="25">
        <f>'Combined Retirement'!$C$18/12</f>
        <v>39153.069999999992</v>
      </c>
      <c r="O1061" s="25">
        <f t="shared" si="1045"/>
        <v>11007.82546143035</v>
      </c>
      <c r="P1061" s="25">
        <f t="shared" si="1046"/>
        <v>28145.244538569641</v>
      </c>
      <c r="Q1061" s="25">
        <f t="array" aca="1" ref="Q1061" ca="1">INDEX('Isaac 401k'!L:L,MATCH('Retirement Calculator'!A1061,'Isaac 401k'!N:N,0),0)</f>
        <v>-12773202.588562759</v>
      </c>
      <c r="R1061" s="25">
        <f t="array" aca="1" ref="R1061" ca="1">INDEX('Lorri 401b'!L:L,MATCH('Retirement Calculator'!A1061,'Lorri 401b'!N:N,0),0)</f>
        <v>-32318706.054210056</v>
      </c>
      <c r="S1061" s="25">
        <f t="shared" ca="1" si="1047"/>
        <v>-45091908.642772816</v>
      </c>
    </row>
    <row r="1062" spans="1:19" ht="15.75" customHeight="1" x14ac:dyDescent="0.3">
      <c r="A1062" s="37">
        <v>83277</v>
      </c>
      <c r="B1062" s="409">
        <f t="shared" ref="B1062:C1062" si="1078">($A1062-B$9)/365.25</f>
        <v>146.12183436002738</v>
      </c>
      <c r="C1062" s="409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2192</v>
      </c>
      <c r="I1062" s="25">
        <f>IF(C1062&lt;62,0,'Combined Retirement'!$I$13)</f>
        <v>2420</v>
      </c>
      <c r="J1062" s="25">
        <f t="shared" si="1043"/>
        <v>7863.2184191855868</v>
      </c>
      <c r="K1062" s="25">
        <f t="shared" si="1044"/>
        <v>20282.026119384056</v>
      </c>
      <c r="L1062" s="25"/>
      <c r="N1062" s="25">
        <f>'Combined Retirement'!$C$18/12</f>
        <v>39153.069999999992</v>
      </c>
      <c r="O1062" s="25">
        <f t="shared" si="1045"/>
        <v>11007.82546143035</v>
      </c>
      <c r="P1062" s="25">
        <f t="shared" si="1046"/>
        <v>28145.244538569641</v>
      </c>
      <c r="Q1062" s="25">
        <f t="array" aca="1" ref="Q1062" ca="1">INDEX('Isaac 401k'!L:L,MATCH('Retirement Calculator'!A1062,'Isaac 401k'!N:N,0),0)</f>
        <v>-12834320.247844368</v>
      </c>
      <c r="R1062" s="25">
        <f t="array" aca="1" ref="R1062" ca="1">INDEX('Lorri 401b'!L:L,MATCH('Retirement Calculator'!A1062,'Lorri 401b'!N:N,0),0)</f>
        <v>-32473733.863997478</v>
      </c>
      <c r="S1062" s="25">
        <f t="shared" ca="1" si="1047"/>
        <v>-45308054.111841843</v>
      </c>
    </row>
    <row r="1063" spans="1:19" ht="15.75" customHeight="1" x14ac:dyDescent="0.3">
      <c r="A1063" s="37">
        <v>83308</v>
      </c>
      <c r="B1063" s="409">
        <f t="shared" ref="B1063:C1063" si="1079">($A1063-B$9)/365.25</f>
        <v>146.20670773442848</v>
      </c>
      <c r="C1063" s="409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2192</v>
      </c>
      <c r="I1063" s="25">
        <f>IF(C1063&lt;62,0,'Combined Retirement'!$I$13)</f>
        <v>2420</v>
      </c>
      <c r="J1063" s="25">
        <f t="shared" si="1043"/>
        <v>7863.2184191855868</v>
      </c>
      <c r="K1063" s="25">
        <f t="shared" si="1044"/>
        <v>20282.026119384056</v>
      </c>
      <c r="L1063" s="25"/>
      <c r="N1063" s="25">
        <f>'Combined Retirement'!$C$18/12</f>
        <v>39153.069999999992</v>
      </c>
      <c r="O1063" s="25">
        <f t="shared" si="1045"/>
        <v>11007.82546143035</v>
      </c>
      <c r="P1063" s="25">
        <f t="shared" si="1046"/>
        <v>28145.244538569641</v>
      </c>
      <c r="Q1063" s="25">
        <f t="array" aca="1" ref="Q1063" ca="1">INDEX('Isaac 401k'!L:L,MATCH('Retirement Calculator'!A1063,'Isaac 401k'!N:N,0),0)</f>
        <v>-12895692.564039651</v>
      </c>
      <c r="R1063" s="25">
        <f t="array" aca="1" ref="R1063" ca="1">INDEX('Lorri 401b'!L:L,MATCH('Retirement Calculator'!A1063,'Lorri 401b'!N:N,0),0)</f>
        <v>-32629407.622992352</v>
      </c>
      <c r="S1063" s="25">
        <f t="shared" ca="1" si="1047"/>
        <v>-45525100.187031999</v>
      </c>
    </row>
    <row r="1064" spans="1:19" ht="15.75" customHeight="1" x14ac:dyDescent="0.3">
      <c r="A1064" s="37">
        <v>83337</v>
      </c>
      <c r="B1064" s="409">
        <f t="shared" ref="B1064:C1064" si="1080">($A1064-B$9)/365.25</f>
        <v>146.28610540725529</v>
      </c>
      <c r="C1064" s="409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2192</v>
      </c>
      <c r="I1064" s="25">
        <f>IF(C1064&lt;62,0,'Combined Retirement'!$I$13)</f>
        <v>2420</v>
      </c>
      <c r="J1064" s="25">
        <f t="shared" si="1043"/>
        <v>7863.2184191855868</v>
      </c>
      <c r="K1064" s="25">
        <f t="shared" si="1044"/>
        <v>20282.026119384056</v>
      </c>
      <c r="L1064" s="25"/>
      <c r="N1064" s="25">
        <f>'Combined Retirement'!$C$18/12</f>
        <v>39153.069999999992</v>
      </c>
      <c r="O1064" s="25">
        <f t="shared" si="1045"/>
        <v>11007.82546143035</v>
      </c>
      <c r="P1064" s="25">
        <f t="shared" si="1046"/>
        <v>28145.244538569641</v>
      </c>
      <c r="Q1064" s="25">
        <f t="array" aca="1" ref="Q1064" ca="1">INDEX('Isaac 401k'!L:L,MATCH('Retirement Calculator'!A1064,'Isaac 401k'!N:N,0),0)</f>
        <v>-12957320.598219082</v>
      </c>
      <c r="R1064" s="25">
        <f t="array" aca="1" ref="R1064" ca="1">INDEX('Lorri 401b'!L:L,MATCH('Retirement Calculator'!A1064,'Lorri 401b'!N:N,0),0)</f>
        <v>-32785730.022649702</v>
      </c>
      <c r="S1064" s="25">
        <f t="shared" ca="1" si="1047"/>
        <v>-45743050.620868787</v>
      </c>
    </row>
    <row r="1065" spans="1:19" ht="15.75" customHeight="1" x14ac:dyDescent="0.3">
      <c r="A1065" s="37">
        <v>83368</v>
      </c>
      <c r="B1065" s="409">
        <f t="shared" ref="B1065:C1065" si="1081">($A1065-B$9)/365.25</f>
        <v>146.37097878165639</v>
      </c>
      <c r="C1065" s="409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2192</v>
      </c>
      <c r="I1065" s="25">
        <f>IF(C1065&lt;62,0,'Combined Retirement'!$I$13)</f>
        <v>2420</v>
      </c>
      <c r="J1065" s="25">
        <f t="shared" si="1043"/>
        <v>7863.2184191855868</v>
      </c>
      <c r="K1065" s="25">
        <f t="shared" si="1044"/>
        <v>20282.026119384056</v>
      </c>
      <c r="L1065" s="25"/>
      <c r="N1065" s="25">
        <f>'Combined Retirement'!$C$18/12</f>
        <v>39153.069999999992</v>
      </c>
      <c r="O1065" s="25">
        <f t="shared" si="1045"/>
        <v>11007.82546143035</v>
      </c>
      <c r="P1065" s="25">
        <f t="shared" si="1046"/>
        <v>28145.244538569641</v>
      </c>
      <c r="Q1065" s="25">
        <f t="array" aca="1" ref="Q1065" ca="1">INDEX('Isaac 401k'!L:L,MATCH('Retirement Calculator'!A1065,'Isaac 401k'!N:N,0),0)</f>
        <v>-13019205.41587426</v>
      </c>
      <c r="R1065" s="25">
        <f t="array" aca="1" ref="R1065" ca="1">INDEX('Lorri 401b'!L:L,MATCH('Retirement Calculator'!A1065,'Lorri 401b'!N:N,0),0)</f>
        <v>-32942703.765638959</v>
      </c>
      <c r="S1065" s="25">
        <f t="shared" ca="1" si="1047"/>
        <v>-45961909.18151322</v>
      </c>
    </row>
    <row r="1066" spans="1:19" ht="15.75" customHeight="1" x14ac:dyDescent="0.3">
      <c r="A1066" s="37">
        <v>83398</v>
      </c>
      <c r="B1066" s="409">
        <f t="shared" ref="B1066:C1066" si="1082">($A1066-B$9)/365.25</f>
        <v>146.45311430527036</v>
      </c>
      <c r="C1066" s="409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2192</v>
      </c>
      <c r="I1066" s="25">
        <f>IF(C1066&lt;62,0,'Combined Retirement'!$I$13)</f>
        <v>2420</v>
      </c>
      <c r="J1066" s="25">
        <f t="shared" si="1043"/>
        <v>7863.2184191855868</v>
      </c>
      <c r="K1066" s="25">
        <f t="shared" si="1044"/>
        <v>20282.026119384056</v>
      </c>
      <c r="L1066" s="25"/>
      <c r="N1066" s="25">
        <f>'Combined Retirement'!$C$18/12</f>
        <v>39153.069999999992</v>
      </c>
      <c r="O1066" s="25">
        <f t="shared" si="1045"/>
        <v>11007.82546143035</v>
      </c>
      <c r="P1066" s="25">
        <f t="shared" si="1046"/>
        <v>28145.244538569641</v>
      </c>
      <c r="Q1066" s="25">
        <f t="array" aca="1" ref="Q1066" ca="1">INDEX('Isaac 401k'!L:L,MATCH('Retirement Calculator'!A1066,'Isaac 401k'!N:N,0),0)</f>
        <v>-13081348.086936334</v>
      </c>
      <c r="R1066" s="25">
        <f t="array" aca="1" ref="R1066" ca="1">INDEX('Lorri 401b'!L:L,MATCH('Retirement Calculator'!A1066,'Lorri 401b'!N:N,0),0)</f>
        <v>-33100331.56589067</v>
      </c>
      <c r="S1066" s="25">
        <f t="shared" ca="1" si="1047"/>
        <v>-46181679.652827002</v>
      </c>
    </row>
    <row r="1067" spans="1:19" ht="15.75" customHeight="1" x14ac:dyDescent="0.3">
      <c r="A1067" s="37">
        <v>83429</v>
      </c>
      <c r="B1067" s="409">
        <f t="shared" ref="B1067:C1067" si="1083">($A1067-B$9)/365.25</f>
        <v>146.53798767967146</v>
      </c>
      <c r="C1067" s="409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2192</v>
      </c>
      <c r="I1067" s="25">
        <f>IF(C1067&lt;62,0,'Combined Retirement'!$I$13)</f>
        <v>2420</v>
      </c>
      <c r="J1067" s="25">
        <f t="shared" si="1043"/>
        <v>7863.2184191855868</v>
      </c>
      <c r="K1067" s="25">
        <f t="shared" si="1044"/>
        <v>20282.026119384056</v>
      </c>
      <c r="L1067" s="25"/>
      <c r="N1067" s="25">
        <f>'Combined Retirement'!$C$18/12</f>
        <v>39153.069999999992</v>
      </c>
      <c r="O1067" s="25">
        <f t="shared" si="1045"/>
        <v>11007.82546143035</v>
      </c>
      <c r="P1067" s="25">
        <f t="shared" si="1046"/>
        <v>28145.244538569641</v>
      </c>
      <c r="Q1067" s="25">
        <f t="array" aca="1" ref="Q1067" ca="1">INDEX('Isaac 401k'!L:L,MATCH('Retirement Calculator'!A1067,'Isaac 401k'!N:N,0),0)</f>
        <v>-13143749.685794501</v>
      </c>
      <c r="R1067" s="25">
        <f t="array" aca="1" ref="R1067" ca="1">INDEX('Lorri 401b'!L:L,MATCH('Retirement Calculator'!A1067,'Lorri 401b'!N:N,0),0)</f>
        <v>-33258616.14864343</v>
      </c>
      <c r="S1067" s="25">
        <f t="shared" ca="1" si="1047"/>
        <v>-46402365.834437929</v>
      </c>
    </row>
    <row r="1068" spans="1:19" ht="15.75" customHeight="1" x14ac:dyDescent="0.3">
      <c r="A1068" s="37">
        <v>83459</v>
      </c>
      <c r="B1068" s="409">
        <f t="shared" ref="B1068:C1068" si="1084">($A1068-B$9)/365.25</f>
        <v>146.62012320328543</v>
      </c>
      <c r="C1068" s="409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2192</v>
      </c>
      <c r="I1068" s="25">
        <f>IF(C1068&lt;62,0,'Combined Retirement'!$I$13)</f>
        <v>2420</v>
      </c>
      <c r="J1068" s="25">
        <f t="shared" si="1043"/>
        <v>7863.2184191855868</v>
      </c>
      <c r="K1068" s="25">
        <f t="shared" si="1044"/>
        <v>20282.026119384056</v>
      </c>
      <c r="L1068" s="25"/>
      <c r="N1068" s="25">
        <f>'Combined Retirement'!$C$18/12</f>
        <v>39153.069999999992</v>
      </c>
      <c r="O1068" s="25">
        <f t="shared" si="1045"/>
        <v>11007.82546143035</v>
      </c>
      <c r="P1068" s="25">
        <f t="shared" si="1046"/>
        <v>28145.244538569641</v>
      </c>
      <c r="Q1068" s="25">
        <f t="array" aca="1" ref="Q1068" ca="1">INDEX('Isaac 401k'!L:L,MATCH('Retirement Calculator'!A1068,'Isaac 401k'!N:N,0),0)</f>
        <v>-13206411.291314576</v>
      </c>
      <c r="R1068" s="25">
        <f t="array" aca="1" ref="R1068" ca="1">INDEX('Lorri 401b'!L:L,MATCH('Retirement Calculator'!A1068,'Lorri 401b'!N:N,0),0)</f>
        <v>-33417560.250490993</v>
      </c>
      <c r="S1068" s="25">
        <f t="shared" ca="1" si="1047"/>
        <v>-46623971.541805565</v>
      </c>
    </row>
    <row r="1069" spans="1:19" ht="15.75" customHeight="1" x14ac:dyDescent="0.3">
      <c r="A1069" s="37">
        <v>83490</v>
      </c>
      <c r="B1069" s="409">
        <f t="shared" ref="B1069:C1069" si="1085">($A1069-B$9)/365.25</f>
        <v>146.70499657768653</v>
      </c>
      <c r="C1069" s="409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2192</v>
      </c>
      <c r="I1069" s="25">
        <f>IF(C1069&lt;62,0,'Combined Retirement'!$I$13)</f>
        <v>2420</v>
      </c>
      <c r="J1069" s="25">
        <f t="shared" si="1043"/>
        <v>7863.2184191855868</v>
      </c>
      <c r="K1069" s="25">
        <f t="shared" si="1044"/>
        <v>20282.026119384056</v>
      </c>
      <c r="L1069" s="25"/>
      <c r="N1069" s="25">
        <f>'Combined Retirement'!$C$18/12</f>
        <v>39153.069999999992</v>
      </c>
      <c r="O1069" s="25">
        <f t="shared" si="1045"/>
        <v>11007.82546143035</v>
      </c>
      <c r="P1069" s="25">
        <f t="shared" si="1046"/>
        <v>28145.244538569641</v>
      </c>
      <c r="Q1069" s="25">
        <f t="array" aca="1" ref="Q1069" ca="1">INDEX('Isaac 401k'!L:L,MATCH('Retirement Calculator'!A1069,'Isaac 401k'!N:N,0),0)</f>
        <v>-13269333.986857651</v>
      </c>
      <c r="R1069" s="25">
        <f t="array" aca="1" ref="R1069" ca="1">INDEX('Lorri 401b'!L:L,MATCH('Retirement Calculator'!A1069,'Lorri 401b'!N:N,0),0)</f>
        <v>-33577166.619429588</v>
      </c>
      <c r="S1069" s="25">
        <f t="shared" ca="1" si="1047"/>
        <v>-46846500.606287241</v>
      </c>
    </row>
    <row r="1070" spans="1:19" ht="15.75" customHeight="1" x14ac:dyDescent="0.3">
      <c r="A1070" s="37">
        <v>83521</v>
      </c>
      <c r="B1070" s="409">
        <f t="shared" ref="B1070:C1070" si="1086">($A1070-B$9)/365.25</f>
        <v>146.7898699520876</v>
      </c>
      <c r="C1070" s="409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2192</v>
      </c>
      <c r="I1070" s="25">
        <f>IF(C1070&lt;62,0,'Combined Retirement'!$I$13)</f>
        <v>2420</v>
      </c>
      <c r="J1070" s="25">
        <f t="shared" si="1043"/>
        <v>7863.2184191855868</v>
      </c>
      <c r="K1070" s="25">
        <f t="shared" si="1044"/>
        <v>20282.026119384056</v>
      </c>
      <c r="L1070" s="25"/>
      <c r="N1070" s="25">
        <f>'Combined Retirement'!$C$18/12</f>
        <v>39153.069999999992</v>
      </c>
      <c r="O1070" s="25">
        <f t="shared" si="1045"/>
        <v>11007.82546143035</v>
      </c>
      <c r="P1070" s="25">
        <f t="shared" si="1046"/>
        <v>28145.244538569641</v>
      </c>
      <c r="Q1070" s="25">
        <f t="array" aca="1" ref="Q1070" ca="1">INDEX('Isaac 401k'!L:L,MATCH('Retirement Calculator'!A1070,'Isaac 401k'!N:N,0),0)</f>
        <v>-13332518.860298822</v>
      </c>
      <c r="R1070" s="25">
        <f t="array" aca="1" ref="R1070" ca="1">INDEX('Lorri 401b'!L:L,MATCH('Retirement Calculator'!A1070,'Lorri 401b'!N:N,0),0)</f>
        <v>-33737438.014905423</v>
      </c>
      <c r="S1070" s="25">
        <f t="shared" ca="1" si="1047"/>
        <v>-47069956.875204243</v>
      </c>
    </row>
    <row r="1071" spans="1:19" ht="15.75" customHeight="1" x14ac:dyDescent="0.3">
      <c r="A1071" s="37">
        <v>83551</v>
      </c>
      <c r="B1071" s="409">
        <f t="shared" ref="B1071:C1071" si="1087">($A1071-B$9)/365.25</f>
        <v>146.87200547570157</v>
      </c>
      <c r="C1071" s="409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2192</v>
      </c>
      <c r="I1071" s="25">
        <f>IF(C1071&lt;62,0,'Combined Retirement'!$I$13)</f>
        <v>2420</v>
      </c>
      <c r="J1071" s="25">
        <f t="shared" si="1043"/>
        <v>7863.2184191855868</v>
      </c>
      <c r="K1071" s="25">
        <f t="shared" si="1044"/>
        <v>20282.026119384056</v>
      </c>
      <c r="L1071" s="25"/>
      <c r="N1071" s="25">
        <f>'Combined Retirement'!$C$18/12</f>
        <v>39153.069999999992</v>
      </c>
      <c r="O1071" s="25">
        <f t="shared" si="1045"/>
        <v>11007.82546143035</v>
      </c>
      <c r="P1071" s="25">
        <f t="shared" si="1046"/>
        <v>28145.244538569641</v>
      </c>
      <c r="Q1071" s="25">
        <f t="array" aca="1" ref="Q1071" ca="1">INDEX('Isaac 401k'!L:L,MATCH('Retirement Calculator'!A1071,'Isaac 401k'!N:N,0),0)</f>
        <v>-13395967.004045999</v>
      </c>
      <c r="R1071" s="25">
        <f t="array" aca="1" ref="R1071" ca="1">INDEX('Lorri 401b'!L:L,MATCH('Retirement Calculator'!A1071,'Lorri 401b'!N:N,0),0)</f>
        <v>-33898377.207862407</v>
      </c>
      <c r="S1071" s="25">
        <f t="shared" ca="1" si="1047"/>
        <v>-47294344.211908408</v>
      </c>
    </row>
    <row r="1072" spans="1:19" ht="15.75" customHeight="1" x14ac:dyDescent="0.3">
      <c r="A1072" s="37">
        <v>83582</v>
      </c>
      <c r="B1072" s="409">
        <f t="shared" ref="B1072:C1072" si="1088">($A1072-B$9)/365.25</f>
        <v>146.95687885010267</v>
      </c>
      <c r="C1072" s="409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2192</v>
      </c>
      <c r="I1072" s="25">
        <f>IF(C1072&lt;62,0,'Combined Retirement'!$I$13)</f>
        <v>2420</v>
      </c>
      <c r="J1072" s="25">
        <f t="shared" si="1043"/>
        <v>7863.2184191855868</v>
      </c>
      <c r="K1072" s="25">
        <f t="shared" si="1044"/>
        <v>20282.026119384056</v>
      </c>
      <c r="L1072" s="25"/>
      <c r="N1072" s="25">
        <f>'Combined Retirement'!$C$18/12</f>
        <v>39153.069999999992</v>
      </c>
      <c r="O1072" s="25">
        <f t="shared" si="1045"/>
        <v>11007.82546143035</v>
      </c>
      <c r="P1072" s="25">
        <f t="shared" si="1046"/>
        <v>28145.244538569641</v>
      </c>
      <c r="Q1072" s="25">
        <f t="array" aca="1" ref="Q1072" ca="1">INDEX('Isaac 401k'!L:L,MATCH('Retirement Calculator'!A1072,'Isaac 401k'!N:N,0),0)</f>
        <v>-13459679.515058789</v>
      </c>
      <c r="R1072" s="25">
        <f t="array" aca="1" ref="R1072" ca="1">INDEX('Lorri 401b'!L:L,MATCH('Retirement Calculator'!A1072,'Lorri 401b'!N:N,0),0)</f>
        <v>-34059986.980790049</v>
      </c>
      <c r="S1072" s="25">
        <f t="shared" ca="1" si="1047"/>
        <v>-47519666.495848835</v>
      </c>
    </row>
    <row r="1073" spans="1:19" ht="15.75" customHeight="1" x14ac:dyDescent="0.3">
      <c r="A1073" s="37">
        <v>83612</v>
      </c>
      <c r="B1073" s="409">
        <f t="shared" ref="B1073:C1073" si="1089">($A1073-B$9)/365.25</f>
        <v>147.03901437371664</v>
      </c>
      <c r="C1073" s="409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2192</v>
      </c>
      <c r="I1073" s="25">
        <f>IF(C1073&lt;62,0,'Combined Retirement'!$I$13)</f>
        <v>2420</v>
      </c>
      <c r="J1073" s="25">
        <f t="shared" si="1043"/>
        <v>7863.2184191855868</v>
      </c>
      <c r="K1073" s="25">
        <f t="shared" si="1044"/>
        <v>20282.026119384056</v>
      </c>
      <c r="L1073" s="25"/>
      <c r="N1073" s="25">
        <f>'Combined Retirement'!$C$18/12</f>
        <v>39153.069999999992</v>
      </c>
      <c r="O1073" s="25">
        <f t="shared" si="1045"/>
        <v>11007.82546143035</v>
      </c>
      <c r="P1073" s="25">
        <f t="shared" si="1046"/>
        <v>28145.244538569641</v>
      </c>
      <c r="Q1073" s="25">
        <f t="array" aca="1" ref="Q1073" ca="1">INDEX('Isaac 401k'!L:L,MATCH('Retirement Calculator'!A1073,'Isaac 401k'!N:N,0),0)</f>
        <v>-13523657.494867466</v>
      </c>
      <c r="R1073" s="25">
        <f t="array" aca="1" ref="R1073" ca="1">INDEX('Lorri 401b'!L:L,MATCH('Retirement Calculator'!A1073,'Lorri 401b'!N:N,0),0)</f>
        <v>-34222270.127771556</v>
      </c>
      <c r="S1073" s="25">
        <f t="shared" ca="1" si="1047"/>
        <v>-47745927.622639023</v>
      </c>
    </row>
    <row r="1074" spans="1:19" ht="15.75" customHeight="1" x14ac:dyDescent="0.3">
      <c r="A1074" s="37">
        <v>83643</v>
      </c>
      <c r="B1074" s="409">
        <f t="shared" ref="B1074:C1074" si="1090">($A1074-B$9)/365.25</f>
        <v>147.12388774811774</v>
      </c>
      <c r="C1074" s="409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2192</v>
      </c>
      <c r="I1074" s="25">
        <f>IF(C1074&lt;62,0,'Combined Retirement'!$I$13)</f>
        <v>2420</v>
      </c>
      <c r="J1074" s="25">
        <f t="shared" si="1043"/>
        <v>7863.2184191855868</v>
      </c>
      <c r="K1074" s="25">
        <f t="shared" si="1044"/>
        <v>20282.026119384056</v>
      </c>
      <c r="L1074" s="25"/>
      <c r="N1074" s="25">
        <f>'Combined Retirement'!$C$18/12</f>
        <v>39153.069999999992</v>
      </c>
      <c r="O1074" s="25">
        <f t="shared" si="1045"/>
        <v>11007.82546143035</v>
      </c>
      <c r="P1074" s="25">
        <f t="shared" si="1046"/>
        <v>28145.244538569641</v>
      </c>
      <c r="Q1074" s="25">
        <f t="array" aca="1" ref="Q1074" ca="1">INDEX('Isaac 401k'!L:L,MATCH('Retirement Calculator'!A1074,'Isaac 401k'!N:N,0),0)</f>
        <v>-13587902.049592013</v>
      </c>
      <c r="R1074" s="25">
        <f t="array" aca="1" ref="R1074" ca="1">INDEX('Lorri 401b'!L:L,MATCH('Retirement Calculator'!A1074,'Lorri 401b'!N:N,0),0)</f>
        <v>-34385229.454532146</v>
      </c>
      <c r="S1074" s="25">
        <f t="shared" ca="1" si="1047"/>
        <v>-47973131.504124157</v>
      </c>
    </row>
    <row r="1075" spans="1:19" ht="15.75" customHeight="1" x14ac:dyDescent="0.3">
      <c r="A1075" s="37">
        <v>83674</v>
      </c>
      <c r="B1075" s="409">
        <f t="shared" ref="B1075:C1075" si="1091">($A1075-B$9)/365.25</f>
        <v>147.20876112251884</v>
      </c>
      <c r="C1075" s="409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2192</v>
      </c>
      <c r="I1075" s="25">
        <f>IF(C1075&lt;62,0,'Combined Retirement'!$I$13)</f>
        <v>2420</v>
      </c>
      <c r="J1075" s="25">
        <f t="shared" si="1043"/>
        <v>7863.2184191855868</v>
      </c>
      <c r="K1075" s="25">
        <f t="shared" si="1044"/>
        <v>20282.026119384056</v>
      </c>
      <c r="L1075" s="25"/>
      <c r="N1075" s="25">
        <f>'Combined Retirement'!$C$18/12</f>
        <v>39153.069999999992</v>
      </c>
      <c r="O1075" s="25">
        <f t="shared" si="1045"/>
        <v>11007.82546143035</v>
      </c>
      <c r="P1075" s="25">
        <f t="shared" si="1046"/>
        <v>28145.244538569641</v>
      </c>
      <c r="Q1075" s="25">
        <f t="array" aca="1" ref="Q1075" ca="1">INDEX('Isaac 401k'!L:L,MATCH('Retirement Calculator'!A1075,'Isaac 401k'!N:N,0),0)</f>
        <v>-13652414.289961245</v>
      </c>
      <c r="R1075" s="25">
        <f t="array" aca="1" ref="R1075" ca="1">INDEX('Lorri 401b'!L:L,MATCH('Retirement Calculator'!A1075,'Lorri 401b'!N:N,0),0)</f>
        <v>-34548867.778487578</v>
      </c>
      <c r="S1075" s="25">
        <f t="shared" ca="1" si="1047"/>
        <v>-48201282.068448827</v>
      </c>
    </row>
    <row r="1076" spans="1:19" ht="15.75" customHeight="1" x14ac:dyDescent="0.3">
      <c r="A1076" s="37">
        <v>83702</v>
      </c>
      <c r="B1076" s="409">
        <f t="shared" ref="B1076:C1076" si="1092">($A1076-B$9)/365.25</f>
        <v>147.28542094455852</v>
      </c>
      <c r="C1076" s="409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2192</v>
      </c>
      <c r="I1076" s="25">
        <f>IF(C1076&lt;62,0,'Combined Retirement'!$I$13)</f>
        <v>2420</v>
      </c>
      <c r="J1076" s="25">
        <f t="shared" si="1043"/>
        <v>7863.2184191855868</v>
      </c>
      <c r="K1076" s="25">
        <f t="shared" si="1044"/>
        <v>20282.026119384056</v>
      </c>
      <c r="L1076" s="25"/>
      <c r="N1076" s="25">
        <f>'Combined Retirement'!$C$18/12</f>
        <v>39153.069999999992</v>
      </c>
      <c r="O1076" s="25">
        <f t="shared" si="1045"/>
        <v>11007.82546143035</v>
      </c>
      <c r="P1076" s="25">
        <f t="shared" si="1046"/>
        <v>28145.244538569641</v>
      </c>
      <c r="Q1076" s="25">
        <f t="array" aca="1" ref="Q1076" ca="1">INDEX('Isaac 401k'!L:L,MATCH('Retirement Calculator'!A1076,'Isaac 401k'!N:N,0),0)</f>
        <v>-13717195.331332015</v>
      </c>
      <c r="R1076" s="25">
        <f t="array" aca="1" ref="R1076" ca="1">INDEX('Lorri 401b'!L:L,MATCH('Retirement Calculator'!A1076,'Lorri 401b'!N:N,0),0)</f>
        <v>-34713187.928792819</v>
      </c>
      <c r="S1076" s="25">
        <f t="shared" ca="1" si="1047"/>
        <v>-48430383.260124832</v>
      </c>
    </row>
    <row r="1077" spans="1:19" ht="15.75" customHeight="1" x14ac:dyDescent="0.3">
      <c r="A1077" s="37">
        <v>83733</v>
      </c>
      <c r="B1077" s="409">
        <f t="shared" ref="B1077:C1077" si="1093">($A1077-B$9)/365.25</f>
        <v>147.37029431895962</v>
      </c>
      <c r="C1077" s="409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2192</v>
      </c>
      <c r="I1077" s="25">
        <f>IF(C1077&lt;62,0,'Combined Retirement'!$I$13)</f>
        <v>2420</v>
      </c>
      <c r="J1077" s="25">
        <f t="shared" si="1043"/>
        <v>7863.2184191855868</v>
      </c>
      <c r="K1077" s="25">
        <f t="shared" si="1044"/>
        <v>20282.026119384056</v>
      </c>
      <c r="L1077" s="25"/>
      <c r="N1077" s="25">
        <f>'Combined Retirement'!$C$18/12</f>
        <v>39153.069999999992</v>
      </c>
      <c r="O1077" s="25">
        <f t="shared" si="1045"/>
        <v>11007.82546143035</v>
      </c>
      <c r="P1077" s="25">
        <f t="shared" si="1046"/>
        <v>28145.244538569641</v>
      </c>
      <c r="Q1077" s="25">
        <f t="array" aca="1" ref="Q1077" ca="1">INDEX('Isaac 401k'!L:L,MATCH('Retirement Calculator'!A1077,'Isaac 401k'!N:N,0),0)</f>
        <v>-13782246.293708496</v>
      </c>
      <c r="R1077" s="25">
        <f t="array" aca="1" ref="R1077" ca="1">INDEX('Lorri 401b'!L:L,MATCH('Retirement Calculator'!A1077,'Lorri 401b'!N:N,0),0)</f>
        <v>-34878192.746390998</v>
      </c>
      <c r="S1077" s="25">
        <f t="shared" ca="1" si="1047"/>
        <v>-48660439.040099494</v>
      </c>
    </row>
    <row r="1078" spans="1:19" ht="15.75" customHeight="1" x14ac:dyDescent="0.3">
      <c r="A1078" s="37">
        <v>83763</v>
      </c>
      <c r="B1078" s="409">
        <f t="shared" ref="B1078:C1078" si="1094">($A1078-B$9)/365.25</f>
        <v>147.45242984257359</v>
      </c>
      <c r="C1078" s="409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2192</v>
      </c>
      <c r="I1078" s="25">
        <f>IF(C1078&lt;62,0,'Combined Retirement'!$I$13)</f>
        <v>2420</v>
      </c>
      <c r="J1078" s="25">
        <f t="shared" si="1043"/>
        <v>7863.2184191855868</v>
      </c>
      <c r="K1078" s="25">
        <f t="shared" si="1044"/>
        <v>20282.026119384056</v>
      </c>
      <c r="L1078" s="25"/>
      <c r="N1078" s="25">
        <f>'Combined Retirement'!$C$18/12</f>
        <v>39153.069999999992</v>
      </c>
      <c r="O1078" s="25">
        <f t="shared" si="1045"/>
        <v>11007.82546143035</v>
      </c>
      <c r="P1078" s="25">
        <f t="shared" si="1046"/>
        <v>28145.244538569641</v>
      </c>
      <c r="Q1078" s="25">
        <f t="array" aca="1" ref="Q1078" ca="1">INDEX('Isaac 401k'!L:L,MATCH('Retirement Calculator'!A1078,'Isaac 401k'!N:N,0),0)</f>
        <v>-13847568.301761545</v>
      </c>
      <c r="R1078" s="25">
        <f t="array" aca="1" ref="R1078" ca="1">INDEX('Lorri 401b'!L:L,MATCH('Retirement Calculator'!A1078,'Lorri 401b'!N:N,0),0)</f>
        <v>-35043885.084062509</v>
      </c>
      <c r="S1078" s="25">
        <f t="shared" ca="1" si="1047"/>
        <v>-48891453.385824054</v>
      </c>
    </row>
    <row r="1079" spans="1:19" ht="15.75" customHeight="1" x14ac:dyDescent="0.3">
      <c r="A1079" s="37">
        <v>83794</v>
      </c>
      <c r="B1079" s="409">
        <f t="shared" ref="B1079:C1079" si="1095">($A1079-B$9)/365.25</f>
        <v>147.53730321697466</v>
      </c>
      <c r="C1079" s="409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2192</v>
      </c>
      <c r="I1079" s="25">
        <f>IF(C1079&lt;62,0,'Combined Retirement'!$I$13)</f>
        <v>2420</v>
      </c>
      <c r="J1079" s="25">
        <f t="shared" si="1043"/>
        <v>7863.2184191855868</v>
      </c>
      <c r="K1079" s="25">
        <f t="shared" si="1044"/>
        <v>20282.026119384056</v>
      </c>
      <c r="L1079" s="25"/>
      <c r="N1079" s="25">
        <f>'Combined Retirement'!$C$18/12</f>
        <v>39153.069999999992</v>
      </c>
      <c r="O1079" s="25">
        <f t="shared" si="1045"/>
        <v>11007.82546143035</v>
      </c>
      <c r="P1079" s="25">
        <f t="shared" si="1046"/>
        <v>28145.244538569641</v>
      </c>
      <c r="Q1079" s="25">
        <f t="array" aca="1" ref="Q1079" ca="1">INDEX('Isaac 401k'!L:L,MATCH('Retirement Calculator'!A1079,'Isaac 401k'!N:N,0),0)</f>
        <v>-13913162.484848149</v>
      </c>
      <c r="R1079" s="25">
        <f t="array" aca="1" ref="R1079" ca="1">INDEX('Lorri 401b'!L:L,MATCH('Retirement Calculator'!A1079,'Lorri 401b'!N:N,0),0)</f>
        <v>-35210267.806474313</v>
      </c>
      <c r="S1079" s="25">
        <f t="shared" ca="1" si="1047"/>
        <v>-49123430.291322462</v>
      </c>
    </row>
    <row r="1080" spans="1:19" ht="15.75" customHeight="1" x14ac:dyDescent="0.3">
      <c r="A1080" s="37">
        <v>83824</v>
      </c>
      <c r="B1080" s="409">
        <f t="shared" ref="B1080:C1080" si="1096">($A1080-B$9)/365.25</f>
        <v>147.61943874058863</v>
      </c>
      <c r="C1080" s="409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2192</v>
      </c>
      <c r="I1080" s="25">
        <f>IF(C1080&lt;62,0,'Combined Retirement'!$I$13)</f>
        <v>2420</v>
      </c>
      <c r="J1080" s="25">
        <f t="shared" si="1043"/>
        <v>7863.2184191855868</v>
      </c>
      <c r="K1080" s="25">
        <f t="shared" si="1044"/>
        <v>20282.026119384056</v>
      </c>
      <c r="L1080" s="25"/>
      <c r="N1080" s="25">
        <f>'Combined Retirement'!$C$18/12</f>
        <v>39153.069999999992</v>
      </c>
      <c r="O1080" s="25">
        <f t="shared" si="1045"/>
        <v>11007.82546143035</v>
      </c>
      <c r="P1080" s="25">
        <f t="shared" si="1046"/>
        <v>28145.244538569641</v>
      </c>
      <c r="Q1080" s="25">
        <f t="array" aca="1" ref="Q1080" ca="1">INDEX('Isaac 401k'!L:L,MATCH('Retirement Calculator'!A1080,'Isaac 401k'!N:N,0),0)</f>
        <v>-13979029.977030948</v>
      </c>
      <c r="R1080" s="25">
        <f t="array" aca="1" ref="R1080" ca="1">INDEX('Lorri 401b'!L:L,MATCH('Retirement Calculator'!A1080,'Lorri 401b'!N:N,0),0)</f>
        <v>-35377343.790229499</v>
      </c>
      <c r="S1080" s="25">
        <f t="shared" ca="1" si="1047"/>
        <v>-49356373.767260447</v>
      </c>
    </row>
    <row r="1081" spans="1:19" ht="15.75" customHeight="1" x14ac:dyDescent="0.3">
      <c r="A1081" s="37">
        <v>83855</v>
      </c>
      <c r="B1081" s="409">
        <f t="shared" ref="B1081:C1081" si="1097">($A1081-B$9)/365.25</f>
        <v>147.70431211498973</v>
      </c>
      <c r="C1081" s="409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2192</v>
      </c>
      <c r="I1081" s="25">
        <f>IF(C1081&lt;62,0,'Combined Retirement'!$I$13)</f>
        <v>2420</v>
      </c>
      <c r="J1081" s="25">
        <f t="shared" si="1043"/>
        <v>7863.2184191855868</v>
      </c>
      <c r="K1081" s="25">
        <f t="shared" si="1044"/>
        <v>20282.026119384056</v>
      </c>
      <c r="L1081" s="25"/>
      <c r="N1081" s="25">
        <f>'Combined Retirement'!$C$18/12</f>
        <v>39153.069999999992</v>
      </c>
      <c r="O1081" s="25">
        <f t="shared" si="1045"/>
        <v>11007.82546143035</v>
      </c>
      <c r="P1081" s="25">
        <f t="shared" si="1046"/>
        <v>28145.244538569641</v>
      </c>
      <c r="Q1081" s="25">
        <f t="array" aca="1" ref="Q1081" ca="1">INDEX('Isaac 401k'!L:L,MATCH('Retirement Calculator'!A1081,'Isaac 401k'!N:N,0),0)</f>
        <v>-14045171.917097842</v>
      </c>
      <c r="R1081" s="25">
        <f t="array" aca="1" ref="R1081" ca="1">INDEX('Lorri 401b'!L:L,MATCH('Retirement Calculator'!A1081,'Lorri 401b'!N:N,0),0)</f>
        <v>-35545115.923917003</v>
      </c>
      <c r="S1081" s="25">
        <f t="shared" ca="1" si="1047"/>
        <v>-49590287.841014847</v>
      </c>
    </row>
    <row r="1082" spans="1:19" ht="15.75" customHeight="1" x14ac:dyDescent="0.3">
      <c r="A1082" s="37">
        <v>83886</v>
      </c>
      <c r="B1082" s="409">
        <f t="shared" ref="B1082:C1082" si="1098">($A1082-B$9)/365.25</f>
        <v>147.78918548939083</v>
      </c>
      <c r="C1082" s="409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2192</v>
      </c>
      <c r="I1082" s="25">
        <f>IF(C1082&lt;62,0,'Combined Retirement'!$I$13)</f>
        <v>2420</v>
      </c>
      <c r="J1082" s="25">
        <f t="shared" si="1043"/>
        <v>7863.2184191855868</v>
      </c>
      <c r="K1082" s="25">
        <f t="shared" si="1044"/>
        <v>20282.026119384056</v>
      </c>
      <c r="L1082" s="25"/>
      <c r="N1082" s="25">
        <f>'Combined Retirement'!$C$18/12</f>
        <v>39153.069999999992</v>
      </c>
      <c r="O1082" s="25">
        <f t="shared" si="1045"/>
        <v>11007.82546143035</v>
      </c>
      <c r="P1082" s="25">
        <f t="shared" si="1046"/>
        <v>28145.244538569641</v>
      </c>
      <c r="Q1082" s="25">
        <f t="array" aca="1" ref="Q1082" ca="1">INDEX('Isaac 401k'!L:L,MATCH('Retirement Calculator'!A1082,'Isaac 401k'!N:N,0),0)</f>
        <v>-14111589.448581681</v>
      </c>
      <c r="R1082" s="25">
        <f t="array" aca="1" ref="R1082" ca="1">INDEX('Lorri 401b'!L:L,MATCH('Retirement Calculator'!A1082,'Lorri 401b'!N:N,0),0)</f>
        <v>-35713587.108161539</v>
      </c>
      <c r="S1082" s="25">
        <f t="shared" ca="1" si="1047"/>
        <v>-49825176.556743219</v>
      </c>
    </row>
    <row r="1083" spans="1:19" ht="15.75" customHeight="1" x14ac:dyDescent="0.3">
      <c r="A1083" s="37">
        <v>83916</v>
      </c>
      <c r="B1083" s="409">
        <f t="shared" ref="B1083:C1083" si="1099">($A1083-B$9)/365.25</f>
        <v>147.8713210130048</v>
      </c>
      <c r="C1083" s="409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2192</v>
      </c>
      <c r="I1083" s="25">
        <f>IF(C1083&lt;62,0,'Combined Retirement'!$I$13)</f>
        <v>2420</v>
      </c>
      <c r="J1083" s="25">
        <f t="shared" si="1043"/>
        <v>7863.2184191855868</v>
      </c>
      <c r="K1083" s="25">
        <f t="shared" si="1044"/>
        <v>20282.026119384056</v>
      </c>
      <c r="L1083" s="25"/>
      <c r="N1083" s="25">
        <f>'Combined Retirement'!$C$18/12</f>
        <v>39153.069999999992</v>
      </c>
      <c r="O1083" s="25">
        <f t="shared" si="1045"/>
        <v>11007.82546143035</v>
      </c>
      <c r="P1083" s="25">
        <f t="shared" si="1046"/>
        <v>28145.244538569641</v>
      </c>
      <c r="Q1083" s="25">
        <f t="array" aca="1" ref="Q1083" ca="1">INDEX('Isaac 401k'!L:L,MATCH('Retirement Calculator'!A1083,'Isaac 401k'!N:N,0),0)</f>
        <v>-14178283.719780035</v>
      </c>
      <c r="R1083" s="25">
        <f t="array" aca="1" ref="R1083" ca="1">INDEX('Lorri 401b'!L:L,MATCH('Retirement Calculator'!A1083,'Lorri 401b'!N:N,0),0)</f>
        <v>-35882760.255673759</v>
      </c>
      <c r="S1083" s="25">
        <f t="shared" ca="1" si="1047"/>
        <v>-50061043.975453794</v>
      </c>
    </row>
    <row r="1084" spans="1:19" ht="15.75" customHeight="1" x14ac:dyDescent="0.3">
      <c r="A1084" s="37">
        <v>83947</v>
      </c>
      <c r="B1084" s="409">
        <f t="shared" ref="B1084:C1084" si="1100">($A1084-B$9)/365.25</f>
        <v>147.95619438740587</v>
      </c>
      <c r="C1084" s="409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2192</v>
      </c>
      <c r="I1084" s="25">
        <f>IF(C1084&lt;62,0,'Combined Retirement'!$I$13)</f>
        <v>2420</v>
      </c>
      <c r="J1084" s="25">
        <f t="shared" si="1043"/>
        <v>7863.2184191855868</v>
      </c>
      <c r="K1084" s="25">
        <f t="shared" si="1044"/>
        <v>20282.026119384056</v>
      </c>
      <c r="L1084" s="25"/>
      <c r="N1084" s="25">
        <f>'Combined Retirement'!$C$18/12</f>
        <v>39153.069999999992</v>
      </c>
      <c r="O1084" s="25">
        <f t="shared" si="1045"/>
        <v>11007.82546143035</v>
      </c>
      <c r="P1084" s="25">
        <f t="shared" si="1046"/>
        <v>28145.244538569641</v>
      </c>
      <c r="Q1084" s="25">
        <f t="array" aca="1" ref="Q1084" ca="1">INDEX('Isaac 401k'!L:L,MATCH('Retirement Calculator'!A1084,'Isaac 401k'!N:N,0),0)</f>
        <v>-14245255.88377505</v>
      </c>
      <c r="R1084" s="25">
        <f t="array" aca="1" ref="R1084" ca="1">INDEX('Lorri 401b'!L:L,MATCH('Retirement Calculator'!A1084,'Lorri 401b'!N:N,0),0)</f>
        <v>-36052638.29130061</v>
      </c>
      <c r="S1084" s="25">
        <f t="shared" ca="1" si="1047"/>
        <v>-50297894.175075658</v>
      </c>
    </row>
    <row r="1085" spans="1:19" ht="15.75" customHeight="1" x14ac:dyDescent="0.3">
      <c r="A1085" s="37">
        <v>83977</v>
      </c>
      <c r="B1085" s="409">
        <f t="shared" ref="B1085:C1085" si="1101">($A1085-B$9)/365.25</f>
        <v>148.03832991101984</v>
      </c>
      <c r="C1085" s="409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2192</v>
      </c>
      <c r="I1085" s="25">
        <f>IF(C1085&lt;62,0,'Combined Retirement'!$I$13)</f>
        <v>2420</v>
      </c>
      <c r="J1085" s="25">
        <f t="shared" si="1043"/>
        <v>7863.2184191855868</v>
      </c>
      <c r="K1085" s="25">
        <f t="shared" si="1044"/>
        <v>20282.026119384056</v>
      </c>
      <c r="L1085" s="25"/>
      <c r="N1085" s="25">
        <f>'Combined Retirement'!$C$18/12</f>
        <v>39153.069999999992</v>
      </c>
      <c r="O1085" s="25">
        <f t="shared" si="1045"/>
        <v>11007.82546143035</v>
      </c>
      <c r="P1085" s="25">
        <f t="shared" si="1046"/>
        <v>28145.244538569641</v>
      </c>
      <c r="Q1085" s="25">
        <f t="array" aca="1" ref="Q1085" ca="1">INDEX('Isaac 401k'!L:L,MATCH('Retirement Calculator'!A1085,'Isaac 401k'!N:N,0),0)</f>
        <v>-14312507.098453376</v>
      </c>
      <c r="R1085" s="25">
        <f t="array" aca="1" ref="R1085" ca="1">INDEX('Lorri 401b'!L:L,MATCH('Retirement Calculator'!A1085,'Lorri 401b'!N:N,0),0)</f>
        <v>-36223224.152075909</v>
      </c>
      <c r="S1085" s="25">
        <f t="shared" ca="1" si="1047"/>
        <v>-50535731.250529289</v>
      </c>
    </row>
    <row r="1086" spans="1:19" ht="15.75" customHeight="1" x14ac:dyDescent="0.3">
      <c r="A1086" s="37">
        <v>84008</v>
      </c>
      <c r="B1086" s="409">
        <f t="shared" ref="B1086:C1086" si="1102">($A1086-B$9)/365.25</f>
        <v>148.12320328542094</v>
      </c>
      <c r="C1086" s="409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2192</v>
      </c>
      <c r="I1086" s="25">
        <f>IF(C1086&lt;62,0,'Combined Retirement'!$I$13)</f>
        <v>2420</v>
      </c>
      <c r="J1086" s="25">
        <f t="shared" si="1043"/>
        <v>7863.2184191855868</v>
      </c>
      <c r="K1086" s="25">
        <f t="shared" si="1044"/>
        <v>20282.026119384056</v>
      </c>
      <c r="L1086" s="25"/>
      <c r="N1086" s="25">
        <f>'Combined Retirement'!$C$18/12</f>
        <v>39153.069999999992</v>
      </c>
      <c r="O1086" s="25">
        <f t="shared" si="1045"/>
        <v>11007.82546143035</v>
      </c>
      <c r="P1086" s="25">
        <f t="shared" si="1046"/>
        <v>28145.244538569641</v>
      </c>
      <c r="Q1086" s="25">
        <f t="array" aca="1" ref="Q1086" ca="1">INDEX('Isaac 401k'!L:L,MATCH('Retirement Calculator'!A1086,'Isaac 401k'!N:N,0),0)</f>
        <v>-14380038.526526198</v>
      </c>
      <c r="R1086" s="25">
        <f t="array" aca="1" ref="R1086" ca="1">INDEX('Lorri 401b'!L:L,MATCH('Retirement Calculator'!A1086,'Lorri 401b'!N:N,0),0)</f>
        <v>-36394520.787271105</v>
      </c>
      <c r="S1086" s="25">
        <f t="shared" ca="1" si="1047"/>
        <v>-50774559.313797303</v>
      </c>
    </row>
    <row r="1087" spans="1:19" ht="15.75" customHeight="1" x14ac:dyDescent="0.3">
      <c r="A1087" s="37">
        <v>84039</v>
      </c>
      <c r="B1087" s="409">
        <f t="shared" ref="B1087:C1087" si="1103">($A1087-B$9)/365.25</f>
        <v>148.20807665982204</v>
      </c>
      <c r="C1087" s="409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2192</v>
      </c>
      <c r="I1087" s="25">
        <f>IF(C1087&lt;62,0,'Combined Retirement'!$I$13)</f>
        <v>2420</v>
      </c>
      <c r="J1087" s="25">
        <f t="shared" si="1043"/>
        <v>7863.2184191855868</v>
      </c>
      <c r="K1087" s="25">
        <f t="shared" si="1044"/>
        <v>20282.026119384056</v>
      </c>
      <c r="L1087" s="25"/>
      <c r="N1087" s="25">
        <f>'Combined Retirement'!$C$18/12</f>
        <v>39153.069999999992</v>
      </c>
      <c r="O1087" s="25">
        <f t="shared" si="1045"/>
        <v>11007.82546143035</v>
      </c>
      <c r="P1087" s="25">
        <f t="shared" si="1046"/>
        <v>28145.244538569641</v>
      </c>
      <c r="Q1087" s="25">
        <f t="array" aca="1" ref="Q1087" ca="1">INDEX('Isaac 401k'!L:L,MATCH('Retirement Calculator'!A1087,'Isaac 401k'!N:N,0),0)</f>
        <v>-14447851.335549321</v>
      </c>
      <c r="R1087" s="25">
        <f t="array" aca="1" ref="R1087" ca="1">INDEX('Lorri 401b'!L:L,MATCH('Retirement Calculator'!A1087,'Lorri 401b'!N:N,0),0)</f>
        <v>-36566531.158446282</v>
      </c>
      <c r="S1087" s="25">
        <f t="shared" ca="1" si="1047"/>
        <v>-51014382.493995607</v>
      </c>
    </row>
    <row r="1088" spans="1:19" ht="15.75" customHeight="1" x14ac:dyDescent="0.3">
      <c r="A1088" s="37">
        <v>84067</v>
      </c>
      <c r="B1088" s="409">
        <f t="shared" ref="B1088:C1088" si="1104">($A1088-B$9)/365.25</f>
        <v>148.28473648186173</v>
      </c>
      <c r="C1088" s="409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2192</v>
      </c>
      <c r="I1088" s="25">
        <f>IF(C1088&lt;62,0,'Combined Retirement'!$I$13)</f>
        <v>2420</v>
      </c>
      <c r="J1088" s="25">
        <f t="shared" si="1043"/>
        <v>7863.2184191855868</v>
      </c>
      <c r="K1088" s="25">
        <f t="shared" si="1044"/>
        <v>20282.026119384056</v>
      </c>
      <c r="L1088" s="25"/>
      <c r="N1088" s="25">
        <f>'Combined Retirement'!$C$18/12</f>
        <v>39153.069999999992</v>
      </c>
      <c r="O1088" s="25">
        <f t="shared" si="1045"/>
        <v>11007.82546143035</v>
      </c>
      <c r="P1088" s="25">
        <f t="shared" si="1046"/>
        <v>28145.244538569641</v>
      </c>
      <c r="Q1088" s="25">
        <f t="array" aca="1" ref="Q1088" ca="1">INDEX('Isaac 401k'!L:L,MATCH('Retirement Calculator'!A1088,'Isaac 401k'!N:N,0),0)</f>
        <v>-14515946.697943375</v>
      </c>
      <c r="R1088" s="25">
        <f t="array" aca="1" ref="R1088" ca="1">INDEX('Lorri 401b'!L:L,MATCH('Retirement Calculator'!A1088,'Lorri 401b'!N:N,0),0)</f>
        <v>-36739258.239501357</v>
      </c>
      <c r="S1088" s="25">
        <f t="shared" ca="1" si="1047"/>
        <v>-51255204.937444732</v>
      </c>
    </row>
    <row r="1089" spans="1:19" ht="15.75" customHeight="1" x14ac:dyDescent="0.3">
      <c r="A1089" s="37">
        <v>84098</v>
      </c>
      <c r="B1089" s="409">
        <f t="shared" ref="B1089:C1089" si="1105">($A1089-B$9)/365.25</f>
        <v>148.36960985626283</v>
      </c>
      <c r="C1089" s="409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2192</v>
      </c>
      <c r="I1089" s="25">
        <f>IF(C1089&lt;62,0,'Combined Retirement'!$I$13)</f>
        <v>2420</v>
      </c>
      <c r="J1089" s="25">
        <f t="shared" si="1043"/>
        <v>7863.2184191855868</v>
      </c>
      <c r="K1089" s="25">
        <f t="shared" si="1044"/>
        <v>20282.026119384056</v>
      </c>
      <c r="L1089" s="25"/>
      <c r="N1089" s="25">
        <f>'Combined Retirement'!$C$18/12</f>
        <v>39153.069999999992</v>
      </c>
      <c r="O1089" s="25">
        <f t="shared" si="1045"/>
        <v>11007.82546143035</v>
      </c>
      <c r="P1089" s="25">
        <f t="shared" si="1046"/>
        <v>28145.244538569641</v>
      </c>
      <c r="Q1089" s="25">
        <f t="array" aca="1" ref="Q1089" ca="1">INDEX('Isaac 401k'!L:L,MATCH('Retirement Calculator'!A1089,'Isaac 401k'!N:N,0),0)</f>
        <v>-14584325.79101407</v>
      </c>
      <c r="R1089" s="25">
        <f t="array" aca="1" ref="R1089" ca="1">INDEX('Lorri 401b'!L:L,MATCH('Retirement Calculator'!A1089,'Lorri 401b'!N:N,0),0)</f>
        <v>-36912705.016727492</v>
      </c>
      <c r="S1089" s="25">
        <f t="shared" ca="1" si="1047"/>
        <v>-51497030.80774156</v>
      </c>
    </row>
    <row r="1090" spans="1:19" ht="15.75" customHeight="1" x14ac:dyDescent="0.3">
      <c r="A1090" s="37">
        <v>84128</v>
      </c>
      <c r="B1090" s="409">
        <f t="shared" ref="B1090:C1090" si="1106">($A1090-B$9)/365.25</f>
        <v>148.4517453798768</v>
      </c>
      <c r="C1090" s="409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2192</v>
      </c>
      <c r="I1090" s="25">
        <f>IF(C1090&lt;62,0,'Combined Retirement'!$I$13)</f>
        <v>2420</v>
      </c>
      <c r="J1090" s="25">
        <f t="shared" si="1043"/>
        <v>7863.2184191855868</v>
      </c>
      <c r="K1090" s="25">
        <f t="shared" si="1044"/>
        <v>20282.026119384056</v>
      </c>
      <c r="L1090" s="25"/>
      <c r="N1090" s="25">
        <f>'Combined Retirement'!$C$18/12</f>
        <v>39153.069999999992</v>
      </c>
      <c r="O1090" s="25">
        <f t="shared" si="1045"/>
        <v>11007.82546143035</v>
      </c>
      <c r="P1090" s="25">
        <f t="shared" si="1046"/>
        <v>28145.244538569641</v>
      </c>
      <c r="Q1090" s="25">
        <f t="array" aca="1" ref="Q1090" ca="1">INDEX('Isaac 401k'!L:L,MATCH('Retirement Calculator'!A1090,'Isaac 401k'!N:N,0),0)</f>
        <v>-14652989.79697256</v>
      </c>
      <c r="R1090" s="25">
        <f t="array" aca="1" ref="R1090" ca="1">INDEX('Lorri 401b'!L:L,MATCH('Retirement Calculator'!A1090,'Lorri 401b'!N:N,0),0)</f>
        <v>-37086874.488858737</v>
      </c>
      <c r="S1090" s="25">
        <f t="shared" ca="1" si="1047"/>
        <v>-51739864.285831295</v>
      </c>
    </row>
    <row r="1091" spans="1:19" ht="15.75" customHeight="1" x14ac:dyDescent="0.3">
      <c r="A1091" s="37">
        <v>84159</v>
      </c>
      <c r="B1091" s="409">
        <f t="shared" ref="B1091:C1091" si="1107">($A1091-B$9)/365.25</f>
        <v>148.5366187542779</v>
      </c>
      <c r="C1091" s="409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2192</v>
      </c>
      <c r="I1091" s="25">
        <f>IF(C1091&lt;62,0,'Combined Retirement'!$I$13)</f>
        <v>2420</v>
      </c>
      <c r="J1091" s="25">
        <f t="shared" si="1043"/>
        <v>7863.2184191855868</v>
      </c>
      <c r="K1091" s="25">
        <f t="shared" si="1044"/>
        <v>20282.026119384056</v>
      </c>
      <c r="L1091" s="25"/>
      <c r="N1091" s="25">
        <f>'Combined Retirement'!$C$18/12</f>
        <v>39153.069999999992</v>
      </c>
      <c r="O1091" s="25">
        <f t="shared" si="1045"/>
        <v>11007.82546143035</v>
      </c>
      <c r="P1091" s="25">
        <f t="shared" si="1046"/>
        <v>28145.244538569641</v>
      </c>
      <c r="Q1091" s="25">
        <f t="array" aca="1" ref="Q1091" ca="1">INDEX('Isaac 401k'!L:L,MATCH('Retirement Calculator'!A1091,'Isaac 401k'!N:N,0),0)</f>
        <v>-14721939.902955877</v>
      </c>
      <c r="R1091" s="25">
        <f t="array" aca="1" ref="R1091" ca="1">INDEX('Lorri 401b'!L:L,MATCH('Retirement Calculator'!A1091,'Lorri 401b'!N:N,0),0)</f>
        <v>-37261769.667123862</v>
      </c>
      <c r="S1091" s="25">
        <f t="shared" ca="1" si="1047"/>
        <v>-51983709.570079736</v>
      </c>
    </row>
    <row r="1092" spans="1:19" ht="15.75" customHeight="1" x14ac:dyDescent="0.3">
      <c r="A1092" s="37">
        <v>84189</v>
      </c>
      <c r="B1092" s="409">
        <f t="shared" ref="B1092:C1092" si="1108">($A1092-B$9)/365.25</f>
        <v>148.61875427789187</v>
      </c>
      <c r="C1092" s="409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2192</v>
      </c>
      <c r="I1092" s="25">
        <f>IF(C1092&lt;62,0,'Combined Retirement'!$I$13)</f>
        <v>2420</v>
      </c>
      <c r="J1092" s="25">
        <f t="shared" si="1043"/>
        <v>7863.2184191855868</v>
      </c>
      <c r="K1092" s="25">
        <f t="shared" si="1044"/>
        <v>20282.026119384056</v>
      </c>
      <c r="L1092" s="25"/>
      <c r="N1092" s="25">
        <f>'Combined Retirement'!$C$18/12</f>
        <v>39153.069999999992</v>
      </c>
      <c r="O1092" s="25">
        <f t="shared" si="1045"/>
        <v>11007.82546143035</v>
      </c>
      <c r="P1092" s="25">
        <f t="shared" si="1046"/>
        <v>28145.244538569641</v>
      </c>
      <c r="Q1092" s="25">
        <f t="array" aca="1" ref="Q1092" ca="1">INDEX('Isaac 401k'!L:L,MATCH('Retirement Calculator'!A1092,'Isaac 401k'!N:N,0),0)</f>
        <v>-14791177.301047457</v>
      </c>
      <c r="R1092" s="25">
        <f t="array" aca="1" ref="R1092" ca="1">INDEX('Lorri 401b'!L:L,MATCH('Retirement Calculator'!A1092,'Lorri 401b'!N:N,0),0)</f>
        <v>-37437393.575298421</v>
      </c>
      <c r="S1092" s="25">
        <f t="shared" ca="1" si="1047"/>
        <v>-52228570.87634588</v>
      </c>
    </row>
    <row r="1093" spans="1:19" ht="15.75" customHeight="1" x14ac:dyDescent="0.3">
      <c r="A1093" s="37">
        <v>84220</v>
      </c>
      <c r="B1093" s="409">
        <f t="shared" ref="B1093:C1093" si="1109">($A1093-B$9)/365.25</f>
        <v>148.70362765229294</v>
      </c>
      <c r="C1093" s="409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2192</v>
      </c>
      <c r="I1093" s="25">
        <f>IF(C1093&lt;62,0,'Combined Retirement'!$I$13)</f>
        <v>2420</v>
      </c>
      <c r="J1093" s="25">
        <f t="shared" si="1043"/>
        <v>7863.2184191855868</v>
      </c>
      <c r="K1093" s="25">
        <f t="shared" si="1044"/>
        <v>20282.026119384056</v>
      </c>
      <c r="L1093" s="25"/>
      <c r="N1093" s="25">
        <f>'Combined Retirement'!$C$18/12</f>
        <v>39153.069999999992</v>
      </c>
      <c r="O1093" s="25">
        <f t="shared" si="1045"/>
        <v>11007.82546143035</v>
      </c>
      <c r="P1093" s="25">
        <f t="shared" si="1046"/>
        <v>28145.244538569641</v>
      </c>
      <c r="Q1093" s="25">
        <f t="array" aca="1" ref="Q1093" ca="1">INDEX('Isaac 401k'!L:L,MATCH('Retirement Calculator'!A1093,'Isaac 401k'!N:N,0),0)</f>
        <v>-14860703.188297754</v>
      </c>
      <c r="R1093" s="25">
        <f t="array" aca="1" ref="R1093" ca="1">INDEX('Lorri 401b'!L:L,MATCH('Retirement Calculator'!A1093,'Lorri 401b'!N:N,0),0)</f>
        <v>-37613749.249757044</v>
      </c>
      <c r="S1093" s="25">
        <f t="shared" ca="1" si="1047"/>
        <v>-52474452.4380548</v>
      </c>
    </row>
    <row r="1094" spans="1:19" ht="15.75" customHeight="1" x14ac:dyDescent="0.3">
      <c r="A1094" s="37">
        <v>84251</v>
      </c>
      <c r="B1094" s="409">
        <f t="shared" ref="B1094:C1094" si="1110">($A1094-B$9)/365.25</f>
        <v>148.78850102669404</v>
      </c>
      <c r="C1094" s="409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2192</v>
      </c>
      <c r="I1094" s="25">
        <f>IF(C1094&lt;62,0,'Combined Retirement'!$I$13)</f>
        <v>2420</v>
      </c>
      <c r="J1094" s="25">
        <f t="shared" si="1043"/>
        <v>7863.2184191855868</v>
      </c>
      <c r="K1094" s="25">
        <f t="shared" si="1044"/>
        <v>20282.026119384056</v>
      </c>
      <c r="L1094" s="25"/>
      <c r="N1094" s="25">
        <f>'Combined Retirement'!$C$18/12</f>
        <v>39153.069999999992</v>
      </c>
      <c r="O1094" s="25">
        <f t="shared" si="1045"/>
        <v>11007.82546143035</v>
      </c>
      <c r="P1094" s="25">
        <f t="shared" si="1046"/>
        <v>28145.244538569641</v>
      </c>
      <c r="Q1094" s="25">
        <f t="array" aca="1" ref="Q1094" ca="1">INDEX('Isaac 401k'!L:L,MATCH('Retirement Calculator'!A1094,'Isaac 401k'!N:N,0),0)</f>
        <v>-14930518.766744927</v>
      </c>
      <c r="R1094" s="25">
        <f t="array" aca="1" ref="R1094" ca="1">INDEX('Lorri 401b'!L:L,MATCH('Retirement Calculator'!A1094,'Lorri 401b'!N:N,0),0)</f>
        <v>-37790839.739525907</v>
      </c>
      <c r="S1094" s="25">
        <f t="shared" ca="1" si="1047"/>
        <v>-52721358.506270833</v>
      </c>
    </row>
    <row r="1095" spans="1:19" ht="15.75" customHeight="1" x14ac:dyDescent="0.3">
      <c r="A1095" s="37">
        <v>84281</v>
      </c>
      <c r="B1095" s="409">
        <f t="shared" ref="B1095:C1095" si="1111">($A1095-B$9)/365.25</f>
        <v>148.87063655030801</v>
      </c>
      <c r="C1095" s="409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2192</v>
      </c>
      <c r="I1095" s="25">
        <f>IF(C1095&lt;62,0,'Combined Retirement'!$I$13)</f>
        <v>2420</v>
      </c>
      <c r="J1095" s="25">
        <f t="shared" si="1043"/>
        <v>7863.2184191855868</v>
      </c>
      <c r="K1095" s="25">
        <f t="shared" si="1044"/>
        <v>20282.026119384056</v>
      </c>
      <c r="L1095" s="25"/>
      <c r="N1095" s="25">
        <f>'Combined Retirement'!$C$18/12</f>
        <v>39153.069999999992</v>
      </c>
      <c r="O1095" s="25">
        <f t="shared" si="1045"/>
        <v>11007.82546143035</v>
      </c>
      <c r="P1095" s="25">
        <f t="shared" si="1046"/>
        <v>28145.244538569641</v>
      </c>
      <c r="Q1095" s="25">
        <f t="array" aca="1" ref="Q1095" ca="1">INDEX('Isaac 401k'!L:L,MATCH('Retirement Calculator'!A1095,'Isaac 401k'!N:N,0),0)</f>
        <v>-15000625.243435629</v>
      </c>
      <c r="R1095" s="25">
        <f t="array" aca="1" ref="R1095" ca="1">INDEX('Lorri 401b'!L:L,MATCH('Retirement Calculator'!A1095,'Lorri 401b'!N:N,0),0)</f>
        <v>-37968668.106335476</v>
      </c>
      <c r="S1095" s="25">
        <f t="shared" ca="1" si="1047"/>
        <v>-52969293.349771105</v>
      </c>
    </row>
    <row r="1096" spans="1:19" ht="15.75" customHeight="1" x14ac:dyDescent="0.3">
      <c r="A1096" s="37">
        <v>84312</v>
      </c>
      <c r="B1096" s="409">
        <f t="shared" ref="B1096:C1096" si="1112">($A1096-B$9)/365.25</f>
        <v>148.95550992470911</v>
      </c>
      <c r="C1096" s="409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2192</v>
      </c>
      <c r="I1096" s="25">
        <f>IF(C1096&lt;62,0,'Combined Retirement'!$I$13)</f>
        <v>2420</v>
      </c>
      <c r="J1096" s="25">
        <f t="shared" si="1043"/>
        <v>7863.2184191855868</v>
      </c>
      <c r="K1096" s="25">
        <f t="shared" si="1044"/>
        <v>20282.026119384056</v>
      </c>
      <c r="L1096" s="25"/>
      <c r="N1096" s="25">
        <f>'Combined Retirement'!$C$18/12</f>
        <v>39153.069999999992</v>
      </c>
      <c r="O1096" s="25">
        <f t="shared" si="1045"/>
        <v>11007.82546143035</v>
      </c>
      <c r="P1096" s="25">
        <f t="shared" si="1046"/>
        <v>28145.244538569641</v>
      </c>
      <c r="Q1096" s="25">
        <f t="array" aca="1" ref="Q1096" ca="1">INDEX('Isaac 401k'!L:L,MATCH('Retirement Calculator'!A1096,'Isaac 401k'!N:N,0),0)</f>
        <v>-15071023.830445874</v>
      </c>
      <c r="R1096" s="25">
        <f t="array" aca="1" ref="R1096" ca="1">INDEX('Lorri 401b'!L:L,MATCH('Retirement Calculator'!A1096,'Lorri 401b'!N:N,0),0)</f>
        <v>-38147237.424673416</v>
      </c>
      <c r="S1096" s="25">
        <f t="shared" ca="1" si="1047"/>
        <v>-53218261.255119294</v>
      </c>
    </row>
    <row r="1097" spans="1:19" ht="15.75" customHeight="1" x14ac:dyDescent="0.3">
      <c r="A1097" s="37">
        <v>84342</v>
      </c>
      <c r="B1097" s="409">
        <f t="shared" ref="B1097:C1097" si="1113">($A1097-B$9)/365.25</f>
        <v>149.03764544832308</v>
      </c>
      <c r="C1097" s="409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2192</v>
      </c>
      <c r="I1097" s="25">
        <f>IF(C1097&lt;62,0,'Combined Retirement'!$I$13)</f>
        <v>2420</v>
      </c>
      <c r="J1097" s="25">
        <f t="shared" si="1043"/>
        <v>7863.2184191855868</v>
      </c>
      <c r="K1097" s="25">
        <f t="shared" si="1044"/>
        <v>20282.026119384056</v>
      </c>
      <c r="L1097" s="25"/>
      <c r="N1097" s="25">
        <f>'Combined Retirement'!$C$18/12</f>
        <v>39153.069999999992</v>
      </c>
      <c r="O1097" s="25">
        <f t="shared" si="1045"/>
        <v>11007.82546143035</v>
      </c>
      <c r="P1097" s="25">
        <f t="shared" si="1046"/>
        <v>28145.244538569641</v>
      </c>
      <c r="Q1097" s="25">
        <f t="array" aca="1" ref="Q1097" ca="1">INDEX('Isaac 401k'!L:L,MATCH('Retirement Calculator'!A1097,'Isaac 401k'!N:N,0),0)</f>
        <v>-15141715.744901998</v>
      </c>
      <c r="R1097" s="25">
        <f t="array" aca="1" ref="R1097" ca="1">INDEX('Lorri 401b'!L:L,MATCH('Retirement Calculator'!A1097,'Lorri 401b'!N:N,0),0)</f>
        <v>-38326550.781837769</v>
      </c>
      <c r="S1097" s="25">
        <f t="shared" ca="1" si="1047"/>
        <v>-53468266.526739769</v>
      </c>
    </row>
    <row r="1098" spans="1:19" ht="15.75" customHeight="1" x14ac:dyDescent="0.3">
      <c r="A1098" s="37">
        <v>84373</v>
      </c>
      <c r="B1098" s="409">
        <f t="shared" ref="B1098:C1098" si="1114">($A1098-B$9)/365.25</f>
        <v>149.12251882272417</v>
      </c>
      <c r="C1098" s="409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2192</v>
      </c>
      <c r="I1098" s="25">
        <f>IF(C1098&lt;62,0,'Combined Retirement'!$I$13)</f>
        <v>2420</v>
      </c>
      <c r="J1098" s="25">
        <f t="shared" si="1043"/>
        <v>7863.2184191855868</v>
      </c>
      <c r="K1098" s="25">
        <f t="shared" si="1044"/>
        <v>20282.026119384056</v>
      </c>
      <c r="L1098" s="25"/>
      <c r="N1098" s="25">
        <f>'Combined Retirement'!$C$18/12</f>
        <v>39153.069999999992</v>
      </c>
      <c r="O1098" s="25">
        <f t="shared" si="1045"/>
        <v>11007.82546143035</v>
      </c>
      <c r="P1098" s="25">
        <f t="shared" si="1046"/>
        <v>28145.244538569641</v>
      </c>
      <c r="Q1098" s="25">
        <f t="array" aca="1" ref="Q1098" ca="1">INDEX('Isaac 401k'!L:L,MATCH('Retirement Calculator'!A1098,'Isaac 401k'!N:N,0),0)</f>
        <v>-15212702.209001688</v>
      </c>
      <c r="R1098" s="25">
        <f t="array" aca="1" ref="R1098" ca="1">INDEX('Lorri 401b'!L:L,MATCH('Retirement Calculator'!A1098,'Lorri 401b'!N:N,0),0)</f>
        <v>-38506611.277990304</v>
      </c>
      <c r="S1098" s="25">
        <f t="shared" ca="1" si="1047"/>
        <v>-53719313.486991994</v>
      </c>
    </row>
    <row r="1099" spans="1:19" ht="15.75" customHeight="1" x14ac:dyDescent="0.3">
      <c r="A1099" s="37">
        <v>84404</v>
      </c>
      <c r="B1099" s="409">
        <f t="shared" ref="B1099:C1099" si="1115">($A1099-B$9)/365.25</f>
        <v>149.20739219712524</v>
      </c>
      <c r="C1099" s="409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2192</v>
      </c>
      <c r="I1099" s="25">
        <f>IF(C1099&lt;62,0,'Combined Retirement'!$I$13)</f>
        <v>2420</v>
      </c>
      <c r="J1099" s="25">
        <f t="shared" si="1043"/>
        <v>7863.2184191855868</v>
      </c>
      <c r="K1099" s="25">
        <f t="shared" si="1044"/>
        <v>20282.026119384056</v>
      </c>
      <c r="L1099" s="25"/>
      <c r="N1099" s="25">
        <f>'Combined Retirement'!$C$18/12</f>
        <v>39153.069999999992</v>
      </c>
      <c r="O1099" s="25">
        <f t="shared" si="1045"/>
        <v>11007.82546143035</v>
      </c>
      <c r="P1099" s="25">
        <f t="shared" si="1046"/>
        <v>28145.244538569641</v>
      </c>
      <c r="Q1099" s="25">
        <f t="array" aca="1" ref="Q1099" ca="1">INDEX('Isaac 401k'!L:L,MATCH('Retirement Calculator'!A1099,'Isaac 401k'!N:N,0),0)</f>
        <v>-15283984.450035127</v>
      </c>
      <c r="R1099" s="25">
        <f t="array" aca="1" ref="R1099" ca="1">INDEX('Lorri 401b'!L:L,MATCH('Retirement Calculator'!A1099,'Lorri 401b'!N:N,0),0)</f>
        <v>-38687422.026210144</v>
      </c>
      <c r="S1099" s="25">
        <f t="shared" ca="1" si="1047"/>
        <v>-53971406.476245269</v>
      </c>
    </row>
    <row r="1100" spans="1:19" ht="15.75" customHeight="1" x14ac:dyDescent="0.3">
      <c r="A1100" s="37">
        <v>84432</v>
      </c>
      <c r="B1100" s="409">
        <f t="shared" ref="B1100:C1100" si="1116">($A1100-B$9)/365.25</f>
        <v>149.28405201916496</v>
      </c>
      <c r="C1100" s="409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2192</v>
      </c>
      <c r="I1100" s="25">
        <f>IF(C1100&lt;62,0,'Combined Retirement'!$I$13)</f>
        <v>2420</v>
      </c>
      <c r="J1100" s="25">
        <f t="shared" si="1043"/>
        <v>7863.2184191855868</v>
      </c>
      <c r="K1100" s="25">
        <f t="shared" si="1044"/>
        <v>20282.026119384056</v>
      </c>
      <c r="L1100" s="25"/>
      <c r="N1100" s="25">
        <f>'Combined Retirement'!$C$18/12</f>
        <v>39153.069999999992</v>
      </c>
      <c r="O1100" s="25">
        <f t="shared" si="1045"/>
        <v>11007.82546143035</v>
      </c>
      <c r="P1100" s="25">
        <f t="shared" si="1046"/>
        <v>28145.244538569641</v>
      </c>
      <c r="Q1100" s="25">
        <f t="array" aca="1" ref="Q1100" ca="1">INDEX('Isaac 401k'!L:L,MATCH('Retirement Calculator'!A1100,'Isaac 401k'!N:N,0),0)</f>
        <v>-15355563.700406205</v>
      </c>
      <c r="R1100" s="25">
        <f t="array" aca="1" ref="R1100" ca="1">INDEX('Lorri 401b'!L:L,MATCH('Retirement Calculator'!A1100,'Lorri 401b'!N:N,0),0)</f>
        <v>-38868986.152547568</v>
      </c>
      <c r="S1100" s="25">
        <f t="shared" ca="1" si="1047"/>
        <v>-54224549.852953777</v>
      </c>
    </row>
    <row r="1101" spans="1:19" ht="15.75" customHeight="1" x14ac:dyDescent="0.3">
      <c r="A1101" s="37">
        <v>84463</v>
      </c>
      <c r="B1101" s="409">
        <f t="shared" ref="B1101:C1101" si="1117">($A1101-B$9)/365.25</f>
        <v>149.36892539356606</v>
      </c>
      <c r="C1101" s="409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2192</v>
      </c>
      <c r="I1101" s="25">
        <f>IF(C1101&lt;62,0,'Combined Retirement'!$I$13)</f>
        <v>2420</v>
      </c>
      <c r="J1101" s="25">
        <f t="shared" si="1043"/>
        <v>7863.2184191855868</v>
      </c>
      <c r="K1101" s="25">
        <f t="shared" si="1044"/>
        <v>20282.026119384056</v>
      </c>
      <c r="L1101" s="25"/>
      <c r="N1101" s="25">
        <f>'Combined Retirement'!$C$18/12</f>
        <v>39153.069999999992</v>
      </c>
      <c r="O1101" s="25">
        <f t="shared" si="1045"/>
        <v>11007.82546143035</v>
      </c>
      <c r="P1101" s="25">
        <f t="shared" si="1046"/>
        <v>28145.244538569641</v>
      </c>
      <c r="Q1101" s="25">
        <f t="array" aca="1" ref="Q1101" ca="1">INDEX('Isaac 401k'!L:L,MATCH('Retirement Calculator'!A1101,'Isaac 401k'!N:N,0),0)</f>
        <v>-15427441.197653828</v>
      </c>
      <c r="R1101" s="25">
        <f t="array" aca="1" ref="R1101" ca="1">INDEX('Lorri 401b'!L:L,MATCH('Retirement Calculator'!A1101,'Lorri 401b'!N:N,0),0)</f>
        <v>-39051306.796078064</v>
      </c>
      <c r="S1101" s="25">
        <f t="shared" ca="1" si="1047"/>
        <v>-54478747.993731894</v>
      </c>
    </row>
    <row r="1102" spans="1:19" ht="15.75" customHeight="1" x14ac:dyDescent="0.3">
      <c r="A1102" s="37">
        <v>84493</v>
      </c>
      <c r="B1102" s="409">
        <f t="shared" ref="B1102:C1102" si="1118">($A1102-B$9)/365.25</f>
        <v>149.45106091718</v>
      </c>
      <c r="C1102" s="409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2192</v>
      </c>
      <c r="I1102" s="25">
        <f>IF(C1102&lt;62,0,'Combined Retirement'!$I$13)</f>
        <v>2420</v>
      </c>
      <c r="J1102" s="25">
        <f t="shared" si="1043"/>
        <v>7863.2184191855868</v>
      </c>
      <c r="K1102" s="25">
        <f t="shared" si="1044"/>
        <v>20282.026119384056</v>
      </c>
      <c r="L1102" s="25"/>
      <c r="N1102" s="25">
        <f>'Combined Retirement'!$C$18/12</f>
        <v>39153.069999999992</v>
      </c>
      <c r="O1102" s="25">
        <f t="shared" si="1045"/>
        <v>11007.82546143035</v>
      </c>
      <c r="P1102" s="25">
        <f t="shared" si="1046"/>
        <v>28145.244538569641</v>
      </c>
      <c r="Q1102" s="25">
        <f t="array" aca="1" ref="Q1102" ca="1">INDEX('Isaac 401k'!L:L,MATCH('Retirement Calculator'!A1102,'Isaac 401k'!N:N,0),0)</f>
        <v>-15499618.184473317</v>
      </c>
      <c r="R1102" s="25">
        <f t="array" aca="1" ref="R1102" ca="1">INDEX('Lorri 401b'!L:L,MATCH('Retirement Calculator'!A1102,'Lorri 401b'!N:N,0),0)</f>
        <v>-39234387.108956598</v>
      </c>
      <c r="S1102" s="25">
        <f t="shared" ca="1" si="1047"/>
        <v>-54734005.293429911</v>
      </c>
    </row>
    <row r="1103" spans="1:19" ht="15.75" customHeight="1" x14ac:dyDescent="0.3">
      <c r="A1103" s="37">
        <v>84524</v>
      </c>
      <c r="B1103" s="409">
        <f t="shared" ref="B1103:C1103" si="1119">($A1103-B$9)/365.25</f>
        <v>149.5359342915811</v>
      </c>
      <c r="C1103" s="409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2192</v>
      </c>
      <c r="I1103" s="25">
        <f>IF(C1103&lt;62,0,'Combined Retirement'!$I$13)</f>
        <v>2420</v>
      </c>
      <c r="J1103" s="25">
        <f t="shared" si="1043"/>
        <v>7863.2184191855868</v>
      </c>
      <c r="K1103" s="25">
        <f t="shared" si="1044"/>
        <v>20282.026119384056</v>
      </c>
      <c r="L1103" s="25"/>
      <c r="N1103" s="25">
        <f>'Combined Retirement'!$C$18/12</f>
        <v>39153.069999999992</v>
      </c>
      <c r="O1103" s="25">
        <f t="shared" si="1045"/>
        <v>11007.82546143035</v>
      </c>
      <c r="P1103" s="25">
        <f t="shared" si="1046"/>
        <v>28145.244538569641</v>
      </c>
      <c r="Q1103" s="25">
        <f t="array" aca="1" ref="Q1103" ca="1">INDEX('Isaac 401k'!L:L,MATCH('Retirement Calculator'!A1103,'Isaac 401k'!N:N,0),0)</f>
        <v>-15572095.908737887</v>
      </c>
      <c r="R1103" s="25">
        <f t="array" aca="1" ref="R1103" ca="1">INDEX('Lorri 401b'!L:L,MATCH('Retirement Calculator'!A1103,'Lorri 401b'!N:N,0),0)</f>
        <v>-39418230.256472126</v>
      </c>
      <c r="S1103" s="25">
        <f t="shared" ca="1" si="1047"/>
        <v>-54990326.165210009</v>
      </c>
    </row>
    <row r="1104" spans="1:19" ht="15.75" customHeight="1" x14ac:dyDescent="0.3">
      <c r="A1104" s="37">
        <v>84554</v>
      </c>
      <c r="B1104" s="409">
        <f t="shared" ref="B1104:C1104" si="1120">($A1104-B$9)/365.25</f>
        <v>149.61806981519507</v>
      </c>
      <c r="C1104" s="409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2192</v>
      </c>
      <c r="I1104" s="25">
        <f>IF(C1104&lt;62,0,'Combined Retirement'!$I$13)</f>
        <v>2420</v>
      </c>
      <c r="J1104" s="25">
        <f t="shared" si="1043"/>
        <v>7863.2184191855868</v>
      </c>
      <c r="K1104" s="25">
        <f t="shared" si="1044"/>
        <v>20282.026119384056</v>
      </c>
      <c r="L1104" s="25"/>
      <c r="N1104" s="25">
        <f>'Combined Retirement'!$C$18/12</f>
        <v>39153.069999999992</v>
      </c>
      <c r="O1104" s="25">
        <f t="shared" si="1045"/>
        <v>11007.82546143035</v>
      </c>
      <c r="P1104" s="25">
        <f t="shared" si="1046"/>
        <v>28145.244538569641</v>
      </c>
      <c r="Q1104" s="25">
        <f t="array" aca="1" ref="Q1104" ca="1">INDEX('Isaac 401k'!L:L,MATCH('Retirement Calculator'!A1104,'Isaac 401k'!N:N,0),0)</f>
        <v>-15644875.623520225</v>
      </c>
      <c r="R1104" s="25">
        <f t="array" aca="1" ref="R1104" ca="1">INDEX('Lorri 401b'!L:L,MATCH('Retirement Calculator'!A1104,'Lorri 401b'!N:N,0),0)</f>
        <v>-39602839.417102307</v>
      </c>
      <c r="S1104" s="25">
        <f t="shared" ca="1" si="1047"/>
        <v>-55247715.040622532</v>
      </c>
    </row>
    <row r="1105" spans="1:19" ht="15.75" customHeight="1" x14ac:dyDescent="0.3">
      <c r="A1105" s="37">
        <v>84585</v>
      </c>
      <c r="B1105" s="409">
        <f t="shared" ref="B1105:C1105" si="1121">($A1105-B$9)/365.25</f>
        <v>149.70294318959617</v>
      </c>
      <c r="C1105" s="409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2192</v>
      </c>
      <c r="I1105" s="25">
        <f>IF(C1105&lt;62,0,'Combined Retirement'!$I$13)</f>
        <v>2420</v>
      </c>
      <c r="J1105" s="25">
        <f t="shared" si="1043"/>
        <v>7863.2184191855868</v>
      </c>
      <c r="K1105" s="25">
        <f t="shared" si="1044"/>
        <v>20282.026119384056</v>
      </c>
      <c r="L1105" s="25"/>
      <c r="N1105" s="25">
        <f>'Combined Retirement'!$C$18/12</f>
        <v>39153.069999999992</v>
      </c>
      <c r="O1105" s="25">
        <f t="shared" si="1045"/>
        <v>11007.82546143035</v>
      </c>
      <c r="P1105" s="25">
        <f t="shared" si="1046"/>
        <v>28145.244538569641</v>
      </c>
      <c r="Q1105" s="25">
        <f t="array" aca="1" ref="Q1105" ca="1">INDEX('Isaac 401k'!L:L,MATCH('Retirement Calculator'!A1105,'Isaac 401k'!N:N,0),0)</f>
        <v>-15717958.587114157</v>
      </c>
      <c r="R1105" s="25">
        <f t="array" aca="1" ref="R1105" ca="1">INDEX('Lorri 401b'!L:L,MATCH('Retirement Calculator'!A1105,'Lorri 401b'!N:N,0),0)</f>
        <v>-39788217.782568447</v>
      </c>
      <c r="S1105" s="25">
        <f t="shared" ca="1" si="1047"/>
        <v>-55506176.369682603</v>
      </c>
    </row>
    <row r="1106" spans="1:19" ht="15.75" customHeight="1" x14ac:dyDescent="0.3">
      <c r="A1106" s="37">
        <v>84616</v>
      </c>
      <c r="B1106" s="409">
        <f t="shared" ref="B1106:C1106" si="1122">($A1106-B$9)/365.25</f>
        <v>149.78781656399727</v>
      </c>
      <c r="C1106" s="409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2192</v>
      </c>
      <c r="I1106" s="25">
        <f>IF(C1106&lt;62,0,'Combined Retirement'!$I$13)</f>
        <v>2420</v>
      </c>
      <c r="J1106" s="25">
        <f t="shared" si="1043"/>
        <v>7863.2184191855868</v>
      </c>
      <c r="K1106" s="25">
        <f t="shared" si="1044"/>
        <v>20282.026119384056</v>
      </c>
      <c r="L1106" s="25"/>
      <c r="N1106" s="25">
        <f>'Combined Retirement'!$C$18/12</f>
        <v>39153.069999999992</v>
      </c>
      <c r="O1106" s="25">
        <f t="shared" si="1045"/>
        <v>11007.82546143035</v>
      </c>
      <c r="P1106" s="25">
        <f t="shared" si="1046"/>
        <v>28145.244538569641</v>
      </c>
      <c r="Q1106" s="25">
        <f t="array" aca="1" ref="Q1106" ca="1">INDEX('Isaac 401k'!L:L,MATCH('Retirement Calculator'!A1106,'Isaac 401k'!N:N,0),0)</f>
        <v>-15791346.063056398</v>
      </c>
      <c r="R1106" s="25">
        <f t="array" aca="1" ref="R1106" ca="1">INDEX('Lorri 401b'!L:L,MATCH('Retirement Calculator'!A1106,'Lorri 401b'!N:N,0),0)</f>
        <v>-39974368.557890691</v>
      </c>
      <c r="S1106" s="25">
        <f t="shared" ca="1" si="1047"/>
        <v>-55765714.620947093</v>
      </c>
    </row>
    <row r="1107" spans="1:19" ht="15.75" customHeight="1" x14ac:dyDescent="0.3">
      <c r="A1107" s="37">
        <v>84646</v>
      </c>
      <c r="B1107" s="409">
        <f t="shared" ref="B1107:C1107" si="1123">($A1107-B$9)/365.25</f>
        <v>149.86995208761124</v>
      </c>
      <c r="C1107" s="409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2192</v>
      </c>
      <c r="I1107" s="25">
        <f>IF(C1107&lt;62,0,'Combined Retirement'!$I$13)</f>
        <v>2420</v>
      </c>
      <c r="J1107" s="25">
        <f t="shared" si="1043"/>
        <v>7863.2184191855868</v>
      </c>
      <c r="K1107" s="25">
        <f t="shared" si="1044"/>
        <v>20282.026119384056</v>
      </c>
      <c r="L1107" s="25"/>
      <c r="N1107" s="25">
        <f>'Combined Retirement'!$C$18/12</f>
        <v>39153.069999999992</v>
      </c>
      <c r="O1107" s="25">
        <f t="shared" si="1045"/>
        <v>11007.82546143035</v>
      </c>
      <c r="P1107" s="25">
        <f t="shared" si="1046"/>
        <v>28145.244538569641</v>
      </c>
      <c r="Q1107" s="25">
        <f t="array" aca="1" ref="Q1107" ca="1">INDEX('Isaac 401k'!L:L,MATCH('Retirement Calculator'!A1107,'Isaac 401k'!N:N,0),0)</f>
        <v>-15865039.320148397</v>
      </c>
      <c r="R1107" s="25">
        <f t="array" aca="1" ref="R1107" ca="1">INDEX('Lorri 401b'!L:L,MATCH('Retirement Calculator'!A1107,'Lorri 401b'!N:N,0),0)</f>
        <v>-40161294.961443447</v>
      </c>
      <c r="S1107" s="25">
        <f t="shared" ca="1" si="1047"/>
        <v>-56026334.281591848</v>
      </c>
    </row>
    <row r="1108" spans="1:19" ht="15.75" customHeight="1" x14ac:dyDescent="0.3">
      <c r="A1108" s="37">
        <v>84677</v>
      </c>
      <c r="B1108" s="409">
        <f t="shared" ref="B1108:C1108" si="1124">($A1108-B$9)/365.25</f>
        <v>149.95482546201231</v>
      </c>
      <c r="C1108" s="409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2192</v>
      </c>
      <c r="I1108" s="25">
        <f>IF(C1108&lt;62,0,'Combined Retirement'!$I$13)</f>
        <v>2420</v>
      </c>
      <c r="J1108" s="25">
        <f t="shared" si="1043"/>
        <v>7863.2184191855868</v>
      </c>
      <c r="K1108" s="25">
        <f t="shared" si="1044"/>
        <v>20282.026119384056</v>
      </c>
      <c r="L1108" s="25"/>
      <c r="N1108" s="25">
        <f>'Combined Retirement'!$C$18/12</f>
        <v>39153.069999999992</v>
      </c>
      <c r="O1108" s="25">
        <f t="shared" si="1045"/>
        <v>11007.82546143035</v>
      </c>
      <c r="P1108" s="25">
        <f t="shared" si="1046"/>
        <v>28145.244538569641</v>
      </c>
      <c r="Q1108" s="25">
        <f t="array" aca="1" ref="Q1108" ca="1">INDEX('Isaac 401k'!L:L,MATCH('Retirement Calculator'!A1108,'Isaac 401k'!N:N,0),0)</f>
        <v>-15939039.63247828</v>
      </c>
      <c r="R1108" s="25">
        <f t="array" aca="1" ref="R1108" ca="1">INDEX('Lorri 401b'!L:L,MATCH('Retirement Calculator'!A1108,'Lorri 401b'!N:N,0),0)</f>
        <v>-40349000.225011006</v>
      </c>
      <c r="S1108" s="25">
        <f t="shared" ca="1" si="1047"/>
        <v>-56288039.857489288</v>
      </c>
    </row>
    <row r="1109" spans="1:19" ht="15.75" customHeight="1" x14ac:dyDescent="0.3">
      <c r="A1109" s="37">
        <v>84707</v>
      </c>
      <c r="B1109" s="409">
        <f t="shared" ref="B1109:C1109" si="1125">($A1109-B$9)/365.25</f>
        <v>150.03696098562628</v>
      </c>
      <c r="C1109" s="409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2192</v>
      </c>
      <c r="I1109" s="25">
        <f>IF(C1109&lt;62,0,'Combined Retirement'!$I$13)</f>
        <v>2420</v>
      </c>
      <c r="J1109" s="25">
        <f t="shared" si="1043"/>
        <v>7863.2184191855868</v>
      </c>
      <c r="K1109" s="25">
        <f t="shared" si="1044"/>
        <v>20282.026119384056</v>
      </c>
      <c r="L1109" s="25"/>
      <c r="N1109" s="25">
        <f>'Combined Retirement'!$C$18/12</f>
        <v>39153.069999999992</v>
      </c>
      <c r="O1109" s="25">
        <f t="shared" si="1045"/>
        <v>11007.82546143035</v>
      </c>
      <c r="P1109" s="25">
        <f t="shared" si="1046"/>
        <v>28145.244538569641</v>
      </c>
      <c r="Q1109" s="25">
        <f t="array" aca="1" ref="Q1109" ca="1">INDEX('Isaac 401k'!L:L,MATCH('Retirement Calculator'!A1109,'Isaac 401k'!N:N,0),0)</f>
        <v>-16013348.279442871</v>
      </c>
      <c r="R1109" s="25">
        <f t="array" aca="1" ref="R1109" ca="1">INDEX('Lorri 401b'!L:L,MATCH('Retirement Calculator'!A1109,'Lorri 401b'!N:N,0),0)</f>
        <v>-40537487.59384343</v>
      </c>
      <c r="S1109" s="25">
        <f t="shared" ca="1" si="1047"/>
        <v>-56550835.873286299</v>
      </c>
    </row>
    <row r="1110" spans="1:19" ht="15.75" customHeight="1" x14ac:dyDescent="0.3">
      <c r="A1110" s="37">
        <v>84738</v>
      </c>
      <c r="B1110" s="409">
        <f t="shared" ref="B1110:C1110" si="1126">($A1110-B$9)/365.25</f>
        <v>150.12183436002738</v>
      </c>
      <c r="C1110" s="409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2192</v>
      </c>
      <c r="I1110" s="25">
        <f>IF(C1110&lt;62,0,'Combined Retirement'!$I$13)</f>
        <v>2420</v>
      </c>
      <c r="J1110" s="25">
        <f t="shared" si="1043"/>
        <v>7863.2184191855868</v>
      </c>
      <c r="K1110" s="25">
        <f t="shared" si="1044"/>
        <v>20282.026119384056</v>
      </c>
      <c r="L1110" s="25"/>
      <c r="N1110" s="25">
        <f>'Combined Retirement'!$C$18/12</f>
        <v>39153.069999999992</v>
      </c>
      <c r="O1110" s="25">
        <f t="shared" si="1045"/>
        <v>11007.82546143035</v>
      </c>
      <c r="P1110" s="25">
        <f t="shared" si="1046"/>
        <v>28145.244538569641</v>
      </c>
      <c r="Q1110" s="25">
        <f t="array" aca="1" ref="Q1110" ca="1">INDEX('Isaac 401k'!L:L,MATCH('Retirement Calculator'!A1110,'Isaac 401k'!N:N,0),0)</f>
        <v>-16087966.545769814</v>
      </c>
      <c r="R1110" s="25">
        <f t="array" aca="1" ref="R1110" ca="1">INDEX('Lorri 401b'!L:L,MATCH('Retirement Calculator'!A1110,'Lorri 401b'!N:N,0),0)</f>
        <v>-40726760.326712653</v>
      </c>
      <c r="S1110" s="25">
        <f t="shared" ca="1" si="1047"/>
        <v>-56814726.872482464</v>
      </c>
    </row>
    <row r="1111" spans="1:19" ht="15.75" customHeight="1" x14ac:dyDescent="0.3">
      <c r="A1111" s="37">
        <v>84769</v>
      </c>
      <c r="B1111" s="409">
        <f t="shared" ref="B1111:C1111" si="1127">($A1111-B$9)/365.25</f>
        <v>150.20670773442848</v>
      </c>
      <c r="C1111" s="409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2192</v>
      </c>
      <c r="I1111" s="25">
        <f>IF(C1111&lt;62,0,'Combined Retirement'!$I$13)</f>
        <v>2420</v>
      </c>
      <c r="J1111" s="25">
        <f t="shared" si="1043"/>
        <v>7863.2184191855868</v>
      </c>
      <c r="K1111" s="25">
        <f t="shared" si="1044"/>
        <v>20282.026119384056</v>
      </c>
      <c r="L1111" s="25"/>
      <c r="N1111" s="25">
        <f>'Combined Retirement'!$C$18/12</f>
        <v>39153.069999999992</v>
      </c>
      <c r="O1111" s="25">
        <f t="shared" si="1045"/>
        <v>11007.82546143035</v>
      </c>
      <c r="P1111" s="25">
        <f t="shared" si="1046"/>
        <v>28145.244538569641</v>
      </c>
      <c r="Q1111" s="25">
        <f t="array" aca="1" ref="Q1111" ca="1">INDEX('Isaac 401k'!L:L,MATCH('Retirement Calculator'!A1111,'Isaac 401k'!N:N,0),0)</f>
        <v>-16162895.721539786</v>
      </c>
      <c r="R1111" s="25">
        <f t="array" aca="1" ref="R1111" ca="1">INDEX('Lorri 401b'!L:L,MATCH('Retirement Calculator'!A1111,'Lorri 401b'!N:N,0),0)</f>
        <v>-40916821.695968837</v>
      </c>
      <c r="S1111" s="25">
        <f t="shared" ca="1" si="1047"/>
        <v>-57079717.417508624</v>
      </c>
    </row>
    <row r="1112" spans="1:19" ht="15.75" customHeight="1" x14ac:dyDescent="0.3">
      <c r="A1112" s="37">
        <v>84798</v>
      </c>
      <c r="B1112" s="409">
        <f t="shared" ref="B1112:C1112" si="1128">($A1112-B$9)/365.25</f>
        <v>150.28610540725529</v>
      </c>
      <c r="C1112" s="409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2192</v>
      </c>
      <c r="I1112" s="25">
        <f>IF(C1112&lt;62,0,'Combined Retirement'!$I$13)</f>
        <v>2420</v>
      </c>
      <c r="J1112" s="25">
        <f t="shared" si="1043"/>
        <v>7863.2184191855868</v>
      </c>
      <c r="K1112" s="25">
        <f t="shared" si="1044"/>
        <v>20282.026119384056</v>
      </c>
      <c r="L1112" s="25"/>
      <c r="N1112" s="25">
        <f>'Combined Retirement'!$C$18/12</f>
        <v>39153.069999999992</v>
      </c>
      <c r="O1112" s="25">
        <f t="shared" si="1045"/>
        <v>11007.82546143035</v>
      </c>
      <c r="P1112" s="25">
        <f t="shared" si="1046"/>
        <v>28145.244538569641</v>
      </c>
      <c r="Q1112" s="25">
        <f t="array" aca="1" ref="Q1112" ca="1">INDEX('Isaac 401k'!L:L,MATCH('Retirement Calculator'!A1112,'Isaac 401k'!N:N,0),0)</f>
        <v>-16238137.102208801</v>
      </c>
      <c r="R1112" s="25">
        <f t="array" aca="1" ref="R1112" ca="1">INDEX('Lorri 401b'!L:L,MATCH('Retirement Calculator'!A1112,'Lorri 401b'!N:N,0),0)</f>
        <v>-41107674.987596922</v>
      </c>
      <c r="S1112" s="25">
        <f t="shared" ca="1" si="1047"/>
        <v>-57345812.089805722</v>
      </c>
    </row>
    <row r="1113" spans="1:19" ht="15.75" customHeight="1" x14ac:dyDescent="0.3">
      <c r="A1113" s="37">
        <v>84829</v>
      </c>
      <c r="B1113" s="409">
        <f t="shared" ref="B1113:C1113" si="1129">($A1113-B$9)/365.25</f>
        <v>150.37097878165639</v>
      </c>
      <c r="C1113" s="409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2192</v>
      </c>
      <c r="I1113" s="25">
        <f>IF(C1113&lt;62,0,'Combined Retirement'!$I$13)</f>
        <v>2420</v>
      </c>
      <c r="J1113" s="25">
        <f t="shared" si="1043"/>
        <v>7863.2184191855868</v>
      </c>
      <c r="K1113" s="25">
        <f t="shared" si="1044"/>
        <v>20282.026119384056</v>
      </c>
      <c r="L1113" s="25"/>
      <c r="N1113" s="25">
        <f>'Combined Retirement'!$C$18/12</f>
        <v>39153.069999999992</v>
      </c>
      <c r="O1113" s="25">
        <f t="shared" si="1045"/>
        <v>11007.82546143035</v>
      </c>
      <c r="P1113" s="25">
        <f t="shared" si="1046"/>
        <v>28145.244538569641</v>
      </c>
      <c r="Q1113" s="25">
        <f t="array" aca="1" ref="Q1113" ca="1">INDEX('Isaac 401k'!L:L,MATCH('Retirement Calculator'!A1113,'Isaac 401k'!N:N,0),0)</f>
        <v>-16313691.988630602</v>
      </c>
      <c r="R1113" s="25">
        <f t="array" aca="1" ref="R1113" ca="1">INDEX('Lorri 401b'!L:L,MATCH('Retirement Calculator'!A1113,'Lorri 401b'!N:N,0),0)</f>
        <v>-41299323.501273453</v>
      </c>
      <c r="S1113" s="25">
        <f t="shared" ca="1" si="1047"/>
        <v>-57613015.489904054</v>
      </c>
    </row>
    <row r="1114" spans="1:19" ht="15.75" customHeight="1" x14ac:dyDescent="0.3">
      <c r="A1114" s="37">
        <v>84859</v>
      </c>
      <c r="B1114" s="409">
        <f t="shared" ref="B1114:C1114" si="1130">($A1114-B$9)/365.25</f>
        <v>150.45311430527036</v>
      </c>
      <c r="C1114" s="409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2192</v>
      </c>
      <c r="I1114" s="25">
        <f>IF(C1114&lt;62,0,'Combined Retirement'!$I$13)</f>
        <v>2420</v>
      </c>
      <c r="J1114" s="25">
        <f t="shared" si="1043"/>
        <v>7863.2184191855868</v>
      </c>
      <c r="K1114" s="25">
        <f t="shared" si="1044"/>
        <v>20282.026119384056</v>
      </c>
      <c r="L1114" s="25"/>
      <c r="N1114" s="25">
        <f>'Combined Retirement'!$C$18/12</f>
        <v>39153.069999999992</v>
      </c>
      <c r="O1114" s="25">
        <f t="shared" si="1045"/>
        <v>11007.82546143035</v>
      </c>
      <c r="P1114" s="25">
        <f t="shared" si="1046"/>
        <v>28145.244538569641</v>
      </c>
      <c r="Q1114" s="25">
        <f t="array" aca="1" ref="Q1114" ca="1">INDEX('Isaac 401k'!L:L,MATCH('Retirement Calculator'!A1114,'Isaac 401k'!N:N,0),0)</f>
        <v>-16389561.687079161</v>
      </c>
      <c r="R1114" s="25">
        <f t="array" aca="1" ref="R1114" ca="1">INDEX('Lorri 401b'!L:L,MATCH('Retirement Calculator'!A1114,'Lorri 401b'!N:N,0),0)</f>
        <v>-41491770.550423637</v>
      </c>
      <c r="S1114" s="25">
        <f t="shared" ca="1" si="1047"/>
        <v>-57881332.237502798</v>
      </c>
    </row>
    <row r="1115" spans="1:19" ht="15.75" customHeight="1" x14ac:dyDescent="0.3">
      <c r="A1115" s="37">
        <v>84890</v>
      </c>
      <c r="B1115" s="409">
        <f t="shared" ref="B1115:C1115" si="1131">($A1115-B$9)/365.25</f>
        <v>150.53798767967146</v>
      </c>
      <c r="C1115" s="409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2192</v>
      </c>
      <c r="I1115" s="25">
        <f>IF(C1115&lt;62,0,'Combined Retirement'!$I$13)</f>
        <v>2420</v>
      </c>
      <c r="J1115" s="25">
        <f t="shared" si="1043"/>
        <v>7863.2184191855868</v>
      </c>
      <c r="K1115" s="25">
        <f t="shared" si="1044"/>
        <v>20282.026119384056</v>
      </c>
      <c r="L1115" s="25"/>
      <c r="N1115" s="25">
        <f>'Combined Retirement'!$C$18/12</f>
        <v>39153.069999999992</v>
      </c>
      <c r="O1115" s="25">
        <f t="shared" si="1045"/>
        <v>11007.82546143035</v>
      </c>
      <c r="P1115" s="25">
        <f t="shared" si="1046"/>
        <v>28145.244538569641</v>
      </c>
      <c r="Q1115" s="25">
        <f t="array" aca="1" ref="Q1115" ca="1">INDEX('Isaac 401k'!L:L,MATCH('Retirement Calculator'!A1115,'Isaac 401k'!N:N,0),0)</f>
        <v>-16465747.509271257</v>
      </c>
      <c r="R1115" s="25">
        <f t="array" aca="1" ref="R1115" ca="1">INDEX('Lorri 401b'!L:L,MATCH('Retirement Calculator'!A1115,'Lorri 401b'!N:N,0),0)</f>
        <v>-41685019.462278612</v>
      </c>
      <c r="S1115" s="25">
        <f t="shared" ca="1" si="1047"/>
        <v>-58150766.971549869</v>
      </c>
    </row>
    <row r="1116" spans="1:19" ht="15.75" customHeight="1" x14ac:dyDescent="0.3">
      <c r="A1116" s="37">
        <v>84920</v>
      </c>
      <c r="B1116" s="409">
        <f t="shared" ref="B1116:C1116" si="1132">($A1116-B$9)/365.25</f>
        <v>150.62012320328543</v>
      </c>
      <c r="C1116" s="409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2192</v>
      </c>
      <c r="I1116" s="25">
        <f>IF(C1116&lt;62,0,'Combined Retirement'!$I$13)</f>
        <v>2420</v>
      </c>
      <c r="J1116" s="25">
        <f t="shared" si="1043"/>
        <v>7863.2184191855868</v>
      </c>
      <c r="K1116" s="25">
        <f t="shared" si="1044"/>
        <v>20282.026119384056</v>
      </c>
      <c r="L1116" s="25"/>
      <c r="N1116" s="25">
        <f>'Combined Retirement'!$C$18/12</f>
        <v>39153.069999999992</v>
      </c>
      <c r="O1116" s="25">
        <f t="shared" si="1045"/>
        <v>11007.82546143035</v>
      </c>
      <c r="P1116" s="25">
        <f t="shared" si="1046"/>
        <v>28145.244538569641</v>
      </c>
      <c r="Q1116" s="25">
        <f t="array" aca="1" ref="Q1116" ca="1">INDEX('Isaac 401k'!L:L,MATCH('Retirement Calculator'!A1116,'Isaac 401k'!N:N,0),0)</f>
        <v>-16542250.772389151</v>
      </c>
      <c r="R1116" s="25">
        <f t="array" aca="1" ref="R1116" ca="1">INDEX('Lorri 401b'!L:L,MATCH('Retirement Calculator'!A1116,'Lorri 401b'!N:N,0),0)</f>
        <v>-41879073.577932984</v>
      </c>
      <c r="S1116" s="25">
        <f t="shared" ca="1" si="1047"/>
        <v>-58421324.350322135</v>
      </c>
    </row>
    <row r="1117" spans="1:19" ht="15.75" customHeight="1" x14ac:dyDescent="0.3">
      <c r="A1117" s="37">
        <v>84951</v>
      </c>
      <c r="B1117" s="409">
        <f t="shared" ref="B1117:C1117" si="1133">($A1117-B$9)/365.25</f>
        <v>150.70499657768653</v>
      </c>
      <c r="C1117" s="409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2192</v>
      </c>
      <c r="I1117" s="25">
        <f>IF(C1117&lt;62,0,'Combined Retirement'!$I$13)</f>
        <v>2420</v>
      </c>
      <c r="J1117" s="25">
        <f t="shared" si="1043"/>
        <v>7863.2184191855868</v>
      </c>
      <c r="K1117" s="25">
        <f t="shared" si="1044"/>
        <v>20282.026119384056</v>
      </c>
      <c r="L1117" s="25"/>
      <c r="N1117" s="25">
        <f>'Combined Retirement'!$C$18/12</f>
        <v>39153.069999999992</v>
      </c>
      <c r="O1117" s="25">
        <f t="shared" si="1045"/>
        <v>11007.82546143035</v>
      </c>
      <c r="P1117" s="25">
        <f t="shared" si="1046"/>
        <v>28145.244538569641</v>
      </c>
      <c r="Q1117" s="25">
        <f t="array" aca="1" ref="Q1117" ca="1">INDEX('Isaac 401k'!L:L,MATCH('Retirement Calculator'!A1117,'Isaac 401k'!N:N,0),0)</f>
        <v>-16619072.79910337</v>
      </c>
      <c r="R1117" s="25">
        <f t="array" aca="1" ref="R1117" ca="1">INDEX('Lorri 401b'!L:L,MATCH('Retirement Calculator'!A1117,'Lorri 401b'!N:N,0),0)</f>
        <v>-42073936.252402581</v>
      </c>
      <c r="S1117" s="25">
        <f t="shared" ca="1" si="1047"/>
        <v>-58693009.051505953</v>
      </c>
    </row>
    <row r="1118" spans="1:19" ht="15.75" customHeight="1" x14ac:dyDescent="0.3">
      <c r="A1118" s="37">
        <v>84982</v>
      </c>
      <c r="B1118" s="409">
        <f t="shared" ref="B1118:C1118" si="1134">($A1118-B$9)/365.25</f>
        <v>150.7898699520876</v>
      </c>
      <c r="C1118" s="409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2192</v>
      </c>
      <c r="I1118" s="25">
        <f>IF(C1118&lt;62,0,'Combined Retirement'!$I$13)</f>
        <v>2420</v>
      </c>
      <c r="J1118" s="25">
        <f t="shared" si="1043"/>
        <v>7863.2184191855868</v>
      </c>
      <c r="K1118" s="25">
        <f t="shared" si="1044"/>
        <v>20282.026119384056</v>
      </c>
      <c r="L1118" s="25"/>
      <c r="N1118" s="25">
        <f>'Combined Retirement'!$C$18/12</f>
        <v>39153.069999999992</v>
      </c>
      <c r="O1118" s="25">
        <f t="shared" si="1045"/>
        <v>11007.82546143035</v>
      </c>
      <c r="P1118" s="25">
        <f t="shared" si="1046"/>
        <v>28145.244538569641</v>
      </c>
      <c r="Q1118" s="25">
        <f t="array" aca="1" ref="Q1118" ca="1">INDEX('Isaac 401k'!L:L,MATCH('Retirement Calculator'!A1118,'Isaac 401k'!N:N,0),0)</f>
        <v>-16696214.917595565</v>
      </c>
      <c r="R1118" s="25">
        <f t="array" aca="1" ref="R1118" ca="1">INDEX('Lorri 401b'!L:L,MATCH('Retirement Calculator'!A1118,'Lorri 401b'!N:N,0),0)</f>
        <v>-42269610.854682468</v>
      </c>
      <c r="S1118" s="25">
        <f t="shared" ca="1" si="1047"/>
        <v>-58965825.772278033</v>
      </c>
    </row>
    <row r="1119" spans="1:19" ht="15.75" customHeight="1" x14ac:dyDescent="0.3">
      <c r="A1119" s="37">
        <v>85012</v>
      </c>
      <c r="B1119" s="409">
        <f t="shared" ref="B1119:C1119" si="1135">($A1119-B$9)/365.25</f>
        <v>150.87200547570157</v>
      </c>
      <c r="C1119" s="409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2192</v>
      </c>
      <c r="I1119" s="25">
        <f>IF(C1119&lt;62,0,'Combined Retirement'!$I$13)</f>
        <v>2420</v>
      </c>
      <c r="J1119" s="25">
        <f t="shared" si="1043"/>
        <v>7863.2184191855868</v>
      </c>
      <c r="K1119" s="25">
        <f t="shared" si="1044"/>
        <v>20282.026119384056</v>
      </c>
      <c r="L1119" s="25"/>
      <c r="N1119" s="25">
        <f>'Combined Retirement'!$C$18/12</f>
        <v>39153.069999999992</v>
      </c>
      <c r="O1119" s="25">
        <f t="shared" si="1045"/>
        <v>11007.82546143035</v>
      </c>
      <c r="P1119" s="25">
        <f t="shared" si="1046"/>
        <v>28145.244538569641</v>
      </c>
      <c r="Q1119" s="25">
        <f t="array" aca="1" ref="Q1119" ca="1">INDEX('Isaac 401k'!L:L,MATCH('Retirement Calculator'!A1119,'Isaac 401k'!N:N,0),0)</f>
        <v>-16773678.461581478</v>
      </c>
      <c r="R1119" s="25">
        <f t="array" aca="1" ref="R1119" ca="1">INDEX('Lorri 401b'!L:L,MATCH('Retirement Calculator'!A1119,'Lorri 401b'!N:N,0),0)</f>
        <v>-42466100.767805189</v>
      </c>
      <c r="S1119" s="25">
        <f t="shared" ca="1" si="1047"/>
        <v>-59239779.229386665</v>
      </c>
    </row>
    <row r="1120" spans="1:19" ht="15.75" customHeight="1" x14ac:dyDescent="0.3">
      <c r="A1120" s="37">
        <v>85043</v>
      </c>
      <c r="B1120" s="409">
        <f t="shared" ref="B1120:C1120" si="1136">($A1120-B$9)/365.25</f>
        <v>150.95687885010267</v>
      </c>
      <c r="C1120" s="409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2192</v>
      </c>
      <c r="I1120" s="25">
        <f>IF(C1120&lt;62,0,'Combined Retirement'!$I$13)</f>
        <v>2420</v>
      </c>
      <c r="J1120" s="25">
        <f t="shared" si="1043"/>
        <v>7863.2184191855868</v>
      </c>
      <c r="K1120" s="25">
        <f t="shared" si="1044"/>
        <v>20282.026119384056</v>
      </c>
      <c r="L1120" s="25"/>
      <c r="N1120" s="25">
        <f>'Combined Retirement'!$C$18/12</f>
        <v>39153.069999999992</v>
      </c>
      <c r="O1120" s="25">
        <f t="shared" si="1045"/>
        <v>11007.82546143035</v>
      </c>
      <c r="P1120" s="25">
        <f t="shared" si="1046"/>
        <v>28145.244538569641</v>
      </c>
      <c r="Q1120" s="25">
        <f t="array" aca="1" ref="Q1120" ca="1">INDEX('Isaac 401k'!L:L,MATCH('Retirement Calculator'!A1120,'Isaac 401k'!N:N,0),0)</f>
        <v>-16851464.770333998</v>
      </c>
      <c r="R1120" s="25">
        <f t="array" aca="1" ref="R1120" ca="1">INDEX('Lorri 401b'!L:L,MATCH('Retirement Calculator'!A1120,'Lorri 401b'!N:N,0),0)</f>
        <v>-42663409.388899259</v>
      </c>
      <c r="S1120" s="25">
        <f t="shared" ca="1" si="1047"/>
        <v>-59514874.159233257</v>
      </c>
    </row>
    <row r="1121" spans="1:19" ht="15.75" customHeight="1" x14ac:dyDescent="0.3">
      <c r="A1121" s="37">
        <v>85073</v>
      </c>
      <c r="B1121" s="409">
        <f t="shared" ref="B1121:C1121" si="1137">($A1121-B$9)/365.25</f>
        <v>151.03901437371664</v>
      </c>
      <c r="C1121" s="409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2192</v>
      </c>
      <c r="I1121" s="25">
        <f>IF(C1121&lt;62,0,'Combined Retirement'!$I$13)</f>
        <v>2420</v>
      </c>
      <c r="J1121" s="25">
        <f t="shared" si="1043"/>
        <v>7863.2184191855868</v>
      </c>
      <c r="K1121" s="25">
        <f t="shared" si="1044"/>
        <v>20282.026119384056</v>
      </c>
      <c r="L1121" s="25"/>
      <c r="N1121" s="25">
        <f>'Combined Retirement'!$C$18/12</f>
        <v>39153.069999999992</v>
      </c>
      <c r="O1121" s="25">
        <f t="shared" si="1045"/>
        <v>11007.82546143035</v>
      </c>
      <c r="P1121" s="25">
        <f t="shared" si="1046"/>
        <v>28145.244538569641</v>
      </c>
      <c r="Q1121" s="25">
        <f t="array" aca="1" ref="Q1121" ca="1">INDEX('Isaac 401k'!L:L,MATCH('Retirement Calculator'!A1121,'Isaac 401k'!N:N,0),0)</f>
        <v>-16929575.188706324</v>
      </c>
      <c r="R1121" s="25">
        <f t="array" aca="1" ref="R1121" ca="1">INDEX('Lorri 401b'!L:L,MATCH('Retirement Calculator'!A1121,'Lorri 401b'!N:N,0),0)</f>
        <v>-42861540.129247881</v>
      </c>
      <c r="S1121" s="25">
        <f t="shared" ca="1" si="1047"/>
        <v>-59791115.317954205</v>
      </c>
    </row>
    <row r="1122" spans="1:19" ht="15.75" customHeight="1" x14ac:dyDescent="0.3">
      <c r="A1122" s="37">
        <v>85104</v>
      </c>
      <c r="B1122" s="409">
        <f t="shared" ref="B1122:C1122" si="1138">($A1122-B$9)/365.25</f>
        <v>151.12388774811774</v>
      </c>
      <c r="C1122" s="409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2192</v>
      </c>
      <c r="I1122" s="25">
        <f>IF(C1122&lt;62,0,'Combined Retirement'!$I$13)</f>
        <v>2420</v>
      </c>
      <c r="J1122" s="25">
        <f t="shared" si="1043"/>
        <v>7863.2184191855868</v>
      </c>
      <c r="K1122" s="25">
        <f t="shared" si="1044"/>
        <v>20282.026119384056</v>
      </c>
      <c r="L1122" s="25"/>
      <c r="N1122" s="25">
        <f>'Combined Retirement'!$C$18/12</f>
        <v>39153.069999999992</v>
      </c>
      <c r="O1122" s="25">
        <f t="shared" si="1045"/>
        <v>11007.82546143035</v>
      </c>
      <c r="P1122" s="25">
        <f t="shared" si="1046"/>
        <v>28145.244538569641</v>
      </c>
      <c r="Q1122" s="25">
        <f t="array" aca="1" ref="Q1122" ca="1">INDEX('Isaac 401k'!L:L,MATCH('Retirement Calculator'!A1122,'Isaac 401k'!N:N,0),0)</f>
        <v>-17008011.067155201</v>
      </c>
      <c r="R1122" s="25">
        <f t="array" aca="1" ref="R1122" ca="1">INDEX('Lorri 401b'!L:L,MATCH('Retirement Calculator'!A1122,'Lorri 401b'!N:N,0),0)</f>
        <v>-43060496.414347962</v>
      </c>
      <c r="S1122" s="25">
        <f t="shared" ca="1" si="1047"/>
        <v>-60068507.481503159</v>
      </c>
    </row>
    <row r="1123" spans="1:19" ht="15.75" customHeight="1" x14ac:dyDescent="0.3">
      <c r="A1123" s="37">
        <v>85135</v>
      </c>
      <c r="B1123" s="409">
        <f t="shared" ref="B1123:C1123" si="1139">($A1123-B$9)/365.25</f>
        <v>151.20876112251884</v>
      </c>
      <c r="C1123" s="409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2192</v>
      </c>
      <c r="I1123" s="25">
        <f>IF(C1123&lt;62,0,'Combined Retirement'!$I$13)</f>
        <v>2420</v>
      </c>
      <c r="J1123" s="25">
        <f t="shared" si="1043"/>
        <v>7863.2184191855868</v>
      </c>
      <c r="K1123" s="25">
        <f t="shared" si="1044"/>
        <v>20282.026119384056</v>
      </c>
      <c r="L1123" s="25"/>
      <c r="N1123" s="25">
        <f>'Combined Retirement'!$C$18/12</f>
        <v>39153.069999999992</v>
      </c>
      <c r="O1123" s="25">
        <f t="shared" si="1045"/>
        <v>11007.82546143035</v>
      </c>
      <c r="P1123" s="25">
        <f t="shared" si="1046"/>
        <v>28145.244538569641</v>
      </c>
      <c r="Q1123" s="25">
        <f t="array" aca="1" ref="Q1123" ca="1">INDEX('Isaac 401k'!L:L,MATCH('Retirement Calculator'!A1123,'Isaac 401k'!N:N,0),0)</f>
        <v>-17086773.76176428</v>
      </c>
      <c r="R1123" s="25">
        <f t="array" aca="1" ref="R1123" ca="1">INDEX('Lorri 401b'!L:L,MATCH('Retirement Calculator'!A1123,'Lorri 401b'!N:N,0),0)</f>
        <v>-43260281.683969289</v>
      </c>
      <c r="S1123" s="25">
        <f t="shared" ca="1" si="1047"/>
        <v>-60347055.44573357</v>
      </c>
    </row>
    <row r="1124" spans="1:19" ht="15.75" customHeight="1" x14ac:dyDescent="0.3">
      <c r="A1124" s="37">
        <v>85163</v>
      </c>
      <c r="B1124" s="409">
        <f t="shared" ref="B1124:C1124" si="1140">($A1124-B$9)/365.25</f>
        <v>151.28542094455852</v>
      </c>
      <c r="C1124" s="409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2192</v>
      </c>
      <c r="I1124" s="25">
        <f>IF(C1124&lt;62,0,'Combined Retirement'!$I$13)</f>
        <v>2420</v>
      </c>
      <c r="J1124" s="25">
        <f t="shared" si="1043"/>
        <v>7863.2184191855868</v>
      </c>
      <c r="K1124" s="25">
        <f t="shared" si="1044"/>
        <v>20282.026119384056</v>
      </c>
      <c r="L1124" s="25"/>
      <c r="N1124" s="25">
        <f>'Combined Retirement'!$C$18/12</f>
        <v>39153.069999999992</v>
      </c>
      <c r="O1124" s="25">
        <f t="shared" si="1045"/>
        <v>11007.82546143035</v>
      </c>
      <c r="P1124" s="25">
        <f t="shared" si="1046"/>
        <v>28145.244538569641</v>
      </c>
      <c r="Q1124" s="25">
        <f t="array" aca="1" ref="Q1124" ca="1">INDEX('Isaac 401k'!L:L,MATCH('Retirement Calculator'!A1124,'Isaac 401k'!N:N,0),0)</f>
        <v>-17165864.634267565</v>
      </c>
      <c r="R1124" s="25">
        <f t="array" aca="1" ref="R1124" ca="1">INDEX('Lorri 401b'!L:L,MATCH('Retirement Calculator'!A1124,'Lorri 401b'!N:N,0),0)</f>
        <v>-43460899.392214037</v>
      </c>
      <c r="S1124" s="25">
        <f t="shared" ca="1" si="1047"/>
        <v>-60626764.026481599</v>
      </c>
    </row>
    <row r="1125" spans="1:19" ht="15.75" customHeight="1" x14ac:dyDescent="0.3">
      <c r="A1125" s="37">
        <v>85194</v>
      </c>
      <c r="B1125" s="409">
        <f t="shared" ref="B1125:C1125" si="1141">($A1125-B$9)/365.25</f>
        <v>151.37029431895962</v>
      </c>
      <c r="C1125" s="409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2192</v>
      </c>
      <c r="I1125" s="25">
        <f>IF(C1125&lt;62,0,'Combined Retirement'!$I$13)</f>
        <v>2420</v>
      </c>
      <c r="J1125" s="25">
        <f t="shared" si="1043"/>
        <v>7863.2184191855868</v>
      </c>
      <c r="K1125" s="25">
        <f t="shared" si="1044"/>
        <v>20282.026119384056</v>
      </c>
      <c r="L1125" s="25"/>
      <c r="N1125" s="25">
        <f>'Combined Retirement'!$C$18/12</f>
        <v>39153.069999999992</v>
      </c>
      <c r="O1125" s="25">
        <f t="shared" si="1045"/>
        <v>11007.82546143035</v>
      </c>
      <c r="P1125" s="25">
        <f t="shared" si="1046"/>
        <v>28145.244538569641</v>
      </c>
      <c r="Q1125" s="25">
        <f t="array" aca="1" ref="Q1125" ca="1">INDEX('Isaac 401k'!L:L,MATCH('Retirement Calculator'!A1125,'Isaac 401k'!N:N,0),0)</f>
        <v>-17245285.052072946</v>
      </c>
      <c r="R1125" s="25">
        <f t="array" aca="1" ref="R1125" ca="1">INDEX('Lorri 401b'!L:L,MATCH('Retirement Calculator'!A1125,'Lorri 401b'!N:N,0),0)</f>
        <v>-43662353.007576473</v>
      </c>
      <c r="S1125" s="25">
        <f t="shared" ca="1" si="1047"/>
        <v>-60907638.059649423</v>
      </c>
    </row>
    <row r="1126" spans="1:19" ht="15.75" customHeight="1" x14ac:dyDescent="0.3">
      <c r="A1126" s="37">
        <v>85224</v>
      </c>
      <c r="B1126" s="409">
        <f t="shared" ref="B1126:C1126" si="1142">($A1126-B$9)/365.25</f>
        <v>151.45242984257359</v>
      </c>
      <c r="C1126" s="409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2192</v>
      </c>
      <c r="I1126" s="25">
        <f>IF(C1126&lt;62,0,'Combined Retirement'!$I$13)</f>
        <v>2420</v>
      </c>
      <c r="J1126" s="25">
        <f t="shared" si="1043"/>
        <v>7863.2184191855868</v>
      </c>
      <c r="K1126" s="25">
        <f t="shared" si="1044"/>
        <v>20282.026119384056</v>
      </c>
      <c r="L1126" s="25"/>
      <c r="N1126" s="25">
        <f>'Combined Retirement'!$C$18/12</f>
        <v>39153.069999999992</v>
      </c>
      <c r="O1126" s="25">
        <f t="shared" si="1045"/>
        <v>11007.82546143035</v>
      </c>
      <c r="P1126" s="25">
        <f t="shared" si="1046"/>
        <v>28145.244538569641</v>
      </c>
      <c r="Q1126" s="25">
        <f t="array" aca="1" ref="Q1126" ca="1">INDEX('Isaac 401k'!L:L,MATCH('Retirement Calculator'!A1126,'Isaac 401k'!N:N,0),0)</f>
        <v>-17325036.388285849</v>
      </c>
      <c r="R1126" s="25">
        <f t="array" aca="1" ref="R1126" ca="1">INDEX('Lorri 401b'!L:L,MATCH('Retirement Calculator'!A1126,'Lorri 401b'!N:N,0),0)</f>
        <v>-43864646.013002917</v>
      </c>
      <c r="S1126" s="25">
        <f t="shared" ca="1" si="1047"/>
        <v>-61189682.401288763</v>
      </c>
    </row>
    <row r="1127" spans="1:19" ht="15.75" customHeight="1" x14ac:dyDescent="0.3">
      <c r="A1127" s="37">
        <v>85255</v>
      </c>
      <c r="B1127" s="409">
        <f t="shared" ref="B1127:C1127" si="1143">($A1127-B$9)/365.25</f>
        <v>151.53730321697466</v>
      </c>
      <c r="C1127" s="409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2192</v>
      </c>
      <c r="I1127" s="25">
        <f>IF(C1127&lt;62,0,'Combined Retirement'!$I$13)</f>
        <v>2420</v>
      </c>
      <c r="J1127" s="25">
        <f t="shared" si="1043"/>
        <v>7863.2184191855868</v>
      </c>
      <c r="K1127" s="25">
        <f t="shared" si="1044"/>
        <v>20282.026119384056</v>
      </c>
      <c r="L1127" s="25"/>
      <c r="N1127" s="25">
        <f>'Combined Retirement'!$C$18/12</f>
        <v>39153.069999999992</v>
      </c>
      <c r="O1127" s="25">
        <f t="shared" si="1045"/>
        <v>11007.82546143035</v>
      </c>
      <c r="P1127" s="25">
        <f t="shared" si="1046"/>
        <v>28145.244538569641</v>
      </c>
      <c r="Q1127" s="25">
        <f t="array" aca="1" ref="Q1127" ca="1">INDEX('Isaac 401k'!L:L,MATCH('Retirement Calculator'!A1127,'Isaac 401k'!N:N,0),0)</f>
        <v>-17405120.021732975</v>
      </c>
      <c r="R1127" s="25">
        <f t="array" aca="1" ref="R1127" ca="1">INDEX('Lorri 401b'!L:L,MATCH('Retirement Calculator'!A1127,'Lorri 401b'!N:N,0),0)</f>
        <v>-44067781.905951977</v>
      </c>
      <c r="S1127" s="25">
        <f t="shared" ca="1" si="1047"/>
        <v>-61472901.927684948</v>
      </c>
    </row>
    <row r="1128" spans="1:19" ht="15.75" customHeight="1" x14ac:dyDescent="0.3">
      <c r="A1128" s="37">
        <v>85285</v>
      </c>
      <c r="B1128" s="409">
        <f t="shared" ref="B1128:C1128" si="1144">($A1128-B$9)/365.25</f>
        <v>151.61943874058863</v>
      </c>
      <c r="C1128" s="409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2192</v>
      </c>
      <c r="I1128" s="25">
        <f>IF(C1128&lt;62,0,'Combined Retirement'!$I$13)</f>
        <v>2420</v>
      </c>
      <c r="J1128" s="25">
        <f t="shared" si="1043"/>
        <v>7863.2184191855868</v>
      </c>
      <c r="K1128" s="25">
        <f t="shared" si="1044"/>
        <v>20282.026119384056</v>
      </c>
      <c r="L1128" s="25"/>
      <c r="N1128" s="25">
        <f>'Combined Retirement'!$C$18/12</f>
        <v>39153.069999999992</v>
      </c>
      <c r="O1128" s="25">
        <f t="shared" si="1045"/>
        <v>11007.82546143035</v>
      </c>
      <c r="P1128" s="25">
        <f t="shared" si="1046"/>
        <v>28145.244538569641</v>
      </c>
      <c r="Q1128" s="25">
        <f t="array" aca="1" ref="Q1128" ca="1">INDEX('Isaac 401k'!L:L,MATCH('Retirement Calculator'!A1128,'Isaac 401k'!N:N,0),0)</f>
        <v>-17485537.336986128</v>
      </c>
      <c r="R1128" s="25">
        <f t="array" aca="1" ref="R1128" ca="1">INDEX('Lorri 401b'!L:L,MATCH('Retirement Calculator'!A1128,'Lorri 401b'!N:N,0),0)</f>
        <v>-44271764.198454991</v>
      </c>
      <c r="S1128" s="25">
        <f t="shared" ca="1" si="1047"/>
        <v>-61757301.535441115</v>
      </c>
    </row>
    <row r="1129" spans="1:19" ht="15.75" customHeight="1" x14ac:dyDescent="0.3">
      <c r="A1129" s="37">
        <v>85316</v>
      </c>
      <c r="B1129" s="409">
        <f t="shared" ref="B1129:C1129" si="1145">($A1129-B$9)/365.25</f>
        <v>151.70431211498973</v>
      </c>
      <c r="C1129" s="409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2192</v>
      </c>
      <c r="I1129" s="25">
        <f>IF(C1129&lt;62,0,'Combined Retirement'!$I$13)</f>
        <v>2420</v>
      </c>
      <c r="J1129" s="25">
        <f t="shared" si="1043"/>
        <v>7863.2184191855868</v>
      </c>
      <c r="K1129" s="25">
        <f t="shared" si="1044"/>
        <v>20282.026119384056</v>
      </c>
      <c r="L1129" s="25"/>
      <c r="N1129" s="25">
        <f>'Combined Retirement'!$C$18/12</f>
        <v>39153.069999999992</v>
      </c>
      <c r="O1129" s="25">
        <f t="shared" si="1045"/>
        <v>11007.82546143035</v>
      </c>
      <c r="P1129" s="25">
        <f t="shared" si="1046"/>
        <v>28145.244538569641</v>
      </c>
      <c r="Q1129" s="25">
        <f t="array" aca="1" ref="Q1129" ca="1">INDEX('Isaac 401k'!L:L,MATCH('Retirement Calculator'!A1129,'Isaac 401k'!N:N,0),0)</f>
        <v>-17566289.724386171</v>
      </c>
      <c r="R1129" s="25">
        <f t="array" aca="1" ref="R1129" ca="1">INDEX('Lorri 401b'!L:L,MATCH('Retirement Calculator'!A1129,'Lorri 401b'!N:N,0),0)</f>
        <v>-44476596.417176768</v>
      </c>
      <c r="S1129" s="25">
        <f t="shared" ca="1" si="1047"/>
        <v>-62042886.141562939</v>
      </c>
    </row>
    <row r="1130" spans="1:19" ht="15.75" customHeight="1" x14ac:dyDescent="0.3">
      <c r="A1130" s="37">
        <v>85347</v>
      </c>
      <c r="B1130" s="409">
        <f t="shared" ref="B1130:C1130" si="1146">($A1130-B$9)/365.25</f>
        <v>151.78918548939083</v>
      </c>
      <c r="C1130" s="409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2192</v>
      </c>
      <c r="I1130" s="25">
        <f>IF(C1130&lt;62,0,'Combined Retirement'!$I$13)</f>
        <v>2420</v>
      </c>
      <c r="J1130" s="25">
        <f t="shared" si="1043"/>
        <v>7863.2184191855868</v>
      </c>
      <c r="K1130" s="25">
        <f t="shared" si="1044"/>
        <v>20282.026119384056</v>
      </c>
      <c r="L1130" s="25"/>
      <c r="N1130" s="25">
        <f>'Combined Retirement'!$C$18/12</f>
        <v>39153.069999999992</v>
      </c>
      <c r="O1130" s="25">
        <f t="shared" si="1045"/>
        <v>11007.82546143035</v>
      </c>
      <c r="P1130" s="25">
        <f t="shared" si="1046"/>
        <v>28145.244538569641</v>
      </c>
      <c r="Q1130" s="25">
        <f t="array" aca="1" ref="Q1130" ca="1">INDEX('Isaac 401k'!L:L,MATCH('Retirement Calculator'!A1130,'Isaac 401k'!N:N,0),0)</f>
        <v>-17647378.580067046</v>
      </c>
      <c r="R1130" s="25">
        <f t="array" aca="1" ref="R1130" ca="1">INDEX('Lorri 401b'!L:L,MATCH('Retirement Calculator'!A1130,'Lorri 401b'!N:N,0),0)</f>
        <v>-44682282.103476547</v>
      </c>
      <c r="S1130" s="25">
        <f t="shared" ca="1" si="1047"/>
        <v>-62329660.683543593</v>
      </c>
    </row>
    <row r="1131" spans="1:19" ht="15.75" customHeight="1" x14ac:dyDescent="0.3">
      <c r="A1131" s="37">
        <v>85377</v>
      </c>
      <c r="B1131" s="409">
        <f t="shared" ref="B1131:C1131" si="1147">($A1131-B$9)/365.25</f>
        <v>151.8713210130048</v>
      </c>
      <c r="C1131" s="409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2192</v>
      </c>
      <c r="I1131" s="25">
        <f>IF(C1131&lt;62,0,'Combined Retirement'!$I$13)</f>
        <v>2420</v>
      </c>
      <c r="J1131" s="25">
        <f t="shared" si="1043"/>
        <v>7863.2184191855868</v>
      </c>
      <c r="K1131" s="25">
        <f t="shared" si="1044"/>
        <v>20282.026119384056</v>
      </c>
      <c r="L1131" s="25"/>
      <c r="N1131" s="25">
        <f>'Combined Retirement'!$C$18/12</f>
        <v>39153.069999999992</v>
      </c>
      <c r="O1131" s="25">
        <f t="shared" si="1045"/>
        <v>11007.82546143035</v>
      </c>
      <c r="P1131" s="25">
        <f t="shared" si="1046"/>
        <v>28145.244538569641</v>
      </c>
      <c r="Q1131" s="25">
        <f t="array" aca="1" ref="Q1131" ca="1">INDEX('Isaac 401k'!L:L,MATCH('Retirement Calculator'!A1131,'Isaac 401k'!N:N,0),0)</f>
        <v>-17728805.305979926</v>
      </c>
      <c r="R1131" s="25">
        <f t="array" aca="1" ref="R1131" ca="1">INDEX('Lorri 401b'!L:L,MATCH('Retirement Calculator'!A1131,'Lorri 401b'!N:N,0),0)</f>
        <v>-44888824.813469246</v>
      </c>
      <c r="S1131" s="25">
        <f t="shared" ca="1" si="1047"/>
        <v>-62617630.119449168</v>
      </c>
    </row>
    <row r="1132" spans="1:19" ht="15.75" customHeight="1" x14ac:dyDescent="0.3">
      <c r="A1132" s="37">
        <v>85408</v>
      </c>
      <c r="B1132" s="409">
        <f t="shared" ref="B1132:C1132" si="1148">($A1132-B$9)/365.25</f>
        <v>151.95619438740587</v>
      </c>
      <c r="C1132" s="409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2192</v>
      </c>
      <c r="I1132" s="25">
        <f>IF(C1132&lt;62,0,'Combined Retirement'!$I$13)</f>
        <v>2420</v>
      </c>
      <c r="J1132" s="25">
        <f t="shared" si="1043"/>
        <v>7863.2184191855868</v>
      </c>
      <c r="K1132" s="25">
        <f t="shared" si="1044"/>
        <v>20282.026119384056</v>
      </c>
      <c r="L1132" s="25"/>
      <c r="N1132" s="25">
        <f>'Combined Retirement'!$C$18/12</f>
        <v>39153.069999999992</v>
      </c>
      <c r="O1132" s="25">
        <f t="shared" si="1045"/>
        <v>11007.82546143035</v>
      </c>
      <c r="P1132" s="25">
        <f t="shared" si="1046"/>
        <v>28145.244538569641</v>
      </c>
      <c r="Q1132" s="25">
        <f t="array" aca="1" ref="Q1132" ca="1">INDEX('Isaac 401k'!L:L,MATCH('Retirement Calculator'!A1132,'Isaac 401k'!N:N,0),0)</f>
        <v>-17810571.309917443</v>
      </c>
      <c r="R1132" s="25">
        <f t="array" aca="1" ref="R1132" ca="1">INDEX('Lorri 401b'!L:L,MATCH('Retirement Calculator'!A1132,'Lorri 401b'!N:N,0),0)</f>
        <v>-45096228.118086912</v>
      </c>
      <c r="S1132" s="25">
        <f t="shared" ca="1" si="1047"/>
        <v>-62906799.428004354</v>
      </c>
    </row>
    <row r="1133" spans="1:19" ht="15.75" customHeight="1" x14ac:dyDescent="0.3">
      <c r="A1133" s="37">
        <v>85438</v>
      </c>
      <c r="B1133" s="409">
        <f t="shared" ref="B1133:C1133" si="1149">($A1133-B$9)/365.25</f>
        <v>152.03832991101984</v>
      </c>
      <c r="C1133" s="409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2192</v>
      </c>
      <c r="I1133" s="25">
        <f>IF(C1133&lt;62,0,'Combined Retirement'!$I$13)</f>
        <v>2420</v>
      </c>
      <c r="J1133" s="25">
        <f t="shared" si="1043"/>
        <v>7863.2184191855868</v>
      </c>
      <c r="K1133" s="25">
        <f t="shared" si="1044"/>
        <v>20282.026119384056</v>
      </c>
      <c r="L1133" s="25"/>
      <c r="N1133" s="25">
        <f>'Combined Retirement'!$C$18/12</f>
        <v>39153.069999999992</v>
      </c>
      <c r="O1133" s="25">
        <f t="shared" si="1045"/>
        <v>11007.82546143035</v>
      </c>
      <c r="P1133" s="25">
        <f t="shared" si="1046"/>
        <v>28145.244538569641</v>
      </c>
      <c r="Q1133" s="25">
        <f t="array" aca="1" ref="Q1133" ca="1">INDEX('Isaac 401k'!L:L,MATCH('Retirement Calculator'!A1133,'Isaac 401k'!N:N,0),0)</f>
        <v>-17892678.005538031</v>
      </c>
      <c r="R1133" s="25">
        <f t="array" aca="1" ref="R1133" ca="1">INDEX('Lorri 401b'!L:L,MATCH('Retirement Calculator'!A1133,'Lorri 401b'!N:N,0),0)</f>
        <v>-45304495.603140488</v>
      </c>
      <c r="S1133" s="25">
        <f t="shared" ca="1" si="1047"/>
        <v>-63197173.60867852</v>
      </c>
    </row>
    <row r="1134" spans="1:19" ht="15.75" customHeight="1" x14ac:dyDescent="0.3">
      <c r="A1134" s="37">
        <v>85469</v>
      </c>
      <c r="B1134" s="409">
        <f t="shared" ref="B1134:C1134" si="1150">($A1134-B$9)/365.25</f>
        <v>152.12320328542094</v>
      </c>
      <c r="C1134" s="409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2192</v>
      </c>
      <c r="I1134" s="25">
        <f>IF(C1134&lt;62,0,'Combined Retirement'!$I$13)</f>
        <v>2420</v>
      </c>
      <c r="J1134" s="25">
        <f t="shared" si="1043"/>
        <v>7863.2184191855868</v>
      </c>
      <c r="K1134" s="25">
        <f t="shared" si="1044"/>
        <v>20282.026119384056</v>
      </c>
      <c r="L1134" s="25"/>
      <c r="N1134" s="25">
        <f>'Combined Retirement'!$C$18/12</f>
        <v>39153.069999999992</v>
      </c>
      <c r="O1134" s="25">
        <f t="shared" si="1045"/>
        <v>11007.82546143035</v>
      </c>
      <c r="P1134" s="25">
        <f t="shared" si="1046"/>
        <v>28145.244538569641</v>
      </c>
      <c r="Q1134" s="25">
        <f t="array" aca="1" ref="Q1134" ca="1">INDEX('Isaac 401k'!L:L,MATCH('Retirement Calculator'!A1134,'Isaac 401k'!N:N,0),0)</f>
        <v>-17975126.812390372</v>
      </c>
      <c r="R1134" s="25">
        <f t="array" aca="1" ref="R1134" ca="1">INDEX('Lorri 401b'!L:L,MATCH('Retirement Calculator'!A1134,'Lorri 401b'!N:N,0),0)</f>
        <v>-45513630.869381785</v>
      </c>
      <c r="S1134" s="25">
        <f t="shared" ca="1" si="1047"/>
        <v>-63488757.681772158</v>
      </c>
    </row>
    <row r="1135" spans="1:19" ht="15.75" customHeight="1" x14ac:dyDescent="0.3">
      <c r="A1135" s="37">
        <v>85500</v>
      </c>
      <c r="B1135" s="409">
        <f t="shared" ref="B1135:C1135" si="1151">($A1135-B$9)/365.25</f>
        <v>152.20807665982204</v>
      </c>
      <c r="C1135" s="409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2192</v>
      </c>
      <c r="I1135" s="25">
        <f>IF(C1135&lt;62,0,'Combined Retirement'!$I$13)</f>
        <v>2420</v>
      </c>
      <c r="J1135" s="25">
        <f t="shared" si="1043"/>
        <v>7863.2184191855868</v>
      </c>
      <c r="K1135" s="25">
        <f t="shared" si="1044"/>
        <v>20282.026119384056</v>
      </c>
      <c r="L1135" s="25"/>
      <c r="N1135" s="25">
        <f>'Combined Retirement'!$C$18/12</f>
        <v>39153.069999999992</v>
      </c>
      <c r="O1135" s="25">
        <f t="shared" si="1045"/>
        <v>11007.82546143035</v>
      </c>
      <c r="P1135" s="25">
        <f t="shared" si="1046"/>
        <v>28145.244538569641</v>
      </c>
      <c r="Q1135" s="25">
        <f t="array" aca="1" ref="Q1135" ca="1">INDEX('Isaac 401k'!L:L,MATCH('Retirement Calculator'!A1135,'Isaac 401k'!N:N,0),0)</f>
        <v>-18057919.155937932</v>
      </c>
      <c r="R1135" s="25">
        <f t="array" aca="1" ref="R1135" ca="1">INDEX('Lorri 401b'!L:L,MATCH('Retirement Calculator'!A1135,'Lorri 401b'!N:N,0),0)</f>
        <v>-45723637.532565758</v>
      </c>
      <c r="S1135" s="25">
        <f t="shared" ca="1" si="1047"/>
        <v>-63781556.68850369</v>
      </c>
    </row>
    <row r="1136" spans="1:19" ht="15.75" customHeight="1" x14ac:dyDescent="0.3">
      <c r="A1136" s="37">
        <v>85528</v>
      </c>
      <c r="B1136" s="409">
        <f t="shared" ref="B1136:C1136" si="1152">($A1136-B$9)/365.25</f>
        <v>152.28473648186173</v>
      </c>
      <c r="C1136" s="409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2192</v>
      </c>
      <c r="I1136" s="25">
        <f>IF(C1136&lt;62,0,'Combined Retirement'!$I$13)</f>
        <v>2420</v>
      </c>
      <c r="J1136" s="25">
        <f t="shared" si="1043"/>
        <v>7863.2184191855868</v>
      </c>
      <c r="K1136" s="25">
        <f t="shared" si="1044"/>
        <v>20282.026119384056</v>
      </c>
      <c r="L1136" s="25"/>
      <c r="N1136" s="25">
        <f>'Combined Retirement'!$C$18/12</f>
        <v>39153.069999999992</v>
      </c>
      <c r="O1136" s="25">
        <f t="shared" si="1045"/>
        <v>11007.82546143035</v>
      </c>
      <c r="P1136" s="25">
        <f t="shared" si="1046"/>
        <v>28145.244538569641</v>
      </c>
      <c r="Q1136" s="25">
        <f t="array" aca="1" ref="Q1136" ca="1">INDEX('Isaac 401k'!L:L,MATCH('Retirement Calculator'!A1136,'Isaac 401k'!N:N,0),0)</f>
        <v>-18141056.467583608</v>
      </c>
      <c r="R1136" s="25">
        <f t="array" aca="1" ref="R1136" ca="1">INDEX('Lorri 401b'!L:L,MATCH('Retirement Calculator'!A1136,'Lorri 401b'!N:N,0),0)</f>
        <v>-45934519.223512992</v>
      </c>
      <c r="S1136" s="25">
        <f t="shared" ca="1" si="1047"/>
        <v>-64075575.691096604</v>
      </c>
    </row>
    <row r="1137" spans="1:19" ht="15.75" customHeight="1" x14ac:dyDescent="0.3">
      <c r="A1137" s="37">
        <v>85559</v>
      </c>
      <c r="B1137" s="409">
        <f t="shared" ref="B1137:C1137" si="1153">($A1137-B$9)/365.25</f>
        <v>152.36960985626283</v>
      </c>
      <c r="C1137" s="409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2192</v>
      </c>
      <c r="I1137" s="25">
        <f>IF(C1137&lt;62,0,'Combined Retirement'!$I$13)</f>
        <v>2420</v>
      </c>
      <c r="J1137" s="25">
        <f t="shared" si="1043"/>
        <v>7863.2184191855868</v>
      </c>
      <c r="K1137" s="25">
        <f t="shared" si="1044"/>
        <v>20282.026119384056</v>
      </c>
      <c r="L1137" s="25"/>
      <c r="N1137" s="25">
        <f>'Combined Retirement'!$C$18/12</f>
        <v>39153.069999999992</v>
      </c>
      <c r="O1137" s="25">
        <f t="shared" si="1045"/>
        <v>11007.82546143035</v>
      </c>
      <c r="P1137" s="25">
        <f t="shared" si="1046"/>
        <v>28145.244538569641</v>
      </c>
      <c r="Q1137" s="25">
        <f t="array" aca="1" ref="Q1137" ca="1">INDEX('Isaac 401k'!L:L,MATCH('Retirement Calculator'!A1137,'Isaac 401k'!N:N,0),0)</f>
        <v>-18224540.184694473</v>
      </c>
      <c r="R1137" s="25">
        <f t="array" aca="1" ref="R1137" ca="1">INDEX('Lorri 401b'!L:L,MATCH('Retirement Calculator'!A1137,'Lorri 401b'!N:N,0),0)</f>
        <v>-46146279.58817251</v>
      </c>
      <c r="S1137" s="25">
        <f t="shared" ca="1" si="1047"/>
        <v>-64370819.772866979</v>
      </c>
    </row>
    <row r="1138" spans="1:19" ht="15.75" customHeight="1" x14ac:dyDescent="0.3">
      <c r="A1138" s="37">
        <v>85589</v>
      </c>
      <c r="B1138" s="409">
        <f t="shared" ref="B1138:C1138" si="1154">($A1138-B$9)/365.25</f>
        <v>152.4517453798768</v>
      </c>
      <c r="C1138" s="409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2192</v>
      </c>
      <c r="I1138" s="25">
        <f>IF(C1138&lt;62,0,'Combined Retirement'!$I$13)</f>
        <v>2420</v>
      </c>
      <c r="J1138" s="25">
        <f t="shared" si="1043"/>
        <v>7863.2184191855868</v>
      </c>
      <c r="K1138" s="25">
        <f t="shared" si="1044"/>
        <v>20282.026119384056</v>
      </c>
      <c r="L1138" s="25"/>
      <c r="N1138" s="25">
        <f>'Combined Retirement'!$C$18/12</f>
        <v>39153.069999999992</v>
      </c>
      <c r="O1138" s="25">
        <f t="shared" si="1045"/>
        <v>11007.82546143035</v>
      </c>
      <c r="P1138" s="25">
        <f t="shared" si="1046"/>
        <v>28145.244538569641</v>
      </c>
      <c r="Q1138" s="25">
        <f t="array" aca="1" ref="Q1138" ca="1">INDEX('Isaac 401k'!L:L,MATCH('Retirement Calculator'!A1138,'Isaac 401k'!N:N,0),0)</f>
        <v>-18308371.750626635</v>
      </c>
      <c r="R1138" s="25">
        <f t="array" aca="1" ref="R1138" ca="1">INDEX('Lorri 401b'!L:L,MATCH('Retirement Calculator'!A1138,'Lorri 401b'!N:N,0),0)</f>
        <v>-46358922.287684776</v>
      </c>
      <c r="S1138" s="25">
        <f t="shared" ca="1" si="1047"/>
        <v>-64667294.038311407</v>
      </c>
    </row>
    <row r="1139" spans="1:19" ht="15.75" customHeight="1" x14ac:dyDescent="0.3">
      <c r="A1139" s="37">
        <v>85620</v>
      </c>
      <c r="B1139" s="409">
        <f t="shared" ref="B1139:C1139" si="1155">($A1139-B$9)/365.25</f>
        <v>152.5366187542779</v>
      </c>
      <c r="C1139" s="409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2192</v>
      </c>
      <c r="I1139" s="25">
        <f>IF(C1139&lt;62,0,'Combined Retirement'!$I$13)</f>
        <v>2420</v>
      </c>
      <c r="J1139" s="25">
        <f t="shared" si="1043"/>
        <v>7863.2184191855868</v>
      </c>
      <c r="K1139" s="25">
        <f t="shared" si="1044"/>
        <v>20282.026119384056</v>
      </c>
      <c r="L1139" s="25"/>
      <c r="N1139" s="25">
        <f>'Combined Retirement'!$C$18/12</f>
        <v>39153.069999999992</v>
      </c>
      <c r="O1139" s="25">
        <f t="shared" si="1045"/>
        <v>11007.82546143035</v>
      </c>
      <c r="P1139" s="25">
        <f t="shared" si="1046"/>
        <v>28145.244538569641</v>
      </c>
      <c r="Q1139" s="25">
        <f t="array" aca="1" ref="Q1139" ca="1">INDEX('Isaac 401k'!L:L,MATCH('Retirement Calculator'!A1139,'Isaac 401k'!N:N,0),0)</f>
        <v>-18392552.61475018</v>
      </c>
      <c r="R1139" s="25">
        <f t="array" aca="1" ref="R1139" ca="1">INDEX('Lorri 401b'!L:L,MATCH('Retirement Calculator'!A1139,'Lorri 401b'!N:N,0),0)</f>
        <v>-46572450.998445004</v>
      </c>
      <c r="S1139" s="25">
        <f t="shared" ca="1" si="1047"/>
        <v>-64965003.613195181</v>
      </c>
    </row>
    <row r="1140" spans="1:19" ht="15.75" customHeight="1" x14ac:dyDescent="0.3">
      <c r="A1140" s="37">
        <v>85650</v>
      </c>
      <c r="B1140" s="409">
        <f t="shared" ref="B1140:C1140" si="1156">($A1140-B$9)/365.25</f>
        <v>152.61875427789187</v>
      </c>
      <c r="C1140" s="409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2192</v>
      </c>
      <c r="I1140" s="25">
        <f>IF(C1140&lt;62,0,'Combined Retirement'!$I$13)</f>
        <v>2420</v>
      </c>
      <c r="J1140" s="25">
        <f t="shared" si="1043"/>
        <v>7863.2184191855868</v>
      </c>
      <c r="K1140" s="25">
        <f t="shared" si="1044"/>
        <v>20282.026119384056</v>
      </c>
      <c r="L1140" s="25"/>
      <c r="N1140" s="25">
        <f>'Combined Retirement'!$C$18/12</f>
        <v>39153.069999999992</v>
      </c>
      <c r="O1140" s="25">
        <f t="shared" si="1045"/>
        <v>11007.82546143035</v>
      </c>
      <c r="P1140" s="25">
        <f t="shared" si="1046"/>
        <v>28145.244538569641</v>
      </c>
      <c r="Q1140" s="25">
        <f t="array" aca="1" ref="Q1140" ca="1">INDEX('Isaac 401k'!L:L,MATCH('Retirement Calculator'!A1140,'Isaac 401k'!N:N,0),0)</f>
        <v>-18477084.232474238</v>
      </c>
      <c r="R1140" s="25">
        <f t="array" aca="1" ref="R1140" ca="1">INDEX('Lorri 401b'!L:L,MATCH('Retirement Calculator'!A1140,'Lorri 401b'!N:N,0),0)</f>
        <v>-46786869.412166737</v>
      </c>
      <c r="S1140" s="25">
        <f t="shared" ca="1" si="1047"/>
        <v>-65263953.644640975</v>
      </c>
    </row>
    <row r="1141" spans="1:19" ht="15.75" customHeight="1" x14ac:dyDescent="0.3">
      <c r="A1141" s="37">
        <v>85681</v>
      </c>
      <c r="B1141" s="409">
        <f t="shared" ref="B1141:C1141" si="1157">($A1141-B$9)/365.25</f>
        <v>152.70362765229294</v>
      </c>
      <c r="C1141" s="409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2192</v>
      </c>
      <c r="I1141" s="25">
        <f>IF(C1141&lt;62,0,'Combined Retirement'!$I$13)</f>
        <v>2420</v>
      </c>
      <c r="J1141" s="25">
        <f t="shared" si="1043"/>
        <v>7863.2184191855868</v>
      </c>
      <c r="K1141" s="25">
        <f t="shared" si="1044"/>
        <v>20282.026119384056</v>
      </c>
      <c r="L1141" s="25"/>
      <c r="N1141" s="25">
        <f>'Combined Retirement'!$C$18/12</f>
        <v>39153.069999999992</v>
      </c>
      <c r="O1141" s="25">
        <f t="shared" si="1045"/>
        <v>11007.82546143035</v>
      </c>
      <c r="P1141" s="25">
        <f t="shared" si="1046"/>
        <v>28145.244538569641</v>
      </c>
      <c r="Q1141" s="25">
        <f t="array" aca="1" ref="Q1141" ca="1">INDEX('Isaac 401k'!L:L,MATCH('Retirement Calculator'!A1141,'Isaac 401k'!N:N,0),0)</f>
        <v>-18561968.065272149</v>
      </c>
      <c r="R1141" s="25">
        <f t="array" aca="1" ref="R1141" ca="1">INDEX('Lorri 401b'!L:L,MATCH('Retirement Calculator'!A1141,'Lorri 401b'!N:N,0),0)</f>
        <v>-47002181.235945642</v>
      </c>
      <c r="S1141" s="25">
        <f t="shared" ca="1" si="1047"/>
        <v>-65564149.301217794</v>
      </c>
    </row>
    <row r="1142" spans="1:19" ht="15.75" customHeight="1" x14ac:dyDescent="0.3">
      <c r="A1142" s="37">
        <v>85712</v>
      </c>
      <c r="B1142" s="409">
        <f t="shared" ref="B1142:C1142" si="1158">($A1142-B$9)/365.25</f>
        <v>152.78850102669404</v>
      </c>
      <c r="C1142" s="409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2192</v>
      </c>
      <c r="I1142" s="25">
        <f>IF(C1142&lt;62,0,'Combined Retirement'!$I$13)</f>
        <v>2420</v>
      </c>
      <c r="J1142" s="25">
        <f t="shared" si="1043"/>
        <v>7863.2184191855868</v>
      </c>
      <c r="K1142" s="25">
        <f t="shared" si="1044"/>
        <v>20282.026119384056</v>
      </c>
      <c r="L1142" s="25"/>
      <c r="N1142" s="25">
        <f>'Combined Retirement'!$C$18/12</f>
        <v>39153.069999999992</v>
      </c>
      <c r="O1142" s="25">
        <f t="shared" si="1045"/>
        <v>11007.82546143035</v>
      </c>
      <c r="P1142" s="25">
        <f t="shared" si="1046"/>
        <v>28145.244538569641</v>
      </c>
      <c r="Q1142" s="25">
        <f t="array" aca="1" ref="Q1142" ca="1">INDEX('Isaac 401k'!L:L,MATCH('Retirement Calculator'!A1142,'Isaac 401k'!N:N,0),0)</f>
        <v>-18647205.580706716</v>
      </c>
      <c r="R1142" s="25">
        <f t="array" aca="1" ref="R1142" ca="1">INDEX('Lorri 401b'!L:L,MATCH('Retirement Calculator'!A1142,'Lorri 401b'!N:N,0),0)</f>
        <v>-47218390.192323625</v>
      </c>
      <c r="S1142" s="25">
        <f t="shared" ca="1" si="1047"/>
        <v>-65865595.773030341</v>
      </c>
    </row>
    <row r="1143" spans="1:19" ht="15.75" customHeight="1" x14ac:dyDescent="0.3">
      <c r="A1143" s="37">
        <v>85742</v>
      </c>
      <c r="B1143" s="409">
        <f t="shared" ref="B1143:C1143" si="1159">($A1143-B$9)/365.25</f>
        <v>152.87063655030801</v>
      </c>
      <c r="C1143" s="409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2192</v>
      </c>
      <c r="I1143" s="25">
        <f>IF(C1143&lt;62,0,'Combined Retirement'!$I$13)</f>
        <v>2420</v>
      </c>
      <c r="J1143" s="25">
        <f t="shared" si="1043"/>
        <v>7863.2184191855868</v>
      </c>
      <c r="K1143" s="25">
        <f t="shared" si="1044"/>
        <v>20282.026119384056</v>
      </c>
      <c r="L1143" s="25"/>
      <c r="N1143" s="25">
        <f>'Combined Retirement'!$C$18/12</f>
        <v>39153.069999999992</v>
      </c>
      <c r="O1143" s="25">
        <f t="shared" si="1045"/>
        <v>11007.82546143035</v>
      </c>
      <c r="P1143" s="25">
        <f t="shared" si="1046"/>
        <v>28145.244538569641</v>
      </c>
      <c r="Q1143" s="25">
        <f t="array" aca="1" ref="Q1143" ca="1">INDEX('Isaac 401k'!L:L,MATCH('Retirement Calculator'!A1143,'Isaac 401k'!N:N,0),0)</f>
        <v>-18732798.252455592</v>
      </c>
      <c r="R1143" s="25">
        <f t="array" aca="1" ref="R1143" ca="1">INDEX('Lorri 401b'!L:L,MATCH('Retirement Calculator'!A1143,'Lorri 401b'!N:N,0),0)</f>
        <v>-47435500.019353189</v>
      </c>
      <c r="S1143" s="25">
        <f t="shared" ca="1" si="1047"/>
        <v>-66168298.271808781</v>
      </c>
    </row>
    <row r="1144" spans="1:19" ht="15.75" customHeight="1" x14ac:dyDescent="0.3">
      <c r="A1144" s="37">
        <v>85773</v>
      </c>
      <c r="B1144" s="409">
        <f t="shared" ref="B1144:C1144" si="1160">($A1144-B$9)/365.25</f>
        <v>152.95550992470911</v>
      </c>
      <c r="C1144" s="409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2192</v>
      </c>
      <c r="I1144" s="25">
        <f>IF(C1144&lt;62,0,'Combined Retirement'!$I$13)</f>
        <v>2420</v>
      </c>
      <c r="J1144" s="25">
        <f t="shared" si="1043"/>
        <v>7863.2184191855868</v>
      </c>
      <c r="K1144" s="25">
        <f t="shared" si="1044"/>
        <v>20282.026119384056</v>
      </c>
      <c r="L1144" s="25"/>
      <c r="N1144" s="25">
        <f>'Combined Retirement'!$C$18/12</f>
        <v>39153.069999999992</v>
      </c>
      <c r="O1144" s="25">
        <f t="shared" si="1045"/>
        <v>11007.82546143035</v>
      </c>
      <c r="P1144" s="25">
        <f t="shared" si="1046"/>
        <v>28145.244538569641</v>
      </c>
      <c r="Q1144" s="25">
        <f t="array" aca="1" ref="Q1144" ca="1">INDEX('Isaac 401k'!L:L,MATCH('Retirement Calculator'!A1144,'Isaac 401k'!N:N,0),0)</f>
        <v>-18818747.560336757</v>
      </c>
      <c r="R1144" s="25">
        <f t="array" aca="1" ref="R1144" ca="1">INDEX('Lorri 401b'!L:L,MATCH('Retirement Calculator'!A1144,'Lorri 401b'!N:N,0),0)</f>
        <v>-47653514.470662042</v>
      </c>
      <c r="S1144" s="25">
        <f t="shared" ca="1" si="1047"/>
        <v>-66472262.030998796</v>
      </c>
    </row>
    <row r="1145" spans="1:19" ht="15.75" customHeight="1" x14ac:dyDescent="0.3">
      <c r="A1145" s="37">
        <v>85803</v>
      </c>
      <c r="B1145" s="409">
        <f t="shared" ref="B1145:C1145" si="1161">($A1145-B$9)/365.25</f>
        <v>153.03764544832308</v>
      </c>
      <c r="C1145" s="409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2192</v>
      </c>
      <c r="I1145" s="25">
        <f>IF(C1145&lt;62,0,'Combined Retirement'!$I$13)</f>
        <v>2420</v>
      </c>
      <c r="J1145" s="25">
        <f t="shared" si="1043"/>
        <v>7863.2184191855868</v>
      </c>
      <c r="K1145" s="25">
        <f t="shared" si="1044"/>
        <v>20282.026119384056</v>
      </c>
      <c r="L1145" s="25"/>
      <c r="N1145" s="25">
        <f>'Combined Retirement'!$C$18/12</f>
        <v>39153.069999999992</v>
      </c>
      <c r="O1145" s="25">
        <f t="shared" si="1045"/>
        <v>11007.82546143035</v>
      </c>
      <c r="P1145" s="25">
        <f t="shared" si="1046"/>
        <v>28145.244538569641</v>
      </c>
      <c r="Q1145" s="25">
        <f t="array" aca="1" ref="Q1145" ca="1">INDEX('Isaac 401k'!L:L,MATCH('Retirement Calculator'!A1145,'Isaac 401k'!N:N,0),0)</f>
        <v>-18905054.990334094</v>
      </c>
      <c r="R1145" s="25">
        <f t="array" aca="1" ref="R1145" ca="1">INDEX('Lorri 401b'!L:L,MATCH('Retirement Calculator'!A1145,'Lorri 401b'!N:N,0),0)</f>
        <v>-47872437.315518014</v>
      </c>
      <c r="S1145" s="25">
        <f t="shared" ca="1" si="1047"/>
        <v>-66777492.305852108</v>
      </c>
    </row>
    <row r="1146" spans="1:19" ht="15.75" customHeight="1" x14ac:dyDescent="0.3">
      <c r="A1146" s="37">
        <v>85834</v>
      </c>
      <c r="B1146" s="409">
        <f t="shared" ref="B1146:C1146" si="1162">($A1146-B$9)/365.25</f>
        <v>153.12251882272417</v>
      </c>
      <c r="C1146" s="409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2192</v>
      </c>
      <c r="I1146" s="25">
        <f>IF(C1146&lt;62,0,'Combined Retirement'!$I$13)</f>
        <v>2420</v>
      </c>
      <c r="J1146" s="25">
        <f t="shared" si="1043"/>
        <v>7863.2184191855868</v>
      </c>
      <c r="K1146" s="25">
        <f t="shared" si="1044"/>
        <v>20282.026119384056</v>
      </c>
      <c r="L1146" s="25"/>
      <c r="N1146" s="25">
        <f>'Combined Retirement'!$C$18/12</f>
        <v>39153.069999999992</v>
      </c>
      <c r="O1146" s="25">
        <f t="shared" si="1045"/>
        <v>11007.82546143035</v>
      </c>
      <c r="P1146" s="25">
        <f t="shared" si="1046"/>
        <v>28145.244538569641</v>
      </c>
      <c r="Q1146" s="25">
        <f t="array" aca="1" ref="Q1146" ca="1">INDEX('Isaac 401k'!L:L,MATCH('Retirement Calculator'!A1146,'Isaac 401k'!N:N,0),0)</f>
        <v>-18991722.034623086</v>
      </c>
      <c r="R1146" s="25">
        <f t="array" aca="1" ref="R1146" ca="1">INDEX('Lorri 401b'!L:L,MATCH('Retirement Calculator'!A1146,'Lorri 401b'!N:N,0),0)</f>
        <v>-48092272.338894218</v>
      </c>
      <c r="S1146" s="25">
        <f t="shared" ca="1" si="1047"/>
        <v>-67083994.373517305</v>
      </c>
    </row>
    <row r="1147" spans="1:19" ht="15.75" customHeight="1" x14ac:dyDescent="0.3">
      <c r="A1147" s="37">
        <v>85865</v>
      </c>
      <c r="B1147" s="409">
        <f t="shared" ref="B1147:C1147" si="1163">($A1147-B$9)/365.25</f>
        <v>153.20739219712524</v>
      </c>
      <c r="C1147" s="409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2192</v>
      </c>
      <c r="I1147" s="25">
        <f>IF(C1147&lt;62,0,'Combined Retirement'!$I$13)</f>
        <v>2420</v>
      </c>
      <c r="J1147" s="25">
        <f t="shared" si="1043"/>
        <v>7863.2184191855868</v>
      </c>
      <c r="K1147" s="25">
        <f t="shared" si="1044"/>
        <v>20282.026119384056</v>
      </c>
      <c r="L1147" s="25"/>
      <c r="N1147" s="25">
        <f>'Combined Retirement'!$C$18/12</f>
        <v>39153.069999999992</v>
      </c>
      <c r="O1147" s="25">
        <f t="shared" si="1045"/>
        <v>11007.82546143035</v>
      </c>
      <c r="P1147" s="25">
        <f t="shared" si="1046"/>
        <v>28145.244538569641</v>
      </c>
      <c r="Q1147" s="25">
        <f t="array" aca="1" ref="Q1147" ca="1">INDEX('Isaac 401k'!L:L,MATCH('Retirement Calculator'!A1147,'Isaac 401k'!N:N,0),0)</f>
        <v>-19078750.191596616</v>
      </c>
      <c r="R1147" s="25">
        <f t="array" aca="1" ref="R1147" ca="1">INDEX('Lorri 401b'!L:L,MATCH('Retirement Calculator'!A1147,'Lorri 401b'!N:N,0),0)</f>
        <v>-48313023.341534488</v>
      </c>
      <c r="S1147" s="25">
        <f t="shared" ca="1" si="1047"/>
        <v>-67391773.533131108</v>
      </c>
    </row>
    <row r="1148" spans="1:19" ht="15.75" customHeight="1" x14ac:dyDescent="0.3">
      <c r="A1148" s="37">
        <v>85893</v>
      </c>
      <c r="B1148" s="409">
        <f t="shared" ref="B1148:C1148" si="1164">($A1148-B$9)/365.25</f>
        <v>153.28405201916496</v>
      </c>
      <c r="C1148" s="409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2192</v>
      </c>
      <c r="I1148" s="25">
        <f>IF(C1148&lt;62,0,'Combined Retirement'!$I$13)</f>
        <v>2420</v>
      </c>
      <c r="J1148" s="25">
        <f t="shared" si="1043"/>
        <v>7863.2184191855868</v>
      </c>
      <c r="K1148" s="25">
        <f t="shared" si="1044"/>
        <v>20282.026119384056</v>
      </c>
      <c r="L1148" s="25"/>
      <c r="N1148" s="25">
        <f>'Combined Retirement'!$C$18/12</f>
        <v>39153.069999999992</v>
      </c>
      <c r="O1148" s="25">
        <f t="shared" si="1045"/>
        <v>11007.82546143035</v>
      </c>
      <c r="P1148" s="25">
        <f t="shared" si="1046"/>
        <v>28145.244538569641</v>
      </c>
      <c r="Q1148" s="25">
        <f t="array" aca="1" ref="Q1148" ca="1">INDEX('Isaac 401k'!L:L,MATCH('Retirement Calculator'!A1148,'Isaac 401k'!N:N,0),0)</f>
        <v>-19166140.965890869</v>
      </c>
      <c r="R1148" s="25">
        <f t="array" aca="1" ref="R1148" ca="1">INDEX('Lorri 401b'!L:L,MATCH('Retirement Calculator'!A1148,'Lorri 401b'!N:N,0),0)</f>
        <v>-48534694.140019096</v>
      </c>
      <c r="S1148" s="25">
        <f t="shared" ca="1" si="1047"/>
        <v>-67700835.105909973</v>
      </c>
    </row>
    <row r="1149" spans="1:19" ht="15.75" customHeight="1" x14ac:dyDescent="0.3">
      <c r="A1149" s="37">
        <v>85924</v>
      </c>
      <c r="B1149" s="409">
        <f t="shared" ref="B1149:C1149" si="1165">($A1149-B$9)/365.25</f>
        <v>153.36892539356606</v>
      </c>
      <c r="C1149" s="409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2192</v>
      </c>
      <c r="I1149" s="25">
        <f>IF(C1149&lt;62,0,'Combined Retirement'!$I$13)</f>
        <v>2420</v>
      </c>
      <c r="J1149" s="25">
        <f t="shared" si="1043"/>
        <v>7863.2184191855868</v>
      </c>
      <c r="K1149" s="25">
        <f t="shared" si="1044"/>
        <v>20282.026119384056</v>
      </c>
      <c r="L1149" s="25"/>
      <c r="N1149" s="25">
        <f>'Combined Retirement'!$C$18/12</f>
        <v>39153.069999999992</v>
      </c>
      <c r="O1149" s="25">
        <f t="shared" si="1045"/>
        <v>11007.82546143035</v>
      </c>
      <c r="P1149" s="25">
        <f t="shared" si="1046"/>
        <v>28145.244538569641</v>
      </c>
      <c r="Q1149" s="25">
        <f t="array" aca="1" ref="Q1149" ca="1">INDEX('Isaac 401k'!L:L,MATCH('Retirement Calculator'!A1149,'Isaac 401k'!N:N,0),0)</f>
        <v>-19253895.868411347</v>
      </c>
      <c r="R1149" s="25">
        <f t="array" aca="1" ref="R1149" ca="1">INDEX('Lorri 401b'!L:L,MATCH('Retirement Calculator'!A1149,'Lorri 401b'!N:N,0),0)</f>
        <v>-48757288.566830724</v>
      </c>
      <c r="S1149" s="25">
        <f t="shared" ca="1" si="1047"/>
        <v>-68011184.435242072</v>
      </c>
    </row>
    <row r="1150" spans="1:19" ht="15.75" customHeight="1" x14ac:dyDescent="0.3">
      <c r="A1150" s="37">
        <v>85954</v>
      </c>
      <c r="B1150" s="409">
        <f t="shared" ref="B1150:C1150" si="1166">($A1150-B$9)/365.25</f>
        <v>153.45106091718</v>
      </c>
      <c r="C1150" s="409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2192</v>
      </c>
      <c r="I1150" s="25">
        <f>IF(C1150&lt;62,0,'Combined Retirement'!$I$13)</f>
        <v>2420</v>
      </c>
      <c r="J1150" s="25">
        <f t="shared" si="1043"/>
        <v>7863.2184191855868</v>
      </c>
      <c r="K1150" s="25">
        <f t="shared" si="1044"/>
        <v>20282.026119384056</v>
      </c>
      <c r="L1150" s="25"/>
      <c r="N1150" s="25">
        <f>'Combined Retirement'!$C$18/12</f>
        <v>39153.069999999992</v>
      </c>
      <c r="O1150" s="25">
        <f t="shared" si="1045"/>
        <v>11007.82546143035</v>
      </c>
      <c r="P1150" s="25">
        <f t="shared" si="1046"/>
        <v>28145.244538569641</v>
      </c>
      <c r="Q1150" s="25">
        <f t="array" aca="1" ref="Q1150" ca="1">INDEX('Isaac 401k'!L:L,MATCH('Retirement Calculator'!A1150,'Isaac 401k'!N:N,0),0)</f>
        <v>-19342016.416358996</v>
      </c>
      <c r="R1150" s="25">
        <f t="array" aca="1" ref="R1150" ca="1">INDEX('Lorri 401b'!L:L,MATCH('Retirement Calculator'!A1150,'Lorri 401b'!N:N,0),0)</f>
        <v>-48980810.470420733</v>
      </c>
      <c r="S1150" s="25">
        <f t="shared" ca="1" si="1047"/>
        <v>-68322826.886779726</v>
      </c>
    </row>
    <row r="1151" spans="1:19" ht="15.75" customHeight="1" x14ac:dyDescent="0.3">
      <c r="A1151" s="37">
        <v>85985</v>
      </c>
      <c r="B1151" s="409">
        <f t="shared" ref="B1151:C1151" si="1167">($A1151-B$9)/365.25</f>
        <v>153.5359342915811</v>
      </c>
      <c r="C1151" s="409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2192</v>
      </c>
      <c r="I1151" s="25">
        <f>IF(C1151&lt;62,0,'Combined Retirement'!$I$13)</f>
        <v>2420</v>
      </c>
      <c r="J1151" s="25">
        <f t="shared" si="1043"/>
        <v>7863.2184191855868</v>
      </c>
      <c r="K1151" s="25">
        <f t="shared" si="1044"/>
        <v>20282.026119384056</v>
      </c>
      <c r="L1151" s="25"/>
      <c r="N1151" s="25">
        <f>'Combined Retirement'!$C$18/12</f>
        <v>39153.069999999992</v>
      </c>
      <c r="O1151" s="25">
        <f t="shared" si="1045"/>
        <v>11007.82546143035</v>
      </c>
      <c r="P1151" s="25">
        <f t="shared" si="1046"/>
        <v>28145.244538569641</v>
      </c>
      <c r="Q1151" s="25">
        <f t="array" aca="1" ref="Q1151" ca="1">INDEX('Isaac 401k'!L:L,MATCH('Retirement Calculator'!A1151,'Isaac 401k'!N:N,0),0)</f>
        <v>-19430504.133256424</v>
      </c>
      <c r="R1151" s="25">
        <f t="array" aca="1" ref="R1151" ca="1">INDEX('Lorri 401b'!L:L,MATCH('Retirement Calculator'!A1151,'Lorri 401b'!N:N,0),0)</f>
        <v>-49205263.715275697</v>
      </c>
      <c r="S1151" s="25">
        <f t="shared" ca="1" si="1047"/>
        <v>-68635767.848532125</v>
      </c>
    </row>
    <row r="1152" spans="1:19" ht="15.75" customHeight="1" x14ac:dyDescent="0.3">
      <c r="A1152" s="37">
        <v>86015</v>
      </c>
      <c r="B1152" s="409">
        <f t="shared" ref="B1152:C1152" si="1168">($A1152-B$9)/365.25</f>
        <v>153.61806981519507</v>
      </c>
      <c r="C1152" s="409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2192</v>
      </c>
      <c r="I1152" s="25">
        <f>IF(C1152&lt;62,0,'Combined Retirement'!$I$13)</f>
        <v>2420</v>
      </c>
      <c r="J1152" s="25">
        <f t="shared" si="1043"/>
        <v>7863.2184191855868</v>
      </c>
      <c r="K1152" s="25">
        <f t="shared" si="1044"/>
        <v>20282.026119384056</v>
      </c>
      <c r="L1152" s="25"/>
      <c r="N1152" s="25">
        <f>'Combined Retirement'!$C$18/12</f>
        <v>39153.069999999992</v>
      </c>
      <c r="O1152" s="25">
        <f t="shared" si="1045"/>
        <v>11007.82546143035</v>
      </c>
      <c r="P1152" s="25">
        <f t="shared" si="1046"/>
        <v>28145.244538569641</v>
      </c>
      <c r="Q1152" s="25">
        <f t="array" aca="1" ref="Q1152" ca="1">INDEX('Isaac 401k'!L:L,MATCH('Retirement Calculator'!A1152,'Isaac 401k'!N:N,0),0)</f>
        <v>-19519360.548974261</v>
      </c>
      <c r="R1152" s="25">
        <f t="array" aca="1" ref="R1152" ca="1">INDEX('Lorri 401b'!L:L,MATCH('Retirement Calculator'!A1152,'Lorri 401b'!N:N,0),0)</f>
        <v>-49430652.181984223</v>
      </c>
      <c r="S1152" s="25">
        <f t="shared" ca="1" si="1047"/>
        <v>-68950012.730958492</v>
      </c>
    </row>
    <row r="1153" spans="1:19" ht="15.75" customHeight="1" x14ac:dyDescent="0.3">
      <c r="A1153" s="37">
        <v>86046</v>
      </c>
      <c r="B1153" s="409">
        <f t="shared" ref="B1153:C1153" si="1169">($A1153-B$9)/365.25</f>
        <v>153.70294318959617</v>
      </c>
      <c r="C1153" s="409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2192</v>
      </c>
      <c r="I1153" s="25">
        <f>IF(C1153&lt;62,0,'Combined Retirement'!$I$13)</f>
        <v>2420</v>
      </c>
      <c r="J1153" s="25">
        <f t="shared" si="1043"/>
        <v>7863.2184191855868</v>
      </c>
      <c r="K1153" s="25">
        <f t="shared" si="1044"/>
        <v>20282.026119384056</v>
      </c>
      <c r="L1153" s="25"/>
      <c r="N1153" s="25">
        <f>'Combined Retirement'!$C$18/12</f>
        <v>39153.069999999992</v>
      </c>
      <c r="O1153" s="25">
        <f t="shared" si="1045"/>
        <v>11007.82546143035</v>
      </c>
      <c r="P1153" s="25">
        <f t="shared" si="1046"/>
        <v>28145.244538569641</v>
      </c>
      <c r="Q1153" s="25">
        <f t="array" aca="1" ref="Q1153" ca="1">INDEX('Isaac 401k'!L:L,MATCH('Retirement Calculator'!A1153,'Isaac 401k'!N:N,0),0)</f>
        <v>-19608587.199757587</v>
      </c>
      <c r="R1153" s="25">
        <f t="array" aca="1" ref="R1153" ca="1">INDEX('Lorri 401b'!L:L,MATCH('Retirement Calculator'!A1153,'Lorri 401b'!N:N,0),0)</f>
        <v>-49656979.767304033</v>
      </c>
      <c r="S1153" s="25">
        <f t="shared" ca="1" si="1047"/>
        <v>-69265566.967061624</v>
      </c>
    </row>
    <row r="1154" spans="1:19" ht="15.75" customHeight="1" x14ac:dyDescent="0.3">
      <c r="A1154" s="37">
        <v>86077</v>
      </c>
      <c r="B1154" s="409">
        <f t="shared" ref="B1154:C1154" si="1170">($A1154-B$9)/365.25</f>
        <v>153.78781656399727</v>
      </c>
      <c r="C1154" s="409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2192</v>
      </c>
      <c r="I1154" s="25">
        <f>IF(C1154&lt;62,0,'Combined Retirement'!$I$13)</f>
        <v>2420</v>
      </c>
      <c r="J1154" s="25">
        <f t="shared" si="1043"/>
        <v>7863.2184191855868</v>
      </c>
      <c r="K1154" s="25">
        <f t="shared" si="1044"/>
        <v>20282.026119384056</v>
      </c>
      <c r="L1154" s="25"/>
      <c r="N1154" s="25">
        <f>'Combined Retirement'!$C$18/12</f>
        <v>39153.069999999992</v>
      </c>
      <c r="O1154" s="25">
        <f t="shared" si="1045"/>
        <v>11007.82546143035</v>
      </c>
      <c r="P1154" s="25">
        <f t="shared" si="1046"/>
        <v>28145.244538569641</v>
      </c>
      <c r="Q1154" s="25">
        <f t="array" aca="1" ref="Q1154" ca="1">INDEX('Isaac 401k'!L:L,MATCH('Retirement Calculator'!A1154,'Isaac 401k'!N:N,0),0)</f>
        <v>-19698185.62825251</v>
      </c>
      <c r="R1154" s="25">
        <f t="array" aca="1" ref="R1154" ca="1">INDEX('Lorri 401b'!L:L,MATCH('Retirement Calculator'!A1154,'Lorri 401b'!N:N,0),0)</f>
        <v>-49884250.384229347</v>
      </c>
      <c r="S1154" s="25">
        <f t="shared" ca="1" si="1047"/>
        <v>-69582436.012481853</v>
      </c>
    </row>
    <row r="1155" spans="1:19" ht="15.75" customHeight="1" x14ac:dyDescent="0.3">
      <c r="A1155" s="37">
        <v>86107</v>
      </c>
      <c r="B1155" s="409">
        <f t="shared" ref="B1155:C1155" si="1171">($A1155-B$9)/365.25</f>
        <v>153.86995208761124</v>
      </c>
      <c r="C1155" s="409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2192</v>
      </c>
      <c r="I1155" s="25">
        <f>IF(C1155&lt;62,0,'Combined Retirement'!$I$13)</f>
        <v>2420</v>
      </c>
      <c r="J1155" s="25">
        <f t="shared" si="1043"/>
        <v>7863.2184191855868</v>
      </c>
      <c r="K1155" s="25">
        <f t="shared" si="1044"/>
        <v>20282.026119384056</v>
      </c>
      <c r="L1155" s="25"/>
      <c r="N1155" s="25">
        <f>'Combined Retirement'!$C$18/12</f>
        <v>39153.069999999992</v>
      </c>
      <c r="O1155" s="25">
        <f t="shared" si="1045"/>
        <v>11007.82546143035</v>
      </c>
      <c r="P1155" s="25">
        <f t="shared" si="1046"/>
        <v>28145.244538569641</v>
      </c>
      <c r="Q1155" s="25">
        <f t="array" aca="1" ref="Q1155" ca="1">INDEX('Isaac 401k'!L:L,MATCH('Retirement Calculator'!A1155,'Isaac 401k'!N:N,0),0)</f>
        <v>-19788157.38353283</v>
      </c>
      <c r="R1155" s="25">
        <f t="array" aca="1" ref="R1155" ca="1">INDEX('Lorri 401b'!L:L,MATCH('Retirement Calculator'!A1155,'Lorri 401b'!N:N,0),0)</f>
        <v>-50112467.962058514</v>
      </c>
      <c r="S1155" s="25">
        <f t="shared" ca="1" si="1047"/>
        <v>-69900625.345591336</v>
      </c>
    </row>
    <row r="1156" spans="1:19" ht="15.75" customHeight="1" x14ac:dyDescent="0.3">
      <c r="A1156" s="37">
        <v>86138</v>
      </c>
      <c r="B1156" s="409">
        <f t="shared" ref="B1156:C1156" si="1172">($A1156-B$9)/365.25</f>
        <v>153.95482546201231</v>
      </c>
      <c r="C1156" s="409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2192</v>
      </c>
      <c r="I1156" s="25">
        <f>IF(C1156&lt;62,0,'Combined Retirement'!$I$13)</f>
        <v>2420</v>
      </c>
      <c r="J1156" s="25">
        <f t="shared" si="1043"/>
        <v>7863.2184191855868</v>
      </c>
      <c r="K1156" s="25">
        <f t="shared" si="1044"/>
        <v>20282.026119384056</v>
      </c>
      <c r="L1156" s="25"/>
      <c r="N1156" s="25">
        <f>'Combined Retirement'!$C$18/12</f>
        <v>39153.069999999992</v>
      </c>
      <c r="O1156" s="25">
        <f t="shared" si="1045"/>
        <v>11007.82546143035</v>
      </c>
      <c r="P1156" s="25">
        <f t="shared" si="1046"/>
        <v>28145.244538569641</v>
      </c>
      <c r="Q1156" s="25">
        <f t="array" aca="1" ref="Q1156" ca="1">INDEX('Isaac 401k'!L:L,MATCH('Retirement Calculator'!A1156,'Isaac 401k'!N:N,0),0)</f>
        <v>-19878504.021126818</v>
      </c>
      <c r="R1156" s="25">
        <f t="array" aca="1" ref="R1156" ca="1">INDEX('Lorri 401b'!L:L,MATCH('Retirement Calculator'!A1156,'Lorri 401b'!N:N,0),0)</f>
        <v>-50341636.446461968</v>
      </c>
      <c r="S1156" s="25">
        <f t="shared" ca="1" si="1047"/>
        <v>-70220140.467588782</v>
      </c>
    </row>
    <row r="1157" spans="1:19" ht="15.75" customHeight="1" x14ac:dyDescent="0.3">
      <c r="A1157" s="37">
        <v>86168</v>
      </c>
      <c r="B1157" s="409">
        <f t="shared" ref="B1157:C1157" si="1173">($A1157-B$9)/365.25</f>
        <v>154.03696098562628</v>
      </c>
      <c r="C1157" s="409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2192</v>
      </c>
      <c r="I1157" s="25">
        <f>IF(C1157&lt;62,0,'Combined Retirement'!$I$13)</f>
        <v>2420</v>
      </c>
      <c r="J1157" s="25">
        <f t="shared" si="1043"/>
        <v>7863.2184191855868</v>
      </c>
      <c r="K1157" s="25">
        <f t="shared" si="1044"/>
        <v>20282.026119384056</v>
      </c>
      <c r="L1157" s="25"/>
      <c r="N1157" s="25">
        <f>'Combined Retirement'!$C$18/12</f>
        <v>39153.069999999992</v>
      </c>
      <c r="O1157" s="25">
        <f t="shared" si="1045"/>
        <v>11007.82546143035</v>
      </c>
      <c r="P1157" s="25">
        <f t="shared" si="1046"/>
        <v>28145.244538569641</v>
      </c>
      <c r="Q1157" s="25">
        <f t="array" aca="1" ref="Q1157" ca="1">INDEX('Isaac 401k'!L:L,MATCH('Retirement Calculator'!A1157,'Isaac 401k'!N:N,0),0)</f>
        <v>-19969227.103044111</v>
      </c>
      <c r="R1157" s="25">
        <f t="array" aca="1" ref="R1157" ca="1">INDEX('Lorri 401b'!L:L,MATCH('Retirement Calculator'!A1157,'Lorri 401b'!N:N,0),0)</f>
        <v>-50571759.799550436</v>
      </c>
      <c r="S1157" s="25">
        <f t="shared" ca="1" si="1047"/>
        <v>-70540986.902594551</v>
      </c>
    </row>
    <row r="1158" spans="1:19" ht="15.75" customHeight="1" x14ac:dyDescent="0.3">
      <c r="A1158" s="37">
        <v>86199</v>
      </c>
      <c r="B1158" s="409">
        <f t="shared" ref="B1158:C1158" si="1174">($A1158-B$9)/365.25</f>
        <v>154.12183436002738</v>
      </c>
      <c r="C1158" s="409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2192</v>
      </c>
      <c r="I1158" s="25">
        <f>IF(C1158&lt;62,0,'Combined Retirement'!$I$13)</f>
        <v>2420</v>
      </c>
      <c r="J1158" s="25">
        <f t="shared" si="1043"/>
        <v>7863.2184191855868</v>
      </c>
      <c r="K1158" s="25">
        <f t="shared" si="1044"/>
        <v>20282.026119384056</v>
      </c>
      <c r="L1158" s="25"/>
      <c r="N1158" s="25">
        <f>'Combined Retirement'!$C$18/12</f>
        <v>39153.069999999992</v>
      </c>
      <c r="O1158" s="25">
        <f t="shared" si="1045"/>
        <v>11007.82546143035</v>
      </c>
      <c r="P1158" s="25">
        <f t="shared" si="1046"/>
        <v>28145.244538569641</v>
      </c>
      <c r="Q1158" s="25">
        <f t="array" aca="1" ref="Q1158" ca="1">INDEX('Isaac 401k'!L:L,MATCH('Retirement Calculator'!A1158,'Isaac 401k'!N:N,0),0)</f>
        <v>-20060328.19780273</v>
      </c>
      <c r="R1158" s="25">
        <f t="array" aca="1" ref="R1158" ca="1">INDEX('Lorri 401b'!L:L,MATCH('Retirement Calculator'!A1158,'Lorri 401b'!N:N,0),0)</f>
        <v>-50802841.999943443</v>
      </c>
      <c r="S1158" s="25">
        <f t="shared" ca="1" si="1047"/>
        <v>-70863170.197746173</v>
      </c>
    </row>
    <row r="1159" spans="1:19" ht="15.75" customHeight="1" x14ac:dyDescent="0.3">
      <c r="A1159" s="37">
        <v>86230</v>
      </c>
      <c r="B1159" s="409">
        <f t="shared" ref="B1159:C1159" si="1175">($A1159-B$9)/365.25</f>
        <v>154.20670773442848</v>
      </c>
      <c r="C1159" s="409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2192</v>
      </c>
      <c r="I1159" s="25">
        <f>IF(C1159&lt;62,0,'Combined Retirement'!$I$13)</f>
        <v>2420</v>
      </c>
      <c r="J1159" s="25">
        <f t="shared" si="1043"/>
        <v>7863.2184191855868</v>
      </c>
      <c r="K1159" s="25">
        <f t="shared" si="1044"/>
        <v>20282.026119384056</v>
      </c>
      <c r="L1159" s="25"/>
      <c r="N1159" s="25">
        <f>'Combined Retirement'!$C$18/12</f>
        <v>39153.069999999992</v>
      </c>
      <c r="O1159" s="25">
        <f t="shared" si="1045"/>
        <v>11007.82546143035</v>
      </c>
      <c r="P1159" s="25">
        <f t="shared" si="1046"/>
        <v>28145.244538569641</v>
      </c>
      <c r="Q1159" s="25">
        <f t="array" aca="1" ref="Q1159" ca="1">INDEX('Isaac 401k'!L:L,MATCH('Retirement Calculator'!A1159,'Isaac 401k'!N:N,0),0)</f>
        <v>-20151808.880456176</v>
      </c>
      <c r="R1159" s="25">
        <f t="array" aca="1" ref="R1159" ca="1">INDEX('Lorri 401b'!L:L,MATCH('Retirement Calculator'!A1159,'Lorri 401b'!N:N,0),0)</f>
        <v>-51034887.042838089</v>
      </c>
      <c r="S1159" s="25">
        <f t="shared" ca="1" si="1047"/>
        <v>-71186695.923294261</v>
      </c>
    </row>
    <row r="1160" spans="1:19" ht="15.75" customHeight="1" x14ac:dyDescent="0.3">
      <c r="A1160" s="37">
        <v>86259</v>
      </c>
      <c r="B1160" s="409">
        <f t="shared" ref="B1160:C1160" si="1176">($A1160-B$9)/365.25</f>
        <v>154.28610540725529</v>
      </c>
      <c r="C1160" s="409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2192</v>
      </c>
      <c r="I1160" s="25">
        <f>IF(C1160&lt;62,0,'Combined Retirement'!$I$13)</f>
        <v>2420</v>
      </c>
      <c r="J1160" s="25">
        <f t="shared" si="1043"/>
        <v>7863.2184191855868</v>
      </c>
      <c r="K1160" s="25">
        <f t="shared" si="1044"/>
        <v>20282.026119384056</v>
      </c>
      <c r="L1160" s="25"/>
      <c r="N1160" s="25">
        <f>'Combined Retirement'!$C$18/12</f>
        <v>39153.069999999992</v>
      </c>
      <c r="O1160" s="25">
        <f t="shared" si="1045"/>
        <v>11007.82546143035</v>
      </c>
      <c r="P1160" s="25">
        <f t="shared" si="1046"/>
        <v>28145.244538569641</v>
      </c>
      <c r="Q1160" s="25">
        <f t="array" aca="1" ref="Q1160" ca="1">INDEX('Isaac 401k'!L:L,MATCH('Retirement Calculator'!A1160,'Isaac 401k'!N:N,0),0)</f>
        <v>-20243670.732620675</v>
      </c>
      <c r="R1160" s="25">
        <f t="array" aca="1" ref="R1160" ca="1">INDEX('Lorri 401b'!L:L,MATCH('Retirement Calculator'!A1160,'Lorri 401b'!N:N,0),0)</f>
        <v>-51267898.940078124</v>
      </c>
      <c r="S1160" s="25">
        <f t="shared" ca="1" si="1047"/>
        <v>-71511569.672698796</v>
      </c>
    </row>
    <row r="1161" spans="1:19" ht="15.75" customHeight="1" x14ac:dyDescent="0.3">
      <c r="A1161" s="37">
        <v>86290</v>
      </c>
      <c r="B1161" s="409">
        <f t="shared" ref="B1161:C1161" si="1177">($A1161-B$9)/365.25</f>
        <v>154.37097878165639</v>
      </c>
      <c r="C1161" s="409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2192</v>
      </c>
      <c r="I1161" s="25">
        <f>IF(C1161&lt;62,0,'Combined Retirement'!$I$13)</f>
        <v>2420</v>
      </c>
      <c r="J1161" s="25">
        <f t="shared" si="1043"/>
        <v>7863.2184191855868</v>
      </c>
      <c r="K1161" s="25">
        <f t="shared" si="1044"/>
        <v>20282.026119384056</v>
      </c>
      <c r="L1161" s="25"/>
      <c r="N1161" s="25">
        <f>'Combined Retirement'!$C$18/12</f>
        <v>39153.069999999992</v>
      </c>
      <c r="O1161" s="25">
        <f t="shared" si="1045"/>
        <v>11007.82546143035</v>
      </c>
      <c r="P1161" s="25">
        <f t="shared" si="1046"/>
        <v>28145.244538569641</v>
      </c>
      <c r="Q1161" s="25">
        <f t="array" aca="1" ref="Q1161" ca="1">INDEX('Isaac 401k'!L:L,MATCH('Retirement Calculator'!A1161,'Isaac 401k'!N:N,0),0)</f>
        <v>-20335915.342502527</v>
      </c>
      <c r="R1161" s="25">
        <f t="array" aca="1" ref="R1161" ca="1">INDEX('Lorri 401b'!L:L,MATCH('Retirement Calculator'!A1161,'Lorri 401b'!N:N,0),0)</f>
        <v>-51501881.72022333</v>
      </c>
      <c r="S1161" s="25">
        <f t="shared" ca="1" si="1047"/>
        <v>-71837797.062725857</v>
      </c>
    </row>
    <row r="1162" spans="1:19" ht="15.75" customHeight="1" x14ac:dyDescent="0.3">
      <c r="A1162" s="37">
        <v>86320</v>
      </c>
      <c r="B1162" s="409">
        <f t="shared" ref="B1162:C1162" si="1178">($A1162-B$9)/365.25</f>
        <v>154.45311430527036</v>
      </c>
      <c r="C1162" s="409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2192</v>
      </c>
      <c r="I1162" s="25">
        <f>IF(C1162&lt;62,0,'Combined Retirement'!$I$13)</f>
        <v>2420</v>
      </c>
      <c r="J1162" s="25">
        <f t="shared" si="1043"/>
        <v>7863.2184191855868</v>
      </c>
      <c r="K1162" s="25">
        <f t="shared" si="1044"/>
        <v>20282.026119384056</v>
      </c>
      <c r="L1162" s="25"/>
      <c r="N1162" s="25">
        <f>'Combined Retirement'!$C$18/12</f>
        <v>39153.069999999992</v>
      </c>
      <c r="O1162" s="25">
        <f t="shared" si="1045"/>
        <v>11007.82546143035</v>
      </c>
      <c r="P1162" s="25">
        <f t="shared" si="1046"/>
        <v>28145.244538569641</v>
      </c>
      <c r="Q1162" s="25">
        <f t="array" aca="1" ref="Q1162" ca="1">INDEX('Isaac 401k'!L:L,MATCH('Retirement Calculator'!A1162,'Isaac 401k'!N:N,0),0)</f>
        <v>-20428544.304925554</v>
      </c>
      <c r="R1162" s="25">
        <f t="array" aca="1" ref="R1162" ca="1">INDEX('Lorri 401b'!L:L,MATCH('Retirement Calculator'!A1162,'Lorri 401b'!N:N,0),0)</f>
        <v>-51736839.428619139</v>
      </c>
      <c r="S1162" s="25">
        <f t="shared" ca="1" si="1047"/>
        <v>-72165383.733544692</v>
      </c>
    </row>
    <row r="1163" spans="1:19" ht="15.75" customHeight="1" x14ac:dyDescent="0.3">
      <c r="A1163" s="37">
        <v>86351</v>
      </c>
      <c r="B1163" s="409">
        <f t="shared" ref="B1163:C1163" si="1179">($A1163-B$9)/365.25</f>
        <v>154.53798767967146</v>
      </c>
      <c r="C1163" s="409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2192</v>
      </c>
      <c r="I1163" s="25">
        <f>IF(C1163&lt;62,0,'Combined Retirement'!$I$13)</f>
        <v>2420</v>
      </c>
      <c r="J1163" s="25">
        <f t="shared" si="1043"/>
        <v>7863.2184191855868</v>
      </c>
      <c r="K1163" s="25">
        <f t="shared" si="1044"/>
        <v>20282.026119384056</v>
      </c>
      <c r="L1163" s="25"/>
      <c r="N1163" s="25">
        <f>'Combined Retirement'!$C$18/12</f>
        <v>39153.069999999992</v>
      </c>
      <c r="O1163" s="25">
        <f t="shared" si="1045"/>
        <v>11007.82546143035</v>
      </c>
      <c r="P1163" s="25">
        <f t="shared" si="1046"/>
        <v>28145.244538569641</v>
      </c>
      <c r="Q1163" s="25">
        <f t="array" aca="1" ref="Q1163" ca="1">INDEX('Isaac 401k'!L:L,MATCH('Retirement Calculator'!A1163,'Isaac 401k'!N:N,0),0)</f>
        <v>-20521559.221358676</v>
      </c>
      <c r="R1163" s="25">
        <f t="array" aca="1" ref="R1163" ca="1">INDEX('Lorri 401b'!L:L,MATCH('Retirement Calculator'!A1163,'Lorri 401b'!N:N,0),0)</f>
        <v>-51972776.127466597</v>
      </c>
      <c r="S1163" s="25">
        <f t="shared" ca="1" si="1047"/>
        <v>-72494335.348825276</v>
      </c>
    </row>
    <row r="1164" spans="1:19" ht="15.75" customHeight="1" x14ac:dyDescent="0.3">
      <c r="A1164" s="37">
        <v>86381</v>
      </c>
      <c r="B1164" s="409">
        <f t="shared" ref="B1164:C1164" si="1180">($A1164-B$9)/365.25</f>
        <v>154.62012320328543</v>
      </c>
      <c r="C1164" s="409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2192</v>
      </c>
      <c r="I1164" s="25">
        <f>IF(C1164&lt;62,0,'Combined Retirement'!$I$13)</f>
        <v>2420</v>
      </c>
      <c r="J1164" s="25">
        <f t="shared" si="1043"/>
        <v>7863.2184191855868</v>
      </c>
      <c r="K1164" s="25">
        <f t="shared" si="1044"/>
        <v>20282.026119384056</v>
      </c>
      <c r="L1164" s="25"/>
      <c r="N1164" s="25">
        <f>'Combined Retirement'!$C$18/12</f>
        <v>39153.069999999992</v>
      </c>
      <c r="O1164" s="25">
        <f t="shared" si="1045"/>
        <v>11007.82546143035</v>
      </c>
      <c r="P1164" s="25">
        <f t="shared" si="1046"/>
        <v>28145.244538569641</v>
      </c>
      <c r="Q1164" s="25">
        <f t="array" aca="1" ref="Q1164" ca="1">INDEX('Isaac 401k'!L:L,MATCH('Retirement Calculator'!A1164,'Isaac 401k'!N:N,0),0)</f>
        <v>-20614961.699943602</v>
      </c>
      <c r="R1164" s="25">
        <f t="array" aca="1" ref="R1164" ca="1">INDEX('Lorri 401b'!L:L,MATCH('Retirement Calculator'!A1164,'Lorri 401b'!N:N,0),0)</f>
        <v>-52209695.895892583</v>
      </c>
      <c r="S1164" s="25">
        <f t="shared" ca="1" si="1047"/>
        <v>-72824657.595836192</v>
      </c>
    </row>
    <row r="1165" spans="1:19" ht="15.75" customHeight="1" x14ac:dyDescent="0.3">
      <c r="A1165" s="37">
        <v>86412</v>
      </c>
      <c r="B1165" s="409">
        <f t="shared" ref="B1165:C1165" si="1181">($A1165-B$9)/365.25</f>
        <v>154.70499657768653</v>
      </c>
      <c r="C1165" s="409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2192</v>
      </c>
      <c r="I1165" s="25">
        <f>IF(C1165&lt;62,0,'Combined Retirement'!$I$13)</f>
        <v>2420</v>
      </c>
      <c r="J1165" s="25">
        <f t="shared" si="1043"/>
        <v>7863.2184191855868</v>
      </c>
      <c r="K1165" s="25">
        <f t="shared" si="1044"/>
        <v>20282.026119384056</v>
      </c>
      <c r="L1165" s="25"/>
      <c r="N1165" s="25">
        <f>'Combined Retirement'!$C$18/12</f>
        <v>39153.069999999992</v>
      </c>
      <c r="O1165" s="25">
        <f t="shared" si="1045"/>
        <v>11007.82546143035</v>
      </c>
      <c r="P1165" s="25">
        <f t="shared" si="1046"/>
        <v>28145.244538569641</v>
      </c>
      <c r="Q1165" s="25">
        <f t="array" aca="1" ref="Q1165" ca="1">INDEX('Isaac 401k'!L:L,MATCH('Retirement Calculator'!A1165,'Isaac 401k'!N:N,0),0)</f>
        <v>-20708753.355522633</v>
      </c>
      <c r="R1165" s="25">
        <f t="array" aca="1" ref="R1165" ca="1">INDEX('Lorri 401b'!L:L,MATCH('Retirement Calculator'!A1165,'Lorri 401b'!N:N,0),0)</f>
        <v>-52447602.830020346</v>
      </c>
      <c r="S1165" s="25">
        <f t="shared" ca="1" si="1047"/>
        <v>-73156356.185542971</v>
      </c>
    </row>
    <row r="1166" spans="1:19" ht="15.75" customHeight="1" x14ac:dyDescent="0.3">
      <c r="A1166" s="37">
        <v>86443</v>
      </c>
      <c r="B1166" s="409">
        <f t="shared" ref="B1166:C1166" si="1182">($A1166-B$9)/365.25</f>
        <v>154.7898699520876</v>
      </c>
      <c r="C1166" s="409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2192</v>
      </c>
      <c r="I1166" s="25">
        <f>IF(C1166&lt;62,0,'Combined Retirement'!$I$13)</f>
        <v>2420</v>
      </c>
      <c r="J1166" s="25">
        <f t="shared" si="1043"/>
        <v>7863.2184191855868</v>
      </c>
      <c r="K1166" s="25">
        <f t="shared" si="1044"/>
        <v>20282.026119384056</v>
      </c>
      <c r="L1166" s="25"/>
      <c r="N1166" s="25">
        <f>'Combined Retirement'!$C$18/12</f>
        <v>39153.069999999992</v>
      </c>
      <c r="O1166" s="25">
        <f t="shared" si="1045"/>
        <v>11007.82546143035</v>
      </c>
      <c r="P1166" s="25">
        <f t="shared" si="1046"/>
        <v>28145.244538569641</v>
      </c>
      <c r="Q1166" s="25">
        <f t="array" aca="1" ref="Q1166" ca="1">INDEX('Isaac 401k'!L:L,MATCH('Retirement Calculator'!A1166,'Isaac 401k'!N:N,0),0)</f>
        <v>-20802935.809666578</v>
      </c>
      <c r="R1166" s="25">
        <f t="array" aca="1" ref="R1166" ca="1">INDEX('Lorri 401b'!L:L,MATCH('Retirement Calculator'!A1166,'Lorri 401b'!N:N,0),0)</f>
        <v>-52686501.043040313</v>
      </c>
      <c r="S1166" s="25">
        <f t="shared" ca="1" si="1047"/>
        <v>-73489436.852706894</v>
      </c>
    </row>
    <row r="1167" spans="1:19" ht="15.75" customHeight="1" x14ac:dyDescent="0.3">
      <c r="A1167" s="37">
        <v>86473</v>
      </c>
      <c r="B1167" s="409">
        <f t="shared" ref="B1167:C1167" si="1183">($A1167-B$9)/365.25</f>
        <v>154.87200547570157</v>
      </c>
      <c r="C1167" s="409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2192</v>
      </c>
      <c r="I1167" s="25">
        <f>IF(C1167&lt;62,0,'Combined Retirement'!$I$13)</f>
        <v>2420</v>
      </c>
      <c r="J1167" s="25">
        <f t="shared" si="1043"/>
        <v>7863.2184191855868</v>
      </c>
      <c r="K1167" s="25">
        <f t="shared" si="1044"/>
        <v>20282.026119384056</v>
      </c>
      <c r="L1167" s="25"/>
      <c r="N1167" s="25">
        <f>'Combined Retirement'!$C$18/12</f>
        <v>39153.069999999992</v>
      </c>
      <c r="O1167" s="25">
        <f t="shared" si="1045"/>
        <v>11007.82546143035</v>
      </c>
      <c r="P1167" s="25">
        <f t="shared" si="1046"/>
        <v>28145.244538569641</v>
      </c>
      <c r="Q1167" s="25">
        <f t="array" aca="1" ref="Q1167" ca="1">INDEX('Isaac 401k'!L:L,MATCH('Retirement Calculator'!A1167,'Isaac 401k'!N:N,0),0)</f>
        <v>-20897510.690702789</v>
      </c>
      <c r="R1167" s="25">
        <f t="array" aca="1" ref="R1167" ca="1">INDEX('Lorri 401b'!L:L,MATCH('Retirement Calculator'!A1167,'Lorri 401b'!N:N,0),0)</f>
        <v>-52926394.665281191</v>
      </c>
      <c r="S1167" s="25">
        <f t="shared" ca="1" si="1047"/>
        <v>-73823905.355983973</v>
      </c>
    </row>
    <row r="1168" spans="1:19" ht="15.75" customHeight="1" x14ac:dyDescent="0.3">
      <c r="A1168" s="37">
        <v>86504</v>
      </c>
      <c r="B1168" s="409">
        <f t="shared" ref="B1168:C1168" si="1184">($A1168-B$9)/365.25</f>
        <v>154.95687885010267</v>
      </c>
      <c r="C1168" s="409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2192</v>
      </c>
      <c r="I1168" s="25">
        <f>IF(C1168&lt;62,0,'Combined Retirement'!$I$13)</f>
        <v>2420</v>
      </c>
      <c r="J1168" s="25">
        <f t="shared" si="1043"/>
        <v>7863.2184191855868</v>
      </c>
      <c r="K1168" s="25">
        <f t="shared" si="1044"/>
        <v>20282.026119384056</v>
      </c>
      <c r="L1168" s="25"/>
      <c r="N1168" s="25">
        <f>'Combined Retirement'!$C$18/12</f>
        <v>39153.069999999992</v>
      </c>
      <c r="O1168" s="25">
        <f t="shared" si="1045"/>
        <v>11007.82546143035</v>
      </c>
      <c r="P1168" s="25">
        <f t="shared" si="1046"/>
        <v>28145.244538569641</v>
      </c>
      <c r="Q1168" s="25">
        <f t="array" aca="1" ref="Q1168" ca="1">INDEX('Isaac 401k'!L:L,MATCH('Retirement Calculator'!A1168,'Isaac 401k'!N:N,0),0)</f>
        <v>-20992479.633743316</v>
      </c>
      <c r="R1168" s="25">
        <f t="array" aca="1" ref="R1168" ca="1">INDEX('Lorri 401b'!L:L,MATCH('Retirement Calculator'!A1168,'Lorri 401b'!N:N,0),0)</f>
        <v>-53167287.844281405</v>
      </c>
      <c r="S1168" s="25">
        <f t="shared" ca="1" si="1047"/>
        <v>-74159767.478024721</v>
      </c>
    </row>
    <row r="1169" spans="1:19" ht="15.75" customHeight="1" x14ac:dyDescent="0.3">
      <c r="A1169" s="37">
        <v>86534</v>
      </c>
      <c r="B1169" s="409">
        <f t="shared" ref="B1169:C1169" si="1185">($A1169-B$9)/365.25</f>
        <v>155.03901437371664</v>
      </c>
      <c r="C1169" s="409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2192</v>
      </c>
      <c r="I1169" s="25">
        <f>IF(C1169&lt;62,0,'Combined Retirement'!$I$13)</f>
        <v>2420</v>
      </c>
      <c r="J1169" s="25">
        <f t="shared" si="1043"/>
        <v>7863.2184191855868</v>
      </c>
      <c r="K1169" s="25">
        <f t="shared" si="1044"/>
        <v>20282.026119384056</v>
      </c>
      <c r="L1169" s="25"/>
      <c r="N1169" s="25">
        <f>'Combined Retirement'!$C$18/12</f>
        <v>39153.069999999992</v>
      </c>
      <c r="O1169" s="25">
        <f t="shared" si="1045"/>
        <v>11007.82546143035</v>
      </c>
      <c r="P1169" s="25">
        <f t="shared" si="1046"/>
        <v>28145.244538569641</v>
      </c>
      <c r="Q1169" s="25">
        <f t="array" aca="1" ref="Q1169" ca="1">INDEX('Isaac 401k'!L:L,MATCH('Retirement Calculator'!A1169,'Isaac 401k'!N:N,0),0)</f>
        <v>-21087844.280713178</v>
      </c>
      <c r="R1169" s="25">
        <f t="array" aca="1" ref="R1169" ca="1">INDEX('Lorri 401b'!L:L,MATCH('Retirement Calculator'!A1169,'Lorri 401b'!N:N,0),0)</f>
        <v>-53409184.744860791</v>
      </c>
      <c r="S1169" s="25">
        <f t="shared" ca="1" si="1047"/>
        <v>-74497029.025573969</v>
      </c>
    </row>
    <row r="1170" spans="1:19" ht="15.75" customHeight="1" x14ac:dyDescent="0.3">
      <c r="A1170" s="37">
        <v>86565</v>
      </c>
      <c r="B1170" s="409">
        <f t="shared" ref="B1170:C1170" si="1186">($A1170-B$9)/365.25</f>
        <v>155.12388774811774</v>
      </c>
      <c r="C1170" s="409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2192</v>
      </c>
      <c r="I1170" s="25">
        <f>IF(C1170&lt;62,0,'Combined Retirement'!$I$13)</f>
        <v>2420</v>
      </c>
      <c r="J1170" s="25">
        <f t="shared" si="1043"/>
        <v>7863.2184191855868</v>
      </c>
      <c r="K1170" s="25">
        <f t="shared" si="1044"/>
        <v>20282.026119384056</v>
      </c>
      <c r="L1170" s="25"/>
      <c r="N1170" s="25">
        <f>'Combined Retirement'!$C$18/12</f>
        <v>39153.069999999992</v>
      </c>
      <c r="O1170" s="25">
        <f t="shared" si="1045"/>
        <v>11007.82546143035</v>
      </c>
      <c r="P1170" s="25">
        <f t="shared" si="1046"/>
        <v>28145.244538569641</v>
      </c>
      <c r="Q1170" s="25">
        <f t="array" aca="1" ref="Q1170" ca="1">INDEX('Isaac 401k'!L:L,MATCH('Retirement Calculator'!A1170,'Isaac 401k'!N:N,0),0)</f>
        <v>-21183606.280378751</v>
      </c>
      <c r="R1170" s="25">
        <f t="array" aca="1" ref="R1170" ca="1">INDEX('Lorri 401b'!L:L,MATCH('Retirement Calculator'!A1170,'Lorri 401b'!N:N,0),0)</f>
        <v>-53652089.549192593</v>
      </c>
      <c r="S1170" s="25">
        <f t="shared" ca="1" si="1047"/>
        <v>-74835695.829571337</v>
      </c>
    </row>
    <row r="1171" spans="1:19" ht="15.75" customHeight="1" x14ac:dyDescent="0.3">
      <c r="A1171" s="37">
        <v>86596</v>
      </c>
      <c r="B1171" s="409">
        <f t="shared" ref="B1171:C1171" si="1187">($A1171-B$9)/365.25</f>
        <v>155.20876112251884</v>
      </c>
      <c r="C1171" s="409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2192</v>
      </c>
      <c r="I1171" s="25">
        <f>IF(C1171&lt;62,0,'Combined Retirement'!$I$13)</f>
        <v>2420</v>
      </c>
      <c r="J1171" s="25">
        <f t="shared" si="1043"/>
        <v>7863.2184191855868</v>
      </c>
      <c r="K1171" s="25">
        <f t="shared" si="1044"/>
        <v>20282.026119384056</v>
      </c>
      <c r="L1171" s="25"/>
      <c r="N1171" s="25">
        <f>'Combined Retirement'!$C$18/12</f>
        <v>39153.069999999992</v>
      </c>
      <c r="O1171" s="25">
        <f t="shared" si="1045"/>
        <v>11007.82546143035</v>
      </c>
      <c r="P1171" s="25">
        <f t="shared" si="1046"/>
        <v>28145.244538569641</v>
      </c>
      <c r="Q1171" s="25">
        <f t="array" aca="1" ref="Q1171" ca="1">INDEX('Isaac 401k'!L:L,MATCH('Retirement Calculator'!A1171,'Isaac 401k'!N:N,0),0)</f>
        <v>-21279767.288376264</v>
      </c>
      <c r="R1171" s="25">
        <f t="array" aca="1" ref="R1171" ca="1">INDEX('Lorri 401b'!L:L,MATCH('Retirement Calculator'!A1171,'Lorri 401b'!N:N,0),0)</f>
        <v>-53896006.456875771</v>
      </c>
      <c r="S1171" s="25">
        <f t="shared" ca="1" si="1047"/>
        <v>-75175773.745252043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67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304"/>
      <c r="B1" s="349" t="s">
        <v>606</v>
      </c>
      <c r="C1" s="349" t="s">
        <v>607</v>
      </c>
      <c r="D1" s="410" t="s">
        <v>608</v>
      </c>
      <c r="E1" s="410" t="s">
        <v>609</v>
      </c>
      <c r="F1" s="410" t="s">
        <v>610</v>
      </c>
      <c r="G1" s="410" t="s">
        <v>611</v>
      </c>
      <c r="H1" s="307"/>
      <c r="I1" s="307"/>
      <c r="J1" s="411"/>
      <c r="K1" s="411"/>
      <c r="L1" s="307"/>
      <c r="M1" s="307"/>
      <c r="N1" s="307"/>
      <c r="O1" s="411"/>
      <c r="P1" s="411"/>
      <c r="Q1" s="412">
        <f ca="1">(TODAY()-B18)/365</f>
        <v>15.87945205479452</v>
      </c>
      <c r="R1" s="411"/>
      <c r="S1" s="411"/>
      <c r="T1" s="411"/>
      <c r="U1" s="411"/>
      <c r="V1" s="412">
        <f ca="1">(TODAY()-B16)/365</f>
        <v>16.375342465753423</v>
      </c>
      <c r="W1" s="307"/>
      <c r="X1" s="411"/>
      <c r="Y1" s="307"/>
      <c r="Z1" s="307"/>
    </row>
    <row r="2" spans="1:26" ht="11.25" customHeight="1" x14ac:dyDescent="0.3">
      <c r="A2" s="412">
        <f ca="1">(C2-B2)/365</f>
        <v>18.63013698630137</v>
      </c>
      <c r="B2" s="349">
        <v>39356</v>
      </c>
      <c r="C2" s="349">
        <f ca="1">TODAY()</f>
        <v>46156</v>
      </c>
      <c r="D2" s="410">
        <f>-(SUM(D7:D80))</f>
        <v>-435224.27000000008</v>
      </c>
      <c r="E2" s="410">
        <f>(H82+L82+Q82+V82)*-1</f>
        <v>1063118.3599999999</v>
      </c>
      <c r="F2" s="296">
        <f ca="1">D4</f>
        <v>0.11155077815055847</v>
      </c>
      <c r="G2" s="413">
        <f ca="1">(72/(F2*100))</f>
        <v>6.4544596813858748</v>
      </c>
      <c r="H2" s="412"/>
      <c r="I2" s="307"/>
      <c r="J2" s="411"/>
      <c r="K2" s="411"/>
      <c r="L2" s="307"/>
      <c r="M2" s="307"/>
      <c r="N2" s="307"/>
      <c r="O2" s="411"/>
      <c r="P2" s="411"/>
      <c r="Q2" s="411"/>
      <c r="R2" s="411"/>
      <c r="S2" s="411"/>
      <c r="T2" s="411"/>
      <c r="U2" s="411"/>
      <c r="V2" s="411"/>
      <c r="W2" s="307"/>
      <c r="X2" s="411"/>
      <c r="Y2" s="307"/>
      <c r="Z2" s="307"/>
    </row>
    <row r="3" spans="1:26" ht="11.25" customHeight="1" x14ac:dyDescent="0.3">
      <c r="A3" s="304"/>
      <c r="B3" s="414"/>
      <c r="C3" s="414"/>
      <c r="D3" s="411"/>
      <c r="E3" s="411"/>
      <c r="F3" s="307"/>
      <c r="G3" s="307"/>
      <c r="H3" s="307"/>
      <c r="I3" s="307"/>
      <c r="J3" s="411"/>
      <c r="K3" s="411"/>
      <c r="L3" s="307"/>
      <c r="M3" s="307"/>
      <c r="N3" s="307"/>
      <c r="O3" s="411"/>
      <c r="P3" s="411"/>
      <c r="Q3" s="411"/>
      <c r="R3" s="411"/>
      <c r="S3" s="411"/>
      <c r="T3" s="411"/>
      <c r="U3" s="411"/>
      <c r="V3" s="411"/>
      <c r="W3" s="307"/>
      <c r="X3" s="411"/>
      <c r="Y3" s="307"/>
      <c r="Z3" s="307"/>
    </row>
    <row r="4" spans="1:26" ht="11.25" customHeight="1" x14ac:dyDescent="0.3">
      <c r="A4" s="415"/>
      <c r="B4" s="416"/>
      <c r="C4" s="417"/>
      <c r="D4" s="307">
        <f ca="1">XIRR(D7:D82,B7:B82)</f>
        <v>0.11155077815055847</v>
      </c>
      <c r="E4" s="411"/>
      <c r="F4" s="307"/>
      <c r="G4" s="307"/>
      <c r="H4" s="307"/>
      <c r="I4" s="411"/>
      <c r="J4" s="307">
        <f ca="1">XIRR(H8:H82,B8:B82)</f>
        <v>0.11307232975959777</v>
      </c>
      <c r="K4" s="307"/>
      <c r="L4" s="307"/>
      <c r="M4" s="307"/>
      <c r="N4" s="411"/>
      <c r="O4" s="307">
        <f ca="1">XIRR(L7:L82,B7:B82)</f>
        <v>0.11016147732734682</v>
      </c>
      <c r="P4" s="307"/>
      <c r="Q4" s="307"/>
      <c r="R4" s="411"/>
      <c r="S4" s="411"/>
      <c r="T4" s="307">
        <f ca="1">XIRR(Q18:Q82,B18:B82)</f>
        <v>0.11045233607292174</v>
      </c>
      <c r="U4" s="307"/>
      <c r="V4" s="307"/>
      <c r="W4" s="307"/>
      <c r="X4" s="411"/>
      <c r="Y4" s="307">
        <f ca="1">XIRR(V16:V82,B16:B82)</f>
        <v>0.11105840802192687</v>
      </c>
      <c r="Z4" s="307"/>
    </row>
    <row r="5" spans="1:26" ht="11.25" customHeight="1" x14ac:dyDescent="0.3">
      <c r="A5" s="415"/>
      <c r="B5" s="306"/>
      <c r="C5" s="306"/>
      <c r="D5" s="572" t="s">
        <v>612</v>
      </c>
      <c r="E5" s="565"/>
      <c r="F5" s="565"/>
      <c r="G5" s="564"/>
      <c r="H5" s="573" t="s">
        <v>613</v>
      </c>
      <c r="I5" s="565"/>
      <c r="J5" s="565"/>
      <c r="K5" s="564"/>
      <c r="L5" s="574" t="s">
        <v>614</v>
      </c>
      <c r="M5" s="565"/>
      <c r="N5" s="565"/>
      <c r="O5" s="565"/>
      <c r="P5" s="564"/>
      <c r="Q5" s="573" t="s">
        <v>615</v>
      </c>
      <c r="R5" s="565"/>
      <c r="S5" s="565"/>
      <c r="T5" s="565"/>
      <c r="U5" s="564"/>
      <c r="V5" s="574" t="s">
        <v>616</v>
      </c>
      <c r="W5" s="565"/>
      <c r="X5" s="565"/>
      <c r="Y5" s="565"/>
      <c r="Z5" s="564"/>
    </row>
    <row r="6" spans="1:26" ht="11.25" customHeight="1" x14ac:dyDescent="0.3">
      <c r="A6" s="418" t="s">
        <v>617</v>
      </c>
      <c r="B6" s="418">
        <f ca="1">MAX(A:A)</f>
        <v>75</v>
      </c>
      <c r="C6" s="416"/>
      <c r="D6" s="349" t="s">
        <v>618</v>
      </c>
      <c r="E6" s="296" t="s">
        <v>619</v>
      </c>
      <c r="F6" s="296" t="s">
        <v>620</v>
      </c>
      <c r="G6" s="296" t="s">
        <v>621</v>
      </c>
      <c r="H6" s="419" t="s">
        <v>618</v>
      </c>
      <c r="I6" s="419" t="s">
        <v>619</v>
      </c>
      <c r="J6" s="419" t="s">
        <v>620</v>
      </c>
      <c r="K6" s="419" t="s">
        <v>621</v>
      </c>
      <c r="L6" s="420" t="s">
        <v>618</v>
      </c>
      <c r="M6" s="420" t="s">
        <v>622</v>
      </c>
      <c r="N6" s="420" t="s">
        <v>619</v>
      </c>
      <c r="O6" s="420" t="s">
        <v>620</v>
      </c>
      <c r="P6" s="420" t="s">
        <v>621</v>
      </c>
      <c r="Q6" s="419" t="s">
        <v>623</v>
      </c>
      <c r="R6" s="419" t="s">
        <v>624</v>
      </c>
      <c r="S6" s="419" t="s">
        <v>625</v>
      </c>
      <c r="T6" s="419" t="s">
        <v>620</v>
      </c>
      <c r="U6" s="419" t="s">
        <v>621</v>
      </c>
      <c r="V6" s="420" t="s">
        <v>626</v>
      </c>
      <c r="W6" s="420" t="s">
        <v>624</v>
      </c>
      <c r="X6" s="420" t="s">
        <v>619</v>
      </c>
      <c r="Y6" s="420" t="s">
        <v>620</v>
      </c>
      <c r="Z6" s="420" t="s">
        <v>621</v>
      </c>
    </row>
    <row r="7" spans="1:26" ht="11.25" customHeight="1" x14ac:dyDescent="0.3">
      <c r="A7" s="421">
        <f t="shared" ref="A7:A81" si="0">_xlfn.RANK.EQ(G7,$G$7:$G$81)</f>
        <v>58</v>
      </c>
      <c r="B7" s="422">
        <v>39356</v>
      </c>
      <c r="C7" s="422">
        <v>39447</v>
      </c>
      <c r="D7" s="410">
        <f t="shared" ref="D7:D81" si="1">H7+L7+Q7+V7</f>
        <v>33.119999999999997</v>
      </c>
      <c r="E7" s="352">
        <f t="shared" ref="E7:F7" si="2">I7+N7+S7+X7</f>
        <v>0.05</v>
      </c>
      <c r="F7" s="352">
        <f t="shared" si="2"/>
        <v>33.17</v>
      </c>
      <c r="G7" s="296">
        <f>E7/(0+(D7/2))</f>
        <v>3.0193236714975849E-3</v>
      </c>
      <c r="H7" s="419">
        <v>0</v>
      </c>
      <c r="I7" s="419"/>
      <c r="J7" s="419"/>
      <c r="K7" s="423"/>
      <c r="L7" s="420">
        <v>33.119999999999997</v>
      </c>
      <c r="M7" s="420"/>
      <c r="N7" s="420">
        <v>0.05</v>
      </c>
      <c r="O7" s="420">
        <v>33.17</v>
      </c>
      <c r="P7" s="424">
        <f>N7/(0+(L7/2))</f>
        <v>3.0193236714975849E-3</v>
      </c>
      <c r="Q7" s="419"/>
      <c r="R7" s="419"/>
      <c r="S7" s="419"/>
      <c r="T7" s="419"/>
      <c r="U7" s="419"/>
      <c r="V7" s="420"/>
      <c r="W7" s="420"/>
      <c r="X7" s="420"/>
      <c r="Y7" s="420"/>
      <c r="Z7" s="420"/>
    </row>
    <row r="8" spans="1:26" ht="11.25" customHeight="1" x14ac:dyDescent="0.3">
      <c r="A8" s="421">
        <f t="shared" si="0"/>
        <v>55</v>
      </c>
      <c r="B8" s="422">
        <v>39448</v>
      </c>
      <c r="C8" s="422">
        <v>39538</v>
      </c>
      <c r="D8" s="410">
        <f t="shared" si="1"/>
        <v>616.89</v>
      </c>
      <c r="E8" s="352">
        <f t="shared" ref="E8:F8" si="3">I8+N8+S8+X8</f>
        <v>2.14</v>
      </c>
      <c r="F8" s="352">
        <f t="shared" si="3"/>
        <v>652.20000000000005</v>
      </c>
      <c r="G8" s="296">
        <f t="shared" ref="G8:G81" si="4">E8/(F7+(D8/2))</f>
        <v>6.2643619279012927E-3</v>
      </c>
      <c r="H8" s="419">
        <v>479.8</v>
      </c>
      <c r="I8" s="419">
        <v>1.1200000000000001</v>
      </c>
      <c r="J8" s="419">
        <v>480.92</v>
      </c>
      <c r="K8" s="423">
        <f t="shared" ref="K8:K81" si="5">I8/(J7+(H8/2))</f>
        <v>4.6686119216340144E-3</v>
      </c>
      <c r="L8" s="420">
        <v>137.09</v>
      </c>
      <c r="M8" s="420"/>
      <c r="N8" s="420">
        <v>1.02</v>
      </c>
      <c r="O8" s="420">
        <f t="shared" ref="O8:O75" si="6">O7+L8+N8</f>
        <v>171.28</v>
      </c>
      <c r="P8" s="424">
        <f t="shared" ref="P8:P81" si="7">N8/(O7+(L8/2))</f>
        <v>1.0028019466155435E-2</v>
      </c>
      <c r="Q8" s="419"/>
      <c r="R8" s="419"/>
      <c r="S8" s="419"/>
      <c r="T8" s="419"/>
      <c r="U8" s="419"/>
      <c r="V8" s="420"/>
      <c r="W8" s="420"/>
      <c r="X8" s="420"/>
      <c r="Y8" s="420"/>
      <c r="Z8" s="420"/>
    </row>
    <row r="9" spans="1:26" ht="11.25" customHeight="1" x14ac:dyDescent="0.3">
      <c r="A9" s="421">
        <f t="shared" si="0"/>
        <v>52</v>
      </c>
      <c r="B9" s="422">
        <v>39539</v>
      </c>
      <c r="C9" s="422">
        <v>39629</v>
      </c>
      <c r="D9" s="410">
        <f t="shared" si="1"/>
        <v>1853.77</v>
      </c>
      <c r="E9" s="352">
        <f t="shared" ref="E9:F9" si="8">I9+N9+S9+X9</f>
        <v>12.58</v>
      </c>
      <c r="F9" s="352">
        <f t="shared" si="8"/>
        <v>2518.5500000000002</v>
      </c>
      <c r="G9" s="296">
        <f t="shared" si="4"/>
        <v>7.9666389079751879E-3</v>
      </c>
      <c r="H9" s="419">
        <v>1185.3800000000001</v>
      </c>
      <c r="I9" s="419">
        <v>9.18</v>
      </c>
      <c r="J9" s="419">
        <f t="shared" ref="J9:J81" si="9">J8+H9+I9</f>
        <v>1675.4800000000002</v>
      </c>
      <c r="K9" s="423">
        <f t="shared" si="5"/>
        <v>8.5505909967306549E-3</v>
      </c>
      <c r="L9" s="420">
        <v>668.39</v>
      </c>
      <c r="M9" s="420"/>
      <c r="N9" s="420">
        <v>3.4</v>
      </c>
      <c r="O9" s="420">
        <f t="shared" si="6"/>
        <v>843.06999999999994</v>
      </c>
      <c r="P9" s="424">
        <f t="shared" si="7"/>
        <v>6.7263465057619065E-3</v>
      </c>
      <c r="Q9" s="419"/>
      <c r="R9" s="419"/>
      <c r="S9" s="419"/>
      <c r="T9" s="419"/>
      <c r="U9" s="419"/>
      <c r="V9" s="420"/>
      <c r="W9" s="420"/>
      <c r="X9" s="420"/>
      <c r="Y9" s="420"/>
      <c r="Z9" s="420"/>
    </row>
    <row r="10" spans="1:26" ht="11.25" customHeight="1" x14ac:dyDescent="0.3">
      <c r="A10" s="421">
        <f t="shared" si="0"/>
        <v>49</v>
      </c>
      <c r="B10" s="422">
        <v>39630</v>
      </c>
      <c r="C10" s="422">
        <v>39721</v>
      </c>
      <c r="D10" s="410">
        <f t="shared" si="1"/>
        <v>1317.67</v>
      </c>
      <c r="E10" s="352">
        <f t="shared" ref="E10:F10" si="10">I10+N10+S10+X10</f>
        <v>32.43</v>
      </c>
      <c r="F10" s="352">
        <f t="shared" si="10"/>
        <v>3868.6500000000005</v>
      </c>
      <c r="G10" s="296">
        <f t="shared" si="4"/>
        <v>1.0206506293697489E-2</v>
      </c>
      <c r="H10" s="419">
        <v>1016.04</v>
      </c>
      <c r="I10" s="419">
        <v>22.28</v>
      </c>
      <c r="J10" s="419">
        <f t="shared" si="9"/>
        <v>2713.8000000000006</v>
      </c>
      <c r="K10" s="423">
        <f t="shared" si="5"/>
        <v>1.0203801236546829E-2</v>
      </c>
      <c r="L10" s="420">
        <v>301.63</v>
      </c>
      <c r="M10" s="420"/>
      <c r="N10" s="420">
        <v>10.15</v>
      </c>
      <c r="O10" s="420">
        <f t="shared" si="6"/>
        <v>1154.8499999999999</v>
      </c>
      <c r="P10" s="424">
        <f t="shared" si="7"/>
        <v>1.0212449126407985E-2</v>
      </c>
      <c r="Q10" s="419"/>
      <c r="R10" s="419"/>
      <c r="S10" s="419"/>
      <c r="T10" s="419"/>
      <c r="U10" s="419"/>
      <c r="V10" s="420"/>
      <c r="W10" s="420"/>
      <c r="X10" s="420"/>
      <c r="Y10" s="420"/>
      <c r="Z10" s="420"/>
    </row>
    <row r="11" spans="1:26" ht="11.25" customHeight="1" x14ac:dyDescent="0.3">
      <c r="A11" s="421">
        <f t="shared" si="0"/>
        <v>50</v>
      </c>
      <c r="B11" s="422">
        <v>39722</v>
      </c>
      <c r="C11" s="422">
        <v>39813</v>
      </c>
      <c r="D11" s="410">
        <f t="shared" si="1"/>
        <v>1523.3000000000002</v>
      </c>
      <c r="E11" s="352">
        <f t="shared" ref="E11:F11" si="11">I11+N11+S11+X11</f>
        <v>39.36</v>
      </c>
      <c r="F11" s="352">
        <f t="shared" si="11"/>
        <v>5431.31</v>
      </c>
      <c r="G11" s="296">
        <f t="shared" si="4"/>
        <v>8.5005291233829321E-3</v>
      </c>
      <c r="H11" s="419">
        <v>1255.94</v>
      </c>
      <c r="I11" s="419">
        <v>28.04</v>
      </c>
      <c r="J11" s="419">
        <f t="shared" si="9"/>
        <v>3997.7800000000007</v>
      </c>
      <c r="K11" s="423">
        <f t="shared" si="5"/>
        <v>8.3907629789004012E-3</v>
      </c>
      <c r="L11" s="420">
        <v>267.36</v>
      </c>
      <c r="M11" s="420"/>
      <c r="N11" s="420">
        <v>11.32</v>
      </c>
      <c r="O11" s="420">
        <f t="shared" si="6"/>
        <v>1433.53</v>
      </c>
      <c r="P11" s="424">
        <f t="shared" si="7"/>
        <v>8.7852048458320724E-3</v>
      </c>
      <c r="Q11" s="419"/>
      <c r="R11" s="419"/>
      <c r="S11" s="419"/>
      <c r="T11" s="419"/>
      <c r="U11" s="419"/>
      <c r="V11" s="420"/>
      <c r="W11" s="420"/>
      <c r="X11" s="420"/>
      <c r="Y11" s="420"/>
      <c r="Z11" s="420"/>
    </row>
    <row r="12" spans="1:26" ht="11.25" customHeight="1" x14ac:dyDescent="0.3">
      <c r="A12" s="421">
        <f t="shared" si="0"/>
        <v>63</v>
      </c>
      <c r="B12" s="425">
        <v>39814</v>
      </c>
      <c r="C12" s="425">
        <v>39903</v>
      </c>
      <c r="D12" s="410">
        <f t="shared" si="1"/>
        <v>1580.0299999999997</v>
      </c>
      <c r="E12" s="352">
        <f t="shared" ref="E12:F12" si="12">I12+N12+S12+X12</f>
        <v>-150.55000000000001</v>
      </c>
      <c r="F12" s="352">
        <f t="shared" si="12"/>
        <v>6860.7900000000009</v>
      </c>
      <c r="G12" s="296">
        <f t="shared" si="4"/>
        <v>-2.4199025127283978E-2</v>
      </c>
      <c r="H12" s="419">
        <v>1523.0499999999997</v>
      </c>
      <c r="I12" s="419">
        <v>-105.23</v>
      </c>
      <c r="J12" s="419">
        <f t="shared" si="9"/>
        <v>5415.6</v>
      </c>
      <c r="K12" s="423">
        <f t="shared" si="5"/>
        <v>-2.2110371157133237E-2</v>
      </c>
      <c r="L12" s="420">
        <v>56.98</v>
      </c>
      <c r="M12" s="420"/>
      <c r="N12" s="420">
        <v>-45.32</v>
      </c>
      <c r="O12" s="420">
        <f t="shared" si="6"/>
        <v>1445.19</v>
      </c>
      <c r="P12" s="424">
        <f t="shared" si="7"/>
        <v>-3.0998207958851453E-2</v>
      </c>
      <c r="Q12" s="419"/>
      <c r="R12" s="419"/>
      <c r="S12" s="419"/>
      <c r="T12" s="419"/>
      <c r="U12" s="419"/>
      <c r="V12" s="420"/>
      <c r="W12" s="420"/>
      <c r="X12" s="420"/>
      <c r="Y12" s="420"/>
      <c r="Z12" s="420"/>
    </row>
    <row r="13" spans="1:26" ht="11.25" customHeight="1" x14ac:dyDescent="0.3">
      <c r="A13" s="421">
        <f t="shared" si="0"/>
        <v>2</v>
      </c>
      <c r="B13" s="422">
        <v>39904</v>
      </c>
      <c r="C13" s="422">
        <v>39994</v>
      </c>
      <c r="D13" s="410">
        <f t="shared" si="1"/>
        <v>2024.3000000000002</v>
      </c>
      <c r="E13" s="352">
        <f t="shared" ref="E13:F13" si="13">I13+N13+S13+X13</f>
        <v>1364.23</v>
      </c>
      <c r="F13" s="352">
        <f t="shared" si="13"/>
        <v>10249.32</v>
      </c>
      <c r="G13" s="296">
        <f t="shared" si="4"/>
        <v>0.17328088363432212</v>
      </c>
      <c r="H13" s="419">
        <v>1796.41</v>
      </c>
      <c r="I13" s="419">
        <v>1083.82</v>
      </c>
      <c r="J13" s="419">
        <f t="shared" si="9"/>
        <v>8295.83</v>
      </c>
      <c r="K13" s="423">
        <f t="shared" si="5"/>
        <v>0.17165876994934115</v>
      </c>
      <c r="L13" s="420">
        <v>227.89</v>
      </c>
      <c r="M13" s="420"/>
      <c r="N13" s="420">
        <v>280.41000000000003</v>
      </c>
      <c r="O13" s="420">
        <f t="shared" si="6"/>
        <v>1953.49</v>
      </c>
      <c r="P13" s="424">
        <f t="shared" si="7"/>
        <v>0.17984972436639549</v>
      </c>
      <c r="Q13" s="419"/>
      <c r="R13" s="419"/>
      <c r="S13" s="419"/>
      <c r="T13" s="419"/>
      <c r="U13" s="419"/>
      <c r="V13" s="420"/>
      <c r="W13" s="420"/>
      <c r="X13" s="420"/>
      <c r="Y13" s="420"/>
      <c r="Z13" s="420"/>
    </row>
    <row r="14" spans="1:26" ht="11.25" customHeight="1" x14ac:dyDescent="0.3">
      <c r="A14" s="421">
        <f t="shared" si="0"/>
        <v>3</v>
      </c>
      <c r="B14" s="422">
        <v>39995</v>
      </c>
      <c r="C14" s="422">
        <v>40086</v>
      </c>
      <c r="D14" s="410">
        <f t="shared" si="1"/>
        <v>1150.5</v>
      </c>
      <c r="E14" s="352">
        <f t="shared" ref="E14:F14" si="14">I14+N14+S14+X14</f>
        <v>1817.51</v>
      </c>
      <c r="F14" s="352">
        <f t="shared" si="14"/>
        <v>13217.33</v>
      </c>
      <c r="G14" s="296">
        <f t="shared" si="4"/>
        <v>0.16790597686559375</v>
      </c>
      <c r="H14" s="419">
        <v>256.63</v>
      </c>
      <c r="I14" s="419">
        <v>1434.94</v>
      </c>
      <c r="J14" s="419">
        <f t="shared" si="9"/>
        <v>9987.4</v>
      </c>
      <c r="K14" s="423">
        <f t="shared" si="5"/>
        <v>0.17033657421613707</v>
      </c>
      <c r="L14" s="420">
        <v>893.87</v>
      </c>
      <c r="M14" s="420"/>
      <c r="N14" s="420">
        <v>382.57</v>
      </c>
      <c r="O14" s="420">
        <f t="shared" si="6"/>
        <v>3229.9300000000003</v>
      </c>
      <c r="P14" s="424">
        <f t="shared" si="7"/>
        <v>0.15937594384327775</v>
      </c>
      <c r="Q14" s="419"/>
      <c r="R14" s="419"/>
      <c r="S14" s="419"/>
      <c r="T14" s="419"/>
      <c r="U14" s="419"/>
      <c r="V14" s="420"/>
      <c r="W14" s="420"/>
      <c r="X14" s="420"/>
      <c r="Y14" s="420"/>
      <c r="Z14" s="420"/>
    </row>
    <row r="15" spans="1:26" ht="11.25" customHeight="1" x14ac:dyDescent="0.3">
      <c r="A15" s="421">
        <f t="shared" si="0"/>
        <v>37</v>
      </c>
      <c r="B15" s="422">
        <v>40087</v>
      </c>
      <c r="C15" s="422">
        <v>40178</v>
      </c>
      <c r="D15" s="410">
        <f t="shared" si="1"/>
        <v>1466</v>
      </c>
      <c r="E15" s="352">
        <f t="shared" ref="E15:F15" si="15">I15+N15+S15+X15</f>
        <v>558.29</v>
      </c>
      <c r="F15" s="352">
        <f t="shared" si="15"/>
        <v>15241.619999999999</v>
      </c>
      <c r="G15" s="296">
        <f t="shared" si="4"/>
        <v>4.0019841824530313E-2</v>
      </c>
      <c r="H15" s="419">
        <v>0</v>
      </c>
      <c r="I15" s="419">
        <v>391.74</v>
      </c>
      <c r="J15" s="419">
        <f t="shared" si="9"/>
        <v>10379.14</v>
      </c>
      <c r="K15" s="423">
        <f t="shared" si="5"/>
        <v>3.9223421511103994E-2</v>
      </c>
      <c r="L15" s="420">
        <v>1466</v>
      </c>
      <c r="M15" s="420"/>
      <c r="N15" s="420">
        <v>166.55</v>
      </c>
      <c r="O15" s="420">
        <f t="shared" si="6"/>
        <v>4862.4800000000005</v>
      </c>
      <c r="P15" s="424">
        <f t="shared" si="7"/>
        <v>4.2026985084268456E-2</v>
      </c>
      <c r="Q15" s="419"/>
      <c r="R15" s="419"/>
      <c r="S15" s="419"/>
      <c r="T15" s="419"/>
      <c r="U15" s="419"/>
      <c r="V15" s="420"/>
      <c r="W15" s="420"/>
      <c r="X15" s="420"/>
      <c r="Y15" s="420"/>
      <c r="Z15" s="420"/>
    </row>
    <row r="16" spans="1:26" ht="11.25" customHeight="1" x14ac:dyDescent="0.3">
      <c r="A16" s="421">
        <f t="shared" si="0"/>
        <v>28</v>
      </c>
      <c r="B16" s="422">
        <v>40179</v>
      </c>
      <c r="C16" s="422">
        <v>40268</v>
      </c>
      <c r="D16" s="410">
        <f t="shared" si="1"/>
        <v>1386.53</v>
      </c>
      <c r="E16" s="352">
        <f t="shared" ref="E16:F16" si="16">I16+N16+S16+X16</f>
        <v>828.7700000000001</v>
      </c>
      <c r="F16" s="352">
        <f t="shared" si="16"/>
        <v>17456.920000000002</v>
      </c>
      <c r="G16" s="296">
        <f t="shared" si="4"/>
        <v>5.2009788586488082E-2</v>
      </c>
      <c r="H16" s="419">
        <v>0</v>
      </c>
      <c r="I16" s="419">
        <v>522.48</v>
      </c>
      <c r="J16" s="419">
        <f t="shared" si="9"/>
        <v>10901.619999999999</v>
      </c>
      <c r="K16" s="423">
        <f t="shared" si="5"/>
        <v>5.0339430819894525E-2</v>
      </c>
      <c r="L16" s="420">
        <v>1090</v>
      </c>
      <c r="M16" s="420"/>
      <c r="N16" s="420">
        <v>297.17</v>
      </c>
      <c r="O16" s="420">
        <f t="shared" si="6"/>
        <v>6249.6500000000005</v>
      </c>
      <c r="P16" s="424">
        <f t="shared" si="7"/>
        <v>5.4955358133548342E-2</v>
      </c>
      <c r="Q16" s="419"/>
      <c r="R16" s="419"/>
      <c r="S16" s="419"/>
      <c r="T16" s="419"/>
      <c r="U16" s="419"/>
      <c r="V16" s="420">
        <v>296.52999999999997</v>
      </c>
      <c r="W16" s="420"/>
      <c r="X16" s="420">
        <v>9.1199999999999992</v>
      </c>
      <c r="Y16" s="420">
        <f t="shared" ref="Y16:Y81" si="17">Y15+V16+X16+W16</f>
        <v>305.64999999999998</v>
      </c>
      <c r="Z16" s="424">
        <f t="shared" ref="Z16:Z81" si="18">X16/(Y15+(V16/2))</f>
        <v>6.1511482817927357E-2</v>
      </c>
    </row>
    <row r="17" spans="1:26" ht="11.25" customHeight="1" x14ac:dyDescent="0.3">
      <c r="A17" s="421">
        <f t="shared" si="0"/>
        <v>71</v>
      </c>
      <c r="B17" s="422">
        <v>40269</v>
      </c>
      <c r="C17" s="426">
        <v>40359</v>
      </c>
      <c r="D17" s="410">
        <f t="shared" si="1"/>
        <v>1914.0600000000002</v>
      </c>
      <c r="E17" s="352">
        <f t="shared" ref="E17:F17" si="19">I17+N17+S17+X17</f>
        <v>-1649.6899999999998</v>
      </c>
      <c r="F17" s="352">
        <f t="shared" si="19"/>
        <v>17721.29</v>
      </c>
      <c r="G17" s="296">
        <f t="shared" si="4"/>
        <v>-8.9589143013856329E-2</v>
      </c>
      <c r="H17" s="419">
        <v>269.69</v>
      </c>
      <c r="I17" s="419">
        <v>-964.57</v>
      </c>
      <c r="J17" s="419">
        <f t="shared" si="9"/>
        <v>10206.74</v>
      </c>
      <c r="K17" s="423">
        <f t="shared" si="5"/>
        <v>-8.739845593675151E-2</v>
      </c>
      <c r="L17" s="420">
        <v>1324.91</v>
      </c>
      <c r="M17" s="420"/>
      <c r="N17" s="420">
        <v>-653.51</v>
      </c>
      <c r="O17" s="420">
        <f t="shared" si="6"/>
        <v>6921.05</v>
      </c>
      <c r="P17" s="424">
        <f t="shared" si="7"/>
        <v>-9.4545728110322386E-2</v>
      </c>
      <c r="Q17" s="419"/>
      <c r="R17" s="419"/>
      <c r="S17" s="419"/>
      <c r="T17" s="419"/>
      <c r="U17" s="419"/>
      <c r="V17" s="420">
        <v>319.45999999999998</v>
      </c>
      <c r="W17" s="420"/>
      <c r="X17" s="420">
        <v>-31.61</v>
      </c>
      <c r="Y17" s="420">
        <f t="shared" si="17"/>
        <v>593.49999999999989</v>
      </c>
      <c r="Z17" s="424">
        <f t="shared" si="18"/>
        <v>-6.7922987665993376E-2</v>
      </c>
    </row>
    <row r="18" spans="1:26" ht="11.25" customHeight="1" x14ac:dyDescent="0.3">
      <c r="A18" s="421">
        <f t="shared" si="0"/>
        <v>8</v>
      </c>
      <c r="B18" s="422">
        <v>40360</v>
      </c>
      <c r="C18" s="426">
        <v>40451</v>
      </c>
      <c r="D18" s="410">
        <f t="shared" si="1"/>
        <v>2547.6999999999998</v>
      </c>
      <c r="E18" s="352">
        <f t="shared" ref="E18:F18" si="20">I18+N18+S18+X18</f>
        <v>2062.5700000000002</v>
      </c>
      <c r="F18" s="352">
        <f t="shared" si="20"/>
        <v>22331.559999999998</v>
      </c>
      <c r="G18" s="296">
        <f t="shared" si="4"/>
        <v>0.10858409045682213</v>
      </c>
      <c r="H18" s="419">
        <v>1618.14</v>
      </c>
      <c r="I18" s="419">
        <v>1192.33</v>
      </c>
      <c r="J18" s="419">
        <f t="shared" si="9"/>
        <v>13017.21</v>
      </c>
      <c r="K18" s="423">
        <f t="shared" si="5"/>
        <v>0.10823806873938457</v>
      </c>
      <c r="L18" s="420">
        <v>377.78</v>
      </c>
      <c r="M18" s="420"/>
      <c r="N18" s="420">
        <v>799.23</v>
      </c>
      <c r="O18" s="420">
        <f t="shared" si="6"/>
        <v>8098.0599999999995</v>
      </c>
      <c r="P18" s="424">
        <f t="shared" si="7"/>
        <v>0.11241023130996886</v>
      </c>
      <c r="Q18" s="419">
        <v>273.5</v>
      </c>
      <c r="R18" s="419"/>
      <c r="S18" s="419">
        <v>2.15</v>
      </c>
      <c r="T18" s="419">
        <f t="shared" ref="T18:T81" si="21">T17+Q18+S18+R18</f>
        <v>275.64999999999998</v>
      </c>
      <c r="U18" s="423">
        <f t="shared" ref="U18:U81" si="22">S18/(T17+(Q18/2))</f>
        <v>1.5722120658135282E-2</v>
      </c>
      <c r="V18" s="420">
        <v>278.27999999999997</v>
      </c>
      <c r="W18" s="420"/>
      <c r="X18" s="420">
        <v>68.86</v>
      </c>
      <c r="Y18" s="420">
        <f t="shared" si="17"/>
        <v>940.63999999999987</v>
      </c>
      <c r="Z18" s="424">
        <f t="shared" si="18"/>
        <v>9.3988862196986253E-2</v>
      </c>
    </row>
    <row r="19" spans="1:26" ht="11.25" customHeight="1" x14ac:dyDescent="0.3">
      <c r="A19" s="421">
        <f t="shared" si="0"/>
        <v>11</v>
      </c>
      <c r="B19" s="422">
        <v>40452</v>
      </c>
      <c r="C19" s="426">
        <v>40543</v>
      </c>
      <c r="D19" s="410">
        <f t="shared" si="1"/>
        <v>6533.1900000000005</v>
      </c>
      <c r="E19" s="352">
        <f t="shared" ref="E19:F19" si="23">I19+N19+S19+X19</f>
        <v>2252.0500000000002</v>
      </c>
      <c r="F19" s="352">
        <f t="shared" si="23"/>
        <v>31116.799999999999</v>
      </c>
      <c r="G19" s="296">
        <f t="shared" si="4"/>
        <v>8.7977043658029275E-2</v>
      </c>
      <c r="H19" s="419">
        <v>3863.84</v>
      </c>
      <c r="I19" s="419">
        <v>1331.18</v>
      </c>
      <c r="J19" s="419">
        <f t="shared" si="9"/>
        <v>18212.23</v>
      </c>
      <c r="K19" s="423">
        <f t="shared" si="5"/>
        <v>8.9047322486325298E-2</v>
      </c>
      <c r="L19" s="420">
        <v>283.35000000000002</v>
      </c>
      <c r="M19" s="420"/>
      <c r="N19" s="420">
        <v>687.46</v>
      </c>
      <c r="O19" s="420">
        <f t="shared" si="6"/>
        <v>9068.869999999999</v>
      </c>
      <c r="P19" s="424">
        <f t="shared" si="7"/>
        <v>8.3432294849288255E-2</v>
      </c>
      <c r="Q19" s="419">
        <v>2045.16</v>
      </c>
      <c r="R19" s="419"/>
      <c r="S19" s="419">
        <v>123.52</v>
      </c>
      <c r="T19" s="419">
        <f t="shared" si="21"/>
        <v>2444.33</v>
      </c>
      <c r="U19" s="423">
        <f t="shared" si="22"/>
        <v>9.5144928094405459E-2</v>
      </c>
      <c r="V19" s="420">
        <v>340.84</v>
      </c>
      <c r="W19" s="420"/>
      <c r="X19" s="420">
        <v>109.89</v>
      </c>
      <c r="Y19" s="420">
        <f t="shared" si="17"/>
        <v>1391.37</v>
      </c>
      <c r="Z19" s="424">
        <f t="shared" si="18"/>
        <v>9.8905549655284142E-2</v>
      </c>
    </row>
    <row r="20" spans="1:26" ht="11.25" customHeight="1" x14ac:dyDescent="0.3">
      <c r="A20" s="421">
        <f t="shared" si="0"/>
        <v>31</v>
      </c>
      <c r="B20" s="422">
        <v>40544</v>
      </c>
      <c r="C20" s="426">
        <v>40633</v>
      </c>
      <c r="D20" s="410">
        <f t="shared" si="1"/>
        <v>3746.7000000000007</v>
      </c>
      <c r="E20" s="352">
        <f t="shared" ref="E20:F20" si="24">I20+N20+S20+X20</f>
        <v>1618.06</v>
      </c>
      <c r="F20" s="352">
        <f t="shared" si="24"/>
        <v>36481.56</v>
      </c>
      <c r="G20" s="296">
        <f t="shared" si="4"/>
        <v>4.9046760927125212E-2</v>
      </c>
      <c r="H20" s="419">
        <v>1660.2900000000002</v>
      </c>
      <c r="I20" s="419">
        <v>923.35</v>
      </c>
      <c r="J20" s="419">
        <f t="shared" si="9"/>
        <v>20795.87</v>
      </c>
      <c r="K20" s="423">
        <f t="shared" si="5"/>
        <v>4.8489224689672379E-2</v>
      </c>
      <c r="L20" s="420">
        <v>223.47</v>
      </c>
      <c r="M20" s="420"/>
      <c r="N20" s="420">
        <v>452.46</v>
      </c>
      <c r="O20" s="420">
        <f t="shared" si="6"/>
        <v>9744.7999999999975</v>
      </c>
      <c r="P20" s="424">
        <f t="shared" si="7"/>
        <v>4.9284333657749133E-2</v>
      </c>
      <c r="Q20" s="419">
        <v>1562.47</v>
      </c>
      <c r="R20" s="419"/>
      <c r="S20" s="419">
        <v>163.33000000000001</v>
      </c>
      <c r="T20" s="419">
        <f t="shared" si="21"/>
        <v>4170.13</v>
      </c>
      <c r="U20" s="423">
        <f t="shared" si="22"/>
        <v>5.0636090111344838E-2</v>
      </c>
      <c r="V20" s="420">
        <v>300.47000000000003</v>
      </c>
      <c r="W20" s="420"/>
      <c r="X20" s="420">
        <v>78.92</v>
      </c>
      <c r="Y20" s="420">
        <f t="shared" si="17"/>
        <v>1770.76</v>
      </c>
      <c r="Z20" s="424">
        <f t="shared" si="18"/>
        <v>5.1193399087314843E-2</v>
      </c>
    </row>
    <row r="21" spans="1:26" ht="11.25" customHeight="1" x14ac:dyDescent="0.3">
      <c r="A21" s="421">
        <f t="shared" si="0"/>
        <v>57</v>
      </c>
      <c r="B21" s="422">
        <v>40634</v>
      </c>
      <c r="C21" s="426">
        <v>40724</v>
      </c>
      <c r="D21" s="410">
        <f t="shared" si="1"/>
        <v>4581.7999999999993</v>
      </c>
      <c r="E21" s="352">
        <f t="shared" ref="E21:F21" si="25">I21+N21+S21+X21</f>
        <v>163.54999999999998</v>
      </c>
      <c r="F21" s="352">
        <f t="shared" si="25"/>
        <v>41226.910000000003</v>
      </c>
      <c r="G21" s="296">
        <f t="shared" si="4"/>
        <v>4.2182002380039847E-3</v>
      </c>
      <c r="H21" s="419">
        <v>1946.84</v>
      </c>
      <c r="I21" s="419">
        <v>143.38</v>
      </c>
      <c r="J21" s="419">
        <f t="shared" si="9"/>
        <v>22886.09</v>
      </c>
      <c r="K21" s="423">
        <f t="shared" si="5"/>
        <v>6.5863425035910684E-3</v>
      </c>
      <c r="L21" s="420">
        <v>446.92</v>
      </c>
      <c r="M21" s="420"/>
      <c r="N21" s="420">
        <v>64.150000000000006</v>
      </c>
      <c r="O21" s="420">
        <f t="shared" si="6"/>
        <v>10255.869999999997</v>
      </c>
      <c r="P21" s="424">
        <f t="shared" si="7"/>
        <v>6.4354260422581303E-3</v>
      </c>
      <c r="Q21" s="419">
        <v>1835.14</v>
      </c>
      <c r="R21" s="419"/>
      <c r="S21" s="419">
        <v>-31.3</v>
      </c>
      <c r="T21" s="419">
        <f t="shared" si="21"/>
        <v>5973.97</v>
      </c>
      <c r="U21" s="423">
        <f t="shared" si="22"/>
        <v>-6.1520923010397631E-3</v>
      </c>
      <c r="V21" s="420">
        <v>352.9</v>
      </c>
      <c r="W21" s="420"/>
      <c r="X21" s="420">
        <v>-12.68</v>
      </c>
      <c r="Y21" s="420">
        <f t="shared" si="17"/>
        <v>2110.98</v>
      </c>
      <c r="Z21" s="424">
        <f t="shared" si="18"/>
        <v>-6.5118811016788118E-3</v>
      </c>
    </row>
    <row r="22" spans="1:26" ht="11.25" customHeight="1" x14ac:dyDescent="0.3">
      <c r="A22" s="421">
        <f t="shared" si="0"/>
        <v>74</v>
      </c>
      <c r="B22" s="422">
        <v>40725</v>
      </c>
      <c r="C22" s="426">
        <v>40816</v>
      </c>
      <c r="D22" s="410">
        <f t="shared" si="1"/>
        <v>3774.6600000000008</v>
      </c>
      <c r="E22" s="352">
        <f t="shared" ref="E22:F22" si="26">I22+N22+S22+X22</f>
        <v>-6501.0899999999992</v>
      </c>
      <c r="F22" s="352">
        <f t="shared" si="26"/>
        <v>38500.479999999996</v>
      </c>
      <c r="G22" s="296">
        <f t="shared" si="4"/>
        <v>-0.15078753562628028</v>
      </c>
      <c r="H22" s="419">
        <v>1668.7200000000003</v>
      </c>
      <c r="I22" s="419">
        <v>-3546.62</v>
      </c>
      <c r="J22" s="419">
        <f t="shared" si="9"/>
        <v>21008.190000000002</v>
      </c>
      <c r="K22" s="423">
        <f t="shared" si="5"/>
        <v>-0.14951739954343193</v>
      </c>
      <c r="L22" s="420">
        <v>368.07</v>
      </c>
      <c r="M22" s="420"/>
      <c r="N22" s="420">
        <v>-1548.35</v>
      </c>
      <c r="O22" s="420">
        <f t="shared" si="6"/>
        <v>9075.5899999999965</v>
      </c>
      <c r="P22" s="424">
        <f t="shared" si="7"/>
        <v>-0.14831073654405863</v>
      </c>
      <c r="Q22" s="419">
        <v>1457.5700000000002</v>
      </c>
      <c r="R22" s="419"/>
      <c r="S22" s="419">
        <v>-1054.22</v>
      </c>
      <c r="T22" s="419">
        <f t="shared" si="21"/>
        <v>6377.3200000000006</v>
      </c>
      <c r="U22" s="423">
        <f t="shared" si="22"/>
        <v>-0.15728159540368103</v>
      </c>
      <c r="V22" s="420">
        <v>280.3</v>
      </c>
      <c r="W22" s="420"/>
      <c r="X22" s="420">
        <v>-351.9</v>
      </c>
      <c r="Y22" s="420">
        <f t="shared" si="17"/>
        <v>2039.38</v>
      </c>
      <c r="Z22" s="424">
        <f t="shared" si="18"/>
        <v>-0.15632149187297045</v>
      </c>
    </row>
    <row r="23" spans="1:26" ht="11.25" customHeight="1" x14ac:dyDescent="0.3">
      <c r="A23" s="421">
        <f t="shared" si="0"/>
        <v>12</v>
      </c>
      <c r="B23" s="422">
        <v>40817</v>
      </c>
      <c r="C23" s="426">
        <v>40908</v>
      </c>
      <c r="D23" s="410">
        <f t="shared" si="1"/>
        <v>4156.38</v>
      </c>
      <c r="E23" s="352">
        <f t="shared" ref="E23:F23" si="27">I23+N23+S23+X23</f>
        <v>3470.22</v>
      </c>
      <c r="F23" s="352">
        <f t="shared" si="27"/>
        <v>46127.079999999994</v>
      </c>
      <c r="G23" s="296">
        <f t="shared" si="4"/>
        <v>8.5518327732279048E-2</v>
      </c>
      <c r="H23" s="419">
        <v>2040.26</v>
      </c>
      <c r="I23" s="419">
        <v>1961.05</v>
      </c>
      <c r="J23" s="419">
        <f t="shared" si="9"/>
        <v>25009.5</v>
      </c>
      <c r="K23" s="423">
        <f t="shared" si="5"/>
        <v>8.9024038147257692E-2</v>
      </c>
      <c r="L23" s="420">
        <v>270.62</v>
      </c>
      <c r="M23" s="420"/>
      <c r="N23" s="420">
        <v>824.52</v>
      </c>
      <c r="O23" s="420">
        <f t="shared" si="6"/>
        <v>10170.729999999998</v>
      </c>
      <c r="P23" s="424">
        <f t="shared" si="7"/>
        <v>8.9515682506595487E-2</v>
      </c>
      <c r="Q23" s="419">
        <v>1547.8500000000001</v>
      </c>
      <c r="R23" s="419"/>
      <c r="S23" s="419">
        <v>521.65</v>
      </c>
      <c r="T23" s="419">
        <f t="shared" si="21"/>
        <v>8446.8200000000015</v>
      </c>
      <c r="U23" s="423">
        <f t="shared" si="22"/>
        <v>7.2945340286901084E-2</v>
      </c>
      <c r="V23" s="420">
        <v>297.64999999999998</v>
      </c>
      <c r="W23" s="420"/>
      <c r="X23" s="420">
        <v>163</v>
      </c>
      <c r="Y23" s="420">
        <f t="shared" si="17"/>
        <v>2500.0300000000002</v>
      </c>
      <c r="Z23" s="424">
        <f t="shared" si="18"/>
        <v>7.4490278561652135E-2</v>
      </c>
    </row>
    <row r="24" spans="1:26" ht="11.25" customHeight="1" x14ac:dyDescent="0.3">
      <c r="A24" s="421">
        <f t="shared" si="0"/>
        <v>7</v>
      </c>
      <c r="B24" s="422">
        <v>40909</v>
      </c>
      <c r="C24" s="426">
        <v>40999</v>
      </c>
      <c r="D24" s="410">
        <f t="shared" si="1"/>
        <v>4009.2599999999998</v>
      </c>
      <c r="E24" s="352">
        <f t="shared" ref="E24:F24" si="28">I24+N24+S24+X24</f>
        <v>5260.63</v>
      </c>
      <c r="F24" s="352">
        <f t="shared" si="28"/>
        <v>55396.97</v>
      </c>
      <c r="G24" s="296">
        <f t="shared" si="4"/>
        <v>0.10929655314552508</v>
      </c>
      <c r="H24" s="419">
        <v>1824.4199999999998</v>
      </c>
      <c r="I24" s="419">
        <v>2841.64</v>
      </c>
      <c r="J24" s="419">
        <f t="shared" si="9"/>
        <v>29675.559999999998</v>
      </c>
      <c r="K24" s="423">
        <f t="shared" si="5"/>
        <v>0.10962394070452913</v>
      </c>
      <c r="L24" s="420">
        <v>326.49</v>
      </c>
      <c r="M24" s="420"/>
      <c r="N24" s="420">
        <v>1133.67</v>
      </c>
      <c r="O24" s="420">
        <f t="shared" si="6"/>
        <v>11630.889999999998</v>
      </c>
      <c r="P24" s="424">
        <f t="shared" si="7"/>
        <v>0.10970318778591977</v>
      </c>
      <c r="Q24" s="419">
        <v>1558.6200000000001</v>
      </c>
      <c r="R24" s="419"/>
      <c r="S24" s="419">
        <v>996.22</v>
      </c>
      <c r="T24" s="419">
        <f t="shared" si="21"/>
        <v>11001.660000000002</v>
      </c>
      <c r="U24" s="423">
        <f t="shared" si="22"/>
        <v>0.10797810132742547</v>
      </c>
      <c r="V24" s="420">
        <v>299.73</v>
      </c>
      <c r="W24" s="420"/>
      <c r="X24" s="420">
        <v>289.10000000000002</v>
      </c>
      <c r="Y24" s="420">
        <f t="shared" si="17"/>
        <v>3088.86</v>
      </c>
      <c r="Z24" s="424">
        <f t="shared" si="18"/>
        <v>0.10909866239983093</v>
      </c>
    </row>
    <row r="25" spans="1:26" ht="11.25" customHeight="1" x14ac:dyDescent="0.3">
      <c r="A25" s="421">
        <f t="shared" si="0"/>
        <v>67</v>
      </c>
      <c r="B25" s="422">
        <v>41000</v>
      </c>
      <c r="C25" s="426">
        <v>41090</v>
      </c>
      <c r="D25" s="410">
        <f t="shared" si="1"/>
        <v>4597.21</v>
      </c>
      <c r="E25" s="352">
        <f t="shared" ref="E25:F25" si="29">I25+N25+S25+X25</f>
        <v>-1979.1799999999998</v>
      </c>
      <c r="F25" s="352">
        <f t="shared" si="29"/>
        <v>58014.999999999993</v>
      </c>
      <c r="G25" s="296">
        <f t="shared" si="4"/>
        <v>-3.4303843925639003E-2</v>
      </c>
      <c r="H25" s="419">
        <v>1946.84</v>
      </c>
      <c r="I25" s="419">
        <v>-1067.25</v>
      </c>
      <c r="J25" s="419">
        <f t="shared" si="9"/>
        <v>30555.149999999998</v>
      </c>
      <c r="K25" s="423">
        <f t="shared" si="5"/>
        <v>-3.4821713479535048E-2</v>
      </c>
      <c r="L25" s="420">
        <v>274.95999999999998</v>
      </c>
      <c r="M25" s="420"/>
      <c r="N25" s="420">
        <v>-422.87</v>
      </c>
      <c r="O25" s="420">
        <f t="shared" si="6"/>
        <v>11482.979999999996</v>
      </c>
      <c r="P25" s="424">
        <f t="shared" si="7"/>
        <v>-3.5932758742289725E-2</v>
      </c>
      <c r="Q25" s="419">
        <v>1992.29</v>
      </c>
      <c r="R25" s="419"/>
      <c r="S25" s="419">
        <v>-380.96</v>
      </c>
      <c r="T25" s="419">
        <f t="shared" si="21"/>
        <v>12612.990000000002</v>
      </c>
      <c r="U25" s="423">
        <f t="shared" si="22"/>
        <v>-3.1752474723501498E-2</v>
      </c>
      <c r="V25" s="420">
        <v>383.12</v>
      </c>
      <c r="W25" s="420"/>
      <c r="X25" s="420">
        <v>-108.1</v>
      </c>
      <c r="Y25" s="420">
        <f t="shared" si="17"/>
        <v>3363.88</v>
      </c>
      <c r="Z25" s="424">
        <f t="shared" si="18"/>
        <v>-3.2953097469226499E-2</v>
      </c>
    </row>
    <row r="26" spans="1:26" ht="11.25" customHeight="1" x14ac:dyDescent="0.3">
      <c r="A26" s="421">
        <f t="shared" si="0"/>
        <v>26</v>
      </c>
      <c r="B26" s="422">
        <v>41091</v>
      </c>
      <c r="C26" s="426">
        <v>41182</v>
      </c>
      <c r="D26" s="410">
        <f t="shared" si="1"/>
        <v>3933.5200000000004</v>
      </c>
      <c r="E26" s="352">
        <f t="shared" ref="E26:F26" si="30">I26+N26+S26+X26</f>
        <v>3440.42</v>
      </c>
      <c r="F26" s="352">
        <f t="shared" si="30"/>
        <v>65388.939999999995</v>
      </c>
      <c r="G26" s="296">
        <f t="shared" si="4"/>
        <v>5.7357770095442351E-2</v>
      </c>
      <c r="H26" s="419">
        <v>1529.66</v>
      </c>
      <c r="I26" s="419">
        <v>1808.7</v>
      </c>
      <c r="J26" s="419">
        <f t="shared" si="9"/>
        <v>33893.509999999995</v>
      </c>
      <c r="K26" s="423">
        <f t="shared" si="5"/>
        <v>5.7749079022400403E-2</v>
      </c>
      <c r="L26" s="420">
        <v>532.69000000000005</v>
      </c>
      <c r="M26" s="420"/>
      <c r="N26" s="420">
        <v>676.72</v>
      </c>
      <c r="O26" s="420">
        <f t="shared" si="6"/>
        <v>12692.389999999996</v>
      </c>
      <c r="P26" s="424">
        <f t="shared" si="7"/>
        <v>5.7596500224481005E-2</v>
      </c>
      <c r="Q26" s="419">
        <v>1569.3700000000001</v>
      </c>
      <c r="R26" s="419"/>
      <c r="S26" s="419">
        <v>756.83</v>
      </c>
      <c r="T26" s="419">
        <f t="shared" si="21"/>
        <v>14939.190000000002</v>
      </c>
      <c r="U26" s="423">
        <f t="shared" si="22"/>
        <v>5.6489652122476475E-2</v>
      </c>
      <c r="V26" s="420">
        <v>301.8</v>
      </c>
      <c r="W26" s="420"/>
      <c r="X26" s="420">
        <v>198.17</v>
      </c>
      <c r="Y26" s="420">
        <f t="shared" si="17"/>
        <v>3863.8500000000004</v>
      </c>
      <c r="Z26" s="424">
        <f t="shared" si="18"/>
        <v>5.6381907260198358E-2</v>
      </c>
    </row>
    <row r="27" spans="1:26" ht="11.25" customHeight="1" x14ac:dyDescent="0.3">
      <c r="A27" s="421">
        <f t="shared" si="0"/>
        <v>41</v>
      </c>
      <c r="B27" s="422">
        <v>41183</v>
      </c>
      <c r="C27" s="426">
        <v>41274</v>
      </c>
      <c r="D27" s="410">
        <f t="shared" si="1"/>
        <v>4615.8599999999997</v>
      </c>
      <c r="E27" s="352">
        <f t="shared" ref="E27:F27" si="31">I27+N27+S27+X27</f>
        <v>1640.4599999999998</v>
      </c>
      <c r="F27" s="352">
        <f t="shared" si="31"/>
        <v>71645.25999999998</v>
      </c>
      <c r="G27" s="296">
        <f t="shared" si="4"/>
        <v>2.4232434970774867E-2</v>
      </c>
      <c r="H27" s="419">
        <v>1946.84</v>
      </c>
      <c r="I27" s="419">
        <v>835.2</v>
      </c>
      <c r="J27" s="419">
        <f t="shared" si="9"/>
        <v>36675.549999999988</v>
      </c>
      <c r="K27" s="423">
        <f t="shared" si="5"/>
        <v>2.3953929984658822E-2</v>
      </c>
      <c r="L27" s="420">
        <v>438.25</v>
      </c>
      <c r="M27" s="420"/>
      <c r="N27" s="420">
        <v>307.38</v>
      </c>
      <c r="O27" s="420">
        <f t="shared" si="6"/>
        <v>13438.019999999995</v>
      </c>
      <c r="P27" s="424">
        <f t="shared" si="7"/>
        <v>2.380665630640557E-2</v>
      </c>
      <c r="Q27" s="419">
        <v>1870.98</v>
      </c>
      <c r="R27" s="419"/>
      <c r="S27" s="419">
        <v>398.3</v>
      </c>
      <c r="T27" s="419">
        <f t="shared" si="21"/>
        <v>17208.47</v>
      </c>
      <c r="U27" s="423">
        <f t="shared" si="22"/>
        <v>2.5090269536141827E-2</v>
      </c>
      <c r="V27" s="420">
        <v>359.79</v>
      </c>
      <c r="W27" s="420"/>
      <c r="X27" s="420">
        <v>99.58</v>
      </c>
      <c r="Y27" s="420">
        <f t="shared" si="17"/>
        <v>4323.22</v>
      </c>
      <c r="Z27" s="424">
        <f t="shared" si="18"/>
        <v>2.4625687326970416E-2</v>
      </c>
    </row>
    <row r="28" spans="1:26" ht="11.25" customHeight="1" x14ac:dyDescent="0.3">
      <c r="A28" s="421">
        <f t="shared" si="0"/>
        <v>13</v>
      </c>
      <c r="B28" s="422">
        <v>41275</v>
      </c>
      <c r="C28" s="426">
        <v>41364</v>
      </c>
      <c r="D28" s="410">
        <f t="shared" si="1"/>
        <v>3774.9599999999996</v>
      </c>
      <c r="E28" s="352">
        <f t="shared" ref="E28:F28" si="32">I28+N28+S28+X28</f>
        <v>5662.7</v>
      </c>
      <c r="F28" s="352">
        <f t="shared" si="32"/>
        <v>81082.919999999984</v>
      </c>
      <c r="G28" s="296">
        <f t="shared" si="4"/>
        <v>7.7009234254020745E-2</v>
      </c>
      <c r="H28" s="419">
        <v>1495.97</v>
      </c>
      <c r="I28" s="419">
        <v>3009.58</v>
      </c>
      <c r="J28" s="419">
        <f t="shared" si="9"/>
        <v>41181.099999999991</v>
      </c>
      <c r="K28" s="423">
        <f t="shared" si="5"/>
        <v>8.0419447280969072E-2</v>
      </c>
      <c r="L28" s="420">
        <v>406.95</v>
      </c>
      <c r="M28" s="420"/>
      <c r="N28" s="420">
        <v>1093.82</v>
      </c>
      <c r="O28" s="420">
        <f t="shared" si="6"/>
        <v>14938.789999999995</v>
      </c>
      <c r="P28" s="424">
        <f t="shared" si="7"/>
        <v>8.0183293693249919E-2</v>
      </c>
      <c r="Q28" s="419">
        <v>1570.11</v>
      </c>
      <c r="R28" s="419"/>
      <c r="S28" s="419">
        <v>1248.3</v>
      </c>
      <c r="T28" s="419">
        <f t="shared" si="21"/>
        <v>20026.88</v>
      </c>
      <c r="U28" s="423">
        <f t="shared" si="22"/>
        <v>6.9374955713235723E-2</v>
      </c>
      <c r="V28" s="420">
        <v>301.93</v>
      </c>
      <c r="W28" s="420"/>
      <c r="X28" s="420">
        <v>311</v>
      </c>
      <c r="Y28" s="420">
        <f t="shared" si="17"/>
        <v>4936.1500000000005</v>
      </c>
      <c r="Z28" s="424">
        <f t="shared" si="18"/>
        <v>6.9509866042642393E-2</v>
      </c>
    </row>
    <row r="29" spans="1:26" ht="11.25" customHeight="1" x14ac:dyDescent="0.3">
      <c r="A29" s="421">
        <f t="shared" si="0"/>
        <v>54</v>
      </c>
      <c r="B29" s="422">
        <v>41365</v>
      </c>
      <c r="C29" s="426">
        <v>41455</v>
      </c>
      <c r="D29" s="410">
        <f t="shared" si="1"/>
        <v>4436.24</v>
      </c>
      <c r="E29" s="352">
        <f t="shared" ref="E29:F29" si="33">I29+N29+S29+X29</f>
        <v>607.16</v>
      </c>
      <c r="F29" s="352">
        <f t="shared" si="33"/>
        <v>86126.319999999992</v>
      </c>
      <c r="G29" s="296">
        <f t="shared" si="4"/>
        <v>7.2887445342819266E-3</v>
      </c>
      <c r="H29" s="419">
        <v>501.47</v>
      </c>
      <c r="I29" s="419">
        <v>553.12</v>
      </c>
      <c r="J29" s="419">
        <f t="shared" si="9"/>
        <v>42235.689999999995</v>
      </c>
      <c r="K29" s="423">
        <f t="shared" si="5"/>
        <v>1.3350120746522575E-2</v>
      </c>
      <c r="L29" s="420">
        <v>1453.39</v>
      </c>
      <c r="M29" s="420"/>
      <c r="N29" s="420">
        <v>183.76</v>
      </c>
      <c r="O29" s="420">
        <f t="shared" si="6"/>
        <v>16575.939999999995</v>
      </c>
      <c r="P29" s="424">
        <f t="shared" si="7"/>
        <v>1.1730246462206568E-2</v>
      </c>
      <c r="Q29" s="419">
        <v>2081.16</v>
      </c>
      <c r="R29" s="419"/>
      <c r="S29" s="419">
        <v>-105.6</v>
      </c>
      <c r="T29" s="419">
        <f t="shared" si="21"/>
        <v>22002.440000000002</v>
      </c>
      <c r="U29" s="423">
        <f t="shared" si="22"/>
        <v>-5.0124694671308265E-3</v>
      </c>
      <c r="V29" s="420">
        <v>400.22</v>
      </c>
      <c r="W29" s="420"/>
      <c r="X29" s="420">
        <v>-24.12</v>
      </c>
      <c r="Y29" s="420">
        <f t="shared" si="17"/>
        <v>5312.2500000000009</v>
      </c>
      <c r="Z29" s="424">
        <f t="shared" si="18"/>
        <v>-4.6960239551736092E-3</v>
      </c>
    </row>
    <row r="30" spans="1:26" ht="11.25" customHeight="1" x14ac:dyDescent="0.3">
      <c r="A30" s="421">
        <f t="shared" si="0"/>
        <v>21</v>
      </c>
      <c r="B30" s="422">
        <v>41456</v>
      </c>
      <c r="C30" s="426">
        <v>41547</v>
      </c>
      <c r="D30" s="410">
        <f t="shared" si="1"/>
        <v>3950.57</v>
      </c>
      <c r="E30" s="352">
        <f t="shared" ref="E30:F30" si="34">I30+N30+S30+X30</f>
        <v>5984.2</v>
      </c>
      <c r="F30" s="352">
        <f t="shared" si="34"/>
        <v>96061.090000000011</v>
      </c>
      <c r="G30" s="296">
        <f t="shared" si="4"/>
        <v>6.7923847698347833E-2</v>
      </c>
      <c r="H30" s="419">
        <v>0</v>
      </c>
      <c r="I30" s="419">
        <v>3021.48</v>
      </c>
      <c r="J30" s="419">
        <f t="shared" si="9"/>
        <v>45257.17</v>
      </c>
      <c r="K30" s="423">
        <f t="shared" si="5"/>
        <v>7.1538549506353522E-2</v>
      </c>
      <c r="L30" s="420">
        <v>1744.08</v>
      </c>
      <c r="M30" s="420"/>
      <c r="N30" s="420">
        <v>1238.0899999999999</v>
      </c>
      <c r="O30" s="420">
        <f t="shared" si="6"/>
        <v>19558.109999999997</v>
      </c>
      <c r="P30" s="424">
        <f t="shared" si="7"/>
        <v>7.0958930489374711E-2</v>
      </c>
      <c r="Q30" s="419">
        <v>1850.59</v>
      </c>
      <c r="R30" s="419"/>
      <c r="S30" s="419">
        <v>1390.7</v>
      </c>
      <c r="T30" s="419">
        <f t="shared" si="21"/>
        <v>25243.730000000003</v>
      </c>
      <c r="U30" s="423">
        <f t="shared" si="22"/>
        <v>6.0655795262811611E-2</v>
      </c>
      <c r="V30" s="420">
        <v>355.9</v>
      </c>
      <c r="W30" s="420"/>
      <c r="X30" s="420">
        <v>333.93</v>
      </c>
      <c r="Y30" s="420">
        <f t="shared" si="17"/>
        <v>6002.0800000000008</v>
      </c>
      <c r="Z30" s="424">
        <f t="shared" si="18"/>
        <v>6.0822920840770824E-2</v>
      </c>
    </row>
    <row r="31" spans="1:26" ht="11.25" customHeight="1" x14ac:dyDescent="0.3">
      <c r="A31" s="421">
        <f t="shared" si="0"/>
        <v>17</v>
      </c>
      <c r="B31" s="422">
        <v>41548</v>
      </c>
      <c r="C31" s="426">
        <v>41639</v>
      </c>
      <c r="D31" s="410">
        <f t="shared" si="1"/>
        <v>4145.34</v>
      </c>
      <c r="E31" s="352">
        <f t="shared" ref="E31:F31" si="35">I31+N31+S31+X31</f>
        <v>6997.7899999999991</v>
      </c>
      <c r="F31" s="352">
        <f t="shared" si="35"/>
        <v>107206.51000000001</v>
      </c>
      <c r="G31" s="296">
        <f t="shared" si="4"/>
        <v>7.130869132090728E-2</v>
      </c>
      <c r="H31" s="419">
        <v>0</v>
      </c>
      <c r="I31" s="419">
        <v>3416.72</v>
      </c>
      <c r="J31" s="419">
        <f t="shared" si="9"/>
        <v>48673.89</v>
      </c>
      <c r="K31" s="423">
        <f t="shared" si="5"/>
        <v>7.549566179237456E-2</v>
      </c>
      <c r="L31" s="420">
        <v>2111.1999999999998</v>
      </c>
      <c r="M31" s="420"/>
      <c r="N31" s="420">
        <v>1555.19</v>
      </c>
      <c r="O31" s="420">
        <f t="shared" si="6"/>
        <v>23224.499999999996</v>
      </c>
      <c r="P31" s="424">
        <f t="shared" si="7"/>
        <v>7.5444449349486353E-2</v>
      </c>
      <c r="Q31" s="419">
        <v>1706.06</v>
      </c>
      <c r="R31" s="419">
        <v>2.27</v>
      </c>
      <c r="S31" s="419">
        <v>1638.4</v>
      </c>
      <c r="T31" s="419">
        <f t="shared" si="21"/>
        <v>28590.460000000006</v>
      </c>
      <c r="U31" s="423">
        <f t="shared" si="22"/>
        <v>6.2781739955458077E-2</v>
      </c>
      <c r="V31" s="420">
        <v>328.08</v>
      </c>
      <c r="W31" s="420">
        <v>0.02</v>
      </c>
      <c r="X31" s="420">
        <v>387.48</v>
      </c>
      <c r="Y31" s="420">
        <f t="shared" si="17"/>
        <v>6717.6600000000017</v>
      </c>
      <c r="Z31" s="424">
        <f t="shared" si="18"/>
        <v>6.2840165290328431E-2</v>
      </c>
    </row>
    <row r="32" spans="1:26" ht="11.25" customHeight="1" x14ac:dyDescent="0.3">
      <c r="A32" s="421">
        <f t="shared" si="0"/>
        <v>45</v>
      </c>
      <c r="B32" s="422">
        <v>41640</v>
      </c>
      <c r="C32" s="426">
        <v>41729</v>
      </c>
      <c r="D32" s="410">
        <f t="shared" si="1"/>
        <v>3846.0099999999998</v>
      </c>
      <c r="E32" s="352">
        <f t="shared" ref="E32:F32" si="36">I32+N32+S32+X32</f>
        <v>1931.0800000000002</v>
      </c>
      <c r="F32" s="352">
        <f t="shared" si="36"/>
        <v>112983.6</v>
      </c>
      <c r="G32" s="296">
        <f t="shared" si="4"/>
        <v>1.7695304519588489E-2</v>
      </c>
      <c r="H32" s="419">
        <v>0</v>
      </c>
      <c r="I32" s="419">
        <v>829.61</v>
      </c>
      <c r="J32" s="419">
        <f t="shared" si="9"/>
        <v>49503.5</v>
      </c>
      <c r="K32" s="423">
        <f t="shared" si="5"/>
        <v>1.7044251034795042E-2</v>
      </c>
      <c r="L32" s="420">
        <v>1531.6</v>
      </c>
      <c r="M32" s="420"/>
      <c r="N32" s="420">
        <v>424.27</v>
      </c>
      <c r="O32" s="420">
        <f t="shared" si="6"/>
        <v>25180.369999999995</v>
      </c>
      <c r="P32" s="424">
        <f t="shared" si="7"/>
        <v>1.7685064380186993E-2</v>
      </c>
      <c r="Q32" s="419">
        <v>1823.48</v>
      </c>
      <c r="R32" s="419">
        <v>0</v>
      </c>
      <c r="S32" s="419">
        <v>547.29</v>
      </c>
      <c r="T32" s="419">
        <f t="shared" si="21"/>
        <v>30961.230000000007</v>
      </c>
      <c r="U32" s="423">
        <f t="shared" si="22"/>
        <v>1.8550819938852013E-2</v>
      </c>
      <c r="V32" s="420">
        <v>490.93</v>
      </c>
      <c r="W32" s="420">
        <v>0</v>
      </c>
      <c r="X32" s="420">
        <v>129.91</v>
      </c>
      <c r="Y32" s="420">
        <f t="shared" si="17"/>
        <v>7338.5000000000018</v>
      </c>
      <c r="Z32" s="424">
        <f t="shared" si="18"/>
        <v>1.8656853065254459E-2</v>
      </c>
    </row>
    <row r="33" spans="1:26" ht="11.25" customHeight="1" x14ac:dyDescent="0.3">
      <c r="A33" s="421">
        <f t="shared" si="0"/>
        <v>35</v>
      </c>
      <c r="B33" s="422">
        <v>41730</v>
      </c>
      <c r="C33" s="426">
        <v>41820</v>
      </c>
      <c r="D33" s="410">
        <f t="shared" si="1"/>
        <v>6383.4399999999987</v>
      </c>
      <c r="E33" s="352">
        <f t="shared" ref="E33:F33" si="37">I33+N33+S33+X33</f>
        <v>4965.99</v>
      </c>
      <c r="F33" s="352">
        <f t="shared" si="37"/>
        <v>124333.03</v>
      </c>
      <c r="G33" s="296">
        <f t="shared" si="4"/>
        <v>4.2745653724043965E-2</v>
      </c>
      <c r="H33" s="419">
        <v>3610.98</v>
      </c>
      <c r="I33" s="419">
        <v>2055.4699999999998</v>
      </c>
      <c r="J33" s="419">
        <f t="shared" si="9"/>
        <v>55169.950000000004</v>
      </c>
      <c r="K33" s="423">
        <f t="shared" si="5"/>
        <v>4.0060620955508962E-2</v>
      </c>
      <c r="L33" s="420">
        <v>796.42</v>
      </c>
      <c r="M33" s="420"/>
      <c r="N33" s="420">
        <v>1067.98</v>
      </c>
      <c r="O33" s="420">
        <f t="shared" si="6"/>
        <v>27044.769999999993</v>
      </c>
      <c r="P33" s="424">
        <f t="shared" si="7"/>
        <v>4.1752904187800893E-2</v>
      </c>
      <c r="Q33" s="419">
        <v>1556.8899999999999</v>
      </c>
      <c r="R33" s="419">
        <v>0</v>
      </c>
      <c r="S33" s="419">
        <v>1488.41</v>
      </c>
      <c r="T33" s="419">
        <f t="shared" si="21"/>
        <v>34006.530000000006</v>
      </c>
      <c r="U33" s="423">
        <f t="shared" si="22"/>
        <v>4.6894304998397113E-2</v>
      </c>
      <c r="V33" s="420">
        <v>419.15</v>
      </c>
      <c r="W33" s="420">
        <v>0</v>
      </c>
      <c r="X33" s="420">
        <v>354.13</v>
      </c>
      <c r="Y33" s="420">
        <f t="shared" si="17"/>
        <v>8111.7800000000016</v>
      </c>
      <c r="Z33" s="424">
        <f t="shared" si="18"/>
        <v>4.6916597940534495E-2</v>
      </c>
    </row>
    <row r="34" spans="1:26" ht="11.25" customHeight="1" x14ac:dyDescent="0.3">
      <c r="A34" s="421">
        <f t="shared" si="0"/>
        <v>62</v>
      </c>
      <c r="B34" s="422">
        <v>41821</v>
      </c>
      <c r="C34" s="426">
        <v>41912</v>
      </c>
      <c r="D34" s="410">
        <f t="shared" si="1"/>
        <v>5020.3499999999995</v>
      </c>
      <c r="E34" s="352">
        <f t="shared" ref="E34:F34" si="38">I34+N34+S34+X34</f>
        <v>-2295.38</v>
      </c>
      <c r="F34" s="352">
        <f t="shared" si="38"/>
        <v>127058</v>
      </c>
      <c r="G34" s="296">
        <f t="shared" si="4"/>
        <v>-1.8096199950166824E-2</v>
      </c>
      <c r="H34" s="419">
        <v>2025.8700000000001</v>
      </c>
      <c r="I34" s="419">
        <v>-1025.43</v>
      </c>
      <c r="J34" s="419">
        <f t="shared" si="9"/>
        <v>56170.390000000007</v>
      </c>
      <c r="K34" s="423">
        <f t="shared" si="5"/>
        <v>-1.8251643716765346E-2</v>
      </c>
      <c r="L34" s="420">
        <v>592.21</v>
      </c>
      <c r="M34" s="420"/>
      <c r="N34" s="420">
        <v>-500.96</v>
      </c>
      <c r="O34" s="420">
        <f t="shared" si="6"/>
        <v>27136.019999999993</v>
      </c>
      <c r="P34" s="424">
        <f t="shared" si="7"/>
        <v>-1.8322749363361639E-2</v>
      </c>
      <c r="Q34" s="419">
        <v>1892.7</v>
      </c>
      <c r="R34" s="419">
        <v>0</v>
      </c>
      <c r="S34" s="419">
        <v>-620.16999999999996</v>
      </c>
      <c r="T34" s="419">
        <f t="shared" si="21"/>
        <v>35279.060000000005</v>
      </c>
      <c r="U34" s="423">
        <f t="shared" si="22"/>
        <v>-1.7743030045020609E-2</v>
      </c>
      <c r="V34" s="420">
        <v>509.57</v>
      </c>
      <c r="W34" s="420">
        <v>0</v>
      </c>
      <c r="X34" s="420">
        <v>-148.82</v>
      </c>
      <c r="Y34" s="420">
        <f t="shared" si="17"/>
        <v>8472.5300000000025</v>
      </c>
      <c r="Z34" s="424">
        <f t="shared" si="18"/>
        <v>-1.7787467138544906E-2</v>
      </c>
    </row>
    <row r="35" spans="1:26" ht="11.25" customHeight="1" x14ac:dyDescent="0.3">
      <c r="A35" s="421">
        <f t="shared" si="0"/>
        <v>43</v>
      </c>
      <c r="B35" s="422">
        <v>41913</v>
      </c>
      <c r="C35" s="426">
        <v>42004</v>
      </c>
      <c r="D35" s="410">
        <f t="shared" si="1"/>
        <v>4102.1200000000008</v>
      </c>
      <c r="E35" s="352">
        <f t="shared" ref="E35:F35" si="39">I35+N35+S35+X35</f>
        <v>2984.8799999999997</v>
      </c>
      <c r="F35" s="352">
        <f t="shared" si="39"/>
        <v>134145</v>
      </c>
      <c r="G35" s="296">
        <f t="shared" si="4"/>
        <v>2.3119059189184707E-2</v>
      </c>
      <c r="H35" s="419">
        <v>1736.46</v>
      </c>
      <c r="I35" s="419">
        <v>1319.31</v>
      </c>
      <c r="J35" s="419">
        <f t="shared" si="9"/>
        <v>59226.16</v>
      </c>
      <c r="K35" s="423">
        <f t="shared" si="5"/>
        <v>2.3130117804392877E-2</v>
      </c>
      <c r="L35" s="420">
        <v>326.72000000000003</v>
      </c>
      <c r="M35" s="420"/>
      <c r="N35" s="420">
        <v>634.78</v>
      </c>
      <c r="O35" s="420">
        <f t="shared" si="6"/>
        <v>28097.519999999993</v>
      </c>
      <c r="P35" s="424">
        <f t="shared" si="7"/>
        <v>2.3252542731739701E-2</v>
      </c>
      <c r="Q35" s="419">
        <v>1606.43</v>
      </c>
      <c r="R35" s="419">
        <v>0</v>
      </c>
      <c r="S35" s="419">
        <v>830.77</v>
      </c>
      <c r="T35" s="419">
        <f t="shared" si="21"/>
        <v>37716.26</v>
      </c>
      <c r="U35" s="423">
        <f t="shared" si="22"/>
        <v>2.3024324270019002E-2</v>
      </c>
      <c r="V35" s="420">
        <v>432.51</v>
      </c>
      <c r="W35" s="420">
        <v>0</v>
      </c>
      <c r="X35" s="420">
        <v>200.02</v>
      </c>
      <c r="Y35" s="420">
        <f t="shared" si="17"/>
        <v>9105.0600000000031</v>
      </c>
      <c r="Z35" s="424">
        <f t="shared" si="18"/>
        <v>2.3020479848448312E-2</v>
      </c>
    </row>
    <row r="36" spans="1:26" ht="11.25" customHeight="1" x14ac:dyDescent="0.3">
      <c r="A36" s="421">
        <f t="shared" si="0"/>
        <v>40</v>
      </c>
      <c r="B36" s="422">
        <v>42005</v>
      </c>
      <c r="C36" s="426">
        <v>42094</v>
      </c>
      <c r="D36" s="410">
        <f t="shared" si="1"/>
        <v>4793.9600000000009</v>
      </c>
      <c r="E36" s="352">
        <f t="shared" ref="E36:F36" si="40">I36+N36+S36+X36</f>
        <v>3973.43</v>
      </c>
      <c r="F36" s="352">
        <f t="shared" si="40"/>
        <v>142918.84999999998</v>
      </c>
      <c r="G36" s="296">
        <f t="shared" si="4"/>
        <v>2.910042757546067E-2</v>
      </c>
      <c r="H36" s="419">
        <v>2091.4</v>
      </c>
      <c r="I36" s="419">
        <v>1787.19</v>
      </c>
      <c r="J36" s="419">
        <f t="shared" si="9"/>
        <v>63104.750000000007</v>
      </c>
      <c r="K36" s="423">
        <f t="shared" si="5"/>
        <v>2.9652146125903531E-2</v>
      </c>
      <c r="L36" s="420">
        <v>247.5</v>
      </c>
      <c r="M36" s="420"/>
      <c r="N36" s="420">
        <v>834.13</v>
      </c>
      <c r="O36" s="420">
        <f t="shared" si="6"/>
        <v>29179.149999999994</v>
      </c>
      <c r="P36" s="424">
        <f t="shared" si="7"/>
        <v>2.9556784652143585E-2</v>
      </c>
      <c r="Q36" s="419">
        <v>1934.29</v>
      </c>
      <c r="R36" s="419">
        <v>5.54</v>
      </c>
      <c r="S36" s="419">
        <v>1088.68</v>
      </c>
      <c r="T36" s="419">
        <f t="shared" si="21"/>
        <v>40744.770000000004</v>
      </c>
      <c r="U36" s="423">
        <f t="shared" si="22"/>
        <v>2.8143334331608091E-2</v>
      </c>
      <c r="V36" s="420">
        <v>520.77</v>
      </c>
      <c r="W36" s="420">
        <v>0.92</v>
      </c>
      <c r="X36" s="420">
        <v>263.43</v>
      </c>
      <c r="Y36" s="420">
        <f t="shared" si="17"/>
        <v>9890.1800000000039</v>
      </c>
      <c r="Z36" s="424">
        <f t="shared" si="18"/>
        <v>2.8127867922987101E-2</v>
      </c>
    </row>
    <row r="37" spans="1:26" ht="11.25" customHeight="1" x14ac:dyDescent="0.3">
      <c r="A37" s="421">
        <f t="shared" si="0"/>
        <v>59</v>
      </c>
      <c r="B37" s="422">
        <v>42095</v>
      </c>
      <c r="C37" s="426">
        <v>42185</v>
      </c>
      <c r="D37" s="410">
        <f t="shared" si="1"/>
        <v>4068.3700000000003</v>
      </c>
      <c r="E37" s="352">
        <f t="shared" ref="E37:F37" si="41">I37+N37+S37+X37</f>
        <v>-226.57999999999998</v>
      </c>
      <c r="F37" s="352">
        <f t="shared" si="41"/>
        <v>146760.63999999998</v>
      </c>
      <c r="G37" s="296">
        <f t="shared" si="4"/>
        <v>-1.5631269810942559E-3</v>
      </c>
      <c r="H37" s="419">
        <v>1804.98</v>
      </c>
      <c r="I37" s="419">
        <v>123.14</v>
      </c>
      <c r="J37" s="419">
        <f t="shared" si="9"/>
        <v>65032.87000000001</v>
      </c>
      <c r="K37" s="423">
        <f t="shared" si="5"/>
        <v>1.9238448650496412E-3</v>
      </c>
      <c r="L37" s="420">
        <v>165.03</v>
      </c>
      <c r="M37" s="420"/>
      <c r="N37" s="420">
        <v>69.069999999999993</v>
      </c>
      <c r="O37" s="420">
        <f t="shared" si="6"/>
        <v>29413.249999999993</v>
      </c>
      <c r="P37" s="424">
        <f t="shared" si="7"/>
        <v>2.3604261753389635E-3</v>
      </c>
      <c r="Q37" s="419">
        <v>1653.25</v>
      </c>
      <c r="R37" s="419">
        <v>0</v>
      </c>
      <c r="S37" s="419">
        <v>-336.09</v>
      </c>
      <c r="T37" s="419">
        <f t="shared" si="21"/>
        <v>42061.930000000008</v>
      </c>
      <c r="U37" s="423">
        <f t="shared" si="22"/>
        <v>-8.0846457040953269E-3</v>
      </c>
      <c r="V37" s="420">
        <v>445.11</v>
      </c>
      <c r="W37" s="420">
        <v>0</v>
      </c>
      <c r="X37" s="420">
        <v>-82.7</v>
      </c>
      <c r="Y37" s="420">
        <f t="shared" si="17"/>
        <v>10252.590000000004</v>
      </c>
      <c r="Z37" s="424">
        <f t="shared" si="18"/>
        <v>-8.177807487292011E-3</v>
      </c>
    </row>
    <row r="38" spans="1:26" ht="11.25" customHeight="1" x14ac:dyDescent="0.3">
      <c r="A38" s="421">
        <f t="shared" si="0"/>
        <v>70</v>
      </c>
      <c r="B38" s="422">
        <v>42186</v>
      </c>
      <c r="C38" s="426">
        <v>42277</v>
      </c>
      <c r="D38" s="410">
        <f t="shared" si="1"/>
        <v>5794.38</v>
      </c>
      <c r="E38" s="352">
        <f t="shared" ref="E38:F38" si="42">I38+N38+S38+X38</f>
        <v>-10558.59</v>
      </c>
      <c r="F38" s="352">
        <f t="shared" si="42"/>
        <v>141996.43</v>
      </c>
      <c r="G38" s="296">
        <f t="shared" si="4"/>
        <v>-7.0551537463826655E-2</v>
      </c>
      <c r="H38" s="419">
        <v>2219.66</v>
      </c>
      <c r="I38" s="419">
        <v>-4630.16</v>
      </c>
      <c r="J38" s="419">
        <f t="shared" si="9"/>
        <v>62622.37000000001</v>
      </c>
      <c r="K38" s="423">
        <f t="shared" si="5"/>
        <v>-7.0002585319317162E-2</v>
      </c>
      <c r="L38" s="420">
        <v>845.66</v>
      </c>
      <c r="M38" s="420"/>
      <c r="N38" s="420">
        <v>-2066.1999999999998</v>
      </c>
      <c r="O38" s="420">
        <f t="shared" si="6"/>
        <v>28192.709999999992</v>
      </c>
      <c r="P38" s="424">
        <f t="shared" si="7"/>
        <v>-6.9251724757407818E-2</v>
      </c>
      <c r="Q38" s="419">
        <v>2150.17</v>
      </c>
      <c r="R38" s="419">
        <v>0</v>
      </c>
      <c r="S38" s="419">
        <v>-3103.52</v>
      </c>
      <c r="T38" s="419">
        <f t="shared" si="21"/>
        <v>41108.580000000009</v>
      </c>
      <c r="U38" s="423">
        <f t="shared" si="22"/>
        <v>-7.1945636479482863E-2</v>
      </c>
      <c r="V38" s="420">
        <v>578.89</v>
      </c>
      <c r="W38" s="420">
        <v>0</v>
      </c>
      <c r="X38" s="420">
        <v>-758.71</v>
      </c>
      <c r="Y38" s="420">
        <f t="shared" si="17"/>
        <v>10072.770000000004</v>
      </c>
      <c r="Z38" s="424">
        <f t="shared" si="18"/>
        <v>-7.1969975436431369E-2</v>
      </c>
    </row>
    <row r="39" spans="1:26" ht="11.25" customHeight="1" x14ac:dyDescent="0.3">
      <c r="A39" s="421">
        <f t="shared" si="0"/>
        <v>32</v>
      </c>
      <c r="B39" s="422">
        <v>42278</v>
      </c>
      <c r="C39" s="426">
        <v>42369</v>
      </c>
      <c r="D39" s="410">
        <f t="shared" si="1"/>
        <v>5396.380000000001</v>
      </c>
      <c r="E39" s="352">
        <f t="shared" ref="E39:F39" si="43">I39+N39+S39+X39</f>
        <v>6605.6100000000006</v>
      </c>
      <c r="F39" s="352">
        <f t="shared" si="43"/>
        <v>154009.28</v>
      </c>
      <c r="G39" s="296">
        <f t="shared" si="4"/>
        <v>4.565207745802851E-2</v>
      </c>
      <c r="H39" s="419">
        <v>2032.6799999999998</v>
      </c>
      <c r="I39" s="419">
        <v>2853.65</v>
      </c>
      <c r="J39" s="419">
        <f t="shared" si="9"/>
        <v>67508.700000000012</v>
      </c>
      <c r="K39" s="423">
        <f t="shared" si="5"/>
        <v>4.4841418061428329E-2</v>
      </c>
      <c r="L39" s="420">
        <v>419.55</v>
      </c>
      <c r="M39" s="420"/>
      <c r="N39" s="420">
        <v>1292.8499999999999</v>
      </c>
      <c r="O39" s="420">
        <f t="shared" si="6"/>
        <v>29905.10999999999</v>
      </c>
      <c r="P39" s="424">
        <f t="shared" si="7"/>
        <v>4.5518904419806938E-2</v>
      </c>
      <c r="Q39" s="419">
        <v>2319.63</v>
      </c>
      <c r="R39" s="419">
        <v>8.6199999999999992</v>
      </c>
      <c r="S39" s="419">
        <v>1975.43</v>
      </c>
      <c r="T39" s="419">
        <f t="shared" si="21"/>
        <v>45412.260000000009</v>
      </c>
      <c r="U39" s="423">
        <f t="shared" si="22"/>
        <v>4.6735391774397859E-2</v>
      </c>
      <c r="V39" s="420">
        <v>624.52</v>
      </c>
      <c r="W39" s="420">
        <v>2.2400000000000002</v>
      </c>
      <c r="X39" s="420">
        <v>483.68</v>
      </c>
      <c r="Y39" s="420">
        <f t="shared" si="17"/>
        <v>11183.210000000005</v>
      </c>
      <c r="Z39" s="424">
        <f t="shared" si="18"/>
        <v>4.6574733053250668E-2</v>
      </c>
    </row>
    <row r="40" spans="1:26" ht="11.25" customHeight="1" x14ac:dyDescent="0.3">
      <c r="A40" s="421">
        <f t="shared" si="0"/>
        <v>53</v>
      </c>
      <c r="B40" s="422">
        <v>42370</v>
      </c>
      <c r="C40" s="426">
        <v>42460</v>
      </c>
      <c r="D40" s="410">
        <f t="shared" si="1"/>
        <v>5972.98</v>
      </c>
      <c r="E40" s="352">
        <f t="shared" ref="E40:F40" si="44">I40+N40+S40+X40</f>
        <v>1204.92</v>
      </c>
      <c r="F40" s="352">
        <f t="shared" si="44"/>
        <v>161187.18000000002</v>
      </c>
      <c r="G40" s="296">
        <f t="shared" si="4"/>
        <v>7.6748564626932317E-3</v>
      </c>
      <c r="H40" s="419">
        <v>2391.1600000000003</v>
      </c>
      <c r="I40" s="419">
        <v>216.96</v>
      </c>
      <c r="J40" s="419">
        <f t="shared" si="9"/>
        <v>70116.820000000022</v>
      </c>
      <c r="K40" s="423">
        <f t="shared" si="5"/>
        <v>3.1578818670394328E-3</v>
      </c>
      <c r="L40" s="420">
        <v>257.87</v>
      </c>
      <c r="M40" s="420"/>
      <c r="N40" s="420">
        <v>53.78</v>
      </c>
      <c r="O40" s="420">
        <f t="shared" si="6"/>
        <v>30216.759999999987</v>
      </c>
      <c r="P40" s="424">
        <f t="shared" si="7"/>
        <v>1.7906345948406222E-3</v>
      </c>
      <c r="Q40" s="419">
        <v>2618.87</v>
      </c>
      <c r="R40" s="419">
        <v>0</v>
      </c>
      <c r="S40" s="419">
        <v>746.75</v>
      </c>
      <c r="T40" s="419">
        <f t="shared" si="21"/>
        <v>48777.880000000012</v>
      </c>
      <c r="U40" s="423">
        <f t="shared" si="22"/>
        <v>1.5982938975137778E-2</v>
      </c>
      <c r="V40" s="420">
        <v>705.08</v>
      </c>
      <c r="W40" s="420">
        <v>0</v>
      </c>
      <c r="X40" s="420">
        <v>187.43</v>
      </c>
      <c r="Y40" s="420">
        <f t="shared" si="17"/>
        <v>12075.720000000005</v>
      </c>
      <c r="Z40" s="424">
        <f t="shared" si="18"/>
        <v>1.6247751554948738E-2</v>
      </c>
    </row>
    <row r="41" spans="1:26" ht="11.25" customHeight="1" x14ac:dyDescent="0.3">
      <c r="A41" s="421">
        <f t="shared" si="0"/>
        <v>47</v>
      </c>
      <c r="B41" s="422">
        <v>42461</v>
      </c>
      <c r="C41" s="426">
        <v>42551</v>
      </c>
      <c r="D41" s="410">
        <f t="shared" si="1"/>
        <v>5490.93</v>
      </c>
      <c r="E41" s="352">
        <f t="shared" ref="E41:F41" si="45">I41+N41+S41+X41</f>
        <v>2765.2200000000003</v>
      </c>
      <c r="F41" s="352">
        <f t="shared" si="45"/>
        <v>169443.33000000005</v>
      </c>
      <c r="G41" s="296">
        <f t="shared" si="4"/>
        <v>1.6868025279528673E-2</v>
      </c>
      <c r="H41" s="419">
        <v>2056.3200000000002</v>
      </c>
      <c r="I41" s="419">
        <v>1078.08</v>
      </c>
      <c r="J41" s="419">
        <f t="shared" si="9"/>
        <v>73251.22000000003</v>
      </c>
      <c r="K41" s="423">
        <f t="shared" si="5"/>
        <v>1.5153282775538056E-2</v>
      </c>
      <c r="L41" s="420">
        <v>365.3</v>
      </c>
      <c r="M41" s="420"/>
      <c r="N41" s="420">
        <v>458.99</v>
      </c>
      <c r="O41" s="420">
        <f t="shared" si="6"/>
        <v>31041.049999999988</v>
      </c>
      <c r="P41" s="424">
        <f t="shared" si="7"/>
        <v>1.5098648296134701E-2</v>
      </c>
      <c r="Q41" s="419">
        <v>2418.2399999999998</v>
      </c>
      <c r="R41" s="419">
        <v>0</v>
      </c>
      <c r="S41" s="419">
        <v>984.08</v>
      </c>
      <c r="T41" s="419">
        <f t="shared" si="21"/>
        <v>52180.200000000012</v>
      </c>
      <c r="U41" s="423">
        <f t="shared" si="22"/>
        <v>1.968671854682217E-2</v>
      </c>
      <c r="V41" s="420">
        <v>651.07000000000005</v>
      </c>
      <c r="W41" s="420">
        <v>0</v>
      </c>
      <c r="X41" s="420">
        <v>244.07</v>
      </c>
      <c r="Y41" s="420">
        <f t="shared" si="17"/>
        <v>12970.860000000004</v>
      </c>
      <c r="Z41" s="424">
        <f t="shared" si="18"/>
        <v>1.9681072601119797E-2</v>
      </c>
    </row>
    <row r="42" spans="1:26" ht="11.25" customHeight="1" x14ac:dyDescent="0.3">
      <c r="A42" s="421">
        <f t="shared" si="0"/>
        <v>33</v>
      </c>
      <c r="B42" s="422">
        <v>42552</v>
      </c>
      <c r="C42" s="426">
        <v>42643</v>
      </c>
      <c r="D42" s="410">
        <f t="shared" si="1"/>
        <v>6394.45</v>
      </c>
      <c r="E42" s="352">
        <f t="shared" ref="E42:F42" si="46">I42+N42+S42+X42</f>
        <v>7537.78</v>
      </c>
      <c r="F42" s="352">
        <f t="shared" si="46"/>
        <v>183375.56000000003</v>
      </c>
      <c r="G42" s="296">
        <f t="shared" si="4"/>
        <v>4.3661699303503727E-2</v>
      </c>
      <c r="H42" s="419">
        <v>2432.4899999999998</v>
      </c>
      <c r="I42" s="419">
        <v>3287.43</v>
      </c>
      <c r="J42" s="419">
        <f t="shared" si="9"/>
        <v>78971.140000000029</v>
      </c>
      <c r="K42" s="423">
        <f t="shared" si="5"/>
        <v>4.4145856180279518E-2</v>
      </c>
      <c r="L42" s="420">
        <v>580.16</v>
      </c>
      <c r="M42" s="420"/>
      <c r="N42" s="420">
        <v>1388.59</v>
      </c>
      <c r="O42" s="420">
        <f t="shared" si="6"/>
        <v>33009.799999999988</v>
      </c>
      <c r="P42" s="424">
        <f t="shared" si="7"/>
        <v>4.4319818659588735E-2</v>
      </c>
      <c r="Q42" s="419">
        <v>2664.45</v>
      </c>
      <c r="R42" s="419">
        <v>0</v>
      </c>
      <c r="S42" s="419">
        <v>2291.5500000000002</v>
      </c>
      <c r="T42" s="419">
        <f t="shared" si="21"/>
        <v>57136.200000000012</v>
      </c>
      <c r="U42" s="423">
        <f t="shared" si="22"/>
        <v>4.2822764993363689E-2</v>
      </c>
      <c r="V42" s="420">
        <v>717.35</v>
      </c>
      <c r="W42" s="420">
        <v>0</v>
      </c>
      <c r="X42" s="420">
        <v>570.21</v>
      </c>
      <c r="Y42" s="420">
        <f t="shared" si="17"/>
        <v>14258.420000000006</v>
      </c>
      <c r="Z42" s="424">
        <f t="shared" si="18"/>
        <v>4.2777936364621863E-2</v>
      </c>
    </row>
    <row r="43" spans="1:26" ht="11.25" customHeight="1" x14ac:dyDescent="0.3">
      <c r="A43" s="421">
        <f t="shared" si="0"/>
        <v>48</v>
      </c>
      <c r="B43" s="422">
        <v>42644</v>
      </c>
      <c r="C43" s="426">
        <v>42735</v>
      </c>
      <c r="D43" s="410">
        <f t="shared" si="1"/>
        <v>5352.59</v>
      </c>
      <c r="E43" s="352">
        <f t="shared" ref="E43:F43" si="47">I43+N43+S43+X43</f>
        <v>3018.9100000000003</v>
      </c>
      <c r="F43" s="352">
        <f t="shared" si="47"/>
        <v>191754.43000000002</v>
      </c>
      <c r="G43" s="296">
        <f t="shared" si="4"/>
        <v>1.6226175224106201E-2</v>
      </c>
      <c r="H43" s="419">
        <v>2123.2200000000003</v>
      </c>
      <c r="I43" s="419">
        <v>1866.38</v>
      </c>
      <c r="J43" s="419">
        <f t="shared" si="9"/>
        <v>82960.740000000034</v>
      </c>
      <c r="K43" s="423">
        <f t="shared" si="5"/>
        <v>2.3320203291777423E-2</v>
      </c>
      <c r="L43" s="420">
        <v>257.85000000000002</v>
      </c>
      <c r="M43" s="420"/>
      <c r="N43" s="420">
        <v>769.01</v>
      </c>
      <c r="O43" s="420">
        <f t="shared" si="6"/>
        <v>34036.659999999989</v>
      </c>
      <c r="P43" s="424">
        <f t="shared" si="7"/>
        <v>2.320578115180956E-2</v>
      </c>
      <c r="Q43" s="419">
        <v>2341.19</v>
      </c>
      <c r="R43" s="419">
        <v>6.28</v>
      </c>
      <c r="S43" s="419">
        <v>306.20999999999998</v>
      </c>
      <c r="T43" s="419">
        <f t="shared" si="21"/>
        <v>59789.880000000012</v>
      </c>
      <c r="U43" s="423">
        <f t="shared" si="22"/>
        <v>5.2517035107143154E-3</v>
      </c>
      <c r="V43" s="420">
        <v>630.33000000000004</v>
      </c>
      <c r="W43" s="420">
        <v>1.0900000000000001</v>
      </c>
      <c r="X43" s="420">
        <v>77.31</v>
      </c>
      <c r="Y43" s="420">
        <f t="shared" si="17"/>
        <v>14967.150000000005</v>
      </c>
      <c r="Z43" s="424">
        <f t="shared" si="18"/>
        <v>5.3048031764318781E-3</v>
      </c>
    </row>
    <row r="44" spans="1:26" ht="11.25" customHeight="1" x14ac:dyDescent="0.3">
      <c r="A44" s="421">
        <f t="shared" si="0"/>
        <v>27</v>
      </c>
      <c r="B44" s="422">
        <v>42736</v>
      </c>
      <c r="C44" s="426">
        <v>42825</v>
      </c>
      <c r="D44" s="410">
        <f t="shared" si="1"/>
        <v>6321.97</v>
      </c>
      <c r="E44" s="352">
        <f t="shared" ref="E44:F44" si="48">I44+N44+S44+X44</f>
        <v>10772.96</v>
      </c>
      <c r="F44" s="352">
        <f t="shared" si="48"/>
        <v>208849.36000000004</v>
      </c>
      <c r="G44" s="296">
        <f t="shared" si="4"/>
        <v>5.5269923109980801E-2</v>
      </c>
      <c r="H44" s="419">
        <v>2507.04</v>
      </c>
      <c r="I44" s="419">
        <v>4436.24</v>
      </c>
      <c r="J44" s="419">
        <f t="shared" si="9"/>
        <v>89904.020000000033</v>
      </c>
      <c r="K44" s="423">
        <f t="shared" si="5"/>
        <v>5.2678014388537024E-2</v>
      </c>
      <c r="L44" s="420">
        <v>263.27999999999997</v>
      </c>
      <c r="M44" s="420"/>
      <c r="N44" s="420">
        <v>1801.81</v>
      </c>
      <c r="O44" s="420">
        <f t="shared" si="6"/>
        <v>36101.749999999985</v>
      </c>
      <c r="P44" s="424">
        <f t="shared" si="7"/>
        <v>5.2733381526151452E-2</v>
      </c>
      <c r="Q44" s="419">
        <v>2798.2700000000004</v>
      </c>
      <c r="R44" s="419">
        <v>0</v>
      </c>
      <c r="S44" s="419">
        <v>3626</v>
      </c>
      <c r="T44" s="419">
        <f t="shared" si="21"/>
        <v>66214.150000000009</v>
      </c>
      <c r="U44" s="423">
        <f t="shared" si="22"/>
        <v>5.9259002616727841E-2</v>
      </c>
      <c r="V44" s="420">
        <v>753.38</v>
      </c>
      <c r="W44" s="420">
        <v>0</v>
      </c>
      <c r="X44" s="420">
        <v>908.91</v>
      </c>
      <c r="Y44" s="420">
        <f t="shared" si="17"/>
        <v>16629.440000000006</v>
      </c>
      <c r="Z44" s="424">
        <f t="shared" si="18"/>
        <v>5.9236149490609888E-2</v>
      </c>
    </row>
    <row r="45" spans="1:26" ht="11.25" customHeight="1" x14ac:dyDescent="0.3">
      <c r="A45" s="421">
        <f t="shared" si="0"/>
        <v>38</v>
      </c>
      <c r="B45" s="422">
        <v>42826</v>
      </c>
      <c r="C45" s="422">
        <v>42916</v>
      </c>
      <c r="D45" s="410">
        <f t="shared" si="1"/>
        <v>6130.92</v>
      </c>
      <c r="E45" s="352">
        <f t="shared" ref="E45:F45" si="49">I45+N45+S45+X45</f>
        <v>7656.6699999999992</v>
      </c>
      <c r="F45" s="352">
        <f t="shared" si="49"/>
        <v>222636.95</v>
      </c>
      <c r="G45" s="296">
        <f t="shared" si="4"/>
        <v>3.6130885041452024E-2</v>
      </c>
      <c r="H45" s="419">
        <v>2519.0200000000004</v>
      </c>
      <c r="I45" s="419">
        <v>3138.16</v>
      </c>
      <c r="J45" s="419">
        <f t="shared" si="9"/>
        <v>95561.200000000041</v>
      </c>
      <c r="K45" s="423">
        <f t="shared" si="5"/>
        <v>3.4423414714195459E-2</v>
      </c>
      <c r="L45" s="420">
        <v>329.1</v>
      </c>
      <c r="M45" s="420"/>
      <c r="N45" s="420">
        <v>1254.71</v>
      </c>
      <c r="O45" s="420">
        <f t="shared" si="6"/>
        <v>37685.559999999983</v>
      </c>
      <c r="P45" s="424">
        <f t="shared" si="7"/>
        <v>3.4597132875424305E-2</v>
      </c>
      <c r="Q45" s="419">
        <v>2586.4499999999998</v>
      </c>
      <c r="R45" s="419">
        <v>0</v>
      </c>
      <c r="S45" s="419">
        <v>2608.19</v>
      </c>
      <c r="T45" s="419">
        <f t="shared" si="21"/>
        <v>71408.790000000008</v>
      </c>
      <c r="U45" s="423">
        <f t="shared" si="22"/>
        <v>3.8635630551476778E-2</v>
      </c>
      <c r="V45" s="420">
        <v>696.35</v>
      </c>
      <c r="W45" s="420">
        <v>0</v>
      </c>
      <c r="X45" s="420">
        <v>655.61</v>
      </c>
      <c r="Y45" s="420">
        <f t="shared" si="17"/>
        <v>17981.400000000005</v>
      </c>
      <c r="Z45" s="424">
        <f t="shared" si="18"/>
        <v>3.8616142491156726E-2</v>
      </c>
    </row>
    <row r="46" spans="1:26" ht="11.25" customHeight="1" x14ac:dyDescent="0.3">
      <c r="A46" s="421">
        <f t="shared" si="0"/>
        <v>34</v>
      </c>
      <c r="B46" s="422">
        <v>42917</v>
      </c>
      <c r="C46" s="422">
        <v>43008</v>
      </c>
      <c r="D46" s="410">
        <f t="shared" si="1"/>
        <v>6326.3899999999994</v>
      </c>
      <c r="E46" s="352">
        <f t="shared" ref="E46:F46" si="50">I46+N46+S46+X46</f>
        <v>9681.82</v>
      </c>
      <c r="F46" s="352">
        <f t="shared" si="50"/>
        <v>238645.16</v>
      </c>
      <c r="G46" s="296">
        <f t="shared" si="4"/>
        <v>4.2877828975707695E-2</v>
      </c>
      <c r="H46" s="419">
        <v>2193</v>
      </c>
      <c r="I46" s="419">
        <v>4008.93</v>
      </c>
      <c r="J46" s="419">
        <f t="shared" si="9"/>
        <v>101763.13000000003</v>
      </c>
      <c r="K46" s="423">
        <f t="shared" si="5"/>
        <v>4.1475536868764706E-2</v>
      </c>
      <c r="L46" s="420">
        <v>614.30999999999995</v>
      </c>
      <c r="M46" s="420"/>
      <c r="N46" s="420">
        <v>1571.89</v>
      </c>
      <c r="O46" s="420">
        <f t="shared" si="6"/>
        <v>39871.75999999998</v>
      </c>
      <c r="P46" s="424">
        <f t="shared" si="7"/>
        <v>4.1373458043206461E-2</v>
      </c>
      <c r="Q46" s="419">
        <v>2772.6</v>
      </c>
      <c r="R46" s="419">
        <v>0</v>
      </c>
      <c r="S46" s="419">
        <v>3275.23</v>
      </c>
      <c r="T46" s="419">
        <f t="shared" si="21"/>
        <v>77456.62000000001</v>
      </c>
      <c r="U46" s="423">
        <f t="shared" si="22"/>
        <v>4.4992457595697727E-2</v>
      </c>
      <c r="V46" s="420">
        <v>746.48</v>
      </c>
      <c r="W46" s="420">
        <v>0</v>
      </c>
      <c r="X46" s="420">
        <v>825.77</v>
      </c>
      <c r="Y46" s="420">
        <f t="shared" si="17"/>
        <v>19553.650000000005</v>
      </c>
      <c r="Z46" s="424">
        <f t="shared" si="18"/>
        <v>4.498971377264821E-2</v>
      </c>
    </row>
    <row r="47" spans="1:26" ht="11.25" customHeight="1" x14ac:dyDescent="0.3">
      <c r="A47" s="421">
        <f t="shared" si="0"/>
        <v>30</v>
      </c>
      <c r="B47" s="422">
        <v>43009</v>
      </c>
      <c r="C47" s="422">
        <v>43100</v>
      </c>
      <c r="D47" s="410">
        <f t="shared" si="1"/>
        <v>6272.63</v>
      </c>
      <c r="E47" s="352">
        <f t="shared" ref="E47:F47" si="51">I47+N47+S47+X47</f>
        <v>11946.29</v>
      </c>
      <c r="F47" s="352">
        <f t="shared" si="51"/>
        <v>256868.65000000002</v>
      </c>
      <c r="G47" s="296">
        <f t="shared" si="4"/>
        <v>4.9409451241043179E-2</v>
      </c>
      <c r="H47" s="419">
        <v>2226.84</v>
      </c>
      <c r="I47" s="419">
        <v>4866.43</v>
      </c>
      <c r="J47" s="419">
        <f t="shared" si="9"/>
        <v>108856.40000000002</v>
      </c>
      <c r="K47" s="423">
        <f t="shared" si="5"/>
        <v>4.7303588621507998E-2</v>
      </c>
      <c r="L47" s="420">
        <v>1158.25</v>
      </c>
      <c r="M47" s="420"/>
      <c r="N47" s="420">
        <v>1923.03</v>
      </c>
      <c r="O47" s="420">
        <f t="shared" si="6"/>
        <v>42953.039999999979</v>
      </c>
      <c r="P47" s="424">
        <f t="shared" si="7"/>
        <v>4.7539874591124541E-2</v>
      </c>
      <c r="Q47" s="419">
        <v>2275.04</v>
      </c>
      <c r="R47" s="419">
        <v>4.5599999999999996</v>
      </c>
      <c r="S47" s="419">
        <v>4116.6000000000004</v>
      </c>
      <c r="T47" s="419">
        <f t="shared" si="21"/>
        <v>83852.820000000007</v>
      </c>
      <c r="U47" s="423">
        <f t="shared" si="22"/>
        <v>5.2377950824323539E-2</v>
      </c>
      <c r="V47" s="420">
        <v>612.5</v>
      </c>
      <c r="W47" s="420">
        <v>0.01</v>
      </c>
      <c r="X47" s="420">
        <v>1040.23</v>
      </c>
      <c r="Y47" s="420">
        <f t="shared" si="17"/>
        <v>21206.390000000003</v>
      </c>
      <c r="Z47" s="424">
        <f t="shared" si="18"/>
        <v>5.2378410767425804E-2</v>
      </c>
    </row>
    <row r="48" spans="1:26" ht="11.25" customHeight="1" x14ac:dyDescent="0.3">
      <c r="A48" s="421">
        <f t="shared" si="0"/>
        <v>61</v>
      </c>
      <c r="B48" s="422">
        <v>43101</v>
      </c>
      <c r="C48" s="422">
        <v>43190</v>
      </c>
      <c r="D48" s="410">
        <f t="shared" si="1"/>
        <v>6576.6399999999994</v>
      </c>
      <c r="E48" s="352">
        <f t="shared" ref="E48:F48" si="52">I48+N48+S48+X48</f>
        <v>-1986.06</v>
      </c>
      <c r="F48" s="352">
        <f t="shared" si="52"/>
        <v>261459.23</v>
      </c>
      <c r="G48" s="296">
        <f t="shared" si="4"/>
        <v>-7.634083376662942E-3</v>
      </c>
      <c r="H48" s="419">
        <v>2629.98</v>
      </c>
      <c r="I48" s="419">
        <v>-625.94000000000005</v>
      </c>
      <c r="J48" s="419">
        <f t="shared" si="9"/>
        <v>110860.44000000002</v>
      </c>
      <c r="K48" s="423">
        <f t="shared" si="5"/>
        <v>-5.6815113252179162E-3</v>
      </c>
      <c r="L48" s="420">
        <v>278.63</v>
      </c>
      <c r="M48" s="420"/>
      <c r="N48" s="420">
        <v>-225.64</v>
      </c>
      <c r="O48" s="420">
        <f t="shared" si="6"/>
        <v>43006.029999999977</v>
      </c>
      <c r="P48" s="424">
        <f t="shared" si="7"/>
        <v>-5.2361956082465225E-3</v>
      </c>
      <c r="Q48" s="419">
        <v>2889.97</v>
      </c>
      <c r="R48" s="419">
        <v>0</v>
      </c>
      <c r="S48" s="419">
        <v>-904.56</v>
      </c>
      <c r="T48" s="419">
        <f t="shared" si="21"/>
        <v>85838.23000000001</v>
      </c>
      <c r="U48" s="423">
        <f t="shared" si="22"/>
        <v>-1.0604727753545356E-2</v>
      </c>
      <c r="V48" s="420">
        <v>778.06</v>
      </c>
      <c r="W48" s="420">
        <v>0</v>
      </c>
      <c r="X48" s="420">
        <v>-229.92</v>
      </c>
      <c r="Y48" s="420">
        <f t="shared" si="17"/>
        <v>21754.530000000006</v>
      </c>
      <c r="Z48" s="424">
        <f t="shared" si="18"/>
        <v>-1.0646701939577927E-2</v>
      </c>
    </row>
    <row r="49" spans="1:26" ht="11.25" customHeight="1" x14ac:dyDescent="0.3">
      <c r="A49" s="421">
        <f t="shared" si="0"/>
        <v>44</v>
      </c>
      <c r="B49" s="422">
        <v>43191</v>
      </c>
      <c r="C49" s="422">
        <v>43281</v>
      </c>
      <c r="D49" s="410">
        <f t="shared" si="1"/>
        <v>6412.6500000000005</v>
      </c>
      <c r="E49" s="352">
        <f t="shared" ref="E49:F49" si="53">I49+N49+S49+X49</f>
        <v>4812.1499999999996</v>
      </c>
      <c r="F49" s="352">
        <f t="shared" si="53"/>
        <v>272684.03000000003</v>
      </c>
      <c r="G49" s="296">
        <f t="shared" si="4"/>
        <v>1.8182003321134857E-2</v>
      </c>
      <c r="H49" s="419">
        <v>2454.0100000000002</v>
      </c>
      <c r="I49" s="419">
        <v>2306.91</v>
      </c>
      <c r="J49" s="419">
        <f t="shared" si="9"/>
        <v>115621.36000000002</v>
      </c>
      <c r="K49" s="423">
        <f t="shared" si="5"/>
        <v>2.058134164803203E-2</v>
      </c>
      <c r="L49" s="420">
        <v>633.24</v>
      </c>
      <c r="M49" s="420"/>
      <c r="N49" s="420">
        <v>892.71</v>
      </c>
      <c r="O49" s="420">
        <f t="shared" si="6"/>
        <v>44531.979999999974</v>
      </c>
      <c r="P49" s="424">
        <f t="shared" si="7"/>
        <v>2.0606080191308714E-2</v>
      </c>
      <c r="Q49" s="419">
        <v>2620.0100000000002</v>
      </c>
      <c r="R49" s="419">
        <v>0</v>
      </c>
      <c r="S49" s="419">
        <v>1286.52</v>
      </c>
      <c r="T49" s="419">
        <f t="shared" si="21"/>
        <v>89744.760000000009</v>
      </c>
      <c r="U49" s="423">
        <f t="shared" si="22"/>
        <v>1.4762433226559318E-2</v>
      </c>
      <c r="V49" s="420">
        <v>705.39</v>
      </c>
      <c r="W49" s="420">
        <v>0</v>
      </c>
      <c r="X49" s="420">
        <v>326.01</v>
      </c>
      <c r="Y49" s="420">
        <f t="shared" si="17"/>
        <v>22785.930000000004</v>
      </c>
      <c r="Z49" s="424">
        <f t="shared" si="18"/>
        <v>1.4746762653385936E-2</v>
      </c>
    </row>
    <row r="50" spans="1:26" ht="11.25" customHeight="1" x14ac:dyDescent="0.3">
      <c r="A50" s="421">
        <f t="shared" si="0"/>
        <v>36</v>
      </c>
      <c r="B50" s="422">
        <v>43282</v>
      </c>
      <c r="C50" s="422">
        <v>43373</v>
      </c>
      <c r="D50" s="410">
        <f t="shared" si="1"/>
        <v>5881.42</v>
      </c>
      <c r="E50" s="352">
        <f t="shared" ref="E50:F50" si="54">I50+N50+S50+X50</f>
        <v>11350.779999999999</v>
      </c>
      <c r="F50" s="352">
        <f t="shared" si="54"/>
        <v>289916.23</v>
      </c>
      <c r="G50" s="296">
        <f t="shared" si="4"/>
        <v>4.1182007101394441E-2</v>
      </c>
      <c r="H50" s="419">
        <v>2076.4699999999998</v>
      </c>
      <c r="I50" s="419">
        <v>5094.57</v>
      </c>
      <c r="J50" s="419">
        <f t="shared" si="9"/>
        <v>122792.40000000002</v>
      </c>
      <c r="K50" s="423">
        <f t="shared" si="5"/>
        <v>4.3670389906633904E-2</v>
      </c>
      <c r="L50" s="420">
        <v>303.95999999999998</v>
      </c>
      <c r="M50" s="420"/>
      <c r="N50" s="420">
        <v>1955.79</v>
      </c>
      <c r="O50" s="420">
        <f t="shared" si="6"/>
        <v>46791.729999999974</v>
      </c>
      <c r="P50" s="424">
        <f t="shared" si="7"/>
        <v>4.3769397340790765E-2</v>
      </c>
      <c r="Q50" s="419">
        <v>2758.34</v>
      </c>
      <c r="R50" s="419">
        <v>0</v>
      </c>
      <c r="S50" s="419">
        <v>3429.13</v>
      </c>
      <c r="T50" s="419">
        <f t="shared" si="21"/>
        <v>95932.23000000001</v>
      </c>
      <c r="U50" s="423">
        <f t="shared" si="22"/>
        <v>3.7631498114710372E-2</v>
      </c>
      <c r="V50" s="420">
        <v>742.65</v>
      </c>
      <c r="W50" s="420">
        <v>0</v>
      </c>
      <c r="X50" s="420">
        <v>871.29</v>
      </c>
      <c r="Y50" s="420">
        <f t="shared" si="17"/>
        <v>24399.870000000006</v>
      </c>
      <c r="Z50" s="424">
        <f t="shared" si="18"/>
        <v>3.7624925752210256E-2</v>
      </c>
    </row>
    <row r="51" spans="1:26" ht="11.25" customHeight="1" x14ac:dyDescent="0.3">
      <c r="A51" s="421">
        <f t="shared" si="0"/>
        <v>72</v>
      </c>
      <c r="B51" s="422">
        <v>43374</v>
      </c>
      <c r="C51" s="422">
        <v>43465</v>
      </c>
      <c r="D51" s="410">
        <f t="shared" si="1"/>
        <v>6077.6</v>
      </c>
      <c r="E51" s="352">
        <f t="shared" ref="E51:F51" si="55">I51+N51+S51+X51</f>
        <v>-33155.630000000005</v>
      </c>
      <c r="F51" s="352">
        <f t="shared" si="55"/>
        <v>262846.91000000003</v>
      </c>
      <c r="G51" s="296">
        <f t="shared" si="4"/>
        <v>-0.11317651722859992</v>
      </c>
      <c r="H51" s="419">
        <v>2265.2399999999998</v>
      </c>
      <c r="I51" s="419">
        <v>-14051.78</v>
      </c>
      <c r="J51" s="419">
        <f t="shared" si="9"/>
        <v>111005.86000000003</v>
      </c>
      <c r="K51" s="423">
        <f t="shared" si="5"/>
        <v>-0.11338937044351495</v>
      </c>
      <c r="L51" s="420">
        <v>303.95999999999998</v>
      </c>
      <c r="M51" s="420"/>
      <c r="N51" s="420">
        <v>-5317.24</v>
      </c>
      <c r="O51" s="420">
        <f t="shared" si="6"/>
        <v>41778.449999999975</v>
      </c>
      <c r="P51" s="424">
        <f t="shared" si="7"/>
        <v>-0.11326842296870022</v>
      </c>
      <c r="Q51" s="419">
        <v>2764.1800000000003</v>
      </c>
      <c r="R51" s="419">
        <v>7.98</v>
      </c>
      <c r="S51" s="419">
        <v>-10989.38</v>
      </c>
      <c r="T51" s="419">
        <f t="shared" si="21"/>
        <v>87715.01</v>
      </c>
      <c r="U51" s="423">
        <f t="shared" si="22"/>
        <v>-0.11292664841104576</v>
      </c>
      <c r="V51" s="420">
        <v>744.22</v>
      </c>
      <c r="W51" s="420">
        <v>0.73</v>
      </c>
      <c r="X51" s="420">
        <v>-2797.23</v>
      </c>
      <c r="Y51" s="420">
        <f t="shared" si="17"/>
        <v>22347.590000000007</v>
      </c>
      <c r="Z51" s="424">
        <f t="shared" si="18"/>
        <v>-0.11291911264259051</v>
      </c>
    </row>
    <row r="52" spans="1:26" ht="11.25" customHeight="1" x14ac:dyDescent="0.3">
      <c r="A52" s="421">
        <f t="shared" si="0"/>
        <v>6</v>
      </c>
      <c r="B52" s="422">
        <v>43466</v>
      </c>
      <c r="C52" s="422">
        <v>43555</v>
      </c>
      <c r="D52" s="410">
        <f t="shared" si="1"/>
        <v>6254.04</v>
      </c>
      <c r="E52" s="352">
        <f t="shared" ref="E52:F52" si="56">I52+N52+S52+X52</f>
        <v>30179.269999999997</v>
      </c>
      <c r="F52" s="352">
        <f t="shared" si="56"/>
        <v>299280.21999999997</v>
      </c>
      <c r="G52" s="296">
        <f t="shared" si="4"/>
        <v>0.11346702287701652</v>
      </c>
      <c r="H52" s="419">
        <v>2642.78</v>
      </c>
      <c r="I52" s="419">
        <v>11936.14</v>
      </c>
      <c r="J52" s="419">
        <f t="shared" si="9"/>
        <v>125584.78000000003</v>
      </c>
      <c r="K52" s="423">
        <f t="shared" si="5"/>
        <v>0.10626219372414082</v>
      </c>
      <c r="L52" s="420">
        <v>434.51</v>
      </c>
      <c r="M52" s="420"/>
      <c r="N52" s="420">
        <v>4462.8500000000004</v>
      </c>
      <c r="O52" s="420">
        <f t="shared" si="6"/>
        <v>46675.809999999976</v>
      </c>
      <c r="P52" s="424">
        <f t="shared" si="7"/>
        <v>0.10626920062420676</v>
      </c>
      <c r="Q52" s="419">
        <v>2359.86</v>
      </c>
      <c r="R52" s="419">
        <v>0</v>
      </c>
      <c r="S52" s="419">
        <v>10975.25</v>
      </c>
      <c r="T52" s="419">
        <f t="shared" si="21"/>
        <v>101050.12</v>
      </c>
      <c r="U52" s="423">
        <f t="shared" si="22"/>
        <v>0.12346315774553648</v>
      </c>
      <c r="V52" s="420">
        <v>816.89</v>
      </c>
      <c r="W52" s="420">
        <v>0</v>
      </c>
      <c r="X52" s="420">
        <v>2805.03</v>
      </c>
      <c r="Y52" s="420">
        <f t="shared" si="17"/>
        <v>25969.510000000006</v>
      </c>
      <c r="Z52" s="424">
        <f t="shared" si="18"/>
        <v>0.12326532280337939</v>
      </c>
    </row>
    <row r="53" spans="1:26" ht="11.25" customHeight="1" x14ac:dyDescent="0.3">
      <c r="A53" s="421">
        <f t="shared" si="0"/>
        <v>39</v>
      </c>
      <c r="B53" s="422">
        <v>43556</v>
      </c>
      <c r="C53" s="422">
        <v>43646</v>
      </c>
      <c r="D53" s="410">
        <f t="shared" si="1"/>
        <v>6406.14</v>
      </c>
      <c r="E53" s="352">
        <f t="shared" ref="E53:F53" si="57">I53+N53+S53+X53</f>
        <v>10419.14</v>
      </c>
      <c r="F53" s="352">
        <f t="shared" si="57"/>
        <v>316095.5</v>
      </c>
      <c r="G53" s="296">
        <f t="shared" si="4"/>
        <v>3.4445340765765935E-2</v>
      </c>
      <c r="H53" s="419">
        <v>2720.5</v>
      </c>
      <c r="I53" s="419">
        <v>4541.88</v>
      </c>
      <c r="J53" s="419">
        <f t="shared" si="9"/>
        <v>132847.16000000003</v>
      </c>
      <c r="K53" s="423">
        <f t="shared" si="5"/>
        <v>3.5778320742450485E-2</v>
      </c>
      <c r="L53" s="420">
        <v>276.60000000000002</v>
      </c>
      <c r="M53" s="420"/>
      <c r="N53" s="420">
        <v>1676.71</v>
      </c>
      <c r="O53" s="420">
        <f t="shared" si="6"/>
        <v>48629.119999999974</v>
      </c>
      <c r="P53" s="424">
        <f t="shared" si="7"/>
        <v>3.5816338279206862E-2</v>
      </c>
      <c r="Q53" s="419">
        <v>2532.42</v>
      </c>
      <c r="R53" s="419">
        <v>-5</v>
      </c>
      <c r="S53" s="419">
        <v>3336.74</v>
      </c>
      <c r="T53" s="419">
        <f t="shared" si="21"/>
        <v>106914.28</v>
      </c>
      <c r="U53" s="423">
        <f t="shared" si="22"/>
        <v>3.2611998495254861E-2</v>
      </c>
      <c r="V53" s="420">
        <v>876.62</v>
      </c>
      <c r="W53" s="420">
        <v>-5</v>
      </c>
      <c r="X53" s="420">
        <v>863.81</v>
      </c>
      <c r="Y53" s="420">
        <f t="shared" si="17"/>
        <v>27704.940000000006</v>
      </c>
      <c r="Z53" s="424">
        <f t="shared" si="18"/>
        <v>3.2710386544591706E-2</v>
      </c>
    </row>
    <row r="54" spans="1:26" ht="11.25" customHeight="1" x14ac:dyDescent="0.3">
      <c r="A54" s="421">
        <f t="shared" si="0"/>
        <v>56</v>
      </c>
      <c r="B54" s="422">
        <v>43647</v>
      </c>
      <c r="C54" s="422">
        <v>43738</v>
      </c>
      <c r="D54" s="410">
        <f t="shared" si="1"/>
        <v>7673.9400000000005</v>
      </c>
      <c r="E54" s="352">
        <f t="shared" ref="E54:F54" si="58">I54+N54+S54+X54</f>
        <v>1434.08</v>
      </c>
      <c r="F54" s="352">
        <f t="shared" si="58"/>
        <v>325193.52</v>
      </c>
      <c r="G54" s="296">
        <f t="shared" si="4"/>
        <v>4.4824459361689677E-3</v>
      </c>
      <c r="H54" s="419">
        <v>2338.65</v>
      </c>
      <c r="I54" s="419">
        <v>572.88</v>
      </c>
      <c r="J54" s="419">
        <f t="shared" si="9"/>
        <v>135758.69000000003</v>
      </c>
      <c r="K54" s="423">
        <f t="shared" si="5"/>
        <v>4.2746979970411832E-3</v>
      </c>
      <c r="L54" s="420">
        <v>774.48</v>
      </c>
      <c r="M54" s="420"/>
      <c r="N54" s="420">
        <v>197.29</v>
      </c>
      <c r="O54" s="420">
        <f t="shared" si="6"/>
        <v>49600.889999999978</v>
      </c>
      <c r="P54" s="424">
        <f t="shared" si="7"/>
        <v>4.024982679252399E-3</v>
      </c>
      <c r="Q54" s="419">
        <v>3388.01</v>
      </c>
      <c r="R54" s="419">
        <v>-5</v>
      </c>
      <c r="S54" s="419">
        <v>525.37</v>
      </c>
      <c r="T54" s="419">
        <f t="shared" si="21"/>
        <v>110822.65999999999</v>
      </c>
      <c r="U54" s="423">
        <f t="shared" si="22"/>
        <v>4.8372921089767694E-3</v>
      </c>
      <c r="V54" s="420">
        <v>1172.8</v>
      </c>
      <c r="W54" s="420">
        <v>-5</v>
      </c>
      <c r="X54" s="420">
        <v>138.54</v>
      </c>
      <c r="Y54" s="420">
        <f t="shared" si="17"/>
        <v>29011.280000000006</v>
      </c>
      <c r="Z54" s="424">
        <f t="shared" si="18"/>
        <v>4.8969048479145898E-3</v>
      </c>
    </row>
    <row r="55" spans="1:26" ht="11.25" customHeight="1" x14ac:dyDescent="0.3">
      <c r="A55" s="421">
        <f t="shared" si="0"/>
        <v>14</v>
      </c>
      <c r="B55" s="427">
        <v>43739</v>
      </c>
      <c r="C55" s="427">
        <v>43830</v>
      </c>
      <c r="D55" s="428">
        <f t="shared" si="1"/>
        <v>7170.0499999999993</v>
      </c>
      <c r="E55" s="429">
        <f t="shared" ref="E55:F55" si="59">I55+N55+S55+X55</f>
        <v>25173.34</v>
      </c>
      <c r="F55" s="429">
        <f t="shared" si="59"/>
        <v>357563.51</v>
      </c>
      <c r="G55" s="296">
        <f t="shared" si="4"/>
        <v>7.6566249175413797E-2</v>
      </c>
      <c r="H55" s="430">
        <v>2373.7199999999998</v>
      </c>
      <c r="I55" s="430">
        <v>9824.64</v>
      </c>
      <c r="J55" s="430">
        <f t="shared" si="9"/>
        <v>147957.05000000005</v>
      </c>
      <c r="K55" s="431">
        <f t="shared" si="5"/>
        <v>7.1741213935027442E-2</v>
      </c>
      <c r="L55" s="432">
        <v>342.79</v>
      </c>
      <c r="M55" s="432"/>
      <c r="N55" s="432">
        <v>3566.35</v>
      </c>
      <c r="O55" s="432">
        <f t="shared" si="6"/>
        <v>53510.029999999977</v>
      </c>
      <c r="P55" s="433">
        <f t="shared" si="7"/>
        <v>7.1653330764299888E-2</v>
      </c>
      <c r="Q55" s="430">
        <v>3308.31</v>
      </c>
      <c r="R55" s="430">
        <v>28.77</v>
      </c>
      <c r="S55" s="430">
        <v>9328.2900000000009</v>
      </c>
      <c r="T55" s="430">
        <f t="shared" si="21"/>
        <v>123488.02999999998</v>
      </c>
      <c r="U55" s="431">
        <f t="shared" si="22"/>
        <v>8.2935225361777914E-2</v>
      </c>
      <c r="V55" s="432">
        <v>1145.23</v>
      </c>
      <c r="W55" s="432">
        <v>-2.17</v>
      </c>
      <c r="X55" s="432">
        <v>2454.06</v>
      </c>
      <c r="Y55" s="432">
        <f t="shared" si="17"/>
        <v>32608.400000000009</v>
      </c>
      <c r="Z55" s="424">
        <f t="shared" si="18"/>
        <v>8.2952565914664017E-2</v>
      </c>
    </row>
    <row r="56" spans="1:26" ht="11.25" customHeight="1" x14ac:dyDescent="0.3">
      <c r="A56" s="421">
        <f t="shared" si="0"/>
        <v>75</v>
      </c>
      <c r="B56" s="422">
        <v>43831</v>
      </c>
      <c r="C56" s="422">
        <v>43921</v>
      </c>
      <c r="D56" s="410">
        <f t="shared" si="1"/>
        <v>7742.6099999999988</v>
      </c>
      <c r="E56" s="352">
        <f t="shared" ref="E56:F56" si="60">I56+N56+S56+X56</f>
        <v>-70829.37</v>
      </c>
      <c r="F56" s="352">
        <f t="shared" si="60"/>
        <v>294466.75</v>
      </c>
      <c r="G56" s="296">
        <f t="shared" si="4"/>
        <v>-0.19596720365745618</v>
      </c>
      <c r="H56" s="419">
        <v>2012.79</v>
      </c>
      <c r="I56" s="419">
        <v>-27147.94</v>
      </c>
      <c r="J56" s="419">
        <f t="shared" si="9"/>
        <v>122821.90000000005</v>
      </c>
      <c r="K56" s="423">
        <f t="shared" si="5"/>
        <v>-0.18224565093805392</v>
      </c>
      <c r="L56" s="420">
        <v>1354.74</v>
      </c>
      <c r="M56" s="420"/>
      <c r="N56" s="420">
        <v>-9790.6200000000008</v>
      </c>
      <c r="O56" s="420">
        <f t="shared" si="6"/>
        <v>45074.149999999972</v>
      </c>
      <c r="P56" s="424">
        <f t="shared" si="7"/>
        <v>-0.18068074866112796</v>
      </c>
      <c r="Q56" s="419">
        <v>3250.02</v>
      </c>
      <c r="R56" s="419">
        <v>-5</v>
      </c>
      <c r="S56" s="419">
        <v>-26778.080000000002</v>
      </c>
      <c r="T56" s="419">
        <f t="shared" si="21"/>
        <v>99954.969999999987</v>
      </c>
      <c r="U56" s="423">
        <f t="shared" si="22"/>
        <v>-0.21403108740703611</v>
      </c>
      <c r="V56" s="420">
        <v>1125.06</v>
      </c>
      <c r="W56" s="420">
        <v>-5</v>
      </c>
      <c r="X56" s="420">
        <v>-7112.73</v>
      </c>
      <c r="Y56" s="420">
        <f t="shared" si="17"/>
        <v>26615.730000000007</v>
      </c>
      <c r="Z56" s="424">
        <f t="shared" si="18"/>
        <v>-0.21442660787623374</v>
      </c>
    </row>
    <row r="57" spans="1:26" ht="11.25" customHeight="1" x14ac:dyDescent="0.3">
      <c r="A57" s="421">
        <f t="shared" si="0"/>
        <v>1</v>
      </c>
      <c r="B57" s="422">
        <v>43922</v>
      </c>
      <c r="C57" s="422">
        <v>44012</v>
      </c>
      <c r="D57" s="410">
        <f t="shared" si="1"/>
        <v>7612.45</v>
      </c>
      <c r="E57" s="352">
        <f t="shared" ref="E57:F57" si="61">I57+N57+S57+X57</f>
        <v>52103.11</v>
      </c>
      <c r="F57" s="352">
        <f t="shared" si="61"/>
        <v>354172.31000000006</v>
      </c>
      <c r="G57" s="296">
        <f t="shared" si="4"/>
        <v>0.17468263760737962</v>
      </c>
      <c r="H57" s="419">
        <v>763.49</v>
      </c>
      <c r="I57" s="419">
        <v>20618.64</v>
      </c>
      <c r="J57" s="419">
        <f t="shared" si="9"/>
        <v>144204.03000000006</v>
      </c>
      <c r="K57" s="423">
        <f t="shared" si="5"/>
        <v>0.16735413956299744</v>
      </c>
      <c r="L57" s="420">
        <v>2473.89</v>
      </c>
      <c r="M57" s="420"/>
      <c r="N57" s="420">
        <v>7704.29</v>
      </c>
      <c r="O57" s="420">
        <f t="shared" si="6"/>
        <v>55252.329999999973</v>
      </c>
      <c r="P57" s="424">
        <f t="shared" si="7"/>
        <v>0.1663594868573072</v>
      </c>
      <c r="Q57" s="419">
        <v>3250.02</v>
      </c>
      <c r="R57" s="419">
        <v>-5</v>
      </c>
      <c r="S57" s="419">
        <v>18764.759999999998</v>
      </c>
      <c r="T57" s="419">
        <f t="shared" si="21"/>
        <v>121964.74999999999</v>
      </c>
      <c r="U57" s="423">
        <f t="shared" si="22"/>
        <v>0.18472892000963184</v>
      </c>
      <c r="V57" s="420">
        <v>1125.05</v>
      </c>
      <c r="W57" s="420">
        <v>-5</v>
      </c>
      <c r="X57" s="420">
        <v>5015.42</v>
      </c>
      <c r="Y57" s="420">
        <f t="shared" si="17"/>
        <v>32751.200000000004</v>
      </c>
      <c r="Z57" s="424">
        <f t="shared" si="18"/>
        <v>0.18453796978503581</v>
      </c>
    </row>
    <row r="58" spans="1:26" ht="11.25" customHeight="1" x14ac:dyDescent="0.3">
      <c r="A58" s="421">
        <f t="shared" si="0"/>
        <v>20</v>
      </c>
      <c r="B58" s="422">
        <v>44013</v>
      </c>
      <c r="C58" s="422">
        <v>44104</v>
      </c>
      <c r="D58" s="410">
        <f t="shared" si="1"/>
        <v>7217.0099999999993</v>
      </c>
      <c r="E58" s="352">
        <f t="shared" ref="E58:F58" si="62">I58+N58+S58+X58</f>
        <v>24573.86</v>
      </c>
      <c r="F58" s="352">
        <f t="shared" si="62"/>
        <v>385953.18</v>
      </c>
      <c r="G58" s="296">
        <f t="shared" si="4"/>
        <v>6.8684118794910778E-2</v>
      </c>
      <c r="H58" s="419">
        <v>2341.29</v>
      </c>
      <c r="I58" s="419">
        <v>9153.7999999999993</v>
      </c>
      <c r="J58" s="419">
        <f t="shared" si="9"/>
        <v>155699.12000000005</v>
      </c>
      <c r="K58" s="423">
        <f t="shared" si="5"/>
        <v>6.2966950742968097E-2</v>
      </c>
      <c r="L58" s="420">
        <v>500.66</v>
      </c>
      <c r="M58" s="420"/>
      <c r="N58" s="420">
        <v>3518.08</v>
      </c>
      <c r="O58" s="420">
        <f t="shared" si="6"/>
        <v>59271.069999999978</v>
      </c>
      <c r="P58" s="424">
        <f t="shared" si="7"/>
        <v>6.3385790879211937E-2</v>
      </c>
      <c r="Q58" s="419">
        <v>3250.02</v>
      </c>
      <c r="R58" s="419">
        <v>-5</v>
      </c>
      <c r="S58" s="419">
        <v>9379.41</v>
      </c>
      <c r="T58" s="419">
        <f t="shared" si="21"/>
        <v>134589.18</v>
      </c>
      <c r="U58" s="423">
        <f t="shared" si="22"/>
        <v>7.5891481624367596E-2</v>
      </c>
      <c r="V58" s="420">
        <v>1125.04</v>
      </c>
      <c r="W58" s="420">
        <v>-5</v>
      </c>
      <c r="X58" s="420">
        <v>2522.5700000000002</v>
      </c>
      <c r="Y58" s="420">
        <f t="shared" si="17"/>
        <v>36393.810000000005</v>
      </c>
      <c r="Z58" s="424">
        <f t="shared" si="18"/>
        <v>7.5721654621579343E-2</v>
      </c>
    </row>
    <row r="59" spans="1:26" ht="11.25" customHeight="1" x14ac:dyDescent="0.3">
      <c r="A59" s="421">
        <f t="shared" si="0"/>
        <v>4</v>
      </c>
      <c r="B59" s="422">
        <v>44105</v>
      </c>
      <c r="C59" s="422">
        <v>44196</v>
      </c>
      <c r="D59" s="410">
        <f t="shared" si="1"/>
        <v>7890.2699999999995</v>
      </c>
      <c r="E59" s="352">
        <f t="shared" ref="E59:F59" si="63">I59+N59+S59+X59</f>
        <v>52550.63</v>
      </c>
      <c r="F59" s="352">
        <f t="shared" si="63"/>
        <v>446432.66000000003</v>
      </c>
      <c r="G59" s="296">
        <f t="shared" si="4"/>
        <v>0.13478034651162829</v>
      </c>
      <c r="H59" s="419">
        <v>3043.98</v>
      </c>
      <c r="I59" s="419">
        <v>20324.8</v>
      </c>
      <c r="J59" s="419">
        <f t="shared" si="9"/>
        <v>179067.90000000005</v>
      </c>
      <c r="K59" s="423">
        <f t="shared" si="5"/>
        <v>0.12927526080944216</v>
      </c>
      <c r="L59" s="420">
        <v>471.22</v>
      </c>
      <c r="M59" s="420"/>
      <c r="N59" s="420">
        <v>7727.21</v>
      </c>
      <c r="O59" s="420">
        <f t="shared" si="6"/>
        <v>67469.499999999985</v>
      </c>
      <c r="P59" s="424">
        <f t="shared" si="7"/>
        <v>0.12985449700773094</v>
      </c>
      <c r="Q59" s="419">
        <v>3250.02</v>
      </c>
      <c r="R59" s="419">
        <v>39.450000000000003</v>
      </c>
      <c r="S59" s="419">
        <v>19269.02</v>
      </c>
      <c r="T59" s="419">
        <f t="shared" si="21"/>
        <v>157147.66999999998</v>
      </c>
      <c r="U59" s="423">
        <f t="shared" si="22"/>
        <v>0.14146117963187241</v>
      </c>
      <c r="V59" s="420">
        <v>1125.05</v>
      </c>
      <c r="W59" s="420">
        <v>-0.87</v>
      </c>
      <c r="X59" s="420">
        <v>5229.6000000000004</v>
      </c>
      <c r="Y59" s="420">
        <f t="shared" si="17"/>
        <v>42747.590000000004</v>
      </c>
      <c r="Z59" s="424">
        <f t="shared" si="18"/>
        <v>0.14150753855868012</v>
      </c>
    </row>
    <row r="60" spans="1:26" ht="11.25" customHeight="1" x14ac:dyDescent="0.3">
      <c r="A60" s="421">
        <f t="shared" si="0"/>
        <v>29</v>
      </c>
      <c r="B60" s="422">
        <v>44197</v>
      </c>
      <c r="C60" s="422">
        <v>44286</v>
      </c>
      <c r="D60" s="410">
        <f t="shared" si="1"/>
        <v>7692.97</v>
      </c>
      <c r="E60" s="352">
        <f t="shared" ref="E60:F60" si="64">I60+N60+S60+X60</f>
        <v>23221.300000000003</v>
      </c>
      <c r="F60" s="352">
        <f t="shared" si="64"/>
        <v>477336.93000000005</v>
      </c>
      <c r="G60" s="296">
        <f t="shared" si="4"/>
        <v>5.1570898314644356E-2</v>
      </c>
      <c r="H60" s="419">
        <v>3135.9</v>
      </c>
      <c r="I60" s="419">
        <v>9365.5400000000009</v>
      </c>
      <c r="J60" s="419">
        <f t="shared" si="9"/>
        <v>191569.34000000005</v>
      </c>
      <c r="K60" s="423">
        <f t="shared" si="5"/>
        <v>5.1847626038795717E-2</v>
      </c>
      <c r="L60" s="420">
        <v>182</v>
      </c>
      <c r="M60" s="420"/>
      <c r="N60" s="420">
        <v>3519.58</v>
      </c>
      <c r="O60" s="420">
        <f t="shared" si="6"/>
        <v>71171.079999999987</v>
      </c>
      <c r="P60" s="424">
        <f t="shared" si="7"/>
        <v>5.2095233161388692E-2</v>
      </c>
      <c r="Q60" s="419">
        <v>3250.02</v>
      </c>
      <c r="R60" s="419">
        <v>-5</v>
      </c>
      <c r="S60" s="419">
        <v>8122.69</v>
      </c>
      <c r="T60" s="419">
        <f t="shared" si="21"/>
        <v>168515.37999999998</v>
      </c>
      <c r="U60" s="423">
        <f t="shared" si="22"/>
        <v>5.1159242257547081E-2</v>
      </c>
      <c r="V60" s="420">
        <v>1125.05</v>
      </c>
      <c r="W60" s="420">
        <v>-5</v>
      </c>
      <c r="X60" s="420">
        <v>2213.4899999999998</v>
      </c>
      <c r="Y60" s="420">
        <f t="shared" si="17"/>
        <v>46081.130000000005</v>
      </c>
      <c r="Z60" s="424">
        <f t="shared" si="18"/>
        <v>5.1107922479540852E-2</v>
      </c>
    </row>
    <row r="61" spans="1:26" ht="11.25" customHeight="1" x14ac:dyDescent="0.3">
      <c r="A61" s="421">
        <f t="shared" si="0"/>
        <v>19</v>
      </c>
      <c r="B61" s="422">
        <v>44287</v>
      </c>
      <c r="C61" s="422">
        <v>44377</v>
      </c>
      <c r="D61" s="410">
        <f t="shared" si="1"/>
        <v>9395.75</v>
      </c>
      <c r="E61" s="352">
        <f t="shared" ref="E61:F61" si="65">I61+N61+S61+X61</f>
        <v>33364.39</v>
      </c>
      <c r="F61" s="352">
        <f t="shared" si="65"/>
        <v>520087.07</v>
      </c>
      <c r="G61" s="296">
        <f t="shared" si="4"/>
        <v>6.9215728104944613E-2</v>
      </c>
      <c r="H61" s="419">
        <v>3722.18</v>
      </c>
      <c r="I61" s="419">
        <v>13315.57</v>
      </c>
      <c r="J61" s="419">
        <f t="shared" si="9"/>
        <v>208607.09000000005</v>
      </c>
      <c r="K61" s="423">
        <f t="shared" si="5"/>
        <v>6.8839065290812809E-2</v>
      </c>
      <c r="L61" s="420">
        <v>1152.69</v>
      </c>
      <c r="M61" s="420"/>
      <c r="N61" s="420">
        <v>4935.9399999999996</v>
      </c>
      <c r="O61" s="420">
        <f t="shared" si="6"/>
        <v>77259.709999999992</v>
      </c>
      <c r="P61" s="424">
        <f t="shared" si="7"/>
        <v>6.8796057837615776E-2</v>
      </c>
      <c r="Q61" s="419">
        <v>3358.36</v>
      </c>
      <c r="R61" s="419">
        <v>-5</v>
      </c>
      <c r="S61" s="419">
        <v>11862.74</v>
      </c>
      <c r="T61" s="419">
        <f t="shared" si="21"/>
        <v>183731.47999999995</v>
      </c>
      <c r="U61" s="423">
        <f t="shared" si="22"/>
        <v>6.9701052724599435E-2</v>
      </c>
      <c r="V61" s="420">
        <v>1162.52</v>
      </c>
      <c r="W61" s="420">
        <v>-5</v>
      </c>
      <c r="X61" s="420">
        <v>3250.14</v>
      </c>
      <c r="Y61" s="420">
        <f t="shared" si="17"/>
        <v>50488.79</v>
      </c>
      <c r="Z61" s="424">
        <f t="shared" si="18"/>
        <v>6.9652240273162164E-2</v>
      </c>
    </row>
    <row r="62" spans="1:26" ht="11.25" customHeight="1" x14ac:dyDescent="0.3">
      <c r="A62" s="421">
        <f t="shared" si="0"/>
        <v>60</v>
      </c>
      <c r="B62" s="422">
        <v>44378</v>
      </c>
      <c r="C62" s="422">
        <v>44469</v>
      </c>
      <c r="D62" s="410">
        <f t="shared" si="1"/>
        <v>8662.85</v>
      </c>
      <c r="E62" s="352">
        <f t="shared" ref="E62:F62" si="66">I62+N62+S62+X62</f>
        <v>-2806.3399999999997</v>
      </c>
      <c r="F62" s="352">
        <f t="shared" si="66"/>
        <v>525933.58000000007</v>
      </c>
      <c r="G62" s="296">
        <f t="shared" si="4"/>
        <v>-5.351336817363773E-3</v>
      </c>
      <c r="H62" s="419">
        <v>3263.16</v>
      </c>
      <c r="I62" s="419">
        <v>-830.29</v>
      </c>
      <c r="J62" s="419">
        <f t="shared" si="9"/>
        <v>211039.96000000005</v>
      </c>
      <c r="K62" s="423">
        <f t="shared" si="5"/>
        <v>-3.9492734614426537E-3</v>
      </c>
      <c r="L62" s="420">
        <v>667.35</v>
      </c>
      <c r="M62" s="420"/>
      <c r="N62" s="420">
        <v>-288.94</v>
      </c>
      <c r="O62" s="420">
        <f t="shared" si="6"/>
        <v>77638.12</v>
      </c>
      <c r="P62" s="424">
        <f t="shared" si="7"/>
        <v>-3.7237710405339324E-3</v>
      </c>
      <c r="Q62" s="419">
        <v>3515.44</v>
      </c>
      <c r="R62" s="419">
        <v>-5</v>
      </c>
      <c r="S62" s="419">
        <v>-1319.84</v>
      </c>
      <c r="T62" s="419">
        <f t="shared" si="21"/>
        <v>185922.07999999996</v>
      </c>
      <c r="U62" s="423">
        <f t="shared" si="22"/>
        <v>-7.1154547003275679E-3</v>
      </c>
      <c r="V62" s="420">
        <v>1216.9000000000001</v>
      </c>
      <c r="W62" s="420">
        <v>-5</v>
      </c>
      <c r="X62" s="420">
        <v>-367.27</v>
      </c>
      <c r="Y62" s="420">
        <f t="shared" si="17"/>
        <v>51333.420000000006</v>
      </c>
      <c r="Z62" s="424">
        <f t="shared" si="18"/>
        <v>-7.1876680619148902E-3</v>
      </c>
    </row>
    <row r="63" spans="1:26" ht="11.25" customHeight="1" x14ac:dyDescent="0.3">
      <c r="A63" s="421">
        <f t="shared" si="0"/>
        <v>23</v>
      </c>
      <c r="B63" s="422">
        <v>44470</v>
      </c>
      <c r="C63" s="422">
        <v>44561</v>
      </c>
      <c r="D63" s="410">
        <f t="shared" si="1"/>
        <v>9311.3900000000012</v>
      </c>
      <c r="E63" s="352">
        <f t="shared" ref="E63:F63" si="67">I63+N63+S63+X63</f>
        <v>34528.080000000002</v>
      </c>
      <c r="F63" s="352">
        <f t="shared" si="67"/>
        <v>569814.69000000006</v>
      </c>
      <c r="G63" s="296">
        <f t="shared" si="4"/>
        <v>6.507496782704475E-2</v>
      </c>
      <c r="H63" s="419">
        <v>3879.38</v>
      </c>
      <c r="I63" s="419">
        <v>13905.92</v>
      </c>
      <c r="J63" s="419">
        <f t="shared" si="9"/>
        <v>228825.26000000007</v>
      </c>
      <c r="K63" s="423">
        <f t="shared" si="5"/>
        <v>6.5292247404857673E-2</v>
      </c>
      <c r="L63" s="420">
        <v>371.59</v>
      </c>
      <c r="M63" s="420"/>
      <c r="N63" s="420">
        <v>5097.01</v>
      </c>
      <c r="O63" s="420">
        <f t="shared" si="6"/>
        <v>83106.719999999987</v>
      </c>
      <c r="P63" s="424">
        <f t="shared" si="7"/>
        <v>6.5494135061182679E-2</v>
      </c>
      <c r="Q63" s="419">
        <v>3759.15</v>
      </c>
      <c r="R63" s="419">
        <v>43.2</v>
      </c>
      <c r="S63" s="419">
        <v>12162.04</v>
      </c>
      <c r="T63" s="419">
        <f t="shared" si="21"/>
        <v>201886.46999999997</v>
      </c>
      <c r="U63" s="423">
        <f t="shared" si="22"/>
        <v>6.4760025677090022E-2</v>
      </c>
      <c r="V63" s="420">
        <v>1301.27</v>
      </c>
      <c r="W63" s="420">
        <v>-1.56</v>
      </c>
      <c r="X63" s="420">
        <v>3363.11</v>
      </c>
      <c r="Y63" s="420">
        <f t="shared" si="17"/>
        <v>55996.240000000005</v>
      </c>
      <c r="Z63" s="424">
        <f t="shared" si="18"/>
        <v>6.4695030043346938E-2</v>
      </c>
    </row>
    <row r="64" spans="1:26" ht="11.25" customHeight="1" x14ac:dyDescent="0.3">
      <c r="A64" s="421">
        <f t="shared" si="0"/>
        <v>69</v>
      </c>
      <c r="B64" s="422">
        <v>44562</v>
      </c>
      <c r="C64" s="422">
        <v>44651</v>
      </c>
      <c r="D64" s="410">
        <f t="shared" si="1"/>
        <v>8989.7800000000007</v>
      </c>
      <c r="E64" s="352">
        <f t="shared" ref="E64:F64" si="68">I64+N64+S64+X64</f>
        <v>-33020.32</v>
      </c>
      <c r="F64" s="352">
        <f t="shared" si="68"/>
        <v>545774.14999999991</v>
      </c>
      <c r="G64" s="296">
        <f t="shared" si="4"/>
        <v>-5.7495680291455339E-2</v>
      </c>
      <c r="H64" s="419">
        <v>3295.8</v>
      </c>
      <c r="I64" s="419">
        <v>-13162.7</v>
      </c>
      <c r="J64" s="419">
        <f t="shared" si="9"/>
        <v>218958.36000000004</v>
      </c>
      <c r="K64" s="423">
        <f t="shared" si="5"/>
        <v>-5.7111639377010311E-2</v>
      </c>
      <c r="L64" s="420">
        <v>508.81</v>
      </c>
      <c r="M64" s="420"/>
      <c r="N64" s="420">
        <v>-4788.0200000000004</v>
      </c>
      <c r="O64" s="420">
        <f t="shared" si="6"/>
        <v>78827.50999999998</v>
      </c>
      <c r="P64" s="424">
        <f t="shared" si="7"/>
        <v>-5.7437084732241815E-2</v>
      </c>
      <c r="Q64" s="419">
        <v>3851.81</v>
      </c>
      <c r="R64" s="419">
        <v>-5</v>
      </c>
      <c r="S64" s="419">
        <v>-11799.38</v>
      </c>
      <c r="T64" s="419">
        <f t="shared" si="21"/>
        <v>193933.89999999997</v>
      </c>
      <c r="U64" s="423">
        <f t="shared" si="22"/>
        <v>-5.7893344307478882E-2</v>
      </c>
      <c r="V64" s="420">
        <v>1333.36</v>
      </c>
      <c r="W64" s="420">
        <v>-5</v>
      </c>
      <c r="X64" s="420">
        <v>-3270.22</v>
      </c>
      <c r="Y64" s="420">
        <f t="shared" si="17"/>
        <v>54054.380000000005</v>
      </c>
      <c r="Z64" s="424">
        <f t="shared" si="18"/>
        <v>-5.7713580592034429E-2</v>
      </c>
    </row>
    <row r="65" spans="1:26" ht="11.25" customHeight="1" x14ac:dyDescent="0.3">
      <c r="A65" s="421">
        <f t="shared" si="0"/>
        <v>73</v>
      </c>
      <c r="B65" s="427">
        <v>44652</v>
      </c>
      <c r="C65" s="427">
        <v>44742</v>
      </c>
      <c r="D65" s="428">
        <f t="shared" si="1"/>
        <v>9559.6299999999992</v>
      </c>
      <c r="E65" s="429">
        <f t="shared" ref="E65:F65" si="69">I65+N65+S65+X65</f>
        <v>-81085.710000000006</v>
      </c>
      <c r="F65" s="429">
        <f t="shared" si="69"/>
        <v>474238.07</v>
      </c>
      <c r="G65" s="434">
        <f t="shared" si="4"/>
        <v>-0.14728022165819846</v>
      </c>
      <c r="H65" s="430">
        <v>3845.1</v>
      </c>
      <c r="I65" s="430">
        <v>-32359.85</v>
      </c>
      <c r="J65" s="430">
        <f t="shared" si="9"/>
        <v>190443.61000000004</v>
      </c>
      <c r="K65" s="431">
        <f t="shared" si="5"/>
        <v>-0.14650360685312278</v>
      </c>
      <c r="L65" s="432">
        <v>572.42999999999995</v>
      </c>
      <c r="M65" s="432"/>
      <c r="N65" s="432">
        <v>-11601.04</v>
      </c>
      <c r="O65" s="432">
        <f t="shared" si="6"/>
        <v>67798.899999999965</v>
      </c>
      <c r="P65" s="433">
        <f t="shared" si="7"/>
        <v>-0.14663751453998664</v>
      </c>
      <c r="Q65" s="430">
        <v>3819.84</v>
      </c>
      <c r="R65" s="430">
        <v>-5</v>
      </c>
      <c r="S65" s="430">
        <v>-29017.27</v>
      </c>
      <c r="T65" s="430">
        <f t="shared" si="21"/>
        <v>168731.46999999997</v>
      </c>
      <c r="U65" s="431">
        <f t="shared" si="22"/>
        <v>-0.14816535951964174</v>
      </c>
      <c r="V65" s="432">
        <v>1322.26</v>
      </c>
      <c r="W65" s="432">
        <v>-5</v>
      </c>
      <c r="X65" s="432">
        <v>-8107.55</v>
      </c>
      <c r="Y65" s="432">
        <f t="shared" si="17"/>
        <v>47264.090000000004</v>
      </c>
      <c r="Z65" s="433">
        <f t="shared" si="18"/>
        <v>-0.14817644941991767</v>
      </c>
    </row>
    <row r="66" spans="1:26" ht="11.25" customHeight="1" x14ac:dyDescent="0.3">
      <c r="A66" s="421">
        <f t="shared" si="0"/>
        <v>68</v>
      </c>
      <c r="B66" s="422">
        <v>44743</v>
      </c>
      <c r="C66" s="422">
        <v>44834</v>
      </c>
      <c r="D66" s="410">
        <f t="shared" si="1"/>
        <v>9265.27</v>
      </c>
      <c r="E66" s="352">
        <f t="shared" ref="E66:F66" si="70">I66+N66+S66+X66</f>
        <v>-25104.760000000002</v>
      </c>
      <c r="F66" s="352">
        <f t="shared" si="70"/>
        <v>458388.58</v>
      </c>
      <c r="G66" s="296">
        <f t="shared" si="4"/>
        <v>-5.2424923341259727E-2</v>
      </c>
      <c r="H66" s="419">
        <v>3380.7</v>
      </c>
      <c r="I66" s="419">
        <v>-9909.2900000000009</v>
      </c>
      <c r="J66" s="419">
        <f t="shared" si="9"/>
        <v>183915.02000000005</v>
      </c>
      <c r="K66" s="423">
        <f t="shared" si="5"/>
        <v>-5.1574901178323695E-2</v>
      </c>
      <c r="L66" s="420">
        <v>477.07</v>
      </c>
      <c r="M66" s="420"/>
      <c r="N66" s="420">
        <v>-3445.67</v>
      </c>
      <c r="O66" s="420">
        <f t="shared" si="6"/>
        <v>64830.299999999974</v>
      </c>
      <c r="P66" s="424">
        <f t="shared" si="7"/>
        <v>-5.0643737524790608E-2</v>
      </c>
      <c r="Q66" s="419">
        <v>4017</v>
      </c>
      <c r="R66" s="419">
        <v>-5</v>
      </c>
      <c r="S66" s="419">
        <v>-9161.0300000000007</v>
      </c>
      <c r="T66" s="419">
        <f t="shared" si="21"/>
        <v>163582.43999999997</v>
      </c>
      <c r="U66" s="423">
        <f t="shared" si="22"/>
        <v>-5.3654864763066329E-2</v>
      </c>
      <c r="V66" s="420">
        <v>1390.5</v>
      </c>
      <c r="W66" s="420">
        <v>-5</v>
      </c>
      <c r="X66" s="420">
        <v>-2588.77</v>
      </c>
      <c r="Y66" s="420">
        <f t="shared" si="17"/>
        <v>46060.820000000007</v>
      </c>
      <c r="Z66" s="424">
        <f t="shared" si="18"/>
        <v>-5.3978432563917683E-2</v>
      </c>
    </row>
    <row r="67" spans="1:26" ht="11.25" customHeight="1" x14ac:dyDescent="0.3">
      <c r="A67" s="421">
        <f t="shared" si="0"/>
        <v>16</v>
      </c>
      <c r="B67" s="422">
        <v>44835</v>
      </c>
      <c r="C67" s="422">
        <v>44926</v>
      </c>
      <c r="D67" s="410">
        <f t="shared" si="1"/>
        <v>9930.630000000001</v>
      </c>
      <c r="E67" s="352">
        <f t="shared" ref="E67:F67" si="71">I67+N67+S67+X67</f>
        <v>33263.85</v>
      </c>
      <c r="F67" s="352">
        <f t="shared" si="71"/>
        <v>501614.6</v>
      </c>
      <c r="G67" s="296">
        <f t="shared" si="4"/>
        <v>7.1789296170694752E-2</v>
      </c>
      <c r="H67" s="419">
        <v>4014.32</v>
      </c>
      <c r="I67" s="419">
        <v>13678.97</v>
      </c>
      <c r="J67" s="419">
        <f t="shared" si="9"/>
        <v>201608.31000000006</v>
      </c>
      <c r="K67" s="423">
        <f t="shared" si="5"/>
        <v>7.3573631720540253E-2</v>
      </c>
      <c r="L67" s="420">
        <v>508.81</v>
      </c>
      <c r="M67" s="420"/>
      <c r="N67" s="420">
        <v>4811.8999999999996</v>
      </c>
      <c r="O67" s="420">
        <f t="shared" si="6"/>
        <v>70151.009999999966</v>
      </c>
      <c r="P67" s="424">
        <f t="shared" si="7"/>
        <v>7.3932884845986493E-2</v>
      </c>
      <c r="Q67" s="419">
        <v>4017</v>
      </c>
      <c r="R67" s="419">
        <v>34.32</v>
      </c>
      <c r="S67" s="419">
        <v>11526.26</v>
      </c>
      <c r="T67" s="419">
        <f t="shared" si="21"/>
        <v>179160.02</v>
      </c>
      <c r="U67" s="423">
        <f t="shared" si="22"/>
        <v>6.9606827523293252E-2</v>
      </c>
      <c r="V67" s="420">
        <v>1390.5</v>
      </c>
      <c r="W67" s="420">
        <v>-2.78</v>
      </c>
      <c r="X67" s="420">
        <v>3246.72</v>
      </c>
      <c r="Y67" s="420">
        <f t="shared" si="17"/>
        <v>50695.260000000009</v>
      </c>
      <c r="Z67" s="424">
        <f t="shared" si="18"/>
        <v>6.9439540149546342E-2</v>
      </c>
    </row>
    <row r="68" spans="1:26" ht="11.25" customHeight="1" x14ac:dyDescent="0.3">
      <c r="A68" s="421">
        <f t="shared" si="0"/>
        <v>22</v>
      </c>
      <c r="B68" s="427">
        <v>44927</v>
      </c>
      <c r="C68" s="427">
        <v>45016</v>
      </c>
      <c r="D68" s="428">
        <f t="shared" si="1"/>
        <v>12386.3</v>
      </c>
      <c r="E68" s="429">
        <f t="shared" ref="E68:F68" si="72">I68+N68+S68+X68</f>
        <v>33062.86</v>
      </c>
      <c r="F68" s="429">
        <f t="shared" si="72"/>
        <v>547053.76</v>
      </c>
      <c r="G68" s="434">
        <f t="shared" si="4"/>
        <v>6.5109010250434349E-2</v>
      </c>
      <c r="H68" s="430">
        <v>4901.84</v>
      </c>
      <c r="I68" s="430">
        <v>13482.75</v>
      </c>
      <c r="J68" s="430">
        <f t="shared" si="9"/>
        <v>219992.90000000005</v>
      </c>
      <c r="K68" s="431">
        <f t="shared" si="5"/>
        <v>6.6072728001570893E-2</v>
      </c>
      <c r="L68" s="432">
        <v>531.96</v>
      </c>
      <c r="M68" s="432"/>
      <c r="N68" s="432">
        <v>4673.3</v>
      </c>
      <c r="O68" s="432">
        <f t="shared" si="6"/>
        <v>75356.269999999975</v>
      </c>
      <c r="P68" s="433">
        <f t="shared" si="7"/>
        <v>6.6366085798327965E-2</v>
      </c>
      <c r="Q68" s="430">
        <v>5562</v>
      </c>
      <c r="R68" s="430">
        <v>-5</v>
      </c>
      <c r="S68" s="430">
        <v>11622.05</v>
      </c>
      <c r="T68" s="430">
        <f t="shared" si="21"/>
        <v>196339.06999999998</v>
      </c>
      <c r="U68" s="431">
        <f t="shared" si="22"/>
        <v>6.3878118304492304E-2</v>
      </c>
      <c r="V68" s="432">
        <v>1390.5</v>
      </c>
      <c r="W68" s="432">
        <v>-5</v>
      </c>
      <c r="X68" s="432">
        <v>3284.76</v>
      </c>
      <c r="Y68" s="432">
        <f t="shared" si="17"/>
        <v>55365.520000000011</v>
      </c>
      <c r="Z68" s="433">
        <f t="shared" si="18"/>
        <v>6.3917637711709802E-2</v>
      </c>
    </row>
    <row r="69" spans="1:26" ht="11.25" customHeight="1" x14ac:dyDescent="0.3">
      <c r="A69" s="421">
        <f t="shared" si="0"/>
        <v>25</v>
      </c>
      <c r="B69" s="422">
        <v>45017</v>
      </c>
      <c r="C69" s="422">
        <v>45107</v>
      </c>
      <c r="D69" s="410">
        <f t="shared" si="1"/>
        <v>14328.099999999999</v>
      </c>
      <c r="E69" s="352">
        <f t="shared" ref="E69:F69" si="73">I69+N69+S69+X69</f>
        <v>34397.699999999997</v>
      </c>
      <c r="F69" s="352">
        <f t="shared" si="73"/>
        <v>595769.56000000006</v>
      </c>
      <c r="G69" s="296">
        <f t="shared" si="4"/>
        <v>6.2065309665887483E-2</v>
      </c>
      <c r="H69" s="419">
        <v>6041</v>
      </c>
      <c r="I69" s="419">
        <v>13966.9</v>
      </c>
      <c r="J69" s="419">
        <f t="shared" si="9"/>
        <v>240000.80000000005</v>
      </c>
      <c r="K69" s="423">
        <f t="shared" si="5"/>
        <v>6.2628075263638852E-2</v>
      </c>
      <c r="L69" s="420">
        <v>721.98</v>
      </c>
      <c r="M69" s="420"/>
      <c r="N69" s="420">
        <v>4714.47</v>
      </c>
      <c r="O69" s="420">
        <f t="shared" si="6"/>
        <v>80792.719999999972</v>
      </c>
      <c r="P69" s="424">
        <f t="shared" si="7"/>
        <v>6.2264138982313963E-2</v>
      </c>
      <c r="Q69" s="419">
        <v>6052.07</v>
      </c>
      <c r="R69" s="419">
        <v>-5</v>
      </c>
      <c r="S69" s="419">
        <v>12265.99</v>
      </c>
      <c r="T69" s="419">
        <f t="shared" si="21"/>
        <v>214652.12999999998</v>
      </c>
      <c r="U69" s="423">
        <f t="shared" si="22"/>
        <v>6.1525260401011507E-2</v>
      </c>
      <c r="V69" s="420">
        <v>1513.05</v>
      </c>
      <c r="W69" s="420">
        <v>-5</v>
      </c>
      <c r="X69" s="420">
        <v>3450.34</v>
      </c>
      <c r="Y69" s="420">
        <f t="shared" si="17"/>
        <v>60323.910000000018</v>
      </c>
      <c r="Z69" s="424">
        <f t="shared" si="18"/>
        <v>6.1479227993206577E-2</v>
      </c>
    </row>
    <row r="70" spans="1:26" ht="11.25" customHeight="1" x14ac:dyDescent="0.3">
      <c r="A70" s="421">
        <f t="shared" si="0"/>
        <v>66</v>
      </c>
      <c r="B70" s="427">
        <v>45108</v>
      </c>
      <c r="C70" s="427">
        <v>45199</v>
      </c>
      <c r="D70" s="428">
        <f t="shared" si="1"/>
        <v>8695.1500000000015</v>
      </c>
      <c r="E70" s="429">
        <f t="shared" ref="E70:F70" si="74">I70+N70+S70+X70</f>
        <v>-20377.89</v>
      </c>
      <c r="F70" s="429">
        <f t="shared" si="74"/>
        <v>584076.81999999995</v>
      </c>
      <c r="G70" s="434">
        <f t="shared" si="4"/>
        <v>-3.3956520838219359E-2</v>
      </c>
      <c r="H70" s="430">
        <v>2705.4</v>
      </c>
      <c r="I70" s="430">
        <v>-8220.6</v>
      </c>
      <c r="J70" s="430">
        <f t="shared" si="9"/>
        <v>234485.60000000003</v>
      </c>
      <c r="K70" s="431">
        <f t="shared" si="5"/>
        <v>-3.4060413459924957E-2</v>
      </c>
      <c r="L70" s="432">
        <v>569.95000000000005</v>
      </c>
      <c r="M70" s="432"/>
      <c r="N70" s="432">
        <v>-2746.93</v>
      </c>
      <c r="O70" s="432">
        <f t="shared" si="6"/>
        <v>78615.739999999976</v>
      </c>
      <c r="P70" s="433">
        <f t="shared" si="7"/>
        <v>-3.388021822771356E-2</v>
      </c>
      <c r="Q70" s="430">
        <v>3879.36</v>
      </c>
      <c r="R70" s="430">
        <v>-5</v>
      </c>
      <c r="S70" s="430">
        <v>-7333.51</v>
      </c>
      <c r="T70" s="430">
        <f t="shared" si="21"/>
        <v>211192.97999999995</v>
      </c>
      <c r="U70" s="431">
        <f t="shared" si="22"/>
        <v>-3.3858667139814759E-2</v>
      </c>
      <c r="V70" s="432">
        <v>1540.44</v>
      </c>
      <c r="W70" s="432">
        <v>-5</v>
      </c>
      <c r="X70" s="432">
        <v>-2076.85</v>
      </c>
      <c r="Y70" s="432">
        <f t="shared" si="17"/>
        <v>59782.500000000022</v>
      </c>
      <c r="Z70" s="433">
        <f t="shared" si="18"/>
        <v>-3.3994264260739933E-2</v>
      </c>
    </row>
    <row r="71" spans="1:26" ht="11.25" customHeight="1" x14ac:dyDescent="0.3">
      <c r="A71" s="421">
        <f t="shared" si="0"/>
        <v>5</v>
      </c>
      <c r="B71" s="427">
        <v>45200</v>
      </c>
      <c r="C71" s="427">
        <v>45291</v>
      </c>
      <c r="D71" s="428">
        <f t="shared" si="1"/>
        <v>7745.54</v>
      </c>
      <c r="E71" s="429">
        <f t="shared" ref="E71:F71" si="75">I71+N71+S71+X71</f>
        <v>67381.100000000006</v>
      </c>
      <c r="F71" s="429">
        <f t="shared" si="75"/>
        <v>659246.27</v>
      </c>
      <c r="G71" s="434">
        <f t="shared" si="4"/>
        <v>0.11460353259196934</v>
      </c>
      <c r="H71" s="430">
        <v>2525.04</v>
      </c>
      <c r="I71" s="430">
        <v>26988.77</v>
      </c>
      <c r="J71" s="430">
        <f t="shared" si="9"/>
        <v>263999.41000000003</v>
      </c>
      <c r="K71" s="431">
        <f t="shared" si="5"/>
        <v>0.11448137953337655</v>
      </c>
      <c r="L71" s="432">
        <v>259.39999999999998</v>
      </c>
      <c r="M71" s="432"/>
      <c r="N71" s="432">
        <v>9008.08</v>
      </c>
      <c r="O71" s="432">
        <f t="shared" si="6"/>
        <v>87883.219999999972</v>
      </c>
      <c r="P71" s="433">
        <f t="shared" si="7"/>
        <v>0.11439494147216656</v>
      </c>
      <c r="Q71" s="430">
        <v>3421.44</v>
      </c>
      <c r="R71" s="430">
        <v>43.83</v>
      </c>
      <c r="S71" s="430">
        <v>24426.68</v>
      </c>
      <c r="T71" s="430">
        <f t="shared" si="21"/>
        <v>239084.92999999993</v>
      </c>
      <c r="U71" s="431">
        <f t="shared" si="22"/>
        <v>0.11473112022008075</v>
      </c>
      <c r="V71" s="432">
        <v>1539.66</v>
      </c>
      <c r="W71" s="432">
        <v>-1.02</v>
      </c>
      <c r="X71" s="432">
        <v>6957.57</v>
      </c>
      <c r="Y71" s="432">
        <f t="shared" si="17"/>
        <v>68278.710000000021</v>
      </c>
      <c r="Z71" s="433">
        <f t="shared" si="18"/>
        <v>0.11490177174024513</v>
      </c>
    </row>
    <row r="72" spans="1:26" ht="11.25" customHeight="1" x14ac:dyDescent="0.3">
      <c r="A72" s="421">
        <f t="shared" si="0"/>
        <v>15</v>
      </c>
      <c r="B72" s="427">
        <v>45292</v>
      </c>
      <c r="C72" s="427">
        <v>45382</v>
      </c>
      <c r="D72" s="428">
        <f t="shared" si="1"/>
        <v>7595.43</v>
      </c>
      <c r="E72" s="429">
        <f t="shared" ref="E72:F72" si="76">I72+N72+S72+X72</f>
        <v>49773.11</v>
      </c>
      <c r="F72" s="429">
        <f t="shared" si="76"/>
        <v>716604.80999999994</v>
      </c>
      <c r="G72" s="434">
        <f t="shared" si="4"/>
        <v>7.5067583940151422E-2</v>
      </c>
      <c r="H72" s="430">
        <v>2164.3200000000002</v>
      </c>
      <c r="I72" s="430">
        <v>20180.509999999998</v>
      </c>
      <c r="J72" s="430">
        <f t="shared" si="9"/>
        <v>286344.24000000005</v>
      </c>
      <c r="K72" s="431">
        <f t="shared" si="5"/>
        <v>7.6129434422770315E-2</v>
      </c>
      <c r="L72" s="432">
        <v>327.45999999999998</v>
      </c>
      <c r="M72" s="432"/>
      <c r="N72" s="432">
        <v>6689.22</v>
      </c>
      <c r="O72" s="432">
        <f t="shared" si="6"/>
        <v>94899.89999999998</v>
      </c>
      <c r="P72" s="433">
        <f t="shared" si="7"/>
        <v>7.597333013806841E-2</v>
      </c>
      <c r="Q72" s="430">
        <v>3421.44</v>
      </c>
      <c r="R72" s="430">
        <v>-5</v>
      </c>
      <c r="S72" s="430">
        <v>17786.68</v>
      </c>
      <c r="T72" s="430">
        <f t="shared" si="21"/>
        <v>260288.04999999993</v>
      </c>
      <c r="U72" s="431">
        <f t="shared" si="22"/>
        <v>7.3866284544592084E-2</v>
      </c>
      <c r="V72" s="432">
        <v>1682.21</v>
      </c>
      <c r="W72" s="432">
        <v>-5</v>
      </c>
      <c r="X72" s="432">
        <v>5116.7</v>
      </c>
      <c r="Y72" s="432">
        <f t="shared" si="17"/>
        <v>75072.620000000024</v>
      </c>
      <c r="Z72" s="433">
        <f t="shared" si="18"/>
        <v>7.402652915086648E-2</v>
      </c>
    </row>
    <row r="73" spans="1:26" ht="11.25" customHeight="1" x14ac:dyDescent="0.3">
      <c r="A73" s="421">
        <f t="shared" si="0"/>
        <v>46</v>
      </c>
      <c r="B73" s="422">
        <v>45383</v>
      </c>
      <c r="C73" s="422">
        <v>45473</v>
      </c>
      <c r="D73" s="410">
        <f t="shared" si="1"/>
        <v>8308.86</v>
      </c>
      <c r="E73" s="352">
        <f t="shared" ref="E73:F73" si="77">I73+N73+S73+X73</f>
        <v>12647.249999999998</v>
      </c>
      <c r="F73" s="352">
        <f t="shared" si="77"/>
        <v>737550.92</v>
      </c>
      <c r="G73" s="296">
        <f t="shared" si="4"/>
        <v>1.7547121560314644E-2</v>
      </c>
      <c r="H73" s="419">
        <v>2525.04</v>
      </c>
      <c r="I73" s="419">
        <v>4888.4399999999996</v>
      </c>
      <c r="J73" s="419">
        <f t="shared" si="9"/>
        <v>293757.72000000003</v>
      </c>
      <c r="K73" s="423">
        <f t="shared" si="5"/>
        <v>1.6996957929639758E-2</v>
      </c>
      <c r="L73" s="420">
        <v>600.34</v>
      </c>
      <c r="M73" s="420"/>
      <c r="N73" s="420">
        <v>1614.03</v>
      </c>
      <c r="O73" s="420">
        <f t="shared" si="6"/>
        <v>97114.269999999975</v>
      </c>
      <c r="P73" s="424">
        <f t="shared" si="7"/>
        <v>1.6954084172417103E-2</v>
      </c>
      <c r="Q73" s="419">
        <v>3455.64</v>
      </c>
      <c r="R73" s="419">
        <v>-5</v>
      </c>
      <c r="S73" s="419">
        <v>4756.29</v>
      </c>
      <c r="T73" s="419">
        <f t="shared" si="21"/>
        <v>268494.97999999992</v>
      </c>
      <c r="U73" s="423">
        <f t="shared" si="22"/>
        <v>1.8152679072454662E-2</v>
      </c>
      <c r="V73" s="420">
        <v>1727.84</v>
      </c>
      <c r="W73" s="420">
        <v>-5</v>
      </c>
      <c r="X73" s="420">
        <v>1388.49</v>
      </c>
      <c r="Y73" s="420">
        <f t="shared" si="17"/>
        <v>78183.950000000026</v>
      </c>
      <c r="Z73" s="424">
        <f t="shared" si="18"/>
        <v>1.8284873132223295E-2</v>
      </c>
    </row>
    <row r="74" spans="1:26" ht="11.25" customHeight="1" x14ac:dyDescent="0.3">
      <c r="A74" s="421">
        <f t="shared" si="0"/>
        <v>24</v>
      </c>
      <c r="B74" s="422">
        <v>45474</v>
      </c>
      <c r="C74" s="422">
        <v>45565</v>
      </c>
      <c r="D74" s="410">
        <f t="shared" si="1"/>
        <v>8470.7900000000009</v>
      </c>
      <c r="E74" s="352">
        <f t="shared" ref="E74:F74" si="78">I74+N74+S74+X74</f>
        <v>47123.93</v>
      </c>
      <c r="F74" s="352">
        <f t="shared" si="78"/>
        <v>793135.6399999999</v>
      </c>
      <c r="G74" s="296">
        <f t="shared" si="4"/>
        <v>6.3527634639633374E-2</v>
      </c>
      <c r="H74" s="419">
        <v>2651.04</v>
      </c>
      <c r="I74" s="419">
        <v>18444.8</v>
      </c>
      <c r="J74" s="419">
        <f t="shared" si="9"/>
        <v>314853.56</v>
      </c>
      <c r="K74" s="423">
        <f t="shared" si="5"/>
        <v>6.2507108163784547E-2</v>
      </c>
      <c r="L74" s="420">
        <v>518.47</v>
      </c>
      <c r="M74" s="420"/>
      <c r="N74" s="420">
        <v>6088.4</v>
      </c>
      <c r="O74" s="420">
        <f t="shared" si="6"/>
        <v>103721.13999999997</v>
      </c>
      <c r="P74" s="424">
        <f t="shared" si="7"/>
        <v>6.252624879837694E-2</v>
      </c>
      <c r="Q74" s="419">
        <v>3534.15</v>
      </c>
      <c r="R74" s="419">
        <v>-5</v>
      </c>
      <c r="S74" s="419">
        <v>17468.02</v>
      </c>
      <c r="T74" s="419">
        <f t="shared" si="21"/>
        <v>289492.14999999997</v>
      </c>
      <c r="U74" s="423">
        <f t="shared" si="22"/>
        <v>6.4633638636396831E-2</v>
      </c>
      <c r="V74" s="420">
        <v>1767.13</v>
      </c>
      <c r="W74" s="420">
        <v>-5</v>
      </c>
      <c r="X74" s="420">
        <v>5122.71</v>
      </c>
      <c r="Y74" s="420">
        <f t="shared" si="17"/>
        <v>85068.790000000037</v>
      </c>
      <c r="Z74" s="424">
        <f t="shared" si="18"/>
        <v>6.478906033659966E-2</v>
      </c>
    </row>
    <row r="75" spans="1:26" ht="11.25" customHeight="1" x14ac:dyDescent="0.3">
      <c r="A75" s="421">
        <f t="shared" si="0"/>
        <v>51</v>
      </c>
      <c r="B75" s="427">
        <v>45566</v>
      </c>
      <c r="C75" s="427">
        <v>45657</v>
      </c>
      <c r="D75" s="410">
        <f t="shared" si="1"/>
        <v>7875.74</v>
      </c>
      <c r="E75" s="352">
        <f t="shared" ref="E75:F75" si="79">I75+N75+S75+X75</f>
        <v>6634.9400000000005</v>
      </c>
      <c r="F75" s="352">
        <f t="shared" si="79"/>
        <v>807705.33</v>
      </c>
      <c r="G75" s="296">
        <f t="shared" si="4"/>
        <v>8.3241255878645382E-3</v>
      </c>
      <c r="H75" s="419">
        <v>2316.7199999999998</v>
      </c>
      <c r="I75" s="419">
        <v>2656.75</v>
      </c>
      <c r="J75" s="419">
        <f t="shared" si="9"/>
        <v>319827.02999999997</v>
      </c>
      <c r="K75" s="423">
        <f t="shared" si="5"/>
        <v>8.4071195795399119E-3</v>
      </c>
      <c r="L75" s="420">
        <v>272.89999999999998</v>
      </c>
      <c r="M75" s="420"/>
      <c r="N75" s="420">
        <v>881.97</v>
      </c>
      <c r="O75" s="420">
        <f t="shared" si="6"/>
        <v>104876.00999999997</v>
      </c>
      <c r="P75" s="424">
        <f t="shared" si="7"/>
        <v>8.4921092430509919E-3</v>
      </c>
      <c r="Q75" s="419">
        <v>3524.04</v>
      </c>
      <c r="R75" s="419">
        <v>56.15</v>
      </c>
      <c r="S75" s="419">
        <v>2399.9</v>
      </c>
      <c r="T75" s="419">
        <f t="shared" si="21"/>
        <v>295472.24</v>
      </c>
      <c r="U75" s="423">
        <f t="shared" si="22"/>
        <v>8.2398820246934162E-3</v>
      </c>
      <c r="V75" s="420">
        <v>1762.08</v>
      </c>
      <c r="W75" s="420">
        <v>2.86</v>
      </c>
      <c r="X75" s="420">
        <v>696.32</v>
      </c>
      <c r="Y75" s="420">
        <f t="shared" si="17"/>
        <v>87530.050000000047</v>
      </c>
      <c r="Z75" s="424">
        <f t="shared" si="18"/>
        <v>8.1014703577656846E-3</v>
      </c>
    </row>
    <row r="76" spans="1:26" ht="11.25" customHeight="1" x14ac:dyDescent="0.3">
      <c r="A76" s="421">
        <f t="shared" si="0"/>
        <v>65</v>
      </c>
      <c r="B76" s="422">
        <v>45658</v>
      </c>
      <c r="C76" s="422">
        <v>45747</v>
      </c>
      <c r="D76" s="410">
        <f t="shared" si="1"/>
        <v>8468.5</v>
      </c>
      <c r="E76" s="352">
        <f t="shared" ref="E76:F76" si="80">I76+N76+S76+X76</f>
        <v>-23233.47</v>
      </c>
      <c r="F76" s="352">
        <f t="shared" si="80"/>
        <v>792984.94</v>
      </c>
      <c r="G76" s="296">
        <f t="shared" si="4"/>
        <v>-2.8614776976385363E-2</v>
      </c>
      <c r="H76" s="419">
        <v>2754.64</v>
      </c>
      <c r="I76" s="419">
        <v>-9406.6200000000008</v>
      </c>
      <c r="J76" s="419">
        <f t="shared" si="9"/>
        <v>313175.05</v>
      </c>
      <c r="K76" s="423">
        <f t="shared" si="5"/>
        <v>-2.9285468892311085E-2</v>
      </c>
      <c r="L76" s="420">
        <v>427.74</v>
      </c>
      <c r="M76" s="420">
        <v>54.58</v>
      </c>
      <c r="N76" s="420">
        <v>-3072.99</v>
      </c>
      <c r="O76" s="420">
        <f t="shared" ref="O76:O81" si="81">O75+M76+L76+N76</f>
        <v>102285.33999999997</v>
      </c>
      <c r="P76" s="424">
        <f t="shared" si="7"/>
        <v>-2.9241540669758124E-2</v>
      </c>
      <c r="Q76" s="419">
        <v>3524.04</v>
      </c>
      <c r="R76" s="419">
        <v>-5</v>
      </c>
      <c r="S76" s="419">
        <v>-8273.32</v>
      </c>
      <c r="T76" s="419">
        <f t="shared" si="21"/>
        <v>290717.95999999996</v>
      </c>
      <c r="U76" s="423">
        <f t="shared" si="22"/>
        <v>-2.7834341842020497E-2</v>
      </c>
      <c r="V76" s="420">
        <v>1762.08</v>
      </c>
      <c r="W76" s="420">
        <v>-5</v>
      </c>
      <c r="X76" s="420">
        <v>-2480.54</v>
      </c>
      <c r="Y76" s="420">
        <f t="shared" si="17"/>
        <v>86806.590000000055</v>
      </c>
      <c r="Z76" s="424">
        <f t="shared" si="18"/>
        <v>-2.8056887433465631E-2</v>
      </c>
    </row>
    <row r="77" spans="1:26" ht="11.25" customHeight="1" x14ac:dyDescent="0.3">
      <c r="A77" s="421">
        <f t="shared" si="0"/>
        <v>10</v>
      </c>
      <c r="B77" s="422">
        <v>45748</v>
      </c>
      <c r="C77" s="422">
        <v>45838</v>
      </c>
      <c r="D77" s="410">
        <f t="shared" si="1"/>
        <v>8336.2599999999984</v>
      </c>
      <c r="E77" s="352">
        <f t="shared" ref="E77:F77" si="82">I77+N77+S77+X77</f>
        <v>78804.489999999991</v>
      </c>
      <c r="F77" s="352">
        <f t="shared" si="82"/>
        <v>880115.68999999983</v>
      </c>
      <c r="G77" s="296">
        <f t="shared" si="4"/>
        <v>9.885741266730616E-2</v>
      </c>
      <c r="H77" s="419">
        <v>2361.12</v>
      </c>
      <c r="I77" s="419">
        <v>31230.560000000001</v>
      </c>
      <c r="J77" s="419">
        <f t="shared" si="9"/>
        <v>346766.73</v>
      </c>
      <c r="K77" s="423">
        <f t="shared" si="5"/>
        <v>9.9347869121852173E-2</v>
      </c>
      <c r="L77" s="420">
        <v>627.36</v>
      </c>
      <c r="M77" s="420"/>
      <c r="N77" s="420">
        <v>10189.65</v>
      </c>
      <c r="O77" s="420">
        <f t="shared" si="81"/>
        <v>113102.34999999996</v>
      </c>
      <c r="P77" s="424">
        <f t="shared" si="7"/>
        <v>9.9315276110824482E-2</v>
      </c>
      <c r="Q77" s="419">
        <v>3565.16</v>
      </c>
      <c r="R77" s="419">
        <v>-5</v>
      </c>
      <c r="S77" s="419">
        <v>28737.85</v>
      </c>
      <c r="T77" s="419">
        <f t="shared" si="21"/>
        <v>323015.96999999991</v>
      </c>
      <c r="U77" s="423">
        <f t="shared" si="22"/>
        <v>9.8248878446515003E-2</v>
      </c>
      <c r="V77" s="420">
        <v>1782.62</v>
      </c>
      <c r="W77" s="420">
        <v>-5</v>
      </c>
      <c r="X77" s="420">
        <v>8646.43</v>
      </c>
      <c r="Y77" s="420">
        <f t="shared" si="17"/>
        <v>97230.640000000043</v>
      </c>
      <c r="Z77" s="424">
        <f t="shared" si="18"/>
        <v>9.8593352862497222E-2</v>
      </c>
    </row>
    <row r="78" spans="1:26" ht="11.25" customHeight="1" x14ac:dyDescent="0.3">
      <c r="A78" s="421">
        <f t="shared" si="0"/>
        <v>18</v>
      </c>
      <c r="B78" s="422">
        <v>45839</v>
      </c>
      <c r="C78" s="422">
        <v>45930</v>
      </c>
      <c r="D78" s="410">
        <f t="shared" si="1"/>
        <v>8512.1500000000015</v>
      </c>
      <c r="E78" s="352">
        <f t="shared" ref="E78:F78" si="83">I78+N78+S78+X78</f>
        <v>62574.47</v>
      </c>
      <c r="F78" s="352">
        <f t="shared" si="83"/>
        <v>951192.30999999994</v>
      </c>
      <c r="G78" s="296">
        <f t="shared" si="4"/>
        <v>7.0755843273671251E-2</v>
      </c>
      <c r="H78" s="419">
        <v>2754.64</v>
      </c>
      <c r="I78" s="419">
        <v>24277.07</v>
      </c>
      <c r="J78" s="419">
        <f t="shared" si="9"/>
        <v>373798.44</v>
      </c>
      <c r="K78" s="423">
        <f t="shared" si="5"/>
        <v>6.9732830418902755E-2</v>
      </c>
      <c r="L78" s="420">
        <v>228.13</v>
      </c>
      <c r="M78" s="420"/>
      <c r="N78" s="420">
        <v>7890.03</v>
      </c>
      <c r="O78" s="420">
        <f t="shared" si="81"/>
        <v>121220.50999999997</v>
      </c>
      <c r="P78" s="424">
        <f t="shared" si="7"/>
        <v>6.9689806023269699E-2</v>
      </c>
      <c r="Q78" s="419">
        <v>3686.25</v>
      </c>
      <c r="R78" s="419">
        <v>-5</v>
      </c>
      <c r="S78" s="419">
        <v>23348.720000000001</v>
      </c>
      <c r="T78" s="419">
        <f t="shared" si="21"/>
        <v>350045.93999999994</v>
      </c>
      <c r="U78" s="423">
        <f t="shared" si="22"/>
        <v>7.1873376363373806E-2</v>
      </c>
      <c r="V78" s="420">
        <v>1843.13</v>
      </c>
      <c r="W78" s="420">
        <v>-5</v>
      </c>
      <c r="X78" s="420">
        <v>7058.65</v>
      </c>
      <c r="Y78" s="420">
        <f t="shared" si="17"/>
        <v>106127.42000000004</v>
      </c>
      <c r="Z78" s="424">
        <f t="shared" si="18"/>
        <v>7.191534820842789E-2</v>
      </c>
    </row>
    <row r="79" spans="1:26" ht="11.25" customHeight="1" x14ac:dyDescent="0.3">
      <c r="A79" s="421">
        <f t="shared" si="0"/>
        <v>42</v>
      </c>
      <c r="B79" s="422">
        <v>45931</v>
      </c>
      <c r="C79" s="422">
        <v>46022</v>
      </c>
      <c r="D79" s="410">
        <f t="shared" si="1"/>
        <v>7950.88</v>
      </c>
      <c r="E79" s="352">
        <f t="shared" ref="E79:F79" si="84">I79+N79+S79+X79</f>
        <v>22107.989999999998</v>
      </c>
      <c r="F79" s="352">
        <f t="shared" si="84"/>
        <v>981285.71</v>
      </c>
      <c r="G79" s="296">
        <f t="shared" si="4"/>
        <v>2.3145662110137199E-2</v>
      </c>
      <c r="H79" s="419">
        <v>2362.08</v>
      </c>
      <c r="I79" s="419">
        <v>8987.66</v>
      </c>
      <c r="J79" s="419">
        <f t="shared" si="9"/>
        <v>385148.18</v>
      </c>
      <c r="K79" s="423">
        <f t="shared" si="5"/>
        <v>2.396840488444861E-2</v>
      </c>
      <c r="L79" s="420">
        <v>117.7</v>
      </c>
      <c r="M79" s="420"/>
      <c r="N79" s="420">
        <v>2907.64</v>
      </c>
      <c r="O79" s="420">
        <f t="shared" si="81"/>
        <v>124245.84999999996</v>
      </c>
      <c r="P79" s="424">
        <f t="shared" si="7"/>
        <v>2.3974730737365373E-2</v>
      </c>
      <c r="Q79" s="419">
        <v>3647.4</v>
      </c>
      <c r="R79" s="419">
        <v>33.979999999999997</v>
      </c>
      <c r="S79" s="419">
        <v>7831.87</v>
      </c>
      <c r="T79" s="419">
        <f t="shared" si="21"/>
        <v>361559.18999999994</v>
      </c>
      <c r="U79" s="423">
        <f t="shared" si="22"/>
        <v>2.2257873682992375E-2</v>
      </c>
      <c r="V79" s="420">
        <v>1823.7</v>
      </c>
      <c r="W79" s="420">
        <v>0.55000000000000004</v>
      </c>
      <c r="X79" s="420">
        <v>2380.8200000000002</v>
      </c>
      <c r="Y79" s="420">
        <f t="shared" si="17"/>
        <v>110332.49000000005</v>
      </c>
      <c r="Z79" s="424">
        <f t="shared" si="18"/>
        <v>2.2242491003535422E-2</v>
      </c>
    </row>
    <row r="80" spans="1:26" ht="11.25" customHeight="1" x14ac:dyDescent="0.3">
      <c r="A80" s="421">
        <f t="shared" si="0"/>
        <v>64</v>
      </c>
      <c r="B80" s="422">
        <v>46023</v>
      </c>
      <c r="C80" s="422">
        <v>46112</v>
      </c>
      <c r="D80" s="410">
        <f t="shared" si="1"/>
        <v>9490.0500000000011</v>
      </c>
      <c r="E80" s="352">
        <f t="shared" ref="E80:F80" si="85">I80+N80+S80+X80</f>
        <v>-26205.96</v>
      </c>
      <c r="F80" s="352">
        <f t="shared" si="85"/>
        <v>964559.79999999993</v>
      </c>
      <c r="G80" s="296">
        <f t="shared" si="4"/>
        <v>-2.6577224289058291E-2</v>
      </c>
      <c r="H80" s="419">
        <v>2898.86</v>
      </c>
      <c r="I80" s="419">
        <v>-10534.77</v>
      </c>
      <c r="J80" s="419">
        <f t="shared" si="9"/>
        <v>377512.26999999996</v>
      </c>
      <c r="K80" s="423">
        <f t="shared" si="5"/>
        <v>-2.7249961529767348E-2</v>
      </c>
      <c r="L80" s="420">
        <v>488.67</v>
      </c>
      <c r="M80" s="420"/>
      <c r="N80" s="420">
        <v>-3387.97</v>
      </c>
      <c r="O80" s="420">
        <f t="shared" si="81"/>
        <v>121346.54999999996</v>
      </c>
      <c r="P80" s="424">
        <f t="shared" si="7"/>
        <v>-2.7214755926340706E-2</v>
      </c>
      <c r="Q80" s="419">
        <v>4068.32</v>
      </c>
      <c r="R80" s="419">
        <v>-5</v>
      </c>
      <c r="S80" s="419">
        <v>-9700.08</v>
      </c>
      <c r="T80" s="419">
        <f t="shared" si="21"/>
        <v>355922.42999999993</v>
      </c>
      <c r="U80" s="423">
        <f t="shared" si="22"/>
        <v>-2.6678375718367793E-2</v>
      </c>
      <c r="V80" s="420">
        <v>2034.2</v>
      </c>
      <c r="W80" s="420">
        <v>-5</v>
      </c>
      <c r="X80" s="420">
        <v>-2583.14</v>
      </c>
      <c r="Y80" s="420">
        <f t="shared" si="17"/>
        <v>109778.55000000005</v>
      </c>
      <c r="Z80" s="424">
        <f t="shared" si="18"/>
        <v>-2.3198468894227619E-2</v>
      </c>
    </row>
    <row r="81" spans="1:26" ht="11.25" customHeight="1" x14ac:dyDescent="0.3">
      <c r="A81" s="421">
        <f t="shared" si="0"/>
        <v>9</v>
      </c>
      <c r="B81" s="422">
        <v>46113</v>
      </c>
      <c r="C81" s="422">
        <v>46144</v>
      </c>
      <c r="D81" s="410">
        <f t="shared" si="1"/>
        <v>3016.2799999999997</v>
      </c>
      <c r="E81" s="352">
        <f t="shared" ref="E81:F81" si="86">I81+N81+S81+X81</f>
        <v>95551.78</v>
      </c>
      <c r="F81" s="352">
        <f t="shared" si="86"/>
        <v>1063118.3599999999</v>
      </c>
      <c r="G81" s="296">
        <f t="shared" si="4"/>
        <v>9.8907929808746173E-2</v>
      </c>
      <c r="H81" s="419">
        <v>801.92</v>
      </c>
      <c r="I81" s="419">
        <v>38392.29</v>
      </c>
      <c r="J81" s="419">
        <f t="shared" si="9"/>
        <v>416706.47999999992</v>
      </c>
      <c r="K81" s="423">
        <f t="shared" si="5"/>
        <v>0.10159022482488904</v>
      </c>
      <c r="L81" s="420">
        <v>122.16</v>
      </c>
      <c r="M81" s="420">
        <v>0</v>
      </c>
      <c r="N81" s="420">
        <v>12336.72</v>
      </c>
      <c r="O81" s="420">
        <f t="shared" si="81"/>
        <v>133805.42999999996</v>
      </c>
      <c r="P81" s="424">
        <f t="shared" si="7"/>
        <v>0.10161404188517643</v>
      </c>
      <c r="Q81" s="419">
        <v>1394.79</v>
      </c>
      <c r="R81" s="419">
        <v>-4.75</v>
      </c>
      <c r="S81" s="419">
        <v>35157.93</v>
      </c>
      <c r="T81" s="419">
        <f t="shared" si="21"/>
        <v>392470.39999999991</v>
      </c>
      <c r="U81" s="423">
        <f t="shared" si="22"/>
        <v>9.8586583065032929E-2</v>
      </c>
      <c r="V81" s="420">
        <v>697.41</v>
      </c>
      <c r="W81" s="420">
        <v>-4.75</v>
      </c>
      <c r="X81" s="420">
        <v>9664.84</v>
      </c>
      <c r="Y81" s="420">
        <f t="shared" si="17"/>
        <v>120136.05000000005</v>
      </c>
      <c r="Z81" s="424">
        <f t="shared" si="18"/>
        <v>8.7760654708046573E-2</v>
      </c>
    </row>
    <row r="82" spans="1:26" ht="11.25" customHeight="1" x14ac:dyDescent="0.3">
      <c r="A82" s="435"/>
      <c r="B82" s="422">
        <f ca="1">TODAY()</f>
        <v>46156</v>
      </c>
      <c r="C82" s="436"/>
      <c r="D82" s="437">
        <f>-F81</f>
        <v>-1063118.3599999999</v>
      </c>
      <c r="E82" s="437"/>
      <c r="F82" s="437"/>
      <c r="G82" s="437"/>
      <c r="H82" s="437">
        <f>-J81</f>
        <v>-416706.47999999992</v>
      </c>
      <c r="I82" s="438"/>
      <c r="J82" s="437"/>
      <c r="K82" s="437"/>
      <c r="L82" s="437">
        <f>-O81</f>
        <v>-133805.42999999996</v>
      </c>
      <c r="M82" s="437"/>
      <c r="N82" s="438"/>
      <c r="O82" s="437"/>
      <c r="P82" s="437"/>
      <c r="Q82" s="437">
        <f>-T81</f>
        <v>-392470.39999999991</v>
      </c>
      <c r="R82" s="437"/>
      <c r="S82" s="437"/>
      <c r="T82" s="437"/>
      <c r="U82" s="437"/>
      <c r="V82" s="437">
        <f>-Y81</f>
        <v>-120136.05000000005</v>
      </c>
      <c r="W82" s="439"/>
      <c r="X82" s="439"/>
      <c r="Y82" s="439"/>
      <c r="Z82" s="439"/>
    </row>
    <row r="83" spans="1:26" ht="11.25" customHeight="1" x14ac:dyDescent="0.3">
      <c r="A83" s="415"/>
      <c r="B83" s="306"/>
      <c r="C83" s="417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199"/>
      <c r="W83" s="411"/>
      <c r="X83" s="414"/>
      <c r="Y83" s="199"/>
      <c r="Z83" s="199"/>
    </row>
    <row r="84" spans="1:26" ht="11.25" customHeight="1" x14ac:dyDescent="0.3">
      <c r="A84" s="415"/>
      <c r="B84" s="306"/>
      <c r="C84" s="417"/>
      <c r="D84" s="411"/>
      <c r="E84" s="411"/>
      <c r="F84" s="411"/>
      <c r="G84" s="411"/>
      <c r="H84" s="307"/>
      <c r="I84" s="307"/>
      <c r="J84" s="411"/>
      <c r="K84" s="411"/>
      <c r="L84" s="411"/>
      <c r="M84" s="411"/>
      <c r="N84" s="414"/>
      <c r="O84" s="411"/>
      <c r="P84" s="411"/>
      <c r="Q84" s="411"/>
      <c r="R84" s="411"/>
      <c r="S84" s="411"/>
      <c r="T84" s="411"/>
      <c r="U84" s="411"/>
      <c r="V84" s="199"/>
      <c r="W84" s="411"/>
      <c r="X84" s="414"/>
      <c r="Y84" s="199"/>
      <c r="Z84" s="199"/>
    </row>
    <row r="85" spans="1:26" ht="11.25" customHeight="1" x14ac:dyDescent="0.3">
      <c r="A85" s="304" t="s">
        <v>627</v>
      </c>
      <c r="B85" s="306"/>
      <c r="C85" s="417"/>
      <c r="D85" s="411"/>
      <c r="E85" s="411"/>
      <c r="F85" s="411"/>
      <c r="G85" s="411"/>
      <c r="H85" s="412"/>
      <c r="I85" s="307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199"/>
      <c r="W85" s="411"/>
      <c r="X85" s="411"/>
      <c r="Y85" s="199"/>
      <c r="Z85" s="199"/>
    </row>
    <row r="86" spans="1:26" ht="11.25" customHeight="1" x14ac:dyDescent="0.3">
      <c r="A86" s="304">
        <f>COUNTIF(E7:E82,"&gt;0")</f>
        <v>58</v>
      </c>
      <c r="B86" s="306"/>
      <c r="C86" s="417"/>
      <c r="D86" s="411"/>
      <c r="E86" s="411"/>
      <c r="F86" s="411"/>
      <c r="G86" s="411"/>
      <c r="H86" s="199"/>
      <c r="I86" s="307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199"/>
      <c r="W86" s="411"/>
      <c r="X86" s="411"/>
      <c r="Y86" s="199"/>
      <c r="Z86" s="199"/>
    </row>
    <row r="87" spans="1:26" ht="11.25" customHeight="1" x14ac:dyDescent="0.3">
      <c r="A87" s="304" t="s">
        <v>628</v>
      </c>
      <c r="B87" s="306"/>
      <c r="C87" s="417"/>
      <c r="D87" s="411"/>
      <c r="E87" s="411"/>
      <c r="F87" s="411"/>
      <c r="G87" s="411"/>
      <c r="H87" s="199"/>
      <c r="I87" s="307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199"/>
      <c r="Z87" s="199"/>
    </row>
    <row r="88" spans="1:26" ht="11.25" customHeight="1" x14ac:dyDescent="0.3">
      <c r="A88" s="307">
        <f>(SUMIFS(G7:G82,E7:E82,"&gt;0"))/A86</f>
        <v>5.6334502509922932E-2</v>
      </c>
      <c r="B88" s="306"/>
      <c r="C88" s="417"/>
      <c r="D88" s="411"/>
      <c r="E88" s="411"/>
      <c r="F88" s="411"/>
      <c r="G88" s="411"/>
      <c r="H88" s="307"/>
      <c r="I88" s="307"/>
      <c r="J88" s="411"/>
      <c r="K88" s="411"/>
      <c r="L88" s="411"/>
      <c r="M88" s="411"/>
      <c r="N88" s="307"/>
      <c r="O88" s="411"/>
      <c r="P88" s="411"/>
      <c r="Q88" s="411"/>
      <c r="R88" s="411"/>
      <c r="S88" s="411"/>
      <c r="T88" s="411"/>
      <c r="U88" s="411"/>
      <c r="V88" s="411"/>
      <c r="W88" s="411"/>
      <c r="X88" s="307"/>
      <c r="Y88" s="199"/>
      <c r="Z88" s="199"/>
    </row>
    <row r="89" spans="1:26" ht="11.25" customHeight="1" x14ac:dyDescent="0.3">
      <c r="A89" s="304" t="s">
        <v>629</v>
      </c>
      <c r="B89" s="306"/>
      <c r="C89" s="417"/>
      <c r="D89" s="411"/>
      <c r="E89" s="411"/>
      <c r="F89" s="411"/>
      <c r="G89" s="411"/>
      <c r="H89" s="307"/>
      <c r="I89" s="307"/>
      <c r="J89" s="307"/>
      <c r="K89" s="307"/>
      <c r="L89" s="307"/>
      <c r="M89" s="307"/>
      <c r="N89" s="307"/>
      <c r="O89" s="411"/>
      <c r="P89" s="411"/>
      <c r="Q89" s="411"/>
      <c r="R89" s="411"/>
      <c r="S89" s="411"/>
      <c r="T89" s="411"/>
      <c r="U89" s="411"/>
      <c r="V89" s="199"/>
      <c r="W89" s="199"/>
      <c r="X89" s="199"/>
      <c r="Y89" s="199"/>
      <c r="Z89" s="199"/>
    </row>
    <row r="90" spans="1:26" ht="11.25" customHeight="1" x14ac:dyDescent="0.3">
      <c r="A90" s="304">
        <f>COUNTIF(E7:E82,"&lt;0")</f>
        <v>17</v>
      </c>
    </row>
    <row r="91" spans="1:26" ht="11.25" customHeight="1" x14ac:dyDescent="0.3">
      <c r="A91" s="304" t="s">
        <v>630</v>
      </c>
    </row>
    <row r="92" spans="1:26" ht="11.25" customHeight="1" x14ac:dyDescent="0.3">
      <c r="A92" s="307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631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632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633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634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40" t="s">
        <v>635</v>
      </c>
      <c r="C1" s="441">
        <f ca="1">TODAY()</f>
        <v>46156</v>
      </c>
      <c r="D1" s="575" t="s">
        <v>636</v>
      </c>
      <c r="E1" s="564"/>
      <c r="F1" s="575" t="s">
        <v>637</v>
      </c>
      <c r="G1" s="564"/>
      <c r="H1" s="575" t="s">
        <v>638</v>
      </c>
      <c r="I1" s="564"/>
      <c r="J1" s="575" t="s">
        <v>639</v>
      </c>
      <c r="K1" s="564"/>
      <c r="L1" s="442"/>
      <c r="M1" s="442"/>
      <c r="N1" s="443">
        <f>R1/Q1</f>
        <v>0.21977797398773583</v>
      </c>
      <c r="O1" s="576" t="s">
        <v>640</v>
      </c>
      <c r="P1" s="558"/>
      <c r="Q1" s="444">
        <f>'Retirement Calculator'!B3</f>
        <v>469836.83999999991</v>
      </c>
      <c r="R1" s="445">
        <f>SUM(R3:R9)</f>
        <v>103259.78879999998</v>
      </c>
    </row>
    <row r="2" spans="2:18" ht="11.25" customHeight="1" x14ac:dyDescent="0.3">
      <c r="B2" s="440" t="s">
        <v>641</v>
      </c>
      <c r="C2" s="441">
        <f>'Retirement Calculator'!D6</f>
        <v>51288</v>
      </c>
      <c r="D2" s="446" t="s">
        <v>562</v>
      </c>
      <c r="E2" s="447">
        <f>B13</f>
        <v>104249.60000000001</v>
      </c>
      <c r="F2" s="446" t="s">
        <v>562</v>
      </c>
      <c r="G2" s="447">
        <f>C13</f>
        <v>18000</v>
      </c>
      <c r="H2" s="446" t="s">
        <v>562</v>
      </c>
      <c r="I2" s="447">
        <f>D13</f>
        <v>162500</v>
      </c>
      <c r="J2" s="446" t="s">
        <v>562</v>
      </c>
      <c r="K2" s="447">
        <f>I2</f>
        <v>162500</v>
      </c>
      <c r="L2" s="442"/>
      <c r="M2" s="442"/>
      <c r="N2" s="448" t="s">
        <v>576</v>
      </c>
      <c r="O2" s="449" t="s">
        <v>642</v>
      </c>
      <c r="P2" s="449" t="s">
        <v>643</v>
      </c>
      <c r="Q2" s="450" t="s">
        <v>644</v>
      </c>
      <c r="R2" s="451" t="s">
        <v>645</v>
      </c>
    </row>
    <row r="3" spans="2:18" ht="11.25" customHeight="1" x14ac:dyDescent="0.3">
      <c r="B3" s="440" t="s">
        <v>646</v>
      </c>
      <c r="C3" s="449">
        <f ca="1">(C2-C1)/365.25</f>
        <v>14.050650239561945</v>
      </c>
      <c r="D3" s="440" t="s">
        <v>647</v>
      </c>
      <c r="E3" s="452">
        <f ca="1">'TSP-401K'!J4</f>
        <v>0.11307232975959777</v>
      </c>
      <c r="F3" s="440" t="s">
        <v>647</v>
      </c>
      <c r="G3" s="452">
        <f ca="1">'TSP-401K'!O4</f>
        <v>0.11016147732734682</v>
      </c>
      <c r="H3" s="440" t="s">
        <v>647</v>
      </c>
      <c r="I3" s="452">
        <f ca="1">'TSP-401K'!T4</f>
        <v>0.11045233607292174</v>
      </c>
      <c r="J3" s="440" t="s">
        <v>647</v>
      </c>
      <c r="K3" s="452">
        <f ca="1">'TSP-401K'!Y4</f>
        <v>0.11105840802192687</v>
      </c>
      <c r="L3" s="442"/>
      <c r="M3" s="442"/>
      <c r="N3" s="453">
        <v>0.1</v>
      </c>
      <c r="O3" s="447">
        <v>0</v>
      </c>
      <c r="P3" s="447">
        <v>24800</v>
      </c>
      <c r="Q3" s="447">
        <f>IF($Q$1&gt;P3,P3,$Q$1-Q3)</f>
        <v>24800</v>
      </c>
      <c r="R3" s="454">
        <f t="shared" ref="R3:R9" si="0">Q3*N3</f>
        <v>2480</v>
      </c>
    </row>
    <row r="4" spans="2:18" ht="11.25" customHeight="1" x14ac:dyDescent="0.3">
      <c r="B4" s="446" t="s">
        <v>648</v>
      </c>
      <c r="C4" s="441">
        <f>'Retirement Calculator'!D7</f>
        <v>51288</v>
      </c>
      <c r="D4" s="440"/>
      <c r="E4" s="452"/>
      <c r="F4" s="440"/>
      <c r="G4" s="452"/>
      <c r="H4" s="440"/>
      <c r="I4" s="452"/>
      <c r="J4" s="440"/>
      <c r="K4" s="452"/>
      <c r="L4" s="442"/>
      <c r="M4" s="442"/>
      <c r="N4" s="453">
        <v>0.12</v>
      </c>
      <c r="O4" s="447">
        <f t="shared" ref="O4:O9" si="1">P3+0.01</f>
        <v>24800.01</v>
      </c>
      <c r="P4" s="447">
        <v>100800</v>
      </c>
      <c r="Q4" s="447">
        <f>IF($Q$1&gt;P4,P4-Q3,$Q$1-Q3)</f>
        <v>76000</v>
      </c>
      <c r="R4" s="454">
        <f t="shared" si="0"/>
        <v>9120</v>
      </c>
    </row>
    <row r="5" spans="2:18" ht="11.25" customHeight="1" x14ac:dyDescent="0.3">
      <c r="B5" s="446" t="s">
        <v>649</v>
      </c>
      <c r="C5" s="449">
        <f ca="1">(C4-C1)/365.25</f>
        <v>14.050650239561945</v>
      </c>
      <c r="D5" s="440"/>
      <c r="E5" s="452"/>
      <c r="F5" s="440"/>
      <c r="G5" s="452"/>
      <c r="H5" s="440"/>
      <c r="I5" s="452"/>
      <c r="J5" s="440"/>
      <c r="K5" s="452"/>
      <c r="L5" s="455"/>
      <c r="M5" s="442"/>
      <c r="N5" s="453">
        <v>0.22</v>
      </c>
      <c r="O5" s="447">
        <f t="shared" si="1"/>
        <v>100800.01</v>
      </c>
      <c r="P5" s="447">
        <v>211400</v>
      </c>
      <c r="Q5" s="447">
        <f>IF($Q$1&gt;P5,P5-Q4-Q3,$Q$1-Q4-Q3)</f>
        <v>110600</v>
      </c>
      <c r="R5" s="454">
        <f t="shared" si="0"/>
        <v>24332</v>
      </c>
    </row>
    <row r="6" spans="2:18" ht="11.25" customHeight="1" x14ac:dyDescent="0.3">
      <c r="B6" s="440" t="s">
        <v>650</v>
      </c>
      <c r="C6" s="456">
        <f>E6+G6+I6+K6</f>
        <v>1063118.3599999999</v>
      </c>
      <c r="D6" s="440" t="s">
        <v>651</v>
      </c>
      <c r="E6" s="456">
        <f>'TSP-401K'!H82*-1</f>
        <v>416706.47999999992</v>
      </c>
      <c r="F6" s="440" t="s">
        <v>651</v>
      </c>
      <c r="G6" s="456">
        <f>'TSP-401K'!L82*-1</f>
        <v>133805.42999999996</v>
      </c>
      <c r="H6" s="440" t="s">
        <v>651</v>
      </c>
      <c r="I6" s="456">
        <f>'TSP-401K'!Q82*-1</f>
        <v>392470.39999999991</v>
      </c>
      <c r="J6" s="440" t="s">
        <v>651</v>
      </c>
      <c r="K6" s="456">
        <f>'TSP-401K'!V82*-1</f>
        <v>120136.05000000005</v>
      </c>
      <c r="L6" s="457"/>
      <c r="M6" s="442"/>
      <c r="N6" s="453">
        <v>0.24</v>
      </c>
      <c r="O6" s="447">
        <f t="shared" si="1"/>
        <v>211400.01</v>
      </c>
      <c r="P6" s="447">
        <v>403550</v>
      </c>
      <c r="Q6" s="447">
        <f>IF($Q$1&gt;P6,P6-Q5-Q4-Q3,$Q$1-Q5-Q4-Q3)</f>
        <v>192150</v>
      </c>
      <c r="R6" s="454">
        <f t="shared" si="0"/>
        <v>46116</v>
      </c>
    </row>
    <row r="7" spans="2:18" ht="11.25" customHeight="1" x14ac:dyDescent="0.3">
      <c r="B7" s="440"/>
      <c r="C7" s="450"/>
      <c r="D7" s="440"/>
      <c r="E7" s="450"/>
      <c r="F7" s="440"/>
      <c r="G7" s="450"/>
      <c r="H7" s="440"/>
      <c r="I7" s="450"/>
      <c r="J7" s="440"/>
      <c r="K7" s="450"/>
      <c r="L7" s="455"/>
      <c r="M7" s="442"/>
      <c r="N7" s="453">
        <v>0.32</v>
      </c>
      <c r="O7" s="447">
        <f t="shared" si="1"/>
        <v>403550.01</v>
      </c>
      <c r="P7" s="447">
        <v>512450</v>
      </c>
      <c r="Q7" s="447">
        <f>IF($Q$1&gt;P7,P7-Q6-Q5-Q4-Q3,$Q$1-Q6-Q5-Q4-Q3)</f>
        <v>66286.839999999909</v>
      </c>
      <c r="R7" s="454">
        <f t="shared" si="0"/>
        <v>21211.788799999973</v>
      </c>
    </row>
    <row r="8" spans="2:18" ht="11.25" customHeight="1" x14ac:dyDescent="0.3">
      <c r="B8" s="440" t="s">
        <v>652</v>
      </c>
      <c r="C8" s="456">
        <f ca="1">E8+G8+I8+K8</f>
        <v>6344400.016382901</v>
      </c>
      <c r="D8" s="440" t="s">
        <v>653</v>
      </c>
      <c r="E8" s="456">
        <f ca="1">FV(E3/26,C3*26,-(E2*0.1)/26,-E6,1)</f>
        <v>2393181.2351071825</v>
      </c>
      <c r="F8" s="440" t="s">
        <v>653</v>
      </c>
      <c r="G8" s="456">
        <f ca="1">FV(G3/12,12*C3,-(G2*0.1)/12,-G6,1)</f>
        <v>685121.5831502137</v>
      </c>
      <c r="H8" s="440" t="s">
        <v>653</v>
      </c>
      <c r="I8" s="456">
        <f ca="1">FV(I3/24,C5*24,-(I2*0.1)/24,-I6,1)</f>
        <v>2393512.0206126478</v>
      </c>
      <c r="J8" s="440" t="s">
        <v>653</v>
      </c>
      <c r="K8" s="456">
        <f ca="1">FV(K3/24,C5*24,-(K2*0.055)/24,-K6,1)</f>
        <v>872585.17751285713</v>
      </c>
      <c r="L8" s="455"/>
      <c r="M8" s="442"/>
      <c r="N8" s="453">
        <v>0.35</v>
      </c>
      <c r="O8" s="447">
        <f t="shared" si="1"/>
        <v>512450.01</v>
      </c>
      <c r="P8" s="447">
        <v>768700</v>
      </c>
      <c r="Q8" s="447">
        <f>IF($Q$1&gt;P8,P8-Q7-Q6-Q5-Q4-Q3,$Q$1-Q7-Q6-Q5-Q4-Q3)</f>
        <v>0</v>
      </c>
      <c r="R8" s="454">
        <f t="shared" si="0"/>
        <v>0</v>
      </c>
    </row>
    <row r="9" spans="2:18" ht="11.25" customHeight="1" x14ac:dyDescent="0.3">
      <c r="B9" s="457"/>
      <c r="C9" s="456"/>
      <c r="D9" s="457"/>
      <c r="E9" s="455"/>
      <c r="F9" s="457"/>
      <c r="G9" s="458"/>
      <c r="H9" s="457"/>
      <c r="I9" s="458"/>
      <c r="J9" s="457"/>
      <c r="K9" s="458"/>
      <c r="L9" s="455"/>
      <c r="M9" s="442"/>
      <c r="N9" s="459">
        <v>0.37</v>
      </c>
      <c r="O9" s="460">
        <f t="shared" si="1"/>
        <v>768700.01</v>
      </c>
      <c r="P9" s="460">
        <v>10000000</v>
      </c>
      <c r="Q9" s="460">
        <f>IF($Q$1&gt;P9,P9-Q8-Q7,$Q$1-Q8-Q7-Q6-Q5-Q4-Q3)</f>
        <v>0</v>
      </c>
      <c r="R9" s="461">
        <f t="shared" si="0"/>
        <v>0</v>
      </c>
    </row>
    <row r="10" spans="2:18" ht="11.25" customHeight="1" x14ac:dyDescent="0.3">
      <c r="B10" s="457"/>
      <c r="C10" s="455"/>
      <c r="D10" s="457"/>
      <c r="E10" s="455"/>
      <c r="F10" s="457"/>
      <c r="G10" s="458"/>
      <c r="H10" s="457"/>
      <c r="I10" s="458"/>
      <c r="J10" s="457"/>
      <c r="K10" s="458"/>
      <c r="L10" s="455"/>
      <c r="M10" s="442"/>
      <c r="N10" s="462"/>
      <c r="O10" s="462"/>
      <c r="P10" s="462"/>
      <c r="Q10" s="463"/>
      <c r="R10" s="455"/>
    </row>
    <row r="11" spans="2:18" ht="11.25" customHeight="1" x14ac:dyDescent="0.3">
      <c r="B11" s="464"/>
      <c r="C11" s="455"/>
      <c r="D11" s="442"/>
      <c r="E11" s="455"/>
      <c r="F11" s="442"/>
      <c r="G11" s="455"/>
      <c r="H11" s="442"/>
      <c r="I11" s="455"/>
      <c r="J11" s="442"/>
      <c r="K11" s="455"/>
      <c r="L11" s="455"/>
      <c r="M11" s="442"/>
      <c r="N11" s="462"/>
      <c r="O11" s="462"/>
      <c r="P11" s="462"/>
      <c r="Q11" s="463"/>
      <c r="R11" s="455"/>
    </row>
    <row r="12" spans="2:18" ht="11.25" customHeight="1" x14ac:dyDescent="0.3">
      <c r="B12" s="457" t="s">
        <v>654</v>
      </c>
      <c r="C12" s="457" t="s">
        <v>578</v>
      </c>
      <c r="D12" s="457" t="s">
        <v>655</v>
      </c>
      <c r="E12" s="465" t="s">
        <v>656</v>
      </c>
      <c r="F12" s="455"/>
      <c r="G12" s="457"/>
      <c r="H12" s="442"/>
      <c r="I12" s="457" t="s">
        <v>565</v>
      </c>
      <c r="J12" s="457" t="s">
        <v>566</v>
      </c>
      <c r="K12" s="457" t="s">
        <v>567</v>
      </c>
      <c r="L12" s="457" t="s">
        <v>568</v>
      </c>
      <c r="M12" s="442"/>
      <c r="N12" s="462"/>
      <c r="O12" s="462"/>
      <c r="P12" s="462"/>
      <c r="Q12" s="463"/>
      <c r="R12" s="455"/>
    </row>
    <row r="13" spans="2:18" ht="11.25" customHeight="1" x14ac:dyDescent="0.3">
      <c r="B13" s="466">
        <f>'Retirement Calculator'!D2</f>
        <v>104249.60000000001</v>
      </c>
      <c r="C13" s="466">
        <f>'Retirement Calculator'!D3</f>
        <v>18000</v>
      </c>
      <c r="D13" s="466">
        <f>'Retirement Calculator'!D1</f>
        <v>162500</v>
      </c>
      <c r="E13" s="463">
        <f>B13+C13+D13</f>
        <v>284749.59999999998</v>
      </c>
      <c r="F13" s="455"/>
      <c r="G13" s="467">
        <v>31590</v>
      </c>
      <c r="H13" s="442" t="s">
        <v>657</v>
      </c>
      <c r="I13" s="468">
        <f>'Retirement Calculator'!F2</f>
        <v>2420</v>
      </c>
      <c r="J13" s="468">
        <f>'Retirement Calculator'!G2</f>
        <v>3519</v>
      </c>
      <c r="K13" s="468">
        <f>'Retirement Calculator'!H2</f>
        <v>4397</v>
      </c>
      <c r="L13" s="468">
        <f>'Retirement Calculator'!I2</f>
        <v>3120</v>
      </c>
      <c r="M13" s="442"/>
      <c r="N13" s="462"/>
      <c r="O13" s="462"/>
      <c r="P13" s="462"/>
      <c r="Q13" s="463"/>
      <c r="R13" s="455"/>
    </row>
    <row r="14" spans="2:18" ht="11.25" customHeight="1" x14ac:dyDescent="0.3">
      <c r="B14" s="466"/>
      <c r="C14" s="468"/>
      <c r="D14" s="468"/>
      <c r="E14" s="463"/>
      <c r="F14" s="455"/>
      <c r="G14" s="467">
        <v>29906</v>
      </c>
      <c r="H14" s="442" t="s">
        <v>658</v>
      </c>
      <c r="I14" s="468">
        <f>'Retirement Calculator'!F3</f>
        <v>2192</v>
      </c>
      <c r="J14" s="468">
        <f>'Retirement Calculator'!G3</f>
        <v>3197</v>
      </c>
      <c r="K14" s="468">
        <f>'Retirement Calculator'!H3</f>
        <v>4019</v>
      </c>
      <c r="L14" s="468">
        <f>'Retirement Calculator'!I3</f>
        <v>2765</v>
      </c>
      <c r="M14" s="442"/>
      <c r="N14" s="462"/>
      <c r="O14" s="462"/>
      <c r="P14" s="462"/>
      <c r="Q14" s="463"/>
      <c r="R14" s="455"/>
    </row>
    <row r="15" spans="2:18" ht="11.25" customHeight="1" x14ac:dyDescent="0.3">
      <c r="B15" s="466"/>
      <c r="C15" s="468"/>
      <c r="D15" s="468"/>
      <c r="E15" s="463"/>
      <c r="F15" s="455"/>
      <c r="G15" s="467"/>
      <c r="H15" s="442"/>
      <c r="I15" s="468"/>
      <c r="J15" s="468"/>
      <c r="K15" s="468"/>
      <c r="L15" s="468"/>
      <c r="M15" s="442"/>
      <c r="N15" s="462"/>
      <c r="O15" s="462"/>
      <c r="P15" s="462"/>
      <c r="Q15" s="463"/>
      <c r="R15" s="455"/>
    </row>
    <row r="16" spans="2:18" ht="11.25" customHeight="1" x14ac:dyDescent="0.3">
      <c r="B16" s="466" t="s">
        <v>659</v>
      </c>
      <c r="C16" s="466" t="s">
        <v>660</v>
      </c>
      <c r="D16" s="468"/>
      <c r="E16" s="463"/>
      <c r="F16" s="455"/>
      <c r="G16" s="442"/>
      <c r="H16" s="455"/>
      <c r="I16" s="442"/>
      <c r="J16" s="442"/>
      <c r="K16" s="455"/>
      <c r="L16" s="455"/>
      <c r="M16" s="442"/>
      <c r="N16" s="462"/>
      <c r="O16" s="462"/>
      <c r="P16" s="462"/>
      <c r="Q16" s="463"/>
      <c r="R16" s="455"/>
    </row>
    <row r="17" spans="2:11" ht="11.25" customHeight="1" x14ac:dyDescent="0.3">
      <c r="B17" s="462">
        <f>(C2-B18)/365.25</f>
        <v>33.040383299110196</v>
      </c>
      <c r="C17" s="469">
        <f>'Retirement Calculator'!B2</f>
        <v>0.65</v>
      </c>
      <c r="D17" s="468"/>
      <c r="E17" s="468"/>
      <c r="F17" s="455"/>
      <c r="G17" s="442"/>
      <c r="H17" s="455"/>
      <c r="I17" s="442"/>
      <c r="J17" s="442"/>
      <c r="K17" s="455"/>
    </row>
    <row r="18" spans="2:11" ht="11.25" customHeight="1" x14ac:dyDescent="0.3">
      <c r="B18" s="467">
        <v>39220</v>
      </c>
      <c r="C18" s="466">
        <f>E13*(1+C17)</f>
        <v>469836.83999999991</v>
      </c>
      <c r="D18" s="468"/>
      <c r="E18" s="468"/>
      <c r="F18" s="455"/>
      <c r="G18" s="442"/>
      <c r="H18" s="457" t="s">
        <v>661</v>
      </c>
      <c r="I18" s="442"/>
      <c r="J18" s="442"/>
      <c r="K18" s="442"/>
    </row>
    <row r="19" spans="2:11" ht="11.25" customHeight="1" x14ac:dyDescent="0.3">
      <c r="B19" s="455"/>
      <c r="C19" s="466"/>
      <c r="D19" s="468"/>
      <c r="E19" s="468"/>
      <c r="F19" s="442"/>
      <c r="G19" s="442"/>
      <c r="H19" s="470">
        <v>71</v>
      </c>
      <c r="I19" s="468">
        <f t="shared" ref="I19:I33" si="2">(I$14*12)*($H19-62)</f>
        <v>236736</v>
      </c>
      <c r="J19" s="468">
        <f t="shared" ref="J19:J33" si="3">(J$14*12)*($H19-67)</f>
        <v>153456</v>
      </c>
      <c r="K19" s="468">
        <f t="shared" ref="K19:K33" si="4">(K$14*12)*($H19-70)</f>
        <v>48228</v>
      </c>
    </row>
    <row r="20" spans="2:11" ht="11.25" customHeight="1" x14ac:dyDescent="0.3">
      <c r="B20" s="455"/>
      <c r="C20" s="466"/>
      <c r="D20" s="468"/>
      <c r="E20" s="468"/>
      <c r="F20" s="442"/>
      <c r="G20" s="442"/>
      <c r="H20" s="470">
        <v>72</v>
      </c>
      <c r="I20" s="468">
        <f t="shared" si="2"/>
        <v>263040</v>
      </c>
      <c r="J20" s="468">
        <f t="shared" si="3"/>
        <v>191820</v>
      </c>
      <c r="K20" s="468">
        <f t="shared" si="4"/>
        <v>96456</v>
      </c>
    </row>
    <row r="21" spans="2:11" ht="11.25" customHeight="1" x14ac:dyDescent="0.3">
      <c r="B21" s="455" t="s">
        <v>662</v>
      </c>
      <c r="C21" s="466" t="s">
        <v>663</v>
      </c>
      <c r="D21" s="466" t="s">
        <v>664</v>
      </c>
      <c r="E21" s="468" t="s">
        <v>665</v>
      </c>
      <c r="F21" s="442"/>
      <c r="G21" s="442"/>
      <c r="H21" s="470">
        <v>73</v>
      </c>
      <c r="I21" s="468">
        <f t="shared" si="2"/>
        <v>289344</v>
      </c>
      <c r="J21" s="468">
        <f t="shared" si="3"/>
        <v>230184</v>
      </c>
      <c r="K21" s="468">
        <f t="shared" si="4"/>
        <v>144684</v>
      </c>
    </row>
    <row r="22" spans="2:11" ht="11.25" customHeight="1" x14ac:dyDescent="0.3">
      <c r="B22" s="455">
        <f>B13*(B17*0.01)</f>
        <v>34444.46742778919</v>
      </c>
      <c r="C22" s="466">
        <f>C24*12</f>
        <v>42305.438109374998</v>
      </c>
      <c r="D22" s="466">
        <f>B22+C22</f>
        <v>76749.905537164188</v>
      </c>
      <c r="E22" s="471">
        <f>D22/(B13+C13)</f>
        <v>0.62781314243289288</v>
      </c>
      <c r="F22" s="442"/>
      <c r="G22" s="442"/>
      <c r="H22" s="470">
        <v>74</v>
      </c>
      <c r="I22" s="468">
        <f t="shared" si="2"/>
        <v>315648</v>
      </c>
      <c r="J22" s="468">
        <f t="shared" si="3"/>
        <v>268548</v>
      </c>
      <c r="K22" s="468">
        <f t="shared" si="4"/>
        <v>192912</v>
      </c>
    </row>
    <row r="23" spans="2:11" ht="11.25" customHeight="1" x14ac:dyDescent="0.3">
      <c r="B23" s="457" t="s">
        <v>666</v>
      </c>
      <c r="C23" s="457" t="s">
        <v>667</v>
      </c>
      <c r="D23" s="457" t="s">
        <v>668</v>
      </c>
      <c r="E23" s="442"/>
      <c r="F23" s="457"/>
      <c r="G23" s="457"/>
      <c r="H23" s="470">
        <v>75</v>
      </c>
      <c r="I23" s="468">
        <f t="shared" si="2"/>
        <v>341952</v>
      </c>
      <c r="J23" s="468">
        <f t="shared" si="3"/>
        <v>306912</v>
      </c>
      <c r="K23" s="468">
        <f t="shared" si="4"/>
        <v>241140</v>
      </c>
    </row>
    <row r="24" spans="2:11" ht="11.25" customHeight="1" x14ac:dyDescent="0.3">
      <c r="B24" s="466">
        <f>B22/12</f>
        <v>2870.372285649099</v>
      </c>
      <c r="C24" s="466">
        <f>AVERAGE('Guard Ret Calc'!I23:I24)</f>
        <v>3525.4531757812501</v>
      </c>
      <c r="D24" s="466">
        <f>B24+C24</f>
        <v>6395.8254614303496</v>
      </c>
      <c r="E24" s="442"/>
      <c r="F24" s="457"/>
      <c r="G24" s="466"/>
      <c r="H24" s="470">
        <v>76</v>
      </c>
      <c r="I24" s="468">
        <f t="shared" si="2"/>
        <v>368256</v>
      </c>
      <c r="J24" s="468">
        <f t="shared" si="3"/>
        <v>345276</v>
      </c>
      <c r="K24" s="468">
        <f t="shared" si="4"/>
        <v>289368</v>
      </c>
    </row>
    <row r="25" spans="2:11" ht="11.25" customHeight="1" x14ac:dyDescent="0.3">
      <c r="B25" s="470"/>
      <c r="C25" s="466"/>
      <c r="D25" s="466"/>
      <c r="E25" s="466"/>
      <c r="F25" s="457"/>
      <c r="G25" s="466"/>
      <c r="H25" s="470">
        <v>77</v>
      </c>
      <c r="I25" s="468">
        <f t="shared" si="2"/>
        <v>394560</v>
      </c>
      <c r="J25" s="468">
        <f t="shared" si="3"/>
        <v>383640</v>
      </c>
      <c r="K25" s="468">
        <f t="shared" si="4"/>
        <v>337596</v>
      </c>
    </row>
    <row r="26" spans="2:11" ht="11.25" customHeight="1" x14ac:dyDescent="0.3">
      <c r="B26" s="470"/>
      <c r="C26" s="466"/>
      <c r="D26" s="466"/>
      <c r="E26" s="466"/>
      <c r="F26" s="457"/>
      <c r="G26" s="466"/>
      <c r="H26" s="470">
        <v>78</v>
      </c>
      <c r="I26" s="468">
        <f t="shared" si="2"/>
        <v>420864</v>
      </c>
      <c r="J26" s="472">
        <f t="shared" si="3"/>
        <v>422004</v>
      </c>
      <c r="K26" s="468">
        <f t="shared" si="4"/>
        <v>385824</v>
      </c>
    </row>
    <row r="27" spans="2:11" ht="11.25" customHeight="1" x14ac:dyDescent="0.3">
      <c r="B27" s="470"/>
      <c r="C27" s="466"/>
      <c r="D27" s="466"/>
      <c r="E27" s="466"/>
      <c r="F27" s="466"/>
      <c r="G27" s="466"/>
      <c r="H27" s="470">
        <v>79</v>
      </c>
      <c r="I27" s="468">
        <f t="shared" si="2"/>
        <v>447168</v>
      </c>
      <c r="J27" s="468">
        <f t="shared" si="3"/>
        <v>460368</v>
      </c>
      <c r="K27" s="468">
        <f t="shared" si="4"/>
        <v>434052</v>
      </c>
    </row>
    <row r="28" spans="2:11" ht="11.25" customHeight="1" x14ac:dyDescent="0.3">
      <c r="B28" s="470" t="s">
        <v>661</v>
      </c>
      <c r="C28" s="466" t="s">
        <v>669</v>
      </c>
      <c r="D28" s="466" t="s">
        <v>670</v>
      </c>
      <c r="E28" s="466" t="s">
        <v>68</v>
      </c>
      <c r="F28" s="466"/>
      <c r="G28" s="466"/>
      <c r="H28" s="470">
        <v>80</v>
      </c>
      <c r="I28" s="468">
        <f t="shared" si="2"/>
        <v>473472</v>
      </c>
      <c r="J28" s="468">
        <f t="shared" si="3"/>
        <v>498732</v>
      </c>
      <c r="K28" s="472">
        <f t="shared" si="4"/>
        <v>482280</v>
      </c>
    </row>
    <row r="29" spans="2:11" ht="11.25" customHeight="1" x14ac:dyDescent="0.3">
      <c r="B29" s="462">
        <v>57</v>
      </c>
      <c r="C29" s="466">
        <v>2185</v>
      </c>
      <c r="D29" s="466">
        <v>1319</v>
      </c>
      <c r="E29" s="466">
        <f>SUM(C29:D29)</f>
        <v>3504</v>
      </c>
      <c r="F29" s="466"/>
      <c r="G29" s="466"/>
      <c r="H29" s="470">
        <v>81</v>
      </c>
      <c r="I29" s="468">
        <f t="shared" si="2"/>
        <v>499776</v>
      </c>
      <c r="J29" s="468">
        <f t="shared" si="3"/>
        <v>537096</v>
      </c>
      <c r="K29" s="468">
        <f t="shared" si="4"/>
        <v>530508</v>
      </c>
    </row>
    <row r="30" spans="2:11" ht="11.25" customHeight="1" x14ac:dyDescent="0.3">
      <c r="B30" s="462">
        <v>57.5</v>
      </c>
      <c r="C30" s="466"/>
      <c r="D30" s="466"/>
      <c r="E30" s="466"/>
      <c r="F30" s="466"/>
      <c r="G30" s="466"/>
      <c r="H30" s="470">
        <v>82</v>
      </c>
      <c r="I30" s="468">
        <f t="shared" si="2"/>
        <v>526080</v>
      </c>
      <c r="J30" s="468">
        <f t="shared" si="3"/>
        <v>575460</v>
      </c>
      <c r="K30" s="468">
        <f t="shared" si="4"/>
        <v>578736</v>
      </c>
    </row>
    <row r="31" spans="2:11" ht="11.25" customHeight="1" x14ac:dyDescent="0.3">
      <c r="B31" s="462">
        <v>58</v>
      </c>
      <c r="C31" s="466"/>
      <c r="D31" s="466"/>
      <c r="E31" s="466"/>
      <c r="F31" s="466"/>
      <c r="G31" s="466"/>
      <c r="H31" s="470">
        <v>83</v>
      </c>
      <c r="I31" s="468">
        <f t="shared" si="2"/>
        <v>552384</v>
      </c>
      <c r="J31" s="468">
        <f t="shared" si="3"/>
        <v>613824</v>
      </c>
      <c r="K31" s="468">
        <f t="shared" si="4"/>
        <v>626964</v>
      </c>
    </row>
    <row r="32" spans="2:11" ht="11.25" customHeight="1" x14ac:dyDescent="0.3">
      <c r="B32" s="462">
        <v>58.5</v>
      </c>
      <c r="C32" s="466">
        <v>2295</v>
      </c>
      <c r="D32" s="466">
        <v>1569</v>
      </c>
      <c r="E32" s="466">
        <f>SUM(C32:D32)</f>
        <v>3864</v>
      </c>
      <c r="F32" s="466"/>
      <c r="G32" s="466"/>
      <c r="H32" s="470">
        <v>84</v>
      </c>
      <c r="I32" s="468">
        <f t="shared" si="2"/>
        <v>578688</v>
      </c>
      <c r="J32" s="468">
        <f t="shared" si="3"/>
        <v>652188</v>
      </c>
      <c r="K32" s="468">
        <f t="shared" si="4"/>
        <v>675192</v>
      </c>
    </row>
    <row r="33" spans="2:11" ht="11.25" customHeight="1" x14ac:dyDescent="0.3">
      <c r="B33" s="462">
        <v>59</v>
      </c>
      <c r="C33" s="466"/>
      <c r="D33" s="466"/>
      <c r="E33" s="466"/>
      <c r="F33" s="466"/>
      <c r="G33" s="466"/>
      <c r="H33" s="470">
        <v>85</v>
      </c>
      <c r="I33" s="468">
        <f t="shared" si="2"/>
        <v>604992</v>
      </c>
      <c r="J33" s="468">
        <f t="shared" si="3"/>
        <v>690552</v>
      </c>
      <c r="K33" s="468">
        <f t="shared" si="4"/>
        <v>723420</v>
      </c>
    </row>
    <row r="34" spans="2:11" ht="11.25" customHeight="1" x14ac:dyDescent="0.3">
      <c r="B34" s="462">
        <v>59.5</v>
      </c>
      <c r="C34" s="466"/>
      <c r="D34" s="466"/>
      <c r="E34" s="466"/>
      <c r="F34" s="466"/>
      <c r="G34" s="466"/>
      <c r="H34" s="466"/>
      <c r="I34" s="466"/>
      <c r="J34" s="466"/>
      <c r="K34" s="466"/>
    </row>
    <row r="35" spans="2:11" ht="11.25" customHeight="1" x14ac:dyDescent="0.3">
      <c r="B35" s="462">
        <v>60</v>
      </c>
      <c r="C35" s="466">
        <v>2393.65</v>
      </c>
      <c r="D35" s="466">
        <v>1467</v>
      </c>
      <c r="E35" s="466">
        <f>SUM(C35:D35)</f>
        <v>3860.65</v>
      </c>
      <c r="F35" s="466"/>
      <c r="G35" s="466"/>
      <c r="H35" s="466"/>
      <c r="I35" s="466"/>
      <c r="J35" s="466"/>
      <c r="K35" s="466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70" t="s">
        <v>671</v>
      </c>
      <c r="B1" s="455">
        <f ca="1">'Combined Retirement'!E8+'Combined Retirement'!G8</f>
        <v>3078302.8182573961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42"/>
    </row>
    <row r="2" spans="1:14" ht="11.25" customHeight="1" x14ac:dyDescent="0.3">
      <c r="A2" s="470" t="s">
        <v>672</v>
      </c>
      <c r="B2" s="471">
        <v>0.05</v>
      </c>
      <c r="C2" s="457" t="s">
        <v>673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42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42"/>
    </row>
    <row r="4" spans="1:14" ht="11.25" customHeight="1" x14ac:dyDescent="0.3">
      <c r="A4" s="470" t="s">
        <v>674</v>
      </c>
      <c r="B4" s="462">
        <f ca="1">(SUMIFS(H:H,I:I,"&gt;0",L:L,"&lt;0"))/12</f>
        <v>46.583333333333336</v>
      </c>
      <c r="C4" s="474">
        <f ca="1">(SUMIFS(H:H,I:I,"&gt;0",L:L,"&lt;0"))</f>
        <v>559</v>
      </c>
      <c r="D4" s="467">
        <f t="array" aca="1" ref="D4" ca="1">INDEX(N:N,MATCH(C4,H:H,0),0)</f>
        <v>68272</v>
      </c>
      <c r="E4" s="457"/>
      <c r="F4" s="457"/>
      <c r="G4" s="470"/>
      <c r="H4" s="470"/>
      <c r="I4" s="457"/>
      <c r="J4" s="442"/>
      <c r="K4" s="442"/>
      <c r="L4" s="442"/>
      <c r="M4" s="473"/>
      <c r="N4" s="442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42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42"/>
    </row>
    <row r="7" spans="1:14" ht="11.25" customHeight="1" x14ac:dyDescent="0.3">
      <c r="A7" s="470" t="s">
        <v>675</v>
      </c>
      <c r="B7" s="457" t="s">
        <v>676</v>
      </c>
      <c r="C7" s="457" t="s">
        <v>677</v>
      </c>
      <c r="D7" s="457" t="s">
        <v>678</v>
      </c>
      <c r="E7" s="457" t="s">
        <v>679</v>
      </c>
      <c r="F7" s="457"/>
      <c r="G7" s="470" t="s">
        <v>680</v>
      </c>
      <c r="H7" s="470" t="s">
        <v>224</v>
      </c>
      <c r="I7" s="457" t="s">
        <v>676</v>
      </c>
      <c r="J7" s="457" t="s">
        <v>677</v>
      </c>
      <c r="K7" s="457" t="s">
        <v>678</v>
      </c>
      <c r="L7" s="457" t="s">
        <v>679</v>
      </c>
      <c r="M7" s="471"/>
      <c r="N7" s="442" t="s">
        <v>606</v>
      </c>
    </row>
    <row r="8" spans="1:14" ht="11.25" customHeight="1" x14ac:dyDescent="0.3">
      <c r="A8" s="470">
        <v>1</v>
      </c>
      <c r="B8" s="458">
        <f ca="1">B1</f>
        <v>3078302.8182573961</v>
      </c>
      <c r="C8" s="458">
        <f t="shared" ref="C8:C136" si="0">SUMIF(G:G,A8,J:J)</f>
        <v>374258.93446283572</v>
      </c>
      <c r="D8" s="458">
        <f ca="1">SUMIF(G:G,1,K:K)</f>
        <v>147199.15139110171</v>
      </c>
      <c r="E8" s="458">
        <f t="shared" ref="E8:E136" ca="1" si="1">B8-C8+D8</f>
        <v>2851243.0351856621</v>
      </c>
      <c r="F8" s="442"/>
      <c r="G8" s="470">
        <v>1</v>
      </c>
      <c r="H8" s="470">
        <v>1</v>
      </c>
      <c r="I8" s="455">
        <f ca="1">B1</f>
        <v>3078302.8182573961</v>
      </c>
      <c r="J8" s="455">
        <f t="array" ref="J8">IFERROR(INDEX('Retirement Calculator'!J:J,MATCH('Isaac 401k'!N8,'Retirement Calculator'!A:A,0),0),0)</f>
        <v>31188.244538569645</v>
      </c>
      <c r="K8" s="455">
        <f t="shared" ref="K8:K262" ca="1" si="2">IPMT(M8/12,1,12,-I8+J8,,0)</f>
        <v>12696.310723828443</v>
      </c>
      <c r="L8" s="455">
        <f t="shared" ref="L8:L262" ca="1" si="3">I8-J8+K8</f>
        <v>3059810.8844426549</v>
      </c>
      <c r="M8" s="471">
        <f>B2</f>
        <v>0.05</v>
      </c>
      <c r="N8" s="475">
        <f>'Retirement Calculator'!D6</f>
        <v>51288</v>
      </c>
    </row>
    <row r="9" spans="1:14" ht="11.25" customHeight="1" x14ac:dyDescent="0.3">
      <c r="A9" s="470">
        <v>2</v>
      </c>
      <c r="B9" s="458">
        <f t="shared" ref="B9:B136" ca="1" si="4">E8</f>
        <v>2851243.0351856621</v>
      </c>
      <c r="C9" s="458">
        <f t="shared" si="0"/>
        <v>374258.93446283572</v>
      </c>
      <c r="D9" s="458">
        <f ca="1">SUMIF(G:G,2,K:K)</f>
        <v>135582.34195653707</v>
      </c>
      <c r="E9" s="458">
        <f t="shared" ca="1" si="1"/>
        <v>2612566.4426793638</v>
      </c>
      <c r="F9" s="442"/>
      <c r="G9" s="470">
        <v>1</v>
      </c>
      <c r="H9" s="470">
        <v>2</v>
      </c>
      <c r="I9" s="455">
        <f t="shared" ref="I9:I263" ca="1" si="5">L8</f>
        <v>3059810.8844426549</v>
      </c>
      <c r="J9" s="455">
        <f t="array" ref="J9">IFERROR(INDEX('Retirement Calculator'!J:J,MATCH('Isaac 401k'!N9,'Retirement Calculator'!A:A,0),0),0)</f>
        <v>31188.244538569645</v>
      </c>
      <c r="K9" s="455">
        <f t="shared" ca="1" si="2"/>
        <v>12619.260999600354</v>
      </c>
      <c r="L9" s="455">
        <f t="shared" ca="1" si="3"/>
        <v>3041241.9009036855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2612566.4426793638</v>
      </c>
      <c r="C10" s="458">
        <f t="shared" si="0"/>
        <v>374258.93446283572</v>
      </c>
      <c r="D10" s="458">
        <f ca="1">SUMIF(G:G,3,K:K)</f>
        <v>123371.19450396966</v>
      </c>
      <c r="E10" s="458">
        <f t="shared" ca="1" si="1"/>
        <v>2361678.7027204977</v>
      </c>
      <c r="F10" s="442"/>
      <c r="G10" s="470">
        <v>1</v>
      </c>
      <c r="H10" s="470">
        <v>3</v>
      </c>
      <c r="I10" s="455">
        <f t="shared" ca="1" si="5"/>
        <v>3041241.9009036855</v>
      </c>
      <c r="J10" s="455">
        <f t="array" ref="J10">IFERROR(INDEX('Retirement Calculator'!J:J,MATCH('Isaac 401k'!N10,'Retirement Calculator'!A:A,0),0),0)</f>
        <v>31188.244538569645</v>
      </c>
      <c r="K10" s="455">
        <f t="shared" ca="1" si="2"/>
        <v>12541.890234854649</v>
      </c>
      <c r="L10" s="455">
        <f t="shared" ca="1" si="3"/>
        <v>3022595.5465999702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2361678.7027204977</v>
      </c>
      <c r="C11" s="458">
        <f t="shared" si="0"/>
        <v>370520.93446283572</v>
      </c>
      <c r="D11" s="458">
        <f ca="1">SUMIF(G:G,4,K:K)</f>
        <v>110590.19421272105</v>
      </c>
      <c r="E11" s="458">
        <f t="shared" ca="1" si="1"/>
        <v>2101747.9624703829</v>
      </c>
      <c r="F11" s="442"/>
      <c r="G11" s="470">
        <v>1</v>
      </c>
      <c r="H11" s="470">
        <v>4</v>
      </c>
      <c r="I11" s="455">
        <f t="shared" ca="1" si="5"/>
        <v>3022595.5465999702</v>
      </c>
      <c r="J11" s="455">
        <f t="array" ref="J11">IFERROR(INDEX('Retirement Calculator'!J:J,MATCH('Isaac 401k'!N11,'Retirement Calculator'!A:A,0),0),0)</f>
        <v>31188.244538569645</v>
      </c>
      <c r="K11" s="455">
        <f t="shared" ca="1" si="2"/>
        <v>12464.197091922502</v>
      </c>
      <c r="L11" s="455">
        <f t="shared" ca="1" si="3"/>
        <v>3003871.499153323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2101747.9624703829</v>
      </c>
      <c r="C12" s="458">
        <f t="shared" si="0"/>
        <v>366782.93446283572</v>
      </c>
      <c r="D12" s="458">
        <f ca="1">SUMIF(G:G,5,K:K)</f>
        <v>97442.352417072572</v>
      </c>
      <c r="E12" s="458">
        <f t="shared" ca="1" si="1"/>
        <v>1832407.3804246197</v>
      </c>
      <c r="F12" s="442"/>
      <c r="G12" s="470">
        <v>1</v>
      </c>
      <c r="H12" s="470">
        <v>5</v>
      </c>
      <c r="I12" s="455">
        <f t="shared" ca="1" si="5"/>
        <v>3003871.499153323</v>
      </c>
      <c r="J12" s="455">
        <f t="array" ref="J12">IFERROR(INDEX('Retirement Calculator'!J:J,MATCH('Isaac 401k'!N12,'Retirement Calculator'!A:A,0),0),0)</f>
        <v>31188.244538569645</v>
      </c>
      <c r="K12" s="455">
        <f t="shared" ca="1" si="2"/>
        <v>12386.180227561472</v>
      </c>
      <c r="L12" s="455">
        <f t="shared" ca="1" si="3"/>
        <v>2985069.4348423146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1832407.3804246197</v>
      </c>
      <c r="C13" s="458">
        <f t="shared" si="0"/>
        <v>256653.30186591548</v>
      </c>
      <c r="D13" s="458">
        <f ca="1">SUMIF(G:G,6,K:K)</f>
        <v>85046.669301175061</v>
      </c>
      <c r="E13" s="458">
        <f t="shared" ca="1" si="1"/>
        <v>1660800.7478598792</v>
      </c>
      <c r="F13" s="442"/>
      <c r="G13" s="470">
        <v>1</v>
      </c>
      <c r="H13" s="470">
        <v>6</v>
      </c>
      <c r="I13" s="455">
        <f t="shared" ca="1" si="5"/>
        <v>2985069.4348423146</v>
      </c>
      <c r="J13" s="455">
        <f t="array" ref="J13">IFERROR(INDEX('Retirement Calculator'!J:J,MATCH('Isaac 401k'!N13,'Retirement Calculator'!A:A,0),0),0)</f>
        <v>31188.244538569645</v>
      </c>
      <c r="K13" s="455">
        <f t="shared" ca="1" si="2"/>
        <v>12307.838292932269</v>
      </c>
      <c r="L13" s="455">
        <f t="shared" ca="1" si="3"/>
        <v>2966189.0285966769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1660800.7478598792</v>
      </c>
      <c r="C14" s="458">
        <f t="shared" si="0"/>
        <v>102471.81623022706</v>
      </c>
      <c r="D14" s="458">
        <f ca="1">SUMIF(G:G,7,K:K)</f>
        <v>82151.594823130552</v>
      </c>
      <c r="E14" s="458">
        <f t="shared" ca="1" si="1"/>
        <v>1640480.5264527828</v>
      </c>
      <c r="F14" s="442"/>
      <c r="G14" s="470">
        <v>1</v>
      </c>
      <c r="H14" s="470">
        <v>7</v>
      </c>
      <c r="I14" s="455">
        <f t="shared" ca="1" si="5"/>
        <v>2966189.0285966769</v>
      </c>
      <c r="J14" s="455">
        <f t="array" ref="J14">IFERROR(INDEX('Retirement Calculator'!J:J,MATCH('Isaac 401k'!N14,'Retirement Calculator'!A:A,0),0),0)</f>
        <v>31188.244538569645</v>
      </c>
      <c r="K14" s="455">
        <f t="shared" ca="1" si="2"/>
        <v>12229.169933575446</v>
      </c>
      <c r="L14" s="455">
        <f t="shared" ca="1" si="3"/>
        <v>2947229.9539916827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1640480.5264527828</v>
      </c>
      <c r="C15" s="458">
        <f t="shared" si="0"/>
        <v>102471.81623022706</v>
      </c>
      <c r="D15" s="458">
        <f ca="1">SUMIF(G:G,8,K:K)</f>
        <v>81111.973730566431</v>
      </c>
      <c r="E15" s="458">
        <f t="shared" ca="1" si="1"/>
        <v>1619120.6839531222</v>
      </c>
      <c r="F15" s="442"/>
      <c r="G15" s="470">
        <v>1</v>
      </c>
      <c r="H15" s="470">
        <v>8</v>
      </c>
      <c r="I15" s="455">
        <f t="shared" ca="1" si="5"/>
        <v>2947229.9539916827</v>
      </c>
      <c r="J15" s="455">
        <f t="array" ref="J15">IFERROR(INDEX('Retirement Calculator'!J:J,MATCH('Isaac 401k'!N15,'Retirement Calculator'!A:A,0),0),0)</f>
        <v>31188.244538569645</v>
      </c>
      <c r="K15" s="455">
        <f t="shared" ca="1" si="2"/>
        <v>12150.173789387971</v>
      </c>
      <c r="L15" s="455">
        <f t="shared" ca="1" si="3"/>
        <v>2928191.8832425009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1619120.6839531222</v>
      </c>
      <c r="C16" s="458">
        <f t="shared" si="0"/>
        <v>95034.72063022705</v>
      </c>
      <c r="D16" s="458">
        <f ca="1">SUMIF(G:G,9,K:K)</f>
        <v>80207.697736168207</v>
      </c>
      <c r="E16" s="458">
        <f t="shared" ca="1" si="1"/>
        <v>1604293.6610590634</v>
      </c>
      <c r="F16" s="442"/>
      <c r="G16" s="470">
        <v>1</v>
      </c>
      <c r="H16" s="470">
        <v>9</v>
      </c>
      <c r="I16" s="455">
        <f t="shared" ca="1" si="5"/>
        <v>2928191.8832425009</v>
      </c>
      <c r="J16" s="455">
        <f t="array" ref="J16">IFERROR(INDEX('Retirement Calculator'!J:J,MATCH('Isaac 401k'!N16,'Retirement Calculator'!A:A,0),0),0)</f>
        <v>31188.244538569645</v>
      </c>
      <c r="K16" s="455">
        <f t="shared" ca="1" si="2"/>
        <v>12070.848494599713</v>
      </c>
      <c r="L16" s="455">
        <f t="shared" ca="1" si="3"/>
        <v>2909074.4871985307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1604293.6610590634</v>
      </c>
      <c r="C17" s="458">
        <f t="shared" si="0"/>
        <v>94358.621030227048</v>
      </c>
      <c r="D17" s="458">
        <f ca="1">SUMIF(G:G,10,K:K)</f>
        <v>79483.709643665337</v>
      </c>
      <c r="E17" s="458">
        <f t="shared" ca="1" si="1"/>
        <v>1589418.7496725016</v>
      </c>
      <c r="F17" s="442"/>
      <c r="G17" s="470">
        <v>1</v>
      </c>
      <c r="H17" s="470">
        <v>10</v>
      </c>
      <c r="I17" s="455">
        <f t="shared" ca="1" si="5"/>
        <v>2909074.4871985307</v>
      </c>
      <c r="J17" s="455">
        <f t="array" ref="J17">IFERROR(INDEX('Retirement Calculator'!J:J,MATCH('Isaac 401k'!N17,'Retirement Calculator'!A:A,0),0),0)</f>
        <v>31188.244538569645</v>
      </c>
      <c r="K17" s="455">
        <f t="shared" ca="1" si="2"/>
        <v>11991.192677749837</v>
      </c>
      <c r="L17" s="455">
        <f t="shared" ca="1" si="3"/>
        <v>2889877.4353377107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1589418.7496725016</v>
      </c>
      <c r="C18" s="458">
        <f t="shared" si="0"/>
        <v>94358.621030227048</v>
      </c>
      <c r="D18" s="458">
        <f ca="1">SUMIF(G:G,11,K:K)</f>
        <v>78722.680946306253</v>
      </c>
      <c r="E18" s="458">
        <f t="shared" ca="1" si="1"/>
        <v>1573782.8095885809</v>
      </c>
      <c r="F18" s="442"/>
      <c r="G18" s="470">
        <v>1</v>
      </c>
      <c r="H18" s="470">
        <v>11</v>
      </c>
      <c r="I18" s="455">
        <f t="shared" ca="1" si="5"/>
        <v>2889877.4353377107</v>
      </c>
      <c r="J18" s="455">
        <f t="array" ref="J18">IFERROR(INDEX('Retirement Calculator'!J:J,MATCH('Isaac 401k'!N18,'Retirement Calculator'!A:A,0),0),0)</f>
        <v>31188.244538569645</v>
      </c>
      <c r="K18" s="455">
        <f t="shared" ca="1" si="2"/>
        <v>11911.204961663087</v>
      </c>
      <c r="L18" s="455">
        <f t="shared" ca="1" si="3"/>
        <v>2870600.3957608039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1573782.8095885809</v>
      </c>
      <c r="C19" s="458">
        <f t="shared" si="0"/>
        <v>94358.621030227048</v>
      </c>
      <c r="D19" s="458">
        <f ca="1">SUMIF(G:G,12,K:K)</f>
        <v>77922.716576447783</v>
      </c>
      <c r="E19" s="458">
        <f t="shared" ca="1" si="1"/>
        <v>1557346.9051348015</v>
      </c>
      <c r="F19" s="442"/>
      <c r="G19" s="470">
        <v>1</v>
      </c>
      <c r="H19" s="470">
        <v>12</v>
      </c>
      <c r="I19" s="455">
        <f t="shared" ca="1" si="5"/>
        <v>2870600.3957608039</v>
      </c>
      <c r="J19" s="455">
        <f t="array" ref="J19">IFERROR(INDEX('Retirement Calculator'!J:J,MATCH('Isaac 401k'!N19,'Retirement Calculator'!A:A,0),0),0)</f>
        <v>31188.244538569645</v>
      </c>
      <c r="K19" s="455">
        <f t="shared" ca="1" si="2"/>
        <v>11830.883963425975</v>
      </c>
      <c r="L19" s="455">
        <f t="shared" ca="1" si="3"/>
        <v>2851243.0351856602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1557346.9051348015</v>
      </c>
      <c r="C20" s="458">
        <f t="shared" si="0"/>
        <v>94358.621030227048</v>
      </c>
      <c r="D20" s="458">
        <f ca="1">SUMIF(G:G,13,K:K)</f>
        <v>77081.82451118961</v>
      </c>
      <c r="E20" s="458">
        <f t="shared" ca="1" si="1"/>
        <v>1540070.1086157642</v>
      </c>
      <c r="F20" s="442"/>
      <c r="G20" s="470">
        <v>2</v>
      </c>
      <c r="H20" s="470">
        <v>13</v>
      </c>
      <c r="I20" s="455">
        <f t="shared" ca="1" si="5"/>
        <v>2851243.0351856602</v>
      </c>
      <c r="J20" s="455">
        <f t="array" ref="J20">IFERROR(INDEX('Retirement Calculator'!J:J,MATCH('Isaac 401k'!N20,'Retirement Calculator'!A:A,0),0),0)</f>
        <v>31188.244538569645</v>
      </c>
      <c r="K20" s="455">
        <f t="shared" ca="1" si="2"/>
        <v>11750.228294362876</v>
      </c>
      <c r="L20" s="455">
        <f t="shared" ca="1" si="3"/>
        <v>2831805.0189414532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1540070.1086157642</v>
      </c>
      <c r="C21" s="458">
        <f t="shared" si="0"/>
        <v>94358.621030227048</v>
      </c>
      <c r="D21" s="458">
        <f ca="1">SUMIF(G:G,14,K:K)</f>
        <v>76197.910811959082</v>
      </c>
      <c r="E21" s="458">
        <f t="shared" ca="1" si="1"/>
        <v>1521909.3983974962</v>
      </c>
      <c r="F21" s="442"/>
      <c r="G21" s="470">
        <v>2</v>
      </c>
      <c r="H21" s="470">
        <v>14</v>
      </c>
      <c r="I21" s="455">
        <f t="shared" ca="1" si="5"/>
        <v>2831805.0189414532</v>
      </c>
      <c r="J21" s="455">
        <f t="array" ref="J21">IFERROR(INDEX('Retirement Calculator'!J:J,MATCH('Isaac 401k'!N21,'Retirement Calculator'!A:A,0),0),0)</f>
        <v>31188.244538569645</v>
      </c>
      <c r="K21" s="455">
        <f t="shared" ca="1" si="2"/>
        <v>11669.236560012014</v>
      </c>
      <c r="L21" s="455">
        <f t="shared" ca="1" si="3"/>
        <v>2812286.0109628956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1521909.3983974962</v>
      </c>
      <c r="C22" s="458">
        <f t="shared" si="0"/>
        <v>94358.621030227048</v>
      </c>
      <c r="D22" s="458">
        <f ca="1">SUMIF(G:G,15,K:K)</f>
        <v>75268.774410312326</v>
      </c>
      <c r="E22" s="458">
        <f t="shared" ca="1" si="1"/>
        <v>1502819.5517775815</v>
      </c>
      <c r="F22" s="442"/>
      <c r="G22" s="470">
        <v>2</v>
      </c>
      <c r="H22" s="470">
        <v>15</v>
      </c>
      <c r="I22" s="455">
        <f t="shared" ca="1" si="5"/>
        <v>2812286.0109628956</v>
      </c>
      <c r="J22" s="455">
        <f t="array" ref="J22">IFERROR(INDEX('Retirement Calculator'!J:J,MATCH('Isaac 401k'!N22,'Retirement Calculator'!A:A,0),0),0)</f>
        <v>31188.244538569645</v>
      </c>
      <c r="K22" s="455">
        <f t="shared" ca="1" si="2"/>
        <v>11587.907360101357</v>
      </c>
      <c r="L22" s="455">
        <f t="shared" ca="1" si="3"/>
        <v>2792685.6737844273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1502819.5517775815</v>
      </c>
      <c r="C23" s="458">
        <f t="shared" si="0"/>
        <v>94358.621030227048</v>
      </c>
      <c r="D23" s="458">
        <f ca="1">SUMIF(G:G,16,K:K)</f>
        <v>74292.10162696628</v>
      </c>
      <c r="E23" s="458">
        <f t="shared" ca="1" si="1"/>
        <v>1482753.0323743208</v>
      </c>
      <c r="F23" s="442"/>
      <c r="G23" s="470">
        <v>2</v>
      </c>
      <c r="H23" s="470">
        <v>16</v>
      </c>
      <c r="I23" s="455">
        <f t="shared" ca="1" si="5"/>
        <v>2792685.6737844273</v>
      </c>
      <c r="J23" s="455">
        <f t="array" ref="J23">IFERROR(INDEX('Retirement Calculator'!J:J,MATCH('Isaac 401k'!N23,'Retirement Calculator'!A:A,0),0),0)</f>
        <v>31188.244538569645</v>
      </c>
      <c r="K23" s="455">
        <f t="shared" ca="1" si="2"/>
        <v>11506.239288524406</v>
      </c>
      <c r="L23" s="455">
        <f t="shared" ca="1" si="3"/>
        <v>2773003.6685343818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1482753.0323743208</v>
      </c>
      <c r="C24" s="458">
        <f t="shared" si="0"/>
        <v>94358.621030227048</v>
      </c>
      <c r="D24" s="458">
        <f ca="1">SUMIF(G:G,17,K:K)</f>
        <v>73265.460410414817</v>
      </c>
      <c r="E24" s="458">
        <f t="shared" ca="1" si="1"/>
        <v>1461659.8717545085</v>
      </c>
      <c r="F24" s="442"/>
      <c r="G24" s="470">
        <v>2</v>
      </c>
      <c r="H24" s="470">
        <v>17</v>
      </c>
      <c r="I24" s="455">
        <f t="shared" ca="1" si="5"/>
        <v>2773003.6685343818</v>
      </c>
      <c r="J24" s="455">
        <f t="array" ref="J24">IFERROR(INDEX('Retirement Calculator'!J:J,MATCH('Isaac 401k'!N24,'Retirement Calculator'!A:A,0),0),0)</f>
        <v>31188.244538569645</v>
      </c>
      <c r="K24" s="455">
        <f t="shared" ca="1" si="2"/>
        <v>11424.230933315883</v>
      </c>
      <c r="L24" s="455">
        <f t="shared" ca="1" si="3"/>
        <v>2753239.654929128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1461659.8717545085</v>
      </c>
      <c r="C25" s="458">
        <f t="shared" si="0"/>
        <v>94358.621030227048</v>
      </c>
      <c r="D25" s="458">
        <f ca="1">SUMIF(G:G,18,K:K)</f>
        <v>72186.294280781003</v>
      </c>
      <c r="E25" s="458">
        <f t="shared" ca="1" si="1"/>
        <v>1439487.5450050624</v>
      </c>
      <c r="F25" s="442"/>
      <c r="G25" s="470">
        <v>2</v>
      </c>
      <c r="H25" s="470">
        <v>18</v>
      </c>
      <c r="I25" s="455">
        <f t="shared" ca="1" si="5"/>
        <v>2753239.654929128</v>
      </c>
      <c r="J25" s="455">
        <f t="array" ref="J25">IFERROR(INDEX('Retirement Calculator'!J:J,MATCH('Isaac 401k'!N25,'Retirement Calculator'!A:A,0),0),0)</f>
        <v>31188.244538569645</v>
      </c>
      <c r="K25" s="455">
        <f t="shared" ca="1" si="2"/>
        <v>11341.880876627325</v>
      </c>
      <c r="L25" s="455">
        <f t="shared" ca="1" si="3"/>
        <v>2733393.2912671855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1439487.5450050624</v>
      </c>
      <c r="C26" s="458">
        <f t="shared" si="0"/>
        <v>94358.621030227048</v>
      </c>
      <c r="D26" s="458">
        <f ca="1">SUMIF(G:G,19,K:K)</f>
        <v>71051.915963825391</v>
      </c>
      <c r="E26" s="458">
        <f t="shared" ca="1" si="1"/>
        <v>1416180.8399386606</v>
      </c>
      <c r="F26" s="442"/>
      <c r="G26" s="470">
        <v>2</v>
      </c>
      <c r="H26" s="470">
        <v>19</v>
      </c>
      <c r="I26" s="455">
        <f t="shared" ca="1" si="5"/>
        <v>2733393.2912671855</v>
      </c>
      <c r="J26" s="455">
        <f t="array" ref="J26">IFERROR(INDEX('Retirement Calculator'!J:J,MATCH('Isaac 401k'!N26,'Retirement Calculator'!A:A,0),0),0)</f>
        <v>31188.244538569645</v>
      </c>
      <c r="K26" s="455">
        <f t="shared" ca="1" si="2"/>
        <v>11259.187694702565</v>
      </c>
      <c r="L26" s="455">
        <f t="shared" ca="1" si="3"/>
        <v>2713464.2344233184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1416180.8399386606</v>
      </c>
      <c r="C27" s="458">
        <f t="shared" si="0"/>
        <v>94358.621030227048</v>
      </c>
      <c r="D27" s="458">
        <f ca="1">SUMIF(G:G,20,K:K)</f>
        <v>69859.500699258482</v>
      </c>
      <c r="E27" s="458">
        <f t="shared" ca="1" si="1"/>
        <v>1391681.719607692</v>
      </c>
      <c r="F27" s="442"/>
      <c r="G27" s="470">
        <v>2</v>
      </c>
      <c r="H27" s="470">
        <v>20</v>
      </c>
      <c r="I27" s="455">
        <f t="shared" ca="1" si="5"/>
        <v>2713464.2344233184</v>
      </c>
      <c r="J27" s="455">
        <f t="array" ref="J27">IFERROR(INDEX('Retirement Calculator'!J:J,MATCH('Isaac 401k'!N27,'Retirement Calculator'!A:A,0),0),0)</f>
        <v>31188.244538569645</v>
      </c>
      <c r="K27" s="455">
        <f t="shared" ca="1" si="2"/>
        <v>11176.149957853118</v>
      </c>
      <c r="L27" s="455">
        <f t="shared" ca="1" si="3"/>
        <v>2693452.1398426015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1391681.719607692</v>
      </c>
      <c r="C28" s="458">
        <f t="shared" si="0"/>
        <v>94358.621030227048</v>
      </c>
      <c r="D28" s="458">
        <f ca="1">SUMIF(G:G,21,K:K)</f>
        <v>68606.079206693161</v>
      </c>
      <c r="E28" s="458">
        <f t="shared" ca="1" si="1"/>
        <v>1365929.1777841581</v>
      </c>
      <c r="F28" s="442"/>
      <c r="G28" s="470">
        <v>2</v>
      </c>
      <c r="H28" s="470">
        <v>21</v>
      </c>
      <c r="I28" s="455">
        <f t="shared" ca="1" si="5"/>
        <v>2693452.1398426015</v>
      </c>
      <c r="J28" s="455">
        <f t="array" ref="J28">IFERROR(INDEX('Retirement Calculator'!J:J,MATCH('Isaac 401k'!N28,'Retirement Calculator'!A:A,0),0),0)</f>
        <v>31188.244538569645</v>
      </c>
      <c r="K28" s="455">
        <f t="shared" ca="1" si="2"/>
        <v>11092.766230433464</v>
      </c>
      <c r="L28" s="455">
        <f t="shared" ca="1" si="3"/>
        <v>2673356.6615344649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1365929.1777841581</v>
      </c>
      <c r="C29" s="458">
        <f t="shared" si="0"/>
        <v>94358.621030227048</v>
      </c>
      <c r="D29" s="458">
        <f ca="1">SUMIF(G:G,22,K:K)</f>
        <v>67288.530291722433</v>
      </c>
      <c r="E29" s="458">
        <f t="shared" ca="1" si="1"/>
        <v>1338859.0870456535</v>
      </c>
      <c r="F29" s="442"/>
      <c r="G29" s="470">
        <v>2</v>
      </c>
      <c r="H29" s="470">
        <v>22</v>
      </c>
      <c r="I29" s="455">
        <f t="shared" ca="1" si="5"/>
        <v>2673356.6615344649</v>
      </c>
      <c r="J29" s="455">
        <f t="array" ref="J29">IFERROR(INDEX('Retirement Calculator'!J:J,MATCH('Isaac 401k'!N29,'Retirement Calculator'!A:A,0),0),0)</f>
        <v>31188.244538569645</v>
      </c>
      <c r="K29" s="455">
        <f t="shared" ca="1" si="2"/>
        <v>11009.03507081623</v>
      </c>
      <c r="L29" s="455">
        <f t="shared" ca="1" si="3"/>
        <v>2653177.4520667112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1338859.0870456535</v>
      </c>
      <c r="C30" s="458">
        <f t="shared" si="0"/>
        <v>94358.621030227048</v>
      </c>
      <c r="D30" s="458">
        <f ca="1">SUMIF(G:G,23,K:K)</f>
        <v>65903.57307370982</v>
      </c>
      <c r="E30" s="458">
        <f t="shared" ca="1" si="1"/>
        <v>1310404.0390891363</v>
      </c>
      <c r="F30" s="442"/>
      <c r="G30" s="470">
        <v>2</v>
      </c>
      <c r="H30" s="470">
        <v>23</v>
      </c>
      <c r="I30" s="455">
        <f t="shared" ca="1" si="5"/>
        <v>2653177.4520667112</v>
      </c>
      <c r="J30" s="455">
        <f t="array" ref="J30">IFERROR(INDEX('Retirement Calculator'!J:J,MATCH('Isaac 401k'!N30,'Retirement Calculator'!A:A,0),0),0)</f>
        <v>31188.244538569645</v>
      </c>
      <c r="K30" s="455">
        <f t="shared" ca="1" si="2"/>
        <v>10924.955031367255</v>
      </c>
      <c r="L30" s="455">
        <f t="shared" ca="1" si="3"/>
        <v>2632914.1625595088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1310404.0390891363</v>
      </c>
      <c r="C31" s="458">
        <f t="shared" si="0"/>
        <v>94358.621030227048</v>
      </c>
      <c r="D31" s="458">
        <f ca="1">SUMIF(G:G,24,K:K)</f>
        <v>64447.758815938643</v>
      </c>
      <c r="E31" s="458">
        <f t="shared" ca="1" si="1"/>
        <v>1280493.1768748478</v>
      </c>
      <c r="F31" s="442"/>
      <c r="G31" s="470">
        <v>2</v>
      </c>
      <c r="H31" s="470">
        <v>24</v>
      </c>
      <c r="I31" s="455">
        <f t="shared" ca="1" si="5"/>
        <v>2632914.1625595088</v>
      </c>
      <c r="J31" s="455">
        <f t="array" ref="J31">IFERROR(INDEX('Retirement Calculator'!J:J,MATCH('Isaac 401k'!N31,'Retirement Calculator'!A:A,0),0),0)</f>
        <v>31188.244538569645</v>
      </c>
      <c r="K31" s="455">
        <f t="shared" ca="1" si="2"/>
        <v>10840.52465842058</v>
      </c>
      <c r="L31" s="455">
        <f t="shared" ca="1" si="3"/>
        <v>2612566.4426793596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1280493.1768748478</v>
      </c>
      <c r="C32" s="458">
        <f t="shared" si="0"/>
        <v>94358.621030227048</v>
      </c>
      <c r="D32" s="458">
        <f ca="1">SUMIF(G:G,25,K:K)</f>
        <v>62917.462337776611</v>
      </c>
      <c r="E32" s="458">
        <f t="shared" ca="1" si="1"/>
        <v>1249052.0181823974</v>
      </c>
      <c r="F32" s="442"/>
      <c r="G32" s="470">
        <v>3</v>
      </c>
      <c r="H32" s="470">
        <v>25</v>
      </c>
      <c r="I32" s="455">
        <f t="shared" ca="1" si="5"/>
        <v>2612566.4426793596</v>
      </c>
      <c r="J32" s="455">
        <f t="array" ref="J32">IFERROR(INDEX('Retirement Calculator'!J:J,MATCH('Isaac 401k'!N32,'Retirement Calculator'!A:A,0),0),0)</f>
        <v>31188.244538569645</v>
      </c>
      <c r="K32" s="455">
        <f t="shared" ca="1" si="2"/>
        <v>10755.74249225329</v>
      </c>
      <c r="L32" s="455">
        <f t="shared" ca="1" si="3"/>
        <v>2592133.9406330432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1249052.0181823974</v>
      </c>
      <c r="C33" s="458">
        <f t="shared" si="0"/>
        <v>94358.621030227048</v>
      </c>
      <c r="D33" s="458">
        <f ca="1">SUMIF(G:G,26,K:K)</f>
        <v>61308.872987470073</v>
      </c>
      <c r="E33" s="458">
        <f t="shared" ca="1" si="1"/>
        <v>1216002.2701396404</v>
      </c>
      <c r="F33" s="442"/>
      <c r="G33" s="470">
        <v>3</v>
      </c>
      <c r="H33" s="470">
        <v>26</v>
      </c>
      <c r="I33" s="455">
        <f t="shared" ca="1" si="5"/>
        <v>2592133.9406330432</v>
      </c>
      <c r="J33" s="455">
        <f t="array" ref="J33">IFERROR(INDEX('Retirement Calculator'!J:J,MATCH('Isaac 401k'!N33,'Retirement Calculator'!A:A,0),0),0)</f>
        <v>31188.244538569645</v>
      </c>
      <c r="K33" s="455">
        <f t="shared" ca="1" si="2"/>
        <v>10670.607067060306</v>
      </c>
      <c r="L33" s="455">
        <f t="shared" ca="1" si="3"/>
        <v>2571616.3031615335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1216002.2701396404</v>
      </c>
      <c r="C34" s="458">
        <f t="shared" si="0"/>
        <v>94358.621030227048</v>
      </c>
      <c r="D34" s="458">
        <f ca="1">SUMIF(G:G,27,K:K)</f>
        <v>59617.985153089532</v>
      </c>
      <c r="E34" s="458">
        <f t="shared" ca="1" si="1"/>
        <v>1181261.6342625029</v>
      </c>
      <c r="F34" s="442"/>
      <c r="G34" s="470">
        <v>3</v>
      </c>
      <c r="H34" s="470">
        <v>27</v>
      </c>
      <c r="I34" s="455">
        <f t="shared" ca="1" si="5"/>
        <v>2571616.3031615335</v>
      </c>
      <c r="J34" s="455">
        <f t="array" ref="J34">IFERROR(INDEX('Retirement Calculator'!J:J,MATCH('Isaac 401k'!N34,'Retirement Calculator'!A:A,0),0),0)</f>
        <v>31188.244538569645</v>
      </c>
      <c r="K34" s="455">
        <f t="shared" ca="1" si="2"/>
        <v>10585.116910929015</v>
      </c>
      <c r="L34" s="455">
        <f t="shared" ca="1" si="3"/>
        <v>2551013.1755338926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1181261.6342625029</v>
      </c>
      <c r="C35" s="458">
        <f t="shared" si="0"/>
        <v>94358.621030227048</v>
      </c>
      <c r="D35" s="458">
        <f ca="1">SUMIF(G:G,28,K:K)</f>
        <v>57840.588287996936</v>
      </c>
      <c r="E35" s="458">
        <f t="shared" ca="1" si="1"/>
        <v>1144743.6015202727</v>
      </c>
      <c r="F35" s="442"/>
      <c r="G35" s="470">
        <v>3</v>
      </c>
      <c r="H35" s="470">
        <v>28</v>
      </c>
      <c r="I35" s="455">
        <f t="shared" ca="1" si="5"/>
        <v>2551013.1755338926</v>
      </c>
      <c r="J35" s="455">
        <f t="array" ref="J35">IFERROR(INDEX('Retirement Calculator'!J:J,MATCH('Isaac 401k'!N35,'Retirement Calculator'!A:A,0),0),0)</f>
        <v>31188.244538569645</v>
      </c>
      <c r="K35" s="455">
        <f t="shared" ca="1" si="2"/>
        <v>10499.270545813844</v>
      </c>
      <c r="L35" s="455">
        <f t="shared" ca="1" si="3"/>
        <v>2530324.2015411365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1144743.6015202727</v>
      </c>
      <c r="C36" s="458">
        <f t="shared" si="0"/>
        <v>94358.621030227048</v>
      </c>
      <c r="D36" s="458">
        <f ca="1">SUMIF(G:G,29,K:K)</f>
        <v>55972.25642599714</v>
      </c>
      <c r="E36" s="458">
        <f t="shared" ca="1" si="1"/>
        <v>1106357.2369160429</v>
      </c>
      <c r="F36" s="442"/>
      <c r="G36" s="470">
        <v>3</v>
      </c>
      <c r="H36" s="470">
        <v>29</v>
      </c>
      <c r="I36" s="455">
        <f t="shared" ca="1" si="5"/>
        <v>2530324.2015411365</v>
      </c>
      <c r="J36" s="455">
        <f t="array" ref="J36">IFERROR(INDEX('Retirement Calculator'!J:J,MATCH('Isaac 401k'!N36,'Retirement Calculator'!A:A,0),0),0)</f>
        <v>31188.244538569645</v>
      </c>
      <c r="K36" s="455">
        <f t="shared" ca="1" si="2"/>
        <v>10413.066487510694</v>
      </c>
      <c r="L36" s="455">
        <f t="shared" ca="1" si="3"/>
        <v>2509549.0234900774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1106357.2369160429</v>
      </c>
      <c r="C37" s="458">
        <f t="shared" si="0"/>
        <v>94358.621030227048</v>
      </c>
      <c r="D37" s="458">
        <f ca="1">SUMIF(G:G,30,K:K)</f>
        <v>54008.337160064548</v>
      </c>
      <c r="E37" s="458">
        <f t="shared" ca="1" si="1"/>
        <v>1066006.9530458804</v>
      </c>
      <c r="F37" s="442"/>
      <c r="G37" s="470">
        <v>3</v>
      </c>
      <c r="H37" s="470">
        <v>30</v>
      </c>
      <c r="I37" s="455">
        <f t="shared" ca="1" si="5"/>
        <v>2509549.0234900774</v>
      </c>
      <c r="J37" s="455">
        <f t="array" ref="J37">IFERROR(INDEX('Retirement Calculator'!J:J,MATCH('Isaac 401k'!N37,'Retirement Calculator'!A:A,0),0),0)</f>
        <v>31188.244538569645</v>
      </c>
      <c r="K37" s="455">
        <f t="shared" ca="1" si="2"/>
        <v>10326.503245631282</v>
      </c>
      <c r="L37" s="455">
        <f t="shared" ca="1" si="3"/>
        <v>2488687.2821971388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1066006.9530458804</v>
      </c>
      <c r="C38" s="458">
        <f t="shared" si="0"/>
        <v>94358.621030227048</v>
      </c>
      <c r="D38" s="458">
        <f ca="1">SUMIF(G:G,31,K:K)</f>
        <v>51943.940057200336</v>
      </c>
      <c r="E38" s="458">
        <f t="shared" ca="1" si="1"/>
        <v>1023592.2720728538</v>
      </c>
      <c r="F38" s="442"/>
      <c r="G38" s="470">
        <v>3</v>
      </c>
      <c r="H38" s="470">
        <v>31</v>
      </c>
      <c r="I38" s="455">
        <f t="shared" ca="1" si="5"/>
        <v>2488687.2821971388</v>
      </c>
      <c r="J38" s="455">
        <f t="array" ref="J38">IFERROR(INDEX('Retirement Calculator'!J:J,MATCH('Isaac 401k'!N38,'Retirement Calculator'!A:A,0),0),0)</f>
        <v>31188.244538569645</v>
      </c>
      <c r="K38" s="455">
        <f t="shared" ca="1" si="2"/>
        <v>10239.579323577371</v>
      </c>
      <c r="L38" s="455">
        <f t="shared" ca="1" si="3"/>
        <v>2467738.6169821462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1023592.2720728538</v>
      </c>
      <c r="C39" s="458">
        <f t="shared" si="0"/>
        <v>94358.621030227048</v>
      </c>
      <c r="D39" s="458">
        <f ca="1">SUMIF(G:G,32,K:K)</f>
        <v>49773.924480572052</v>
      </c>
      <c r="E39" s="458">
        <f t="shared" ca="1" si="1"/>
        <v>979007.57552319882</v>
      </c>
      <c r="F39" s="442"/>
      <c r="G39" s="470">
        <v>3</v>
      </c>
      <c r="H39" s="470">
        <v>32</v>
      </c>
      <c r="I39" s="455">
        <f t="shared" ca="1" si="5"/>
        <v>2467738.6169821462</v>
      </c>
      <c r="J39" s="455">
        <f t="array" ref="J39">IFERROR(INDEX('Retirement Calculator'!J:J,MATCH('Isaac 401k'!N39,'Retirement Calculator'!A:A,0),0),0)</f>
        <v>31188.244538569645</v>
      </c>
      <c r="K39" s="455">
        <f t="shared" ca="1" si="2"/>
        <v>10152.293218514902</v>
      </c>
      <c r="L39" s="455">
        <f t="shared" ca="1" si="3"/>
        <v>2446702.6656620912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979007.57552319882</v>
      </c>
      <c r="C40" s="458">
        <f t="shared" si="0"/>
        <v>94358.621030227048</v>
      </c>
      <c r="D40" s="458">
        <f ca="1">SUMIF(G:G,33,K:K)</f>
        <v>47492.886788610522</v>
      </c>
      <c r="E40" s="458">
        <f t="shared" ca="1" si="1"/>
        <v>932141.84128158225</v>
      </c>
      <c r="F40" s="442"/>
      <c r="G40" s="470">
        <v>3</v>
      </c>
      <c r="H40" s="470">
        <v>33</v>
      </c>
      <c r="I40" s="455">
        <f t="shared" ca="1" si="5"/>
        <v>2446702.6656620912</v>
      </c>
      <c r="J40" s="455">
        <f t="array" ref="J40">IFERROR(INDEX('Retirement Calculator'!J:J,MATCH('Isaac 401k'!N40,'Retirement Calculator'!A:A,0),0),0)</f>
        <v>31188.244538569645</v>
      </c>
      <c r="K40" s="455">
        <f t="shared" ca="1" si="2"/>
        <v>10064.643421348006</v>
      </c>
      <c r="L40" s="455">
        <f t="shared" ca="1" si="3"/>
        <v>2425579.0645448696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932141.84128158225</v>
      </c>
      <c r="C41" s="458">
        <f t="shared" si="0"/>
        <v>94358.621030227048</v>
      </c>
      <c r="D41" s="458">
        <f ca="1">SUMIF(G:G,34,K:K)</f>
        <v>45095.146879188476</v>
      </c>
      <c r="E41" s="458">
        <f t="shared" ca="1" si="1"/>
        <v>882878.36713054369</v>
      </c>
      <c r="F41" s="442"/>
      <c r="G41" s="470">
        <v>3</v>
      </c>
      <c r="H41" s="470">
        <v>34</v>
      </c>
      <c r="I41" s="455">
        <f t="shared" ca="1" si="5"/>
        <v>2425579.0645448696</v>
      </c>
      <c r="J41" s="455">
        <f t="array" ref="J41">IFERROR(INDEX('Retirement Calculator'!J:J,MATCH('Isaac 401k'!N41,'Retirement Calculator'!A:A,0),0),0)</f>
        <v>31188.244538569645</v>
      </c>
      <c r="K41" s="455">
        <f t="shared" ca="1" si="2"/>
        <v>9976.6284166929163</v>
      </c>
      <c r="L41" s="455">
        <f t="shared" ca="1" si="3"/>
        <v>2404367.4484229926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882878.36713054369</v>
      </c>
      <c r="C42" s="458">
        <f t="shared" si="0"/>
        <v>94358.621030227048</v>
      </c>
      <c r="D42" s="458">
        <f ca="1">SUMIF(G:G,35,K:K)</f>
        <v>42574.734045373632</v>
      </c>
      <c r="E42" s="458">
        <f t="shared" ca="1" si="1"/>
        <v>831094.48014569026</v>
      </c>
      <c r="F42" s="442"/>
      <c r="G42" s="470">
        <v>3</v>
      </c>
      <c r="H42" s="470">
        <v>35</v>
      </c>
      <c r="I42" s="455">
        <f t="shared" ca="1" si="5"/>
        <v>2404367.4484229926</v>
      </c>
      <c r="J42" s="455">
        <f t="array" ref="J42">IFERROR(INDEX('Retirement Calculator'!J:J,MATCH('Isaac 401k'!N42,'Retirement Calculator'!A:A,0),0),0)</f>
        <v>31188.244538569645</v>
      </c>
      <c r="K42" s="455">
        <f t="shared" ca="1" si="2"/>
        <v>9888.2466828517609</v>
      </c>
      <c r="L42" s="455">
        <f t="shared" ca="1" si="3"/>
        <v>2383067.4505672744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831094.48014569026</v>
      </c>
      <c r="C43" s="458">
        <f t="shared" si="0"/>
        <v>94358.621030227048</v>
      </c>
      <c r="D43" s="458">
        <f ca="1">SUMIF(G:G,36,K:K)</f>
        <v>39925.372107535339</v>
      </c>
      <c r="E43" s="458">
        <f t="shared" ca="1" si="1"/>
        <v>776661.23122299858</v>
      </c>
      <c r="F43" s="442"/>
      <c r="G43" s="470">
        <v>3</v>
      </c>
      <c r="H43" s="470">
        <v>36</v>
      </c>
      <c r="I43" s="455">
        <f t="shared" ca="1" si="5"/>
        <v>2383067.4505672744</v>
      </c>
      <c r="J43" s="455">
        <f t="array" ref="J43">IFERROR(INDEX('Retirement Calculator'!J:J,MATCH('Isaac 401k'!N43,'Retirement Calculator'!A:A,0),0),0)</f>
        <v>31188.244538569645</v>
      </c>
      <c r="K43" s="455">
        <f t="shared" ca="1" si="2"/>
        <v>9799.4966917862694</v>
      </c>
      <c r="L43" s="455">
        <f t="shared" ca="1" si="3"/>
        <v>2361678.7027204907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776661.23122299858</v>
      </c>
      <c r="C44" s="458">
        <f t="shared" si="0"/>
        <v>94358.621030227048</v>
      </c>
      <c r="D44" s="458">
        <f ca="1">SUMIF(G:G,37,K:K)</f>
        <v>37140.463784781597</v>
      </c>
      <c r="E44" s="458">
        <f t="shared" ca="1" si="1"/>
        <v>719443.07397755317</v>
      </c>
      <c r="F44" s="442"/>
      <c r="G44" s="470">
        <v>4</v>
      </c>
      <c r="H44" s="470">
        <v>37</v>
      </c>
      <c r="I44" s="455">
        <f t="shared" ca="1" si="5"/>
        <v>2361678.7027204907</v>
      </c>
      <c r="J44" s="455">
        <f t="array" ref="J44">IFERROR(INDEX('Retirement Calculator'!J:J,MATCH('Isaac 401k'!N44,'Retirement Calculator'!A:A,0),0),0)</f>
        <v>31188.244538569645</v>
      </c>
      <c r="K44" s="455">
        <f t="shared" ca="1" si="2"/>
        <v>9710.3769090913374</v>
      </c>
      <c r="L44" s="455">
        <f t="shared" ca="1" si="3"/>
        <v>2340200.8350910121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719443.07397755317</v>
      </c>
      <c r="C45" s="458">
        <f t="shared" si="0"/>
        <v>94358.621030227048</v>
      </c>
      <c r="D45" s="458">
        <f ca="1">SUMIF(G:G,38,K:K)</f>
        <v>34213.074266809163</v>
      </c>
      <c r="E45" s="458">
        <f t="shared" ca="1" si="1"/>
        <v>659297.52721413528</v>
      </c>
      <c r="F45" s="442"/>
      <c r="G45" s="470">
        <v>4</v>
      </c>
      <c r="H45" s="470">
        <v>38</v>
      </c>
      <c r="I45" s="455">
        <f t="shared" ca="1" si="5"/>
        <v>2340200.8350910121</v>
      </c>
      <c r="J45" s="455">
        <f t="array" ref="J45">IFERROR(INDEX('Retirement Calculator'!J:J,MATCH('Isaac 401k'!N45,'Retirement Calculator'!A:A,0),0),0)</f>
        <v>31188.244538569645</v>
      </c>
      <c r="K45" s="455">
        <f t="shared" ca="1" si="2"/>
        <v>9620.8857939685095</v>
      </c>
      <c r="L45" s="455">
        <f t="shared" ca="1" si="3"/>
        <v>2318633.4763464108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659297.52721413528</v>
      </c>
      <c r="C46" s="458">
        <f t="shared" si="0"/>
        <v>94358.621030227048</v>
      </c>
      <c r="D46" s="458">
        <f ca="1">SUMIF(G:G,39,K:K)</f>
        <v>31135.913945258148</v>
      </c>
      <c r="E46" s="458">
        <f t="shared" ca="1" si="1"/>
        <v>596074.82012916636</v>
      </c>
      <c r="F46" s="442"/>
      <c r="G46" s="470">
        <v>4</v>
      </c>
      <c r="H46" s="470">
        <v>39</v>
      </c>
      <c r="I46" s="455">
        <f t="shared" ca="1" si="5"/>
        <v>2318633.4763464108</v>
      </c>
      <c r="J46" s="455">
        <f t="array" ref="J46">IFERROR(INDEX('Retirement Calculator'!J:J,MATCH('Isaac 401k'!N46,'Retirement Calculator'!A:A,0),0),0)</f>
        <v>31188.244538569645</v>
      </c>
      <c r="K46" s="455">
        <f t="shared" ca="1" si="2"/>
        <v>9531.0217991993377</v>
      </c>
      <c r="L46" s="455">
        <f t="shared" ca="1" si="3"/>
        <v>2296976.2536070403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596074.82012916636</v>
      </c>
      <c r="C47" s="458">
        <f t="shared" si="0"/>
        <v>94358.621030227048</v>
      </c>
      <c r="D47" s="458">
        <f ca="1">SUMIF(G:G,40,K:K)</f>
        <v>27901.320261570228</v>
      </c>
      <c r="E47" s="458">
        <f t="shared" ca="1" si="1"/>
        <v>529617.51936050958</v>
      </c>
      <c r="F47" s="442"/>
      <c r="G47" s="470">
        <v>4</v>
      </c>
      <c r="H47" s="470">
        <v>40</v>
      </c>
      <c r="I47" s="455">
        <f t="shared" ca="1" si="5"/>
        <v>2296976.2536070403</v>
      </c>
      <c r="J47" s="455">
        <f t="array" ref="J47">IFERROR(INDEX('Retirement Calculator'!J:J,MATCH('Isaac 401k'!N47,'Retirement Calculator'!A:A,0),0),0)</f>
        <v>31188.244538569645</v>
      </c>
      <c r="K47" s="455">
        <f t="shared" ca="1" si="2"/>
        <v>9440.7833711186267</v>
      </c>
      <c r="L47" s="455">
        <f t="shared" ca="1" si="3"/>
        <v>2275228.7924395893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529617.51936050958</v>
      </c>
      <c r="C48" s="458">
        <f t="shared" si="0"/>
        <v>94358.621030227048</v>
      </c>
      <c r="D48" s="458">
        <f ca="1">SUMIF(G:G,41,K:K)</f>
        <v>24501.238626148555</v>
      </c>
      <c r="E48" s="458">
        <f t="shared" ca="1" si="1"/>
        <v>459760.13695643109</v>
      </c>
      <c r="F48" s="442"/>
      <c r="G48" s="470">
        <v>4</v>
      </c>
      <c r="H48" s="470">
        <v>41</v>
      </c>
      <c r="I48" s="455">
        <f t="shared" ca="1" si="5"/>
        <v>2275228.7924395893</v>
      </c>
      <c r="J48" s="455">
        <f t="array" ref="J48">IFERROR(INDEX('Retirement Calculator'!J:J,MATCH('Isaac 401k'!N48,'Retirement Calculator'!A:A,0),0),0)</f>
        <v>31188.244538569645</v>
      </c>
      <c r="K48" s="455">
        <f t="shared" ca="1" si="2"/>
        <v>9350.1689495875817</v>
      </c>
      <c r="L48" s="455">
        <f t="shared" ca="1" si="3"/>
        <v>2253390.7168506072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459760.13695643109</v>
      </c>
      <c r="C49" s="458">
        <f t="shared" si="0"/>
        <v>94358.621030227048</v>
      </c>
      <c r="D49" s="458">
        <f ca="1">SUMIF(G:G,42,K:K)</f>
        <v>20927.202361305906</v>
      </c>
      <c r="E49" s="458">
        <f t="shared" ca="1" si="1"/>
        <v>386328.71828750992</v>
      </c>
      <c r="F49" s="442"/>
      <c r="G49" s="470">
        <v>4</v>
      </c>
      <c r="H49" s="470">
        <v>42</v>
      </c>
      <c r="I49" s="455">
        <f t="shared" ca="1" si="5"/>
        <v>2253390.7168506072</v>
      </c>
      <c r="J49" s="455">
        <f t="array" ref="J49">IFERROR(INDEX('Retirement Calculator'!J:J,MATCH('Isaac 401k'!N49,'Retirement Calculator'!A:A,0),0),0)</f>
        <v>31188.244538569645</v>
      </c>
      <c r="K49" s="455">
        <f t="shared" ca="1" si="2"/>
        <v>9259.1769679668214</v>
      </c>
      <c r="L49" s="455">
        <f t="shared" ca="1" si="3"/>
        <v>2231461.6492800042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386328.71828750992</v>
      </c>
      <c r="C50" s="458">
        <f t="shared" si="0"/>
        <v>94358.621030227048</v>
      </c>
      <c r="D50" s="458">
        <f ca="1">SUMIF(G:G,43,K:K)</f>
        <v>17170.311618055748</v>
      </c>
      <c r="E50" s="458">
        <f t="shared" ca="1" si="1"/>
        <v>309140.40887533862</v>
      </c>
      <c r="F50" s="442"/>
      <c r="G50" s="470">
        <v>4</v>
      </c>
      <c r="H50" s="470">
        <v>43</v>
      </c>
      <c r="I50" s="455">
        <f t="shared" ca="1" si="5"/>
        <v>2231461.6492800042</v>
      </c>
      <c r="J50" s="455">
        <f t="array" ref="J50">IFERROR(INDEX('Retirement Calculator'!J:J,MATCH('Isaac 401k'!N50,'Retirement Calculator'!A:A,0),0),0)</f>
        <v>30565.244538569641</v>
      </c>
      <c r="K50" s="455">
        <f t="shared" ca="1" si="2"/>
        <v>9170.4016864226433</v>
      </c>
      <c r="L50" s="455">
        <f t="shared" ca="1" si="3"/>
        <v>2210066.8064278569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309140.40887533862</v>
      </c>
      <c r="C51" s="458">
        <f t="shared" si="0"/>
        <v>94358.621030227048</v>
      </c>
      <c r="D51" s="458">
        <f ca="1">SUMIF(G:G,44,K:K)</f>
        <v>13221.211214246609</v>
      </c>
      <c r="E51" s="458">
        <f t="shared" ca="1" si="1"/>
        <v>228002.99905935818</v>
      </c>
      <c r="F51" s="442"/>
      <c r="G51" s="470">
        <v>4</v>
      </c>
      <c r="H51" s="470">
        <v>44</v>
      </c>
      <c r="I51" s="455">
        <f t="shared" ca="1" si="5"/>
        <v>2210066.8064278569</v>
      </c>
      <c r="J51" s="455">
        <f t="array" ref="J51">IFERROR(INDEX('Retirement Calculator'!J:J,MATCH('Isaac 401k'!N51,'Retirement Calculator'!A:A,0),0),0)</f>
        <v>30565.244538569641</v>
      </c>
      <c r="K51" s="455">
        <f t="shared" ca="1" si="2"/>
        <v>9081.256507872029</v>
      </c>
      <c r="L51" s="455">
        <f t="shared" ca="1" si="3"/>
        <v>2188582.8183971592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228002.99905935818</v>
      </c>
      <c r="C52" s="458">
        <f t="shared" si="0"/>
        <v>94358.621030227048</v>
      </c>
      <c r="D52" s="458">
        <f ca="1">SUMIF(G:G,45,K:K)</f>
        <v>9070.0673388530849</v>
      </c>
      <c r="E52" s="458">
        <f t="shared" ca="1" si="1"/>
        <v>142714.44536798421</v>
      </c>
      <c r="F52" s="442"/>
      <c r="G52" s="470">
        <v>4</v>
      </c>
      <c r="H52" s="470">
        <v>45</v>
      </c>
      <c r="I52" s="455">
        <f t="shared" ca="1" si="5"/>
        <v>2188582.8183971592</v>
      </c>
      <c r="J52" s="455">
        <f t="array" ref="J52">IFERROR(INDEX('Retirement Calculator'!J:J,MATCH('Isaac 401k'!N52,'Retirement Calculator'!A:A,0),0),0)</f>
        <v>30565.244538569641</v>
      </c>
      <c r="K52" s="455">
        <f t="shared" ca="1" si="2"/>
        <v>8991.7398910774555</v>
      </c>
      <c r="L52" s="455">
        <f t="shared" ca="1" si="3"/>
        <v>2167009.3137496668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142714.44536798421</v>
      </c>
      <c r="C53" s="458">
        <f t="shared" si="0"/>
        <v>94358.621030227048</v>
      </c>
      <c r="D53" s="458">
        <f ca="1">SUMIF(G:G,46,K:K)</f>
        <v>4706.5430644142943</v>
      </c>
      <c r="E53" s="458">
        <f t="shared" ca="1" si="1"/>
        <v>53062.367402171454</v>
      </c>
      <c r="F53" s="442"/>
      <c r="G53" s="470">
        <v>4</v>
      </c>
      <c r="H53" s="470">
        <v>46</v>
      </c>
      <c r="I53" s="455">
        <f t="shared" ca="1" si="5"/>
        <v>2167009.3137496668</v>
      </c>
      <c r="J53" s="455">
        <f t="array" ref="J53">IFERROR(INDEX('Retirement Calculator'!J:J,MATCH('Isaac 401k'!N53,'Retirement Calculator'!A:A,0),0),0)</f>
        <v>30565.244538569641</v>
      </c>
      <c r="K53" s="455">
        <f t="shared" ca="1" si="2"/>
        <v>8901.85028837957</v>
      </c>
      <c r="L53" s="455">
        <f t="shared" ca="1" si="3"/>
        <v>2145345.9194994764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53062.367402171454</v>
      </c>
      <c r="C54" s="458">
        <f t="shared" si="0"/>
        <v>94358.621030227048</v>
      </c>
      <c r="D54" s="458">
        <f ca="1">SUMIF(G:G,47,K:K)</f>
        <v>119.77260664220017</v>
      </c>
      <c r="E54" s="458">
        <f t="shared" ca="1" si="1"/>
        <v>-41176.48102141339</v>
      </c>
      <c r="F54" s="442"/>
      <c r="G54" s="470">
        <v>4</v>
      </c>
      <c r="H54" s="470">
        <v>47</v>
      </c>
      <c r="I54" s="455">
        <f t="shared" ca="1" si="5"/>
        <v>2145345.9194994764</v>
      </c>
      <c r="J54" s="455">
        <f t="array" ref="J54">IFERROR(INDEX('Retirement Calculator'!J:J,MATCH('Isaac 401k'!N54,'Retirement Calculator'!A:A,0),0),0)</f>
        <v>30565.244538569641</v>
      </c>
      <c r="K54" s="455">
        <f t="shared" ca="1" si="2"/>
        <v>8811.5861456704442</v>
      </c>
      <c r="L54" s="455">
        <f t="shared" ca="1" si="3"/>
        <v>2123592.2611065772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-41176.48102141339</v>
      </c>
      <c r="C55" s="458">
        <f t="shared" si="0"/>
        <v>94358.621030227048</v>
      </c>
      <c r="D55" s="458">
        <f ca="1">SUMIF(G:G,48,K:K)</f>
        <v>-4701.6657328973815</v>
      </c>
      <c r="E55" s="458">
        <f t="shared" ca="1" si="1"/>
        <v>-140236.76778453783</v>
      </c>
      <c r="F55" s="442"/>
      <c r="G55" s="470">
        <v>4</v>
      </c>
      <c r="H55" s="470">
        <v>48</v>
      </c>
      <c r="I55" s="455">
        <f t="shared" ca="1" si="5"/>
        <v>2123592.2611065772</v>
      </c>
      <c r="J55" s="455">
        <f t="array" ref="J55">IFERROR(INDEX('Retirement Calculator'!J:J,MATCH('Isaac 401k'!N55,'Retirement Calculator'!A:A,0),0),0)</f>
        <v>30565.244538569641</v>
      </c>
      <c r="K55" s="455">
        <f t="shared" ca="1" si="2"/>
        <v>8720.9459023666986</v>
      </c>
      <c r="L55" s="455">
        <f t="shared" ca="1" si="3"/>
        <v>2101747.9624703745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-140236.76778453783</v>
      </c>
      <c r="C56" s="458">
        <f t="shared" si="0"/>
        <v>94358.621030227048</v>
      </c>
      <c r="D56" s="458">
        <f ca="1">SUMIF(G:G,49,K:K)</f>
        <v>-9769.7780084075566</v>
      </c>
      <c r="E56" s="458">
        <f t="shared" ca="1" si="1"/>
        <v>-244365.16682317245</v>
      </c>
      <c r="F56" s="442"/>
      <c r="G56" s="470">
        <f>G55+1</f>
        <v>5</v>
      </c>
      <c r="H56" s="470">
        <v>49</v>
      </c>
      <c r="I56" s="455">
        <f t="shared" ca="1" si="5"/>
        <v>2101747.9624703745</v>
      </c>
      <c r="J56" s="455">
        <f t="array" ref="J56">IFERROR(INDEX('Retirement Calculator'!J:J,MATCH('Isaac 401k'!N56,'Retirement Calculator'!A:A,0),0),0)</f>
        <v>30565.244538569641</v>
      </c>
      <c r="K56" s="455">
        <f t="shared" ca="1" si="2"/>
        <v>8629.9279913825194</v>
      </c>
      <c r="L56" s="455">
        <f t="shared" ca="1" si="3"/>
        <v>2079812.6459231875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-244365.16682317245</v>
      </c>
      <c r="C57" s="458">
        <f t="shared" si="0"/>
        <v>94358.621030227048</v>
      </c>
      <c r="D57" s="458">
        <f ca="1">SUMIF(G:G,50,K:K)</f>
        <v>-15097.184526610545</v>
      </c>
      <c r="E57" s="458">
        <f t="shared" ca="1" si="1"/>
        <v>-353820.97238001006</v>
      </c>
      <c r="F57" s="442"/>
      <c r="G57" s="470">
        <f t="shared" ref="G57:G67" si="8">G56</f>
        <v>5</v>
      </c>
      <c r="H57" s="470">
        <v>50</v>
      </c>
      <c r="I57" s="455">
        <f t="shared" ca="1" si="5"/>
        <v>2079812.6459231875</v>
      </c>
      <c r="J57" s="455">
        <f t="array" ref="J57">IFERROR(INDEX('Retirement Calculator'!J:J,MATCH('Isaac 401k'!N57,'Retirement Calculator'!A:A,0),0),0)</f>
        <v>30565.244538569641</v>
      </c>
      <c r="K57" s="455">
        <f t="shared" ca="1" si="2"/>
        <v>8538.5308391025737</v>
      </c>
      <c r="L57" s="455">
        <f t="shared" ca="1" si="3"/>
        <v>2057785.9322237205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-353820.97238001006</v>
      </c>
      <c r="C58" s="458">
        <f t="shared" si="0"/>
        <v>94358.621030227048</v>
      </c>
      <c r="D58" s="458">
        <f ca="1">SUMIF(G:G,51,K:K)</f>
        <v>-20697.151273072326</v>
      </c>
      <c r="E58" s="458">
        <f t="shared" ca="1" si="1"/>
        <v>-468876.74468330946</v>
      </c>
      <c r="F58" s="442"/>
      <c r="G58" s="470">
        <f t="shared" si="8"/>
        <v>5</v>
      </c>
      <c r="H58" s="470">
        <v>51</v>
      </c>
      <c r="I58" s="455">
        <f t="shared" ca="1" si="5"/>
        <v>2057785.9322237205</v>
      </c>
      <c r="J58" s="455">
        <f t="array" ref="J58">IFERROR(INDEX('Retirement Calculator'!J:J,MATCH('Isaac 401k'!N58,'Retirement Calculator'!A:A,0),0),0)</f>
        <v>30565.244538569641</v>
      </c>
      <c r="K58" s="455">
        <f t="shared" ca="1" si="2"/>
        <v>8446.7528653547961</v>
      </c>
      <c r="L58" s="455">
        <f t="shared" ca="1" si="3"/>
        <v>2035667.4405505056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-468876.74468330946</v>
      </c>
      <c r="C59" s="458">
        <f t="shared" si="0"/>
        <v>94358.621030227048</v>
      </c>
      <c r="D59" s="458">
        <f ca="1">SUMIF(G:G,52,K:K)</f>
        <v>-26583.622946357682</v>
      </c>
      <c r="E59" s="458">
        <f t="shared" ca="1" si="1"/>
        <v>-589818.98865989421</v>
      </c>
      <c r="F59" s="442"/>
      <c r="G59" s="470">
        <f t="shared" si="8"/>
        <v>5</v>
      </c>
      <c r="H59" s="470">
        <v>52</v>
      </c>
      <c r="I59" s="455">
        <f t="shared" ca="1" si="5"/>
        <v>2035667.4405505056</v>
      </c>
      <c r="J59" s="455">
        <f t="array" ref="J59">IFERROR(INDEX('Retirement Calculator'!J:J,MATCH('Isaac 401k'!N59,'Retirement Calculator'!A:A,0),0),0)</f>
        <v>30565.244538569641</v>
      </c>
      <c r="K59" s="455">
        <f t="shared" ca="1" si="2"/>
        <v>8354.5924833830668</v>
      </c>
      <c r="L59" s="455">
        <f t="shared" ca="1" si="3"/>
        <v>2013456.7884953192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-589818.98865989421</v>
      </c>
      <c r="C60" s="458">
        <f t="shared" si="0"/>
        <v>94358.621030227048</v>
      </c>
      <c r="D60" s="458">
        <f ca="1">SUMIF(G:G,53,K:K)</f>
        <v>-32771.257682275391</v>
      </c>
      <c r="E60" s="458">
        <f t="shared" ca="1" si="1"/>
        <v>-716948.86737239663</v>
      </c>
      <c r="F60" s="442"/>
      <c r="G60" s="470">
        <f t="shared" si="8"/>
        <v>5</v>
      </c>
      <c r="H60" s="470">
        <v>53</v>
      </c>
      <c r="I60" s="455">
        <f t="shared" ca="1" si="5"/>
        <v>2013456.7884953192</v>
      </c>
      <c r="J60" s="455">
        <f t="array" ref="J60">IFERROR(INDEX('Retirement Calculator'!J:J,MATCH('Isaac 401k'!N60,'Retirement Calculator'!A:A,0),0),0)</f>
        <v>30565.244538569641</v>
      </c>
      <c r="K60" s="455">
        <f t="shared" ca="1" si="2"/>
        <v>8262.0480998197891</v>
      </c>
      <c r="L60" s="455">
        <f t="shared" ca="1" si="3"/>
        <v>1991153.5920565694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-716948.86737239663</v>
      </c>
      <c r="C61" s="458">
        <f t="shared" si="0"/>
        <v>94358.621030227048</v>
      </c>
      <c r="D61" s="458">
        <f ca="1">SUMIF(G:G,54,K:K)</f>
        <v>-39275.463554681584</v>
      </c>
      <c r="E61" s="458">
        <f t="shared" ca="1" si="1"/>
        <v>-850582.95195730531</v>
      </c>
      <c r="F61" s="442"/>
      <c r="G61" s="470">
        <f t="shared" si="8"/>
        <v>5</v>
      </c>
      <c r="H61" s="470">
        <v>54</v>
      </c>
      <c r="I61" s="455">
        <f t="shared" ca="1" si="5"/>
        <v>1991153.5920565694</v>
      </c>
      <c r="J61" s="455">
        <f t="array" ref="J61">IFERROR(INDEX('Retirement Calculator'!J:J,MATCH('Isaac 401k'!N61,'Retirement Calculator'!A:A,0),0),0)</f>
        <v>30565.244538569641</v>
      </c>
      <c r="K61" s="455">
        <f t="shared" ca="1" si="2"/>
        <v>8169.1181146583322</v>
      </c>
      <c r="L61" s="455">
        <f t="shared" ca="1" si="3"/>
        <v>1968757.4656326582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-850582.95195730531</v>
      </c>
      <c r="C62" s="458">
        <f t="shared" si="0"/>
        <v>94358.621030227048</v>
      </c>
      <c r="D62" s="458">
        <f ca="1">SUMIF(G:G,55,K:K)</f>
        <v>-46112.436943733592</v>
      </c>
      <c r="E62" s="458">
        <f t="shared" ca="1" si="1"/>
        <v>-991054.00993126596</v>
      </c>
      <c r="F62" s="442"/>
      <c r="G62" s="470">
        <f t="shared" si="8"/>
        <v>5</v>
      </c>
      <c r="H62" s="470">
        <v>55</v>
      </c>
      <c r="I62" s="455">
        <f t="shared" ca="1" si="5"/>
        <v>1968757.4656326582</v>
      </c>
      <c r="J62" s="455">
        <f t="array" ref="J62">IFERROR(INDEX('Retirement Calculator'!J:J,MATCH('Isaac 401k'!N62,'Retirement Calculator'!A:A,0),0),0)</f>
        <v>30565.244538569641</v>
      </c>
      <c r="K62" s="455">
        <f t="shared" ca="1" si="2"/>
        <v>8075.8009212253692</v>
      </c>
      <c r="L62" s="455">
        <f t="shared" ca="1" si="3"/>
        <v>1946268.0220153141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-991054.00993126596</v>
      </c>
      <c r="C63" s="458">
        <f t="shared" si="0"/>
        <v>94358.621030227048</v>
      </c>
      <c r="D63" s="458">
        <f ca="1">SUMIF(G:G,56,K:K)</f>
        <v>-53299.202867136395</v>
      </c>
      <c r="E63" s="458">
        <f t="shared" ca="1" si="1"/>
        <v>-1138711.8338286295</v>
      </c>
      <c r="F63" s="442"/>
      <c r="G63" s="470">
        <f t="shared" si="8"/>
        <v>5</v>
      </c>
      <c r="H63" s="470">
        <v>56</v>
      </c>
      <c r="I63" s="455">
        <f t="shared" ca="1" si="5"/>
        <v>1946268.0220153141</v>
      </c>
      <c r="J63" s="455">
        <f t="array" ref="J63">IFERROR(INDEX('Retirement Calculator'!J:J,MATCH('Isaac 401k'!N63,'Retirement Calculator'!A:A,0),0),0)</f>
        <v>30565.244538569641</v>
      </c>
      <c r="K63" s="455">
        <f t="shared" ca="1" si="2"/>
        <v>7982.0949061531019</v>
      </c>
      <c r="L63" s="455">
        <f t="shared" ca="1" si="3"/>
        <v>1923684.8723828977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-1138711.8338286295</v>
      </c>
      <c r="C64" s="458">
        <f t="shared" si="0"/>
        <v>94358.621030227048</v>
      </c>
      <c r="D64" s="458">
        <f ca="1">SUMIF(G:G,57,K:K)</f>
        <v>-60853.657374812276</v>
      </c>
      <c r="E64" s="458">
        <f t="shared" ca="1" si="1"/>
        <v>-1293924.1122336688</v>
      </c>
      <c r="F64" s="442"/>
      <c r="G64" s="470">
        <f t="shared" si="8"/>
        <v>5</v>
      </c>
      <c r="H64" s="470">
        <v>57</v>
      </c>
      <c r="I64" s="455">
        <f t="shared" ca="1" si="5"/>
        <v>1923684.8723828977</v>
      </c>
      <c r="J64" s="455">
        <f t="array" ref="J64">IFERROR(INDEX('Retirement Calculator'!J:J,MATCH('Isaac 401k'!N64,'Retirement Calculator'!A:A,0),0),0)</f>
        <v>30565.244538569641</v>
      </c>
      <c r="K64" s="455">
        <f t="shared" ca="1" si="2"/>
        <v>7887.9984493513666</v>
      </c>
      <c r="L64" s="455">
        <f t="shared" ca="1" si="3"/>
        <v>1901007.6262936795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-1293924.1122336688</v>
      </c>
      <c r="C65" s="458">
        <f t="shared" si="0"/>
        <v>94358.621030227048</v>
      </c>
      <c r="D65" s="458">
        <f ca="1">SUMIF(G:G,58,K:K)</f>
        <v>-68794.612112562056</v>
      </c>
      <c r="E65" s="458">
        <f t="shared" ca="1" si="1"/>
        <v>-1457077.345376458</v>
      </c>
      <c r="F65" s="442"/>
      <c r="G65" s="470">
        <f t="shared" si="8"/>
        <v>5</v>
      </c>
      <c r="H65" s="470">
        <v>58</v>
      </c>
      <c r="I65" s="455">
        <f t="shared" ca="1" si="5"/>
        <v>1901007.6262936795</v>
      </c>
      <c r="J65" s="455">
        <f t="array" ref="J65">IFERROR(INDEX('Retirement Calculator'!J:J,MATCH('Isaac 401k'!N65,'Retirement Calculator'!A:A,0),0),0)</f>
        <v>30565.244538569641</v>
      </c>
      <c r="K65" s="455">
        <f t="shared" ca="1" si="2"/>
        <v>7793.5099239796236</v>
      </c>
      <c r="L65" s="455">
        <f t="shared" ca="1" si="3"/>
        <v>1878235.8916790895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-1457077.345376458</v>
      </c>
      <c r="C66" s="458">
        <f t="shared" si="0"/>
        <v>94358.621030227048</v>
      </c>
      <c r="D66" s="458">
        <f ca="1">SUMIF(G:G,59,K:K)</f>
        <v>-77141.841165688034</v>
      </c>
      <c r="E66" s="458">
        <f t="shared" ca="1" si="1"/>
        <v>-1628577.8075723732</v>
      </c>
      <c r="F66" s="442"/>
      <c r="G66" s="470">
        <f t="shared" si="8"/>
        <v>5</v>
      </c>
      <c r="H66" s="470">
        <v>59</v>
      </c>
      <c r="I66" s="455">
        <f t="shared" ca="1" si="5"/>
        <v>1878235.8916790895</v>
      </c>
      <c r="J66" s="455">
        <f t="array" ref="J66">IFERROR(INDEX('Retirement Calculator'!J:J,MATCH('Isaac 401k'!N66,'Retirement Calculator'!A:A,0),0),0)</f>
        <v>30565.244538569641</v>
      </c>
      <c r="K66" s="455">
        <f t="shared" ca="1" si="2"/>
        <v>7698.6276964188328</v>
      </c>
      <c r="L66" s="455">
        <f t="shared" ca="1" si="3"/>
        <v>1855369.2748369388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-1628577.8075723732</v>
      </c>
      <c r="C67" s="458">
        <f t="shared" si="0"/>
        <v>94358.621030227048</v>
      </c>
      <c r="D67" s="458">
        <f t="shared" ref="D67:D136" ca="1" si="9">SUMIF(G:G,60,K:K)</f>
        <v>-85916.130299225493</v>
      </c>
      <c r="E67" s="458">
        <f t="shared" ca="1" si="1"/>
        <v>-1808852.5589018257</v>
      </c>
      <c r="F67" s="442"/>
      <c r="G67" s="470">
        <f t="shared" si="8"/>
        <v>5</v>
      </c>
      <c r="H67" s="470">
        <v>60</v>
      </c>
      <c r="I67" s="455">
        <f t="shared" ca="1" si="5"/>
        <v>1855369.2748369388</v>
      </c>
      <c r="J67" s="455">
        <f t="array" ref="J67">IFERROR(INDEX('Retirement Calculator'!J:J,MATCH('Isaac 401k'!N67,'Retirement Calculator'!A:A,0),0),0)</f>
        <v>30565.244538569641</v>
      </c>
      <c r="K67" s="455">
        <f t="shared" ca="1" si="2"/>
        <v>7603.3501262432037</v>
      </c>
      <c r="L67" s="455">
        <f t="shared" ca="1" si="3"/>
        <v>1832407.3804246124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-1808852.5589018257</v>
      </c>
      <c r="C68" s="458">
        <f t="shared" si="0"/>
        <v>94358.621030227048</v>
      </c>
      <c r="D68" s="458">
        <f t="shared" ca="1" si="9"/>
        <v>-85916.130299225493</v>
      </c>
      <c r="E68" s="458">
        <f t="shared" ca="1" si="1"/>
        <v>-1989127.3102312782</v>
      </c>
      <c r="F68" s="442"/>
      <c r="G68" s="470">
        <f>G67+1</f>
        <v>6</v>
      </c>
      <c r="H68" s="470">
        <v>61</v>
      </c>
      <c r="I68" s="455">
        <f t="shared" ca="1" si="5"/>
        <v>1832407.3804246124</v>
      </c>
      <c r="J68" s="455">
        <f t="array" ref="J68">IFERROR(INDEX('Retirement Calculator'!J:J,MATCH('Isaac 401k'!N68,'Retirement Calculator'!A:A,0),0),0)</f>
        <v>30565.244538569641</v>
      </c>
      <c r="K68" s="455">
        <f t="shared" ca="1" si="2"/>
        <v>7507.6755661918451</v>
      </c>
      <c r="L68" s="455">
        <f t="shared" ca="1" si="3"/>
        <v>1809349.8114522346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-1989127.3102312782</v>
      </c>
      <c r="C69" s="458">
        <f t="shared" si="0"/>
        <v>94358.621030227048</v>
      </c>
      <c r="D69" s="458">
        <f t="shared" ca="1" si="9"/>
        <v>-85916.130299225493</v>
      </c>
      <c r="E69" s="458">
        <f t="shared" ca="1" si="1"/>
        <v>-2169402.0615607309</v>
      </c>
      <c r="F69" s="442"/>
      <c r="G69" s="470">
        <f t="shared" ref="G69:G79" si="10">G68</f>
        <v>6</v>
      </c>
      <c r="H69" s="470">
        <v>62</v>
      </c>
      <c r="I69" s="455">
        <f t="shared" ca="1" si="5"/>
        <v>1809349.8114522346</v>
      </c>
      <c r="J69" s="455">
        <f t="array" ref="J69">IFERROR(INDEX('Retirement Calculator'!J:J,MATCH('Isaac 401k'!N69,'Retirement Calculator'!A:A,0),0),0)</f>
        <v>30565.244538569641</v>
      </c>
      <c r="K69" s="455">
        <f t="shared" ca="1" si="2"/>
        <v>7411.602362140271</v>
      </c>
      <c r="L69" s="455">
        <f t="shared" ca="1" si="3"/>
        <v>1786196.1692758054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-2169402.0615607309</v>
      </c>
      <c r="C70" s="458">
        <f t="shared" si="0"/>
        <v>94358.621030227048</v>
      </c>
      <c r="D70" s="458">
        <f t="shared" ca="1" si="9"/>
        <v>-85916.130299225493</v>
      </c>
      <c r="E70" s="458">
        <f t="shared" ca="1" si="1"/>
        <v>-2349676.8128901832</v>
      </c>
      <c r="F70" s="442"/>
      <c r="G70" s="470">
        <f t="shared" si="10"/>
        <v>6</v>
      </c>
      <c r="H70" s="470">
        <v>63</v>
      </c>
      <c r="I70" s="455">
        <f t="shared" ca="1" si="5"/>
        <v>1786196.1692758054</v>
      </c>
      <c r="J70" s="455">
        <f t="array" ref="J70">IFERROR(INDEX('Retirement Calculator'!J:J,MATCH('Isaac 401k'!N70,'Retirement Calculator'!A:A,0),0),0)</f>
        <v>30565.244538569641</v>
      </c>
      <c r="K70" s="455">
        <f t="shared" ca="1" si="2"/>
        <v>7315.1288530718157</v>
      </c>
      <c r="L70" s="455">
        <f t="shared" ca="1" si="3"/>
        <v>1762946.0535903075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-2349676.8128901832</v>
      </c>
      <c r="C71" s="458">
        <f t="shared" si="0"/>
        <v>94358.621030227048</v>
      </c>
      <c r="D71" s="458">
        <f t="shared" ca="1" si="9"/>
        <v>-85916.130299225493</v>
      </c>
      <c r="E71" s="458">
        <f t="shared" ca="1" si="1"/>
        <v>-2529951.5642196359</v>
      </c>
      <c r="F71" s="442"/>
      <c r="G71" s="470">
        <f t="shared" si="10"/>
        <v>6</v>
      </c>
      <c r="H71" s="470">
        <v>64</v>
      </c>
      <c r="I71" s="455">
        <f t="shared" ca="1" si="5"/>
        <v>1762946.0535903075</v>
      </c>
      <c r="J71" s="455">
        <f t="array" ref="J71">IFERROR(INDEX('Retirement Calculator'!J:J,MATCH('Isaac 401k'!N71,'Retirement Calculator'!A:A,0),0),0)</f>
        <v>30565.244538569641</v>
      </c>
      <c r="K71" s="455">
        <f t="shared" ca="1" si="2"/>
        <v>7218.253371048907</v>
      </c>
      <c r="L71" s="455">
        <f t="shared" ca="1" si="3"/>
        <v>1739599.0624227868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58">
        <f t="shared" ca="1" si="4"/>
        <v>-2529951.5642196359</v>
      </c>
      <c r="C72" s="458">
        <f t="shared" si="0"/>
        <v>94358.621030227048</v>
      </c>
      <c r="D72" s="458">
        <f t="shared" ca="1" si="9"/>
        <v>-85916.130299225493</v>
      </c>
      <c r="E72" s="458">
        <f t="shared" ca="1" si="1"/>
        <v>-2710226.3155490886</v>
      </c>
      <c r="F72" s="442"/>
      <c r="G72" s="470">
        <f t="shared" si="10"/>
        <v>6</v>
      </c>
      <c r="H72" s="470">
        <v>65</v>
      </c>
      <c r="I72" s="455">
        <f t="shared" ca="1" si="5"/>
        <v>1739599.0624227868</v>
      </c>
      <c r="J72" s="455">
        <f t="array" ref="J72">IFERROR(INDEX('Retirement Calculator'!J:J,MATCH('Isaac 401k'!N72,'Retirement Calculator'!A:A,0),0),0)</f>
        <v>30565.244538569641</v>
      </c>
      <c r="K72" s="455">
        <f t="shared" ca="1" si="2"/>
        <v>7120.9742411842381</v>
      </c>
      <c r="L72" s="455">
        <f t="shared" ca="1" si="3"/>
        <v>1716154.7921254016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58">
        <f t="shared" ca="1" si="4"/>
        <v>-2710226.3155490886</v>
      </c>
      <c r="C73" s="458">
        <f t="shared" si="0"/>
        <v>94358.621030227048</v>
      </c>
      <c r="D73" s="458">
        <f t="shared" ca="1" si="9"/>
        <v>-85916.130299225493</v>
      </c>
      <c r="E73" s="458">
        <f t="shared" ca="1" si="1"/>
        <v>-2890501.0668785414</v>
      </c>
      <c r="F73" s="442"/>
      <c r="G73" s="470">
        <f t="shared" si="10"/>
        <v>6</v>
      </c>
      <c r="H73" s="470">
        <v>66</v>
      </c>
      <c r="I73" s="455">
        <f t="shared" ca="1" si="5"/>
        <v>1716154.7921254016</v>
      </c>
      <c r="J73" s="455">
        <f t="array" ref="J73">IFERROR(INDEX('Retirement Calculator'!J:J,MATCH('Isaac 401k'!N73,'Retirement Calculator'!A:A,0),0),0)</f>
        <v>30565.244538569641</v>
      </c>
      <c r="K73" s="455">
        <f t="shared" ca="1" si="2"/>
        <v>7023.2897816118011</v>
      </c>
      <c r="L73" s="455">
        <f t="shared" ca="1" si="3"/>
        <v>1692612.8373684438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58">
        <f t="shared" ca="1" si="4"/>
        <v>-2890501.0668785414</v>
      </c>
      <c r="C74" s="458">
        <f t="shared" si="0"/>
        <v>94358.621030227048</v>
      </c>
      <c r="D74" s="458">
        <f t="shared" ca="1" si="9"/>
        <v>-85916.130299225493</v>
      </c>
      <c r="E74" s="458">
        <f t="shared" ca="1" si="1"/>
        <v>-3070775.8182079941</v>
      </c>
      <c r="F74" s="442"/>
      <c r="G74" s="470">
        <f t="shared" si="10"/>
        <v>6</v>
      </c>
      <c r="H74" s="470">
        <v>67</v>
      </c>
      <c r="I74" s="455">
        <f t="shared" ca="1" si="5"/>
        <v>1692612.8373684438</v>
      </c>
      <c r="J74" s="455">
        <f t="array" ref="J74">IFERROR(INDEX('Retirement Calculator'!J:J,MATCH('Isaac 401k'!N74,'Retirement Calculator'!A:A,0),0),0)</f>
        <v>30565.244538569641</v>
      </c>
      <c r="K74" s="455">
        <f t="shared" ca="1" si="2"/>
        <v>6925.1983034578088</v>
      </c>
      <c r="L74" s="455">
        <f t="shared" ca="1" si="3"/>
        <v>1668972.7911333321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58">
        <f t="shared" ca="1" si="4"/>
        <v>-3070775.8182079941</v>
      </c>
      <c r="C75" s="458">
        <f t="shared" si="0"/>
        <v>94358.621030227048</v>
      </c>
      <c r="D75" s="458">
        <f t="shared" ca="1" si="9"/>
        <v>-85916.130299225493</v>
      </c>
      <c r="E75" s="458">
        <f t="shared" ca="1" si="1"/>
        <v>-3251050.5695374468</v>
      </c>
      <c r="F75" s="442"/>
      <c r="G75" s="470">
        <f t="shared" si="10"/>
        <v>6</v>
      </c>
      <c r="H75" s="470">
        <v>68</v>
      </c>
      <c r="I75" s="455">
        <f t="shared" ca="1" si="5"/>
        <v>1668972.7911333321</v>
      </c>
      <c r="J75" s="455">
        <f t="array" ref="J75">IFERROR(INDEX('Retirement Calculator'!J:J,MATCH('Isaac 401k'!N75,'Retirement Calculator'!A:A,0),0),0)</f>
        <v>8539.3180191855863</v>
      </c>
      <c r="K75" s="455">
        <f t="shared" ca="1" si="2"/>
        <v>6918.4728046422761</v>
      </c>
      <c r="L75" s="455">
        <f t="shared" ca="1" si="3"/>
        <v>1667351.9459187887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58">
        <f t="shared" ca="1" si="4"/>
        <v>-3251050.5695374468</v>
      </c>
      <c r="C76" s="458">
        <f t="shared" si="0"/>
        <v>94358.621030227048</v>
      </c>
      <c r="D76" s="458">
        <f t="shared" ca="1" si="9"/>
        <v>-85916.130299225493</v>
      </c>
      <c r="E76" s="458">
        <f t="shared" ca="1" si="1"/>
        <v>-3431325.3208668996</v>
      </c>
      <c r="F76" s="442"/>
      <c r="G76" s="470">
        <f t="shared" si="10"/>
        <v>6</v>
      </c>
      <c r="H76" s="470">
        <v>69</v>
      </c>
      <c r="I76" s="455">
        <f t="shared" ca="1" si="5"/>
        <v>1667351.9459187887</v>
      </c>
      <c r="J76" s="455">
        <f t="array" ref="J76">IFERROR(INDEX('Retirement Calculator'!J:J,MATCH('Isaac 401k'!N76,'Retirement Calculator'!A:A,0),0),0)</f>
        <v>8539.3180191855863</v>
      </c>
      <c r="K76" s="455">
        <f t="shared" ca="1" si="2"/>
        <v>6911.7192829150126</v>
      </c>
      <c r="L76" s="455">
        <f t="shared" ca="1" si="3"/>
        <v>1665724.3471825181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58">
        <f t="shared" ca="1" si="4"/>
        <v>-3431325.3208668996</v>
      </c>
      <c r="C77" s="458">
        <f t="shared" si="0"/>
        <v>94358.621030227048</v>
      </c>
      <c r="D77" s="458">
        <f t="shared" ca="1" si="9"/>
        <v>-85916.130299225493</v>
      </c>
      <c r="E77" s="458">
        <f t="shared" ca="1" si="1"/>
        <v>-3611600.0721963523</v>
      </c>
      <c r="F77" s="442"/>
      <c r="G77" s="470">
        <f t="shared" si="10"/>
        <v>6</v>
      </c>
      <c r="H77" s="470">
        <v>70</v>
      </c>
      <c r="I77" s="455">
        <f t="shared" ca="1" si="5"/>
        <v>1665724.3471825181</v>
      </c>
      <c r="J77" s="455">
        <f t="array" ref="J77">IFERROR(INDEX('Retirement Calculator'!J:J,MATCH('Isaac 401k'!N77,'Retirement Calculator'!A:A,0),0),0)</f>
        <v>8539.3180191855863</v>
      </c>
      <c r="K77" s="455">
        <f t="shared" ca="1" si="2"/>
        <v>6904.9376215138864</v>
      </c>
      <c r="L77" s="455">
        <f t="shared" ca="1" si="3"/>
        <v>1664089.9667848463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58">
        <f t="shared" ca="1" si="4"/>
        <v>-3611600.0721963523</v>
      </c>
      <c r="C78" s="458">
        <f t="shared" si="0"/>
        <v>94358.621030227048</v>
      </c>
      <c r="D78" s="458">
        <f t="shared" ca="1" si="9"/>
        <v>-85916.130299225493</v>
      </c>
      <c r="E78" s="458">
        <f t="shared" ca="1" si="1"/>
        <v>-3791874.823525805</v>
      </c>
      <c r="F78" s="442"/>
      <c r="G78" s="470">
        <f t="shared" si="10"/>
        <v>6</v>
      </c>
      <c r="H78" s="470">
        <v>71</v>
      </c>
      <c r="I78" s="455">
        <f t="shared" ca="1" si="5"/>
        <v>1664089.9667848463</v>
      </c>
      <c r="J78" s="455">
        <f t="array" ref="J78">IFERROR(INDEX('Retirement Calculator'!J:J,MATCH('Isaac 401k'!N78,'Retirement Calculator'!A:A,0),0),0)</f>
        <v>8539.3180191855863</v>
      </c>
      <c r="K78" s="455">
        <f t="shared" ca="1" si="2"/>
        <v>6898.1277031902528</v>
      </c>
      <c r="L78" s="455">
        <f t="shared" ca="1" si="3"/>
        <v>1662448.7764688509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58">
        <f t="shared" ca="1" si="4"/>
        <v>-3791874.823525805</v>
      </c>
      <c r="C79" s="458">
        <f t="shared" si="0"/>
        <v>94358.621030227048</v>
      </c>
      <c r="D79" s="458">
        <f t="shared" ca="1" si="9"/>
        <v>-85916.130299225493</v>
      </c>
      <c r="E79" s="458">
        <f t="shared" ca="1" si="1"/>
        <v>-3972149.5748552578</v>
      </c>
      <c r="F79" s="442"/>
      <c r="G79" s="470">
        <f t="shared" si="10"/>
        <v>6</v>
      </c>
      <c r="H79" s="470">
        <v>72</v>
      </c>
      <c r="I79" s="455">
        <f t="shared" ca="1" si="5"/>
        <v>1662448.7764688509</v>
      </c>
      <c r="J79" s="455">
        <f t="array" ref="J79">IFERROR(INDEX('Retirement Calculator'!J:J,MATCH('Isaac 401k'!N79,'Retirement Calculator'!A:A,0),0),0)</f>
        <v>8539.3180191855863</v>
      </c>
      <c r="K79" s="455">
        <f t="shared" ca="1" si="2"/>
        <v>6891.2894102069386</v>
      </c>
      <c r="L79" s="455">
        <f t="shared" ca="1" si="3"/>
        <v>1660800.7478598722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58">
        <f t="shared" ca="1" si="4"/>
        <v>-3972149.5748552578</v>
      </c>
      <c r="C80" s="458">
        <f t="shared" si="0"/>
        <v>94358.621030227048</v>
      </c>
      <c r="D80" s="458">
        <f t="shared" ca="1" si="9"/>
        <v>-85916.130299225493</v>
      </c>
      <c r="E80" s="458">
        <f t="shared" ca="1" si="1"/>
        <v>-4152424.3261847105</v>
      </c>
      <c r="F80" s="442"/>
      <c r="G80" s="470">
        <f>G79+1</f>
        <v>7</v>
      </c>
      <c r="H80" s="470">
        <v>73</v>
      </c>
      <c r="I80" s="455">
        <f t="shared" ca="1" si="5"/>
        <v>1660800.7478598722</v>
      </c>
      <c r="J80" s="455">
        <f t="array" ref="J80">IFERROR(INDEX('Retirement Calculator'!J:J,MATCH('Isaac 401k'!N80,'Retirement Calculator'!A:A,0),0),0)</f>
        <v>8539.3180191855863</v>
      </c>
      <c r="K80" s="455">
        <f t="shared" ca="1" si="2"/>
        <v>6884.4226243361936</v>
      </c>
      <c r="L80" s="455">
        <f t="shared" ca="1" si="3"/>
        <v>1659145.8524650226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58">
        <f t="shared" ca="1" si="4"/>
        <v>-4152424.3261847105</v>
      </c>
      <c r="C81" s="458">
        <f t="shared" si="0"/>
        <v>94358.621030227048</v>
      </c>
      <c r="D81" s="458">
        <f t="shared" ca="1" si="9"/>
        <v>-85916.130299225493</v>
      </c>
      <c r="E81" s="458">
        <f t="shared" ca="1" si="1"/>
        <v>-4332699.0775141632</v>
      </c>
      <c r="F81" s="442"/>
      <c r="G81" s="470">
        <f t="shared" ref="G81:G91" si="11">G80</f>
        <v>7</v>
      </c>
      <c r="H81" s="470">
        <v>74</v>
      </c>
      <c r="I81" s="455">
        <f t="shared" ca="1" si="5"/>
        <v>1659145.8524650226</v>
      </c>
      <c r="J81" s="455">
        <f t="array" ref="J81">IFERROR(INDEX('Retirement Calculator'!J:J,MATCH('Isaac 401k'!N81,'Retirement Calculator'!A:A,0),0),0)</f>
        <v>8539.3180191855863</v>
      </c>
      <c r="K81" s="455">
        <f t="shared" ca="1" si="2"/>
        <v>6877.5272268576537</v>
      </c>
      <c r="L81" s="455">
        <f t="shared" ca="1" si="3"/>
        <v>1657484.0616726945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58">
        <f t="shared" ca="1" si="4"/>
        <v>-4332699.0775141632</v>
      </c>
      <c r="C82" s="458">
        <f t="shared" si="0"/>
        <v>94358.621030227048</v>
      </c>
      <c r="D82" s="458">
        <f t="shared" ca="1" si="9"/>
        <v>-85916.130299225493</v>
      </c>
      <c r="E82" s="458">
        <f t="shared" ca="1" si="1"/>
        <v>-4512973.8288436159</v>
      </c>
      <c r="F82" s="442"/>
      <c r="G82" s="470">
        <f t="shared" si="11"/>
        <v>7</v>
      </c>
      <c r="H82" s="470">
        <v>75</v>
      </c>
      <c r="I82" s="455">
        <f t="shared" ca="1" si="5"/>
        <v>1657484.0616726945</v>
      </c>
      <c r="J82" s="455">
        <f t="array" ref="J82">IFERROR(INDEX('Retirement Calculator'!J:J,MATCH('Isaac 401k'!N82,'Retirement Calculator'!A:A,0),0),0)</f>
        <v>8539.3180191855863</v>
      </c>
      <c r="K82" s="455">
        <f t="shared" ca="1" si="2"/>
        <v>6870.6030985562857</v>
      </c>
      <c r="L82" s="455">
        <f t="shared" ca="1" si="3"/>
        <v>1655815.3467520652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58">
        <f t="shared" ca="1" si="4"/>
        <v>-4512973.8288436159</v>
      </c>
      <c r="C83" s="458">
        <f t="shared" si="0"/>
        <v>94358.621030227048</v>
      </c>
      <c r="D83" s="458">
        <f t="shared" ca="1" si="9"/>
        <v>-85916.130299225493</v>
      </c>
      <c r="E83" s="458">
        <f t="shared" ca="1" si="1"/>
        <v>-4693248.5801730687</v>
      </c>
      <c r="F83" s="442"/>
      <c r="G83" s="470">
        <f t="shared" si="11"/>
        <v>7</v>
      </c>
      <c r="H83" s="470">
        <v>76</v>
      </c>
      <c r="I83" s="455">
        <f t="shared" ca="1" si="5"/>
        <v>1655815.3467520652</v>
      </c>
      <c r="J83" s="455">
        <f t="array" ref="J83">IFERROR(INDEX('Retirement Calculator'!J:J,MATCH('Isaac 401k'!N83,'Retirement Calculator'!A:A,0),0),0)</f>
        <v>8539.3180191855863</v>
      </c>
      <c r="K83" s="455">
        <f t="shared" ca="1" si="2"/>
        <v>6863.6501197203315</v>
      </c>
      <c r="L83" s="455">
        <f t="shared" ca="1" si="3"/>
        <v>1654139.6788525998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58">
        <f t="shared" ca="1" si="4"/>
        <v>-4693248.5801730687</v>
      </c>
      <c r="C84" s="458">
        <f t="shared" si="0"/>
        <v>94358.621030227048</v>
      </c>
      <c r="D84" s="458">
        <f t="shared" ca="1" si="9"/>
        <v>-85916.130299225493</v>
      </c>
      <c r="E84" s="458">
        <f t="shared" ca="1" si="1"/>
        <v>-4873523.3315025214</v>
      </c>
      <c r="F84" s="442"/>
      <c r="G84" s="470">
        <f t="shared" si="11"/>
        <v>7</v>
      </c>
      <c r="H84" s="470">
        <v>77</v>
      </c>
      <c r="I84" s="455">
        <f t="shared" ca="1" si="5"/>
        <v>1654139.6788525998</v>
      </c>
      <c r="J84" s="455">
        <f t="array" ref="J84">IFERROR(INDEX('Retirement Calculator'!J:J,MATCH('Isaac 401k'!N84,'Retirement Calculator'!A:A,0),0),0)</f>
        <v>8539.3180191855863</v>
      </c>
      <c r="K84" s="455">
        <f t="shared" ca="1" si="2"/>
        <v>6856.6681701392254</v>
      </c>
      <c r="L84" s="455">
        <f t="shared" ca="1" si="3"/>
        <v>1652457.0290035533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58">
        <f t="shared" ca="1" si="4"/>
        <v>-4873523.3315025214</v>
      </c>
      <c r="C85" s="458">
        <f t="shared" si="0"/>
        <v>94358.621030227048</v>
      </c>
      <c r="D85" s="458">
        <f t="shared" ca="1" si="9"/>
        <v>-85916.130299225493</v>
      </c>
      <c r="E85" s="458">
        <f t="shared" ca="1" si="1"/>
        <v>-5053798.0828319741</v>
      </c>
      <c r="F85" s="442"/>
      <c r="G85" s="470">
        <f t="shared" si="11"/>
        <v>7</v>
      </c>
      <c r="H85" s="470">
        <v>78</v>
      </c>
      <c r="I85" s="455">
        <f t="shared" ca="1" si="5"/>
        <v>1652457.0290035533</v>
      </c>
      <c r="J85" s="455">
        <f t="array" ref="J85">IFERROR(INDEX('Retirement Calculator'!J:J,MATCH('Isaac 401k'!N85,'Retirement Calculator'!A:A,0),0),0)</f>
        <v>8539.3180191855863</v>
      </c>
      <c r="K85" s="455">
        <f t="shared" ca="1" si="2"/>
        <v>6849.6571291015316</v>
      </c>
      <c r="L85" s="455">
        <f t="shared" ca="1" si="3"/>
        <v>1650767.3681134691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58">
        <f t="shared" ca="1" si="4"/>
        <v>-5053798.0828319741</v>
      </c>
      <c r="C86" s="458">
        <f t="shared" si="0"/>
        <v>94358.621030227048</v>
      </c>
      <c r="D86" s="458">
        <f t="shared" ca="1" si="9"/>
        <v>-85916.130299225493</v>
      </c>
      <c r="E86" s="458">
        <f t="shared" ca="1" si="1"/>
        <v>-5234072.8341614269</v>
      </c>
      <c r="F86" s="442"/>
      <c r="G86" s="470">
        <f t="shared" si="11"/>
        <v>7</v>
      </c>
      <c r="H86" s="470">
        <v>79</v>
      </c>
      <c r="I86" s="455">
        <f t="shared" ca="1" si="5"/>
        <v>1650767.3681134691</v>
      </c>
      <c r="J86" s="455">
        <f t="array" ref="J86">IFERROR(INDEX('Retirement Calculator'!J:J,MATCH('Isaac 401k'!N86,'Retirement Calculator'!A:A,0),0),0)</f>
        <v>8539.3180191855863</v>
      </c>
      <c r="K86" s="455">
        <f t="shared" ca="1" si="2"/>
        <v>6842.6168753928478</v>
      </c>
      <c r="L86" s="455">
        <f t="shared" ca="1" si="3"/>
        <v>1649070.6669696763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58">
        <f t="shared" ca="1" si="4"/>
        <v>-5234072.8341614269</v>
      </c>
      <c r="C87" s="458">
        <f t="shared" si="0"/>
        <v>94358.621030227048</v>
      </c>
      <c r="D87" s="458">
        <f t="shared" ca="1" si="9"/>
        <v>-85916.130299225493</v>
      </c>
      <c r="E87" s="458">
        <f t="shared" ca="1" si="1"/>
        <v>-5414347.5854908796</v>
      </c>
      <c r="F87" s="442"/>
      <c r="G87" s="470">
        <f t="shared" si="11"/>
        <v>7</v>
      </c>
      <c r="H87" s="470">
        <v>80</v>
      </c>
      <c r="I87" s="455">
        <f t="shared" ca="1" si="5"/>
        <v>1649070.6669696763</v>
      </c>
      <c r="J87" s="455">
        <f t="array" ref="J87">IFERROR(INDEX('Retirement Calculator'!J:J,MATCH('Isaac 401k'!N87,'Retirement Calculator'!A:A,0),0),0)</f>
        <v>8539.3180191855863</v>
      </c>
      <c r="K87" s="455">
        <f t="shared" ca="1" si="2"/>
        <v>6835.5472872937116</v>
      </c>
      <c r="L87" s="455">
        <f t="shared" ca="1" si="3"/>
        <v>1647366.8962377843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58">
        <f t="shared" ca="1" si="4"/>
        <v>-5414347.5854908796</v>
      </c>
      <c r="C88" s="458">
        <f t="shared" si="0"/>
        <v>94358.621030227048</v>
      </c>
      <c r="D88" s="458">
        <f t="shared" ca="1" si="9"/>
        <v>-85916.130299225493</v>
      </c>
      <c r="E88" s="458">
        <f t="shared" ca="1" si="1"/>
        <v>-5594622.3368203323</v>
      </c>
      <c r="F88" s="442"/>
      <c r="G88" s="470">
        <f t="shared" si="11"/>
        <v>7</v>
      </c>
      <c r="H88" s="470">
        <v>81</v>
      </c>
      <c r="I88" s="455">
        <f t="shared" ca="1" si="5"/>
        <v>1647366.8962377843</v>
      </c>
      <c r="J88" s="455">
        <f t="array" ref="J88">IFERROR(INDEX('Retirement Calculator'!J:J,MATCH('Isaac 401k'!N88,'Retirement Calculator'!A:A,0),0),0)</f>
        <v>8539.3180191855863</v>
      </c>
      <c r="K88" s="455">
        <f t="shared" ca="1" si="2"/>
        <v>6828.4482425774931</v>
      </c>
      <c r="L88" s="455">
        <f t="shared" ca="1" si="3"/>
        <v>1645656.0264611761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58">
        <f t="shared" ca="1" si="4"/>
        <v>-5594622.3368203323</v>
      </c>
      <c r="C89" s="458">
        <f t="shared" si="0"/>
        <v>94358.621030227048</v>
      </c>
      <c r="D89" s="458">
        <f t="shared" ca="1" si="9"/>
        <v>-85916.130299225493</v>
      </c>
      <c r="E89" s="458">
        <f t="shared" ca="1" si="1"/>
        <v>-5774897.0881497851</v>
      </c>
      <c r="F89" s="442"/>
      <c r="G89" s="470">
        <f t="shared" si="11"/>
        <v>7</v>
      </c>
      <c r="H89" s="470">
        <v>82</v>
      </c>
      <c r="I89" s="455">
        <f t="shared" ca="1" si="5"/>
        <v>1645656.0264611761</v>
      </c>
      <c r="J89" s="455">
        <f t="array" ref="J89">IFERROR(INDEX('Retirement Calculator'!J:J,MATCH('Isaac 401k'!N89,'Retirement Calculator'!A:A,0),0),0)</f>
        <v>8539.3180191855863</v>
      </c>
      <c r="K89" s="455">
        <f t="shared" ca="1" si="2"/>
        <v>6821.3196185082925</v>
      </c>
      <c r="L89" s="455">
        <f t="shared" ca="1" si="3"/>
        <v>1643938.0280604986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58">
        <f t="shared" ca="1" si="4"/>
        <v>-5774897.0881497851</v>
      </c>
      <c r="C90" s="458">
        <f t="shared" si="0"/>
        <v>94358.621030227048</v>
      </c>
      <c r="D90" s="458">
        <f t="shared" ca="1" si="9"/>
        <v>-85916.130299225493</v>
      </c>
      <c r="E90" s="458">
        <f t="shared" ca="1" si="1"/>
        <v>-5955171.8394792378</v>
      </c>
      <c r="F90" s="442"/>
      <c r="G90" s="470">
        <f t="shared" si="11"/>
        <v>7</v>
      </c>
      <c r="H90" s="470">
        <v>83</v>
      </c>
      <c r="I90" s="455">
        <f t="shared" ca="1" si="5"/>
        <v>1643938.0280604986</v>
      </c>
      <c r="J90" s="455">
        <f t="array" ref="J90">IFERROR(INDEX('Retirement Calculator'!J:J,MATCH('Isaac 401k'!N90,'Retirement Calculator'!A:A,0),0),0)</f>
        <v>8539.3180191855863</v>
      </c>
      <c r="K90" s="455">
        <f t="shared" ca="1" si="2"/>
        <v>6814.1612918388028</v>
      </c>
      <c r="L90" s="455">
        <f t="shared" ca="1" si="3"/>
        <v>1642212.8713331518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58">
        <f t="shared" ca="1" si="4"/>
        <v>-5955171.8394792378</v>
      </c>
      <c r="C91" s="458">
        <f t="shared" si="0"/>
        <v>94358.621030227048</v>
      </c>
      <c r="D91" s="458">
        <f t="shared" ca="1" si="9"/>
        <v>-85916.130299225493</v>
      </c>
      <c r="E91" s="458">
        <f t="shared" ca="1" si="1"/>
        <v>-6135446.5908086905</v>
      </c>
      <c r="F91" s="442"/>
      <c r="G91" s="470">
        <f t="shared" si="11"/>
        <v>7</v>
      </c>
      <c r="H91" s="470">
        <v>84</v>
      </c>
      <c r="I91" s="455">
        <f t="shared" ca="1" si="5"/>
        <v>1642212.8713331518</v>
      </c>
      <c r="J91" s="455">
        <f t="array" ref="J91">IFERROR(INDEX('Retirement Calculator'!J:J,MATCH('Isaac 401k'!N91,'Retirement Calculator'!A:A,0),0),0)</f>
        <v>8539.3180191855863</v>
      </c>
      <c r="K91" s="455">
        <f t="shared" ca="1" si="2"/>
        <v>6806.9731388081918</v>
      </c>
      <c r="L91" s="455">
        <f t="shared" ca="1" si="3"/>
        <v>1640480.5264527744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58">
        <f t="shared" ca="1" si="4"/>
        <v>-6135446.5908086905</v>
      </c>
      <c r="C92" s="458">
        <f t="shared" si="0"/>
        <v>94358.621030227048</v>
      </c>
      <c r="D92" s="458">
        <f t="shared" ca="1" si="9"/>
        <v>-85916.130299225493</v>
      </c>
      <c r="E92" s="458">
        <f t="shared" ca="1" si="1"/>
        <v>-6315721.3421381433</v>
      </c>
      <c r="F92" s="442"/>
      <c r="G92" s="470">
        <f>G91+1</f>
        <v>8</v>
      </c>
      <c r="H92" s="470">
        <v>85</v>
      </c>
      <c r="I92" s="455">
        <f t="shared" ca="1" si="5"/>
        <v>1640480.5264527744</v>
      </c>
      <c r="J92" s="455">
        <f t="array" ref="J92">IFERROR(INDEX('Retirement Calculator'!J:J,MATCH('Isaac 401k'!N92,'Retirement Calculator'!A:A,0),0),0)</f>
        <v>8539.3180191855863</v>
      </c>
      <c r="K92" s="455">
        <f t="shared" ca="1" si="2"/>
        <v>6799.7550351399532</v>
      </c>
      <c r="L92" s="455">
        <f t="shared" ca="1" si="3"/>
        <v>1638740.9634687286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58">
        <f t="shared" ca="1" si="4"/>
        <v>-6315721.3421381433</v>
      </c>
      <c r="C93" s="458">
        <f t="shared" si="0"/>
        <v>94358.621030227048</v>
      </c>
      <c r="D93" s="458">
        <f t="shared" ca="1" si="9"/>
        <v>-85916.130299225493</v>
      </c>
      <c r="E93" s="458">
        <f t="shared" ca="1" si="1"/>
        <v>-6495996.093467596</v>
      </c>
      <c r="F93" s="442"/>
      <c r="G93" s="470">
        <f t="shared" ref="G93:G103" si="12">G92</f>
        <v>8</v>
      </c>
      <c r="H93" s="470">
        <v>86</v>
      </c>
      <c r="I93" s="455">
        <f t="shared" ca="1" si="5"/>
        <v>1638740.9634687286</v>
      </c>
      <c r="J93" s="455">
        <f t="array" ref="J93">IFERROR(INDEX('Retirement Calculator'!J:J,MATCH('Isaac 401k'!N93,'Retirement Calculator'!A:A,0),0),0)</f>
        <v>8539.3180191855863</v>
      </c>
      <c r="K93" s="455">
        <f t="shared" ca="1" si="2"/>
        <v>6792.5068560397622</v>
      </c>
      <c r="L93" s="455">
        <f t="shared" ca="1" si="3"/>
        <v>1636994.1523055828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58">
        <f t="shared" ca="1" si="4"/>
        <v>-6495996.093467596</v>
      </c>
      <c r="C94" s="458">
        <f t="shared" si="0"/>
        <v>94358.621030227048</v>
      </c>
      <c r="D94" s="458">
        <f t="shared" ca="1" si="9"/>
        <v>-85916.130299225493</v>
      </c>
      <c r="E94" s="458">
        <f t="shared" ca="1" si="1"/>
        <v>-6676270.8447970487</v>
      </c>
      <c r="F94" s="442"/>
      <c r="G94" s="470">
        <f t="shared" si="12"/>
        <v>8</v>
      </c>
      <c r="H94" s="470">
        <v>87</v>
      </c>
      <c r="I94" s="455">
        <f t="shared" ca="1" si="5"/>
        <v>1636994.1523055828</v>
      </c>
      <c r="J94" s="455">
        <f t="array" ref="J94">IFERROR(INDEX('Retirement Calculator'!J:J,MATCH('Isaac 401k'!N94,'Retirement Calculator'!A:A,0),0),0)</f>
        <v>8539.3180191855863</v>
      </c>
      <c r="K94" s="455">
        <f t="shared" ca="1" si="2"/>
        <v>6785.2284761933215</v>
      </c>
      <c r="L94" s="455">
        <f t="shared" ca="1" si="3"/>
        <v>1635240.0627625904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58">
        <f t="shared" ca="1" si="4"/>
        <v>-6676270.8447970487</v>
      </c>
      <c r="C95" s="458">
        <f t="shared" si="0"/>
        <v>94358.621030227048</v>
      </c>
      <c r="D95" s="458">
        <f t="shared" ca="1" si="9"/>
        <v>-85916.130299225493</v>
      </c>
      <c r="E95" s="458">
        <f t="shared" ca="1" si="1"/>
        <v>-6856545.5961265014</v>
      </c>
      <c r="F95" s="442"/>
      <c r="G95" s="470">
        <f t="shared" si="12"/>
        <v>8</v>
      </c>
      <c r="H95" s="470">
        <v>88</v>
      </c>
      <c r="I95" s="455">
        <f t="shared" ca="1" si="5"/>
        <v>1635240.0627625904</v>
      </c>
      <c r="J95" s="455">
        <f t="array" ref="J95">IFERROR(INDEX('Retirement Calculator'!J:J,MATCH('Isaac 401k'!N95,'Retirement Calculator'!A:A,0),0),0)</f>
        <v>8539.3180191855863</v>
      </c>
      <c r="K95" s="455">
        <f t="shared" ca="1" si="2"/>
        <v>6777.9197697641857</v>
      </c>
      <c r="L95" s="455">
        <f t="shared" ca="1" si="3"/>
        <v>1633478.6645131689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58">
        <f t="shared" ca="1" si="4"/>
        <v>-6856545.5961265014</v>
      </c>
      <c r="C96" s="458">
        <f t="shared" si="0"/>
        <v>94358.621030227048</v>
      </c>
      <c r="D96" s="458">
        <f t="shared" ca="1" si="9"/>
        <v>-85916.130299225493</v>
      </c>
      <c r="E96" s="458">
        <f t="shared" ca="1" si="1"/>
        <v>-7036820.3474559542</v>
      </c>
      <c r="F96" s="442"/>
      <c r="G96" s="470">
        <f t="shared" si="12"/>
        <v>8</v>
      </c>
      <c r="H96" s="470">
        <v>89</v>
      </c>
      <c r="I96" s="455">
        <f t="shared" ca="1" si="5"/>
        <v>1633478.6645131689</v>
      </c>
      <c r="J96" s="455">
        <f t="array" ref="J96">IFERROR(INDEX('Retirement Calculator'!J:J,MATCH('Isaac 401k'!N96,'Retirement Calculator'!A:A,0),0),0)</f>
        <v>8539.3180191855863</v>
      </c>
      <c r="K96" s="455">
        <f t="shared" ca="1" si="2"/>
        <v>6770.5806103915966</v>
      </c>
      <c r="L96" s="455">
        <f t="shared" ca="1" si="3"/>
        <v>1631709.9271043749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58">
        <f t="shared" ca="1" si="4"/>
        <v>-7036820.3474559542</v>
      </c>
      <c r="C97" s="458">
        <f t="shared" si="0"/>
        <v>94358.621030227048</v>
      </c>
      <c r="D97" s="458">
        <f t="shared" ca="1" si="9"/>
        <v>-85916.130299225493</v>
      </c>
      <c r="E97" s="458">
        <f t="shared" ca="1" si="1"/>
        <v>-7217095.0987854069</v>
      </c>
      <c r="F97" s="442"/>
      <c r="G97" s="470">
        <f t="shared" si="12"/>
        <v>8</v>
      </c>
      <c r="H97" s="470">
        <v>90</v>
      </c>
      <c r="I97" s="455">
        <f t="shared" ca="1" si="5"/>
        <v>1631709.9271043749</v>
      </c>
      <c r="J97" s="455">
        <f t="array" ref="J97">IFERROR(INDEX('Retirement Calculator'!J:J,MATCH('Isaac 401k'!N97,'Retirement Calculator'!A:A,0),0),0)</f>
        <v>8539.3180191855863</v>
      </c>
      <c r="K97" s="455">
        <f t="shared" ca="1" si="2"/>
        <v>6763.2108711882884</v>
      </c>
      <c r="L97" s="455">
        <f t="shared" ca="1" si="3"/>
        <v>1629933.8199563774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58">
        <f t="shared" ca="1" si="4"/>
        <v>-7217095.0987854069</v>
      </c>
      <c r="C98" s="458">
        <f t="shared" si="0"/>
        <v>94358.621030227048</v>
      </c>
      <c r="D98" s="458">
        <f t="shared" ca="1" si="9"/>
        <v>-85916.130299225493</v>
      </c>
      <c r="E98" s="458">
        <f t="shared" ca="1" si="1"/>
        <v>-7397369.8501148596</v>
      </c>
      <c r="F98" s="442"/>
      <c r="G98" s="470">
        <f t="shared" si="12"/>
        <v>8</v>
      </c>
      <c r="H98" s="470">
        <v>91</v>
      </c>
      <c r="I98" s="455">
        <f t="shared" ca="1" si="5"/>
        <v>1629933.8199563774</v>
      </c>
      <c r="J98" s="455">
        <f t="array" ref="J98">IFERROR(INDEX('Retirement Calculator'!J:J,MATCH('Isaac 401k'!N98,'Retirement Calculator'!A:A,0),0),0)</f>
        <v>8539.3180191855863</v>
      </c>
      <c r="K98" s="455">
        <f t="shared" ca="1" si="2"/>
        <v>6755.8104247382989</v>
      </c>
      <c r="L98" s="455">
        <f t="shared" ca="1" si="3"/>
        <v>1628150.31236193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58">
        <f t="shared" ca="1" si="4"/>
        <v>-7397369.8501148596</v>
      </c>
      <c r="C99" s="458">
        <f t="shared" si="0"/>
        <v>94358.621030227048</v>
      </c>
      <c r="D99" s="458">
        <f t="shared" ca="1" si="9"/>
        <v>-85916.130299225493</v>
      </c>
      <c r="E99" s="458">
        <f t="shared" ca="1" si="1"/>
        <v>-7577644.6014443124</v>
      </c>
      <c r="F99" s="442"/>
      <c r="G99" s="470">
        <f t="shared" si="12"/>
        <v>8</v>
      </c>
      <c r="H99" s="470">
        <v>92</v>
      </c>
      <c r="I99" s="455">
        <f t="shared" ca="1" si="5"/>
        <v>1628150.31236193</v>
      </c>
      <c r="J99" s="455">
        <f t="array" ref="J99">IFERROR(INDEX('Retirement Calculator'!J:J,MATCH('Isaac 401k'!N99,'Retirement Calculator'!A:A,0),0),0)</f>
        <v>8539.3180191855863</v>
      </c>
      <c r="K99" s="455">
        <f t="shared" ca="1" si="2"/>
        <v>6748.3791430947676</v>
      </c>
      <c r="L99" s="455">
        <f t="shared" ca="1" si="3"/>
        <v>1626359.3734858392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58">
        <f t="shared" ca="1" si="4"/>
        <v>-7577644.6014443124</v>
      </c>
      <c r="C100" s="458">
        <f t="shared" si="0"/>
        <v>94358.621030227048</v>
      </c>
      <c r="D100" s="458">
        <f t="shared" ca="1" si="9"/>
        <v>-85916.130299225493</v>
      </c>
      <c r="E100" s="458">
        <f t="shared" ca="1" si="1"/>
        <v>-7757919.3527737651</v>
      </c>
      <c r="F100" s="442"/>
      <c r="G100" s="470">
        <f t="shared" si="12"/>
        <v>8</v>
      </c>
      <c r="H100" s="470">
        <v>93</v>
      </c>
      <c r="I100" s="455">
        <f t="shared" ca="1" si="5"/>
        <v>1626359.3734858392</v>
      </c>
      <c r="J100" s="455">
        <f t="array" ref="J100">IFERROR(INDEX('Retirement Calculator'!J:J,MATCH('Isaac 401k'!N100,'Retirement Calculator'!A:A,0),0),0)</f>
        <v>8539.3180191855863</v>
      </c>
      <c r="K100" s="455">
        <f t="shared" ca="1" si="2"/>
        <v>6740.9168977777226</v>
      </c>
      <c r="L100" s="455">
        <f t="shared" ca="1" si="3"/>
        <v>1624560.9723644312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58">
        <f t="shared" ca="1" si="4"/>
        <v>-7757919.3527737651</v>
      </c>
      <c r="C101" s="458">
        <f t="shared" si="0"/>
        <v>94358.621030227048</v>
      </c>
      <c r="D101" s="458">
        <f t="shared" ca="1" si="9"/>
        <v>-85916.130299225493</v>
      </c>
      <c r="E101" s="458">
        <f t="shared" ca="1" si="1"/>
        <v>-7938194.1041032178</v>
      </c>
      <c r="F101" s="442"/>
      <c r="G101" s="470">
        <f t="shared" si="12"/>
        <v>8</v>
      </c>
      <c r="H101" s="470">
        <v>94</v>
      </c>
      <c r="I101" s="455">
        <f t="shared" ca="1" si="5"/>
        <v>1624560.9723644312</v>
      </c>
      <c r="J101" s="455">
        <f t="array" ref="J101">IFERROR(INDEX('Retirement Calculator'!J:J,MATCH('Isaac 401k'!N101,'Retirement Calculator'!A:A,0),0),0)</f>
        <v>8539.3180191855863</v>
      </c>
      <c r="K101" s="455">
        <f t="shared" ca="1" si="2"/>
        <v>6733.4235597718562</v>
      </c>
      <c r="L101" s="455">
        <f t="shared" ca="1" si="3"/>
        <v>1622755.0779050174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58">
        <f t="shared" ca="1" si="4"/>
        <v>-7938194.1041032178</v>
      </c>
      <c r="C102" s="458">
        <f t="shared" si="0"/>
        <v>94358.621030227048</v>
      </c>
      <c r="D102" s="458">
        <f t="shared" ca="1" si="9"/>
        <v>-85916.130299225493</v>
      </c>
      <c r="E102" s="458">
        <f t="shared" ca="1" si="1"/>
        <v>-8118468.8554326706</v>
      </c>
      <c r="F102" s="442"/>
      <c r="G102" s="470">
        <f t="shared" si="12"/>
        <v>8</v>
      </c>
      <c r="H102" s="470">
        <v>95</v>
      </c>
      <c r="I102" s="455">
        <f t="shared" ca="1" si="5"/>
        <v>1622755.0779050174</v>
      </c>
      <c r="J102" s="455">
        <f t="array" ref="J102">IFERROR(INDEX('Retirement Calculator'!J:J,MATCH('Isaac 401k'!N102,'Retirement Calculator'!A:A,0),0),0)</f>
        <v>8539.3180191855863</v>
      </c>
      <c r="K102" s="455">
        <f t="shared" ca="1" si="2"/>
        <v>6725.8989995242991</v>
      </c>
      <c r="L102" s="455">
        <f t="shared" ca="1" si="3"/>
        <v>1620941.658885356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58">
        <f t="shared" ca="1" si="4"/>
        <v>-8118468.8554326706</v>
      </c>
      <c r="C103" s="458">
        <f t="shared" si="0"/>
        <v>94358.621030227048</v>
      </c>
      <c r="D103" s="458">
        <f t="shared" ca="1" si="9"/>
        <v>-85916.130299225493</v>
      </c>
      <c r="E103" s="458">
        <f t="shared" ca="1" si="1"/>
        <v>-8298743.6067621233</v>
      </c>
      <c r="F103" s="442"/>
      <c r="G103" s="470">
        <f t="shared" si="12"/>
        <v>8</v>
      </c>
      <c r="H103" s="470">
        <v>96</v>
      </c>
      <c r="I103" s="455">
        <f t="shared" ca="1" si="5"/>
        <v>1620941.658885356</v>
      </c>
      <c r="J103" s="455">
        <f t="array" ref="J103">IFERROR(INDEX('Retirement Calculator'!J:J,MATCH('Isaac 401k'!N103,'Retirement Calculator'!A:A,0),0),0)</f>
        <v>8539.3180191855863</v>
      </c>
      <c r="K103" s="455">
        <f t="shared" ca="1" si="2"/>
        <v>6718.3430869423764</v>
      </c>
      <c r="L103" s="455">
        <f t="shared" ca="1" si="3"/>
        <v>1619120.6839531127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58">
        <f t="shared" ca="1" si="4"/>
        <v>-8298743.6067621233</v>
      </c>
      <c r="C104" s="458">
        <f t="shared" si="0"/>
        <v>70768.965772670272</v>
      </c>
      <c r="D104" s="458">
        <f t="shared" ca="1" si="9"/>
        <v>-85916.130299225493</v>
      </c>
      <c r="E104" s="458">
        <f t="shared" ca="1" si="1"/>
        <v>-8455428.7028340194</v>
      </c>
      <c r="F104" s="442"/>
      <c r="G104" s="470">
        <f>G103+1</f>
        <v>9</v>
      </c>
      <c r="H104" s="470">
        <v>97</v>
      </c>
      <c r="I104" s="455">
        <f t="shared" ca="1" si="5"/>
        <v>1619120.6839531127</v>
      </c>
      <c r="J104" s="455">
        <f t="array" ref="J104">IFERROR(INDEX('Retirement Calculator'!J:J,MATCH('Isaac 401k'!N104,'Retirement Calculator'!A:A,0),0),0)</f>
        <v>8539.3180191855863</v>
      </c>
      <c r="K104" s="455">
        <f t="shared" ca="1" si="2"/>
        <v>6710.7556913913622</v>
      </c>
      <c r="L104" s="455">
        <f t="shared" ca="1" si="3"/>
        <v>1617292.1216253184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58">
        <f t="shared" ca="1" si="4"/>
        <v>-8455428.7028340194</v>
      </c>
      <c r="C105" s="458">
        <f t="shared" si="0"/>
        <v>0</v>
      </c>
      <c r="D105" s="458">
        <f t="shared" ca="1" si="9"/>
        <v>-85916.130299225493</v>
      </c>
      <c r="E105" s="458">
        <f t="shared" ca="1" si="1"/>
        <v>-8541344.8331332449</v>
      </c>
      <c r="F105" s="442"/>
      <c r="G105" s="470">
        <f t="shared" ref="G105:G115" si="13">G104</f>
        <v>9</v>
      </c>
      <c r="H105" s="470">
        <v>98</v>
      </c>
      <c r="I105" s="455">
        <f t="shared" ca="1" si="5"/>
        <v>1617292.1216253184</v>
      </c>
      <c r="J105" s="455">
        <f t="array" ref="J105">IFERROR(INDEX('Retirement Calculator'!J:J,MATCH('Isaac 401k'!N105,'Retirement Calculator'!A:A,0),0),0)</f>
        <v>7863.2184191855868</v>
      </c>
      <c r="K105" s="455">
        <f t="shared" ca="1" si="2"/>
        <v>6705.953763358887</v>
      </c>
      <c r="L105" s="455">
        <f t="shared" ca="1" si="3"/>
        <v>1616134.8569694918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58">
        <f t="shared" ca="1" si="4"/>
        <v>-8541344.8331332449</v>
      </c>
      <c r="C106" s="458">
        <f t="shared" si="0"/>
        <v>0</v>
      </c>
      <c r="D106" s="458">
        <f t="shared" ca="1" si="9"/>
        <v>-85916.130299225493</v>
      </c>
      <c r="E106" s="458">
        <f t="shared" ca="1" si="1"/>
        <v>-8627260.9634324703</v>
      </c>
      <c r="F106" s="442"/>
      <c r="G106" s="470">
        <f t="shared" si="13"/>
        <v>9</v>
      </c>
      <c r="H106" s="470">
        <v>99</v>
      </c>
      <c r="I106" s="455">
        <f t="shared" ca="1" si="5"/>
        <v>1616134.8569694918</v>
      </c>
      <c r="J106" s="455">
        <f t="array" ref="J106">IFERROR(INDEX('Retirement Calculator'!J:J,MATCH('Isaac 401k'!N106,'Retirement Calculator'!A:A,0),0),0)</f>
        <v>7863.2184191855868</v>
      </c>
      <c r="K106" s="455">
        <f t="shared" ca="1" si="2"/>
        <v>6701.131827292942</v>
      </c>
      <c r="L106" s="455">
        <f t="shared" ca="1" si="3"/>
        <v>1614972.7703775992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58">
        <f t="shared" ca="1" si="4"/>
        <v>-8627260.9634324703</v>
      </c>
      <c r="C107" s="458">
        <f t="shared" si="0"/>
        <v>0</v>
      </c>
      <c r="D107" s="458">
        <f t="shared" ca="1" si="9"/>
        <v>-85916.130299225493</v>
      </c>
      <c r="E107" s="458">
        <f t="shared" ca="1" si="1"/>
        <v>-8713177.0937316958</v>
      </c>
      <c r="F107" s="442"/>
      <c r="G107" s="470">
        <f t="shared" si="13"/>
        <v>9</v>
      </c>
      <c r="H107" s="470">
        <v>100</v>
      </c>
      <c r="I107" s="455">
        <f t="shared" ca="1" si="5"/>
        <v>1614972.7703775992</v>
      </c>
      <c r="J107" s="455">
        <f t="array" ref="J107">IFERROR(INDEX('Retirement Calculator'!J:J,MATCH('Isaac 401k'!N107,'Retirement Calculator'!A:A,0),0),0)</f>
        <v>7863.2184191855868</v>
      </c>
      <c r="K107" s="455">
        <f t="shared" ca="1" si="2"/>
        <v>6696.2897998267226</v>
      </c>
      <c r="L107" s="455">
        <f t="shared" ca="1" si="3"/>
        <v>1613805.8417582402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58">
        <f t="shared" ca="1" si="4"/>
        <v>-8713177.0937316958</v>
      </c>
      <c r="C108" s="458">
        <f t="shared" si="0"/>
        <v>0</v>
      </c>
      <c r="D108" s="458">
        <f t="shared" ca="1" si="9"/>
        <v>-85916.130299225493</v>
      </c>
      <c r="E108" s="458">
        <f t="shared" ca="1" si="1"/>
        <v>-8799093.2240309212</v>
      </c>
      <c r="F108" s="442"/>
      <c r="G108" s="470">
        <f t="shared" si="13"/>
        <v>9</v>
      </c>
      <c r="H108" s="470">
        <v>101</v>
      </c>
      <c r="I108" s="455">
        <f t="shared" ca="1" si="5"/>
        <v>1613805.8417582402</v>
      </c>
      <c r="J108" s="455">
        <f t="array" ref="J108">IFERROR(INDEX('Retirement Calculator'!J:J,MATCH('Isaac 401k'!N108,'Retirement Calculator'!A:A,0),0),0)</f>
        <v>7863.2184191855868</v>
      </c>
      <c r="K108" s="455">
        <f t="shared" ca="1" si="2"/>
        <v>6691.4275972460609</v>
      </c>
      <c r="L108" s="455">
        <f t="shared" ca="1" si="3"/>
        <v>1612634.0509363008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58">
        <f t="shared" ca="1" si="4"/>
        <v>-8799093.2240309212</v>
      </c>
      <c r="C109" s="458">
        <f t="shared" si="0"/>
        <v>0</v>
      </c>
      <c r="D109" s="458">
        <f t="shared" ca="1" si="9"/>
        <v>-85916.130299225493</v>
      </c>
      <c r="E109" s="458">
        <f t="shared" ca="1" si="1"/>
        <v>-8885009.3543301467</v>
      </c>
      <c r="F109" s="442"/>
      <c r="G109" s="470">
        <f t="shared" si="13"/>
        <v>9</v>
      </c>
      <c r="H109" s="470">
        <v>102</v>
      </c>
      <c r="I109" s="455">
        <f t="shared" ca="1" si="5"/>
        <v>1612634.0509363008</v>
      </c>
      <c r="J109" s="455">
        <f t="array" ref="J109">IFERROR(INDEX('Retirement Calculator'!J:J,MATCH('Isaac 401k'!N109,'Retirement Calculator'!A:A,0),0),0)</f>
        <v>7863.2184191855868</v>
      </c>
      <c r="K109" s="455">
        <f t="shared" ca="1" si="2"/>
        <v>6686.5451354879797</v>
      </c>
      <c r="L109" s="455">
        <f t="shared" ca="1" si="3"/>
        <v>1611457.3776526032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58">
        <f t="shared" ca="1" si="4"/>
        <v>-8885009.3543301467</v>
      </c>
      <c r="C110" s="458">
        <f t="shared" si="0"/>
        <v>0</v>
      </c>
      <c r="D110" s="458">
        <f t="shared" ca="1" si="9"/>
        <v>-85916.130299225493</v>
      </c>
      <c r="E110" s="458">
        <f t="shared" ca="1" si="1"/>
        <v>-8970925.4846293721</v>
      </c>
      <c r="F110" s="442"/>
      <c r="G110" s="470">
        <f t="shared" si="13"/>
        <v>9</v>
      </c>
      <c r="H110" s="470">
        <v>103</v>
      </c>
      <c r="I110" s="455">
        <f t="shared" ca="1" si="5"/>
        <v>1611457.3776526032</v>
      </c>
      <c r="J110" s="455">
        <f t="array" ref="J110">IFERROR(INDEX('Retirement Calculator'!J:J,MATCH('Isaac 401k'!N110,'Retirement Calculator'!A:A,0),0),0)</f>
        <v>7863.2184191855868</v>
      </c>
      <c r="K110" s="455">
        <f t="shared" ca="1" si="2"/>
        <v>6681.6423301392397</v>
      </c>
      <c r="L110" s="455">
        <f t="shared" ca="1" si="3"/>
        <v>1610275.8015635568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58">
        <f t="shared" ca="1" si="4"/>
        <v>-8970925.4846293721</v>
      </c>
      <c r="C111" s="458">
        <f t="shared" si="0"/>
        <v>0</v>
      </c>
      <c r="D111" s="458">
        <f t="shared" ca="1" si="9"/>
        <v>-85916.130299225493</v>
      </c>
      <c r="E111" s="458">
        <f t="shared" ca="1" si="1"/>
        <v>-9056841.6149285976</v>
      </c>
      <c r="F111" s="442"/>
      <c r="G111" s="470">
        <f t="shared" si="13"/>
        <v>9</v>
      </c>
      <c r="H111" s="470">
        <v>104</v>
      </c>
      <c r="I111" s="455">
        <f t="shared" ca="1" si="5"/>
        <v>1610275.8015635568</v>
      </c>
      <c r="J111" s="455">
        <f t="array" ref="J111">IFERROR(INDEX('Retirement Calculator'!J:J,MATCH('Isaac 401k'!N111,'Retirement Calculator'!A:A,0),0),0)</f>
        <v>7863.2184191855868</v>
      </c>
      <c r="K111" s="455">
        <f t="shared" ca="1" si="2"/>
        <v>6676.7190964348802</v>
      </c>
      <c r="L111" s="455">
        <f t="shared" ca="1" si="3"/>
        <v>1609089.3022408059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58">
        <f t="shared" ca="1" si="4"/>
        <v>-9056841.6149285976</v>
      </c>
      <c r="C112" s="458">
        <f t="shared" si="0"/>
        <v>0</v>
      </c>
      <c r="D112" s="458">
        <f t="shared" ca="1" si="9"/>
        <v>-85916.130299225493</v>
      </c>
      <c r="E112" s="458">
        <f t="shared" ca="1" si="1"/>
        <v>-9142757.745227823</v>
      </c>
      <c r="F112" s="442"/>
      <c r="G112" s="470">
        <f t="shared" si="13"/>
        <v>9</v>
      </c>
      <c r="H112" s="470">
        <v>105</v>
      </c>
      <c r="I112" s="455">
        <f t="shared" ca="1" si="5"/>
        <v>1609089.3022408059</v>
      </c>
      <c r="J112" s="455">
        <f t="array" ref="J112">IFERROR(INDEX('Retirement Calculator'!J:J,MATCH('Isaac 401k'!N112,'Retirement Calculator'!A:A,0),0),0)</f>
        <v>7863.2184191855868</v>
      </c>
      <c r="K112" s="455">
        <f t="shared" ca="1" si="2"/>
        <v>6671.7753492567508</v>
      </c>
      <c r="L112" s="455">
        <f t="shared" ca="1" si="3"/>
        <v>1607897.8591708771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58">
        <f t="shared" ca="1" si="4"/>
        <v>-9142757.745227823</v>
      </c>
      <c r="C113" s="458">
        <f t="shared" si="0"/>
        <v>0</v>
      </c>
      <c r="D113" s="458">
        <f t="shared" ca="1" si="9"/>
        <v>-85916.130299225493</v>
      </c>
      <c r="E113" s="458">
        <f t="shared" ca="1" si="1"/>
        <v>-9228673.8755270485</v>
      </c>
      <c r="F113" s="442"/>
      <c r="G113" s="470">
        <f t="shared" si="13"/>
        <v>9</v>
      </c>
      <c r="H113" s="470">
        <v>106</v>
      </c>
      <c r="I113" s="455">
        <f t="shared" ca="1" si="5"/>
        <v>1607897.8591708771</v>
      </c>
      <c r="J113" s="455">
        <f t="array" ref="J113">IFERROR(INDEX('Retirement Calculator'!J:J,MATCH('Isaac 401k'!N113,'Retirement Calculator'!A:A,0),0),0)</f>
        <v>7863.2184191855868</v>
      </c>
      <c r="K113" s="455">
        <f t="shared" ca="1" si="2"/>
        <v>6666.8110031320475</v>
      </c>
      <c r="L113" s="455">
        <f t="shared" ca="1" si="3"/>
        <v>1606701.4517548236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58">
        <f t="shared" ca="1" si="4"/>
        <v>-9228673.8755270485</v>
      </c>
      <c r="C114" s="458">
        <f t="shared" si="0"/>
        <v>0</v>
      </c>
      <c r="D114" s="458">
        <f t="shared" ca="1" si="9"/>
        <v>-85916.130299225493</v>
      </c>
      <c r="E114" s="458">
        <f t="shared" ca="1" si="1"/>
        <v>-9314590.0058262739</v>
      </c>
      <c r="F114" s="442"/>
      <c r="G114" s="470">
        <f t="shared" si="13"/>
        <v>9</v>
      </c>
      <c r="H114" s="470">
        <v>107</v>
      </c>
      <c r="I114" s="455">
        <f t="shared" ca="1" si="5"/>
        <v>1606701.4517548236</v>
      </c>
      <c r="J114" s="455">
        <f t="array" ref="J114">IFERROR(INDEX('Retirement Calculator'!J:J,MATCH('Isaac 401k'!N114,'Retirement Calculator'!A:A,0),0),0)</f>
        <v>7863.2184191855868</v>
      </c>
      <c r="K114" s="455">
        <f t="shared" ca="1" si="2"/>
        <v>6661.8259722318244</v>
      </c>
      <c r="L114" s="455">
        <f t="shared" ca="1" si="3"/>
        <v>1605500.0593078698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58">
        <f t="shared" ca="1" si="4"/>
        <v>-9314590.0058262739</v>
      </c>
      <c r="C115" s="458">
        <f t="shared" si="0"/>
        <v>0</v>
      </c>
      <c r="D115" s="458">
        <f t="shared" ca="1" si="9"/>
        <v>-85916.130299225493</v>
      </c>
      <c r="E115" s="458">
        <f t="shared" ca="1" si="1"/>
        <v>-9400506.1361254994</v>
      </c>
      <c r="F115" s="442"/>
      <c r="G115" s="470">
        <f t="shared" si="13"/>
        <v>9</v>
      </c>
      <c r="H115" s="470">
        <v>108</v>
      </c>
      <c r="I115" s="455">
        <f t="shared" ca="1" si="5"/>
        <v>1605500.0593078698</v>
      </c>
      <c r="J115" s="455">
        <f t="array" ref="J115">IFERROR(INDEX('Retirement Calculator'!J:J,MATCH('Isaac 401k'!N115,'Retirement Calculator'!A:A,0),0),0)</f>
        <v>7863.2184191855868</v>
      </c>
      <c r="K115" s="455">
        <f t="shared" ca="1" si="2"/>
        <v>6656.8201703695167</v>
      </c>
      <c r="L115" s="455">
        <f t="shared" ca="1" si="3"/>
        <v>1604293.6610590536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58">
        <f t="shared" ca="1" si="4"/>
        <v>-9400506.1361254994</v>
      </c>
      <c r="C116" s="458">
        <f t="shared" si="0"/>
        <v>0</v>
      </c>
      <c r="D116" s="458">
        <f t="shared" ca="1" si="9"/>
        <v>-85916.130299225493</v>
      </c>
      <c r="E116" s="458">
        <f t="shared" ca="1" si="1"/>
        <v>-9486422.2664247248</v>
      </c>
      <c r="F116" s="442"/>
      <c r="G116" s="470">
        <f>G115+1</f>
        <v>10</v>
      </c>
      <c r="H116" s="470">
        <v>109</v>
      </c>
      <c r="I116" s="455">
        <f t="shared" ca="1" si="5"/>
        <v>1604293.6610590536</v>
      </c>
      <c r="J116" s="455">
        <f t="array" ref="J116">IFERROR(INDEX('Retirement Calculator'!J:J,MATCH('Isaac 401k'!N116,'Retirement Calculator'!A:A,0),0),0)</f>
        <v>7863.2184191855868</v>
      </c>
      <c r="K116" s="455">
        <f t="shared" ca="1" si="2"/>
        <v>6651.7935109994496</v>
      </c>
      <c r="L116" s="455">
        <f t="shared" ca="1" si="3"/>
        <v>1603082.2361508675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58">
        <f t="shared" ca="1" si="4"/>
        <v>-9486422.2664247248</v>
      </c>
      <c r="C117" s="458">
        <f t="shared" si="0"/>
        <v>0</v>
      </c>
      <c r="D117" s="458">
        <f t="shared" ca="1" si="9"/>
        <v>-85916.130299225493</v>
      </c>
      <c r="E117" s="458">
        <f t="shared" ca="1" si="1"/>
        <v>-9572338.3967239503</v>
      </c>
      <c r="F117" s="442"/>
      <c r="G117" s="470">
        <f t="shared" ref="G117:G127" si="14">G116</f>
        <v>10</v>
      </c>
      <c r="H117" s="470">
        <v>110</v>
      </c>
      <c r="I117" s="455">
        <f t="shared" ca="1" si="5"/>
        <v>1603082.2361508675</v>
      </c>
      <c r="J117" s="455">
        <f t="array" ref="J117">IFERROR(INDEX('Retirement Calculator'!J:J,MATCH('Isaac 401k'!N117,'Retirement Calculator'!A:A,0),0),0)</f>
        <v>7863.2184191855868</v>
      </c>
      <c r="K117" s="455">
        <f t="shared" ca="1" si="2"/>
        <v>6646.7459072153415</v>
      </c>
      <c r="L117" s="455">
        <f t="shared" ca="1" si="3"/>
        <v>1601865.7636388973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58">
        <f t="shared" ca="1" si="4"/>
        <v>-9572338.3967239503</v>
      </c>
      <c r="C118" s="458">
        <f t="shared" si="0"/>
        <v>0</v>
      </c>
      <c r="D118" s="458">
        <f t="shared" ca="1" si="9"/>
        <v>-85916.130299225493</v>
      </c>
      <c r="E118" s="458">
        <f t="shared" ca="1" si="1"/>
        <v>-9658254.5270231757</v>
      </c>
      <c r="F118" s="442"/>
      <c r="G118" s="470">
        <f t="shared" si="14"/>
        <v>10</v>
      </c>
      <c r="H118" s="470">
        <v>111</v>
      </c>
      <c r="I118" s="455">
        <f t="shared" ca="1" si="5"/>
        <v>1601865.7636388973</v>
      </c>
      <c r="J118" s="455">
        <f t="array" ref="J118">IFERROR(INDEX('Retirement Calculator'!J:J,MATCH('Isaac 401k'!N118,'Retirement Calculator'!A:A,0),0),0)</f>
        <v>7863.2184191855868</v>
      </c>
      <c r="K118" s="455">
        <f t="shared" ca="1" si="2"/>
        <v>6641.6772717487984</v>
      </c>
      <c r="L118" s="455">
        <f t="shared" ca="1" si="3"/>
        <v>1600644.2224914606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58">
        <f t="shared" ca="1" si="4"/>
        <v>-9658254.5270231757</v>
      </c>
      <c r="C119" s="458">
        <f t="shared" si="0"/>
        <v>0</v>
      </c>
      <c r="D119" s="458">
        <f t="shared" ca="1" si="9"/>
        <v>-85916.130299225493</v>
      </c>
      <c r="E119" s="458">
        <f t="shared" ca="1" si="1"/>
        <v>-9744170.6573224012</v>
      </c>
      <c r="F119" s="442"/>
      <c r="G119" s="470">
        <f t="shared" si="14"/>
        <v>10</v>
      </c>
      <c r="H119" s="470">
        <v>112</v>
      </c>
      <c r="I119" s="455">
        <f t="shared" ca="1" si="5"/>
        <v>1600644.2224914606</v>
      </c>
      <c r="J119" s="455">
        <f t="array" ref="J119">IFERROR(INDEX('Retirement Calculator'!J:J,MATCH('Isaac 401k'!N119,'Retirement Calculator'!A:A,0),0),0)</f>
        <v>7863.2184191855868</v>
      </c>
      <c r="K119" s="455">
        <f t="shared" ca="1" si="2"/>
        <v>6636.587516967812</v>
      </c>
      <c r="L119" s="455">
        <f t="shared" ca="1" si="3"/>
        <v>1599417.5915892429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58">
        <f t="shared" ca="1" si="4"/>
        <v>-9744170.6573224012</v>
      </c>
      <c r="C120" s="458">
        <f t="shared" si="0"/>
        <v>0</v>
      </c>
      <c r="D120" s="458">
        <f t="shared" ca="1" si="9"/>
        <v>-85916.130299225493</v>
      </c>
      <c r="E120" s="458">
        <f t="shared" ca="1" si="1"/>
        <v>-9830086.7876216266</v>
      </c>
      <c r="F120" s="442"/>
      <c r="G120" s="470">
        <f t="shared" si="14"/>
        <v>10</v>
      </c>
      <c r="H120" s="470">
        <v>113</v>
      </c>
      <c r="I120" s="455">
        <f t="shared" ca="1" si="5"/>
        <v>1599417.5915892429</v>
      </c>
      <c r="J120" s="455">
        <f t="array" ref="J120">IFERROR(INDEX('Retirement Calculator'!J:J,MATCH('Isaac 401k'!N120,'Retirement Calculator'!A:A,0),0),0)</f>
        <v>7863.2184191855868</v>
      </c>
      <c r="K120" s="455">
        <f t="shared" ca="1" si="2"/>
        <v>6631.4765548752384</v>
      </c>
      <c r="L120" s="455">
        <f t="shared" ca="1" si="3"/>
        <v>1598185.8497249326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58">
        <f t="shared" ca="1" si="4"/>
        <v>-9830086.7876216266</v>
      </c>
      <c r="C121" s="458">
        <f t="shared" si="0"/>
        <v>0</v>
      </c>
      <c r="D121" s="458">
        <f t="shared" ca="1" si="9"/>
        <v>-85916.130299225493</v>
      </c>
      <c r="E121" s="458">
        <f t="shared" ca="1" si="1"/>
        <v>-9916002.9179208521</v>
      </c>
      <c r="F121" s="442"/>
      <c r="G121" s="470">
        <f t="shared" si="14"/>
        <v>10</v>
      </c>
      <c r="H121" s="470">
        <v>114</v>
      </c>
      <c r="I121" s="455">
        <f t="shared" ca="1" si="5"/>
        <v>1598185.8497249326</v>
      </c>
      <c r="J121" s="455">
        <f t="array" ref="J121">IFERROR(INDEX('Retirement Calculator'!J:J,MATCH('Isaac 401k'!N121,'Retirement Calculator'!A:A,0),0),0)</f>
        <v>7863.2184191855868</v>
      </c>
      <c r="K121" s="455">
        <f t="shared" ca="1" si="2"/>
        <v>6626.3442971072791</v>
      </c>
      <c r="L121" s="455">
        <f t="shared" ca="1" si="3"/>
        <v>1596948.9756028543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58">
        <f t="shared" ca="1" si="4"/>
        <v>-9916002.9179208521</v>
      </c>
      <c r="C122" s="458">
        <f t="shared" si="0"/>
        <v>0</v>
      </c>
      <c r="D122" s="458">
        <f t="shared" ca="1" si="9"/>
        <v>-85916.130299225493</v>
      </c>
      <c r="E122" s="458">
        <f t="shared" ca="1" si="1"/>
        <v>-10001919.048220078</v>
      </c>
      <c r="F122" s="442"/>
      <c r="G122" s="470">
        <f t="shared" si="14"/>
        <v>10</v>
      </c>
      <c r="H122" s="470">
        <v>115</v>
      </c>
      <c r="I122" s="455">
        <f t="shared" ca="1" si="5"/>
        <v>1596948.9756028543</v>
      </c>
      <c r="J122" s="455">
        <f t="array" ref="J122">IFERROR(INDEX('Retirement Calculator'!J:J,MATCH('Isaac 401k'!N122,'Retirement Calculator'!A:A,0),0),0)</f>
        <v>7863.2184191855868</v>
      </c>
      <c r="K122" s="455">
        <f t="shared" ca="1" si="2"/>
        <v>6621.1906549319528</v>
      </c>
      <c r="L122" s="455">
        <f t="shared" ca="1" si="3"/>
        <v>1595706.9478386007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58">
        <f t="shared" ca="1" si="4"/>
        <v>-10001919.048220078</v>
      </c>
      <c r="C123" s="458">
        <f t="shared" si="0"/>
        <v>0</v>
      </c>
      <c r="D123" s="458">
        <f t="shared" ca="1" si="9"/>
        <v>-85916.130299225493</v>
      </c>
      <c r="E123" s="458">
        <f t="shared" ca="1" si="1"/>
        <v>-10087835.178519303</v>
      </c>
      <c r="F123" s="442"/>
      <c r="G123" s="470">
        <f t="shared" si="14"/>
        <v>10</v>
      </c>
      <c r="H123" s="470">
        <v>116</v>
      </c>
      <c r="I123" s="455">
        <f t="shared" ca="1" si="5"/>
        <v>1595706.9478386007</v>
      </c>
      <c r="J123" s="455">
        <f t="array" ref="J123">IFERROR(INDEX('Retirement Calculator'!J:J,MATCH('Isaac 401k'!N123,'Retirement Calculator'!A:A,0),0),0)</f>
        <v>7863.2184191855868</v>
      </c>
      <c r="K123" s="455">
        <f t="shared" ca="1" si="2"/>
        <v>6616.0155392475626</v>
      </c>
      <c r="L123" s="455">
        <f t="shared" ca="1" si="3"/>
        <v>1594459.7449586627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58">
        <f t="shared" ca="1" si="4"/>
        <v>-10087835.178519303</v>
      </c>
      <c r="C124" s="458">
        <f t="shared" si="0"/>
        <v>0</v>
      </c>
      <c r="D124" s="458">
        <f t="shared" ca="1" si="9"/>
        <v>-85916.130299225493</v>
      </c>
      <c r="E124" s="458">
        <f t="shared" ca="1" si="1"/>
        <v>-10173751.308818528</v>
      </c>
      <c r="F124" s="442"/>
      <c r="G124" s="470">
        <f t="shared" si="14"/>
        <v>10</v>
      </c>
      <c r="H124" s="470">
        <v>117</v>
      </c>
      <c r="I124" s="455">
        <f t="shared" ca="1" si="5"/>
        <v>1594459.7449586627</v>
      </c>
      <c r="J124" s="455">
        <f t="array" ref="J124">IFERROR(INDEX('Retirement Calculator'!J:J,MATCH('Isaac 401k'!N124,'Retirement Calculator'!A:A,0),0),0)</f>
        <v>7863.2184191855868</v>
      </c>
      <c r="K124" s="455">
        <f t="shared" ca="1" si="2"/>
        <v>6610.8188605811547</v>
      </c>
      <c r="L124" s="455">
        <f t="shared" ca="1" si="3"/>
        <v>1593207.3454000582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58">
        <f t="shared" ca="1" si="4"/>
        <v>-10173751.308818528</v>
      </c>
      <c r="C125" s="458">
        <f t="shared" si="0"/>
        <v>0</v>
      </c>
      <c r="D125" s="458">
        <f t="shared" ca="1" si="9"/>
        <v>-85916.130299225493</v>
      </c>
      <c r="E125" s="458">
        <f t="shared" ca="1" si="1"/>
        <v>-10259667.439117754</v>
      </c>
      <c r="F125" s="442"/>
      <c r="G125" s="470">
        <f t="shared" si="14"/>
        <v>10</v>
      </c>
      <c r="H125" s="470">
        <v>118</v>
      </c>
      <c r="I125" s="455">
        <f t="shared" ca="1" si="5"/>
        <v>1593207.3454000582</v>
      </c>
      <c r="J125" s="455">
        <f t="array" ref="J125">IFERROR(INDEX('Retirement Calculator'!J:J,MATCH('Isaac 401k'!N125,'Retirement Calculator'!A:A,0),0),0)</f>
        <v>7863.2184191855868</v>
      </c>
      <c r="K125" s="455">
        <f t="shared" ca="1" si="2"/>
        <v>6605.6005290869689</v>
      </c>
      <c r="L125" s="455">
        <f t="shared" ca="1" si="3"/>
        <v>1591949.7275099596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58">
        <f t="shared" ca="1" si="4"/>
        <v>-10259667.439117754</v>
      </c>
      <c r="C126" s="458">
        <f t="shared" si="0"/>
        <v>0</v>
      </c>
      <c r="D126" s="458">
        <f t="shared" ca="1" si="9"/>
        <v>-85916.130299225493</v>
      </c>
      <c r="E126" s="458">
        <f t="shared" ca="1" si="1"/>
        <v>-10345583.569416979</v>
      </c>
      <c r="F126" s="442"/>
      <c r="G126" s="470">
        <f t="shared" si="14"/>
        <v>10</v>
      </c>
      <c r="H126" s="470">
        <v>119</v>
      </c>
      <c r="I126" s="455">
        <f t="shared" ca="1" si="5"/>
        <v>1591949.7275099596</v>
      </c>
      <c r="J126" s="455">
        <f t="array" ref="J126">IFERROR(INDEX('Retirement Calculator'!J:J,MATCH('Isaac 401k'!N126,'Retirement Calculator'!A:A,0),0),0)</f>
        <v>7863.2184191855868</v>
      </c>
      <c r="K126" s="455">
        <f t="shared" ca="1" si="2"/>
        <v>6600.3604545448916</v>
      </c>
      <c r="L126" s="455">
        <f t="shared" ca="1" si="3"/>
        <v>1590686.8695453189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58">
        <f t="shared" ca="1" si="4"/>
        <v>-10345583.569416979</v>
      </c>
      <c r="C127" s="458">
        <f t="shared" si="0"/>
        <v>0</v>
      </c>
      <c r="D127" s="458">
        <f t="shared" ca="1" si="9"/>
        <v>-85916.130299225493</v>
      </c>
      <c r="E127" s="458">
        <f t="shared" ca="1" si="1"/>
        <v>-10431499.699716205</v>
      </c>
      <c r="F127" s="442"/>
      <c r="G127" s="470">
        <f t="shared" si="14"/>
        <v>10</v>
      </c>
      <c r="H127" s="470">
        <v>120</v>
      </c>
      <c r="I127" s="455">
        <f t="shared" ca="1" si="5"/>
        <v>1590686.8695453189</v>
      </c>
      <c r="J127" s="455">
        <f t="array" ref="J127">IFERROR(INDEX('Retirement Calculator'!J:J,MATCH('Isaac 401k'!N127,'Retirement Calculator'!A:A,0),0),0)</f>
        <v>7863.2184191855868</v>
      </c>
      <c r="K127" s="455">
        <f t="shared" ca="1" si="2"/>
        <v>6595.0985463588886</v>
      </c>
      <c r="L127" s="455">
        <f t="shared" ca="1" si="3"/>
        <v>1589418.7496724923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58">
        <f t="shared" ca="1" si="4"/>
        <v>-10431499.699716205</v>
      </c>
      <c r="C128" s="458">
        <f t="shared" si="0"/>
        <v>0</v>
      </c>
      <c r="D128" s="458">
        <f t="shared" ca="1" si="9"/>
        <v>-85916.130299225493</v>
      </c>
      <c r="E128" s="458">
        <f t="shared" ca="1" si="1"/>
        <v>-10517415.83001543</v>
      </c>
      <c r="F128" s="442"/>
      <c r="G128" s="470">
        <f>G127+1</f>
        <v>11</v>
      </c>
      <c r="H128" s="470">
        <v>121</v>
      </c>
      <c r="I128" s="455">
        <f t="shared" ca="1" si="5"/>
        <v>1589418.7496724923</v>
      </c>
      <c r="J128" s="455">
        <f t="array" ref="J128">IFERROR(INDEX('Retirement Calculator'!J:J,MATCH('Isaac 401k'!N128,'Retirement Calculator'!A:A,0),0),0)</f>
        <v>7863.2184191855868</v>
      </c>
      <c r="K128" s="455">
        <f t="shared" ca="1" si="2"/>
        <v>6589.8147135554445</v>
      </c>
      <c r="L128" s="455">
        <f t="shared" ca="1" si="3"/>
        <v>1588145.345966862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58">
        <f t="shared" ca="1" si="4"/>
        <v>-10517415.83001543</v>
      </c>
      <c r="C129" s="458">
        <f t="shared" si="0"/>
        <v>0</v>
      </c>
      <c r="D129" s="458">
        <f t="shared" ca="1" si="9"/>
        <v>-85916.130299225493</v>
      </c>
      <c r="E129" s="458">
        <f t="shared" ca="1" si="1"/>
        <v>-10603331.960314656</v>
      </c>
      <c r="F129" s="442"/>
      <c r="G129" s="470">
        <f t="shared" ref="G129:G139" si="15">G128</f>
        <v>11</v>
      </c>
      <c r="H129" s="470">
        <v>122</v>
      </c>
      <c r="I129" s="455">
        <f t="shared" ca="1" si="5"/>
        <v>1588145.345966862</v>
      </c>
      <c r="J129" s="455">
        <f t="array" ref="J129">IFERROR(INDEX('Retirement Calculator'!J:J,MATCH('Isaac 401k'!N129,'Retirement Calculator'!A:A,0),0),0)</f>
        <v>7863.2184191855868</v>
      </c>
      <c r="K129" s="455">
        <f t="shared" ca="1" si="2"/>
        <v>6584.5088647819848</v>
      </c>
      <c r="L129" s="455">
        <f t="shared" ca="1" si="3"/>
        <v>1586866.6364124585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58">
        <f t="shared" ca="1" si="4"/>
        <v>-10603331.960314656</v>
      </c>
      <c r="C130" s="458">
        <f t="shared" si="0"/>
        <v>0</v>
      </c>
      <c r="D130" s="458">
        <f t="shared" ca="1" si="9"/>
        <v>-85916.130299225493</v>
      </c>
      <c r="E130" s="458">
        <f t="shared" ca="1" si="1"/>
        <v>-10689248.090613881</v>
      </c>
      <c r="F130" s="442"/>
      <c r="G130" s="470">
        <f t="shared" si="15"/>
        <v>11</v>
      </c>
      <c r="H130" s="470">
        <v>123</v>
      </c>
      <c r="I130" s="455">
        <f t="shared" ca="1" si="5"/>
        <v>1586866.6364124585</v>
      </c>
      <c r="J130" s="455">
        <f t="array" ref="J130">IFERROR(INDEX('Retirement Calculator'!J:J,MATCH('Isaac 401k'!N130,'Retirement Calculator'!A:A,0),0),0)</f>
        <v>7863.2184191855868</v>
      </c>
      <c r="K130" s="455">
        <f t="shared" ca="1" si="2"/>
        <v>6579.180908305304</v>
      </c>
      <c r="L130" s="455">
        <f t="shared" ca="1" si="3"/>
        <v>1585582.5989015782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58">
        <f t="shared" ca="1" si="4"/>
        <v>-10689248.090613881</v>
      </c>
      <c r="C131" s="458">
        <f t="shared" si="0"/>
        <v>0</v>
      </c>
      <c r="D131" s="458">
        <f t="shared" ca="1" si="9"/>
        <v>-85916.130299225493</v>
      </c>
      <c r="E131" s="458">
        <f t="shared" ca="1" si="1"/>
        <v>-10775164.220913107</v>
      </c>
      <c r="F131" s="442"/>
      <c r="G131" s="470">
        <f t="shared" si="15"/>
        <v>11</v>
      </c>
      <c r="H131" s="470">
        <v>124</v>
      </c>
      <c r="I131" s="455">
        <f t="shared" ca="1" si="5"/>
        <v>1585582.5989015782</v>
      </c>
      <c r="J131" s="455">
        <f t="array" ref="J131">IFERROR(INDEX('Retirement Calculator'!J:J,MATCH('Isaac 401k'!N131,'Retirement Calculator'!A:A,0),0),0)</f>
        <v>7863.2184191855868</v>
      </c>
      <c r="K131" s="455">
        <f t="shared" ca="1" si="2"/>
        <v>6573.8307520099688</v>
      </c>
      <c r="L131" s="455">
        <f t="shared" ca="1" si="3"/>
        <v>1584293.2112344026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58">
        <f t="shared" ca="1" si="4"/>
        <v>-10775164.220913107</v>
      </c>
      <c r="C132" s="458">
        <f t="shared" si="0"/>
        <v>0</v>
      </c>
      <c r="D132" s="458">
        <f t="shared" ca="1" si="9"/>
        <v>-85916.130299225493</v>
      </c>
      <c r="E132" s="458">
        <f t="shared" ca="1" si="1"/>
        <v>-10861080.351212332</v>
      </c>
      <c r="F132" s="442"/>
      <c r="G132" s="470">
        <f t="shared" si="15"/>
        <v>11</v>
      </c>
      <c r="H132" s="470">
        <v>125</v>
      </c>
      <c r="I132" s="455">
        <f t="shared" ca="1" si="5"/>
        <v>1584293.2112344026</v>
      </c>
      <c r="J132" s="455">
        <f t="array" ref="J132">IFERROR(INDEX('Retirement Calculator'!J:J,MATCH('Isaac 401k'!N132,'Retirement Calculator'!A:A,0),0),0)</f>
        <v>7863.2184191855868</v>
      </c>
      <c r="K132" s="455">
        <f t="shared" ca="1" si="2"/>
        <v>6568.4583033967374</v>
      </c>
      <c r="L132" s="455">
        <f t="shared" ca="1" si="3"/>
        <v>1582998.4511186138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58">
        <f t="shared" ca="1" si="4"/>
        <v>-10861080.351212332</v>
      </c>
      <c r="C133" s="458">
        <f t="shared" si="0"/>
        <v>0</v>
      </c>
      <c r="D133" s="458">
        <f t="shared" ca="1" si="9"/>
        <v>-85916.130299225493</v>
      </c>
      <c r="E133" s="458">
        <f t="shared" ca="1" si="1"/>
        <v>-10946996.481511557</v>
      </c>
      <c r="F133" s="442"/>
      <c r="G133" s="470">
        <f t="shared" si="15"/>
        <v>11</v>
      </c>
      <c r="H133" s="470">
        <v>126</v>
      </c>
      <c r="I133" s="455">
        <f t="shared" ca="1" si="5"/>
        <v>1582998.4511186138</v>
      </c>
      <c r="J133" s="455">
        <f t="array" ref="J133">IFERROR(INDEX('Retirement Calculator'!J:J,MATCH('Isaac 401k'!N133,'Retirement Calculator'!A:A,0),0),0)</f>
        <v>7863.2184191855868</v>
      </c>
      <c r="K133" s="455">
        <f t="shared" ca="1" si="2"/>
        <v>6563.0634695809513</v>
      </c>
      <c r="L133" s="455">
        <f t="shared" ca="1" si="3"/>
        <v>1581698.2961690091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58">
        <f t="shared" ca="1" si="4"/>
        <v>-10946996.481511557</v>
      </c>
      <c r="C134" s="458">
        <f t="shared" si="0"/>
        <v>0</v>
      </c>
      <c r="D134" s="458">
        <f t="shared" ca="1" si="9"/>
        <v>-85916.130299225493</v>
      </c>
      <c r="E134" s="458">
        <f t="shared" ca="1" si="1"/>
        <v>-11032912.611810783</v>
      </c>
      <c r="F134" s="442"/>
      <c r="G134" s="470">
        <f t="shared" si="15"/>
        <v>11</v>
      </c>
      <c r="H134" s="470">
        <v>127</v>
      </c>
      <c r="I134" s="455">
        <f t="shared" ca="1" si="5"/>
        <v>1581698.2961690091</v>
      </c>
      <c r="J134" s="455">
        <f t="array" ref="J134">IFERROR(INDEX('Retirement Calculator'!J:J,MATCH('Isaac 401k'!N134,'Retirement Calculator'!A:A,0),0),0)</f>
        <v>7863.2184191855868</v>
      </c>
      <c r="K134" s="455">
        <f t="shared" ca="1" si="2"/>
        <v>6557.6461572909311</v>
      </c>
      <c r="L134" s="455">
        <f t="shared" ca="1" si="3"/>
        <v>1580392.7239071145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58">
        <f t="shared" ca="1" si="4"/>
        <v>-11032912.611810783</v>
      </c>
      <c r="C135" s="458">
        <f t="shared" si="0"/>
        <v>0</v>
      </c>
      <c r="D135" s="458">
        <f t="shared" ca="1" si="9"/>
        <v>-85916.130299225493</v>
      </c>
      <c r="E135" s="458">
        <f t="shared" ca="1" si="1"/>
        <v>-11118828.742110008</v>
      </c>
      <c r="F135" s="442"/>
      <c r="G135" s="470">
        <f t="shared" si="15"/>
        <v>11</v>
      </c>
      <c r="H135" s="470">
        <v>128</v>
      </c>
      <c r="I135" s="455">
        <f t="shared" ca="1" si="5"/>
        <v>1580392.7239071145</v>
      </c>
      <c r="J135" s="455">
        <f t="array" ref="J135">IFERROR(INDEX('Retirement Calculator'!J:J,MATCH('Isaac 401k'!N135,'Retirement Calculator'!A:A,0),0),0)</f>
        <v>7863.2184191855868</v>
      </c>
      <c r="K135" s="455">
        <f t="shared" ca="1" si="2"/>
        <v>6552.2062728663705</v>
      </c>
      <c r="L135" s="455">
        <f t="shared" ca="1" si="3"/>
        <v>1579081.7117607952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58">
        <f t="shared" ca="1" si="4"/>
        <v>-11118828.742110008</v>
      </c>
      <c r="C136" s="458">
        <f t="shared" si="0"/>
        <v>0</v>
      </c>
      <c r="D136" s="458">
        <f t="shared" ca="1" si="9"/>
        <v>-85916.130299225493</v>
      </c>
      <c r="E136" s="458">
        <f t="shared" ca="1" si="1"/>
        <v>-11204744.872409234</v>
      </c>
      <c r="F136" s="442"/>
      <c r="G136" s="470">
        <f t="shared" si="15"/>
        <v>11</v>
      </c>
      <c r="H136" s="470">
        <v>129</v>
      </c>
      <c r="I136" s="455">
        <f t="shared" ca="1" si="5"/>
        <v>1579081.7117607952</v>
      </c>
      <c r="J136" s="455">
        <f t="array" ref="J136">IFERROR(INDEX('Retirement Calculator'!J:J,MATCH('Isaac 401k'!N136,'Retirement Calculator'!A:A,0),0),0)</f>
        <v>7863.2184191855868</v>
      </c>
      <c r="K136" s="455">
        <f t="shared" ca="1" si="2"/>
        <v>6546.7437222567069</v>
      </c>
      <c r="L136" s="455">
        <f t="shared" ca="1" si="3"/>
        <v>1577765.2370638663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1577765.2370638663</v>
      </c>
      <c r="J137" s="455">
        <f t="array" ref="J137">IFERROR(INDEX('Retirement Calculator'!J:J,MATCH('Isaac 401k'!N137,'Retirement Calculator'!A:A,0),0),0)</f>
        <v>7863.2184191855868</v>
      </c>
      <c r="K137" s="455">
        <f t="shared" ca="1" si="2"/>
        <v>6541.258411019503</v>
      </c>
      <c r="L137" s="455">
        <f t="shared" ca="1" si="3"/>
        <v>1576443.2770557003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1576443.2770557003</v>
      </c>
      <c r="J138" s="455">
        <f t="array" ref="J138">IFERROR(INDEX('Retirement Calculator'!J:J,MATCH('Isaac 401k'!N138,'Retirement Calculator'!A:A,0),0),0)</f>
        <v>7863.2184191855868</v>
      </c>
      <c r="K138" s="455">
        <f t="shared" ca="1" si="2"/>
        <v>6535.7502443188114</v>
      </c>
      <c r="L138" s="455">
        <f t="shared" ca="1" si="3"/>
        <v>1575115.8088808334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1575115.8088808334</v>
      </c>
      <c r="J139" s="455">
        <f t="array" ref="J139">IFERROR(INDEX('Retirement Calculator'!J:J,MATCH('Isaac 401k'!N139,'Retirement Calculator'!A:A,0),0),0)</f>
        <v>7863.2184191855868</v>
      </c>
      <c r="K139" s="455">
        <f t="shared" ca="1" si="2"/>
        <v>6530.2191269235327</v>
      </c>
      <c r="L139" s="455">
        <f t="shared" ca="1" si="3"/>
        <v>1573782.8095885713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1573782.8095885713</v>
      </c>
      <c r="J140" s="455">
        <f t="array" ref="J140">IFERROR(INDEX('Retirement Calculator'!J:J,MATCH('Isaac 401k'!N140,'Retirement Calculator'!A:A,0),0),0)</f>
        <v>7863.2184191855868</v>
      </c>
      <c r="K140" s="455">
        <f t="shared" ca="1" si="2"/>
        <v>6524.6649632057733</v>
      </c>
      <c r="L140" s="455">
        <f t="shared" ca="1" si="3"/>
        <v>1572444.2561325915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1572444.2561325915</v>
      </c>
      <c r="J141" s="455">
        <f t="array" ref="J141">IFERROR(INDEX('Retirement Calculator'!J:J,MATCH('Isaac 401k'!N141,'Retirement Calculator'!A:A,0),0),0)</f>
        <v>7863.2184191855868</v>
      </c>
      <c r="K141" s="455">
        <f t="shared" ca="1" si="2"/>
        <v>6519.0876571391909</v>
      </c>
      <c r="L141" s="455">
        <f t="shared" ca="1" si="3"/>
        <v>1571100.1253705451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1571100.1253705451</v>
      </c>
      <c r="J142" s="455">
        <f t="array" ref="J142">IFERROR(INDEX('Retirement Calculator'!J:J,MATCH('Isaac 401k'!N142,'Retirement Calculator'!A:A,0),0),0)</f>
        <v>7863.2184191855868</v>
      </c>
      <c r="K142" s="455">
        <f t="shared" ca="1" si="2"/>
        <v>6513.4871122973309</v>
      </c>
      <c r="L142" s="455">
        <f t="shared" ca="1" si="3"/>
        <v>1569750.3940636569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1569750.3940636569</v>
      </c>
      <c r="J143" s="455">
        <f t="array" ref="J143">IFERROR(INDEX('Retirement Calculator'!J:J,MATCH('Isaac 401k'!N143,'Retirement Calculator'!A:A,0),0),0)</f>
        <v>7863.2184191855868</v>
      </c>
      <c r="K143" s="455">
        <f t="shared" ca="1" si="2"/>
        <v>6507.863231851964</v>
      </c>
      <c r="L143" s="455">
        <f t="shared" ca="1" si="3"/>
        <v>1568395.0388763233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1568395.0388763233</v>
      </c>
      <c r="J144" s="455">
        <f t="array" ref="J144">IFERROR(INDEX('Retirement Calculator'!J:J,MATCH('Isaac 401k'!N144,'Retirement Calculator'!A:A,0),0),0)</f>
        <v>7863.2184191855868</v>
      </c>
      <c r="K144" s="455">
        <f t="shared" ca="1" si="2"/>
        <v>6502.2159185714072</v>
      </c>
      <c r="L144" s="455">
        <f t="shared" ca="1" si="3"/>
        <v>1567034.0363757091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1567034.0363757091</v>
      </c>
      <c r="J145" s="455">
        <f t="array" ref="J145">IFERROR(INDEX('Retirement Calculator'!J:J,MATCH('Isaac 401k'!N145,'Retirement Calculator'!A:A,0),0),0)</f>
        <v>7863.2184191855868</v>
      </c>
      <c r="K145" s="455">
        <f t="shared" ca="1" si="2"/>
        <v>6496.5450748188478</v>
      </c>
      <c r="L145" s="455">
        <f t="shared" ca="1" si="3"/>
        <v>1565667.3630313424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1565667.3630313424</v>
      </c>
      <c r="J146" s="455">
        <f t="array" ref="J146">IFERROR(INDEX('Retirement Calculator'!J:J,MATCH('Isaac 401k'!N146,'Retirement Calculator'!A:A,0),0),0)</f>
        <v>7863.2184191855868</v>
      </c>
      <c r="K146" s="455">
        <f t="shared" ca="1" si="2"/>
        <v>6490.8506025506531</v>
      </c>
      <c r="L146" s="455">
        <f t="shared" ca="1" si="3"/>
        <v>1564294.9952147075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1564294.9952147075</v>
      </c>
      <c r="J147" s="455">
        <f t="array" ref="J147">IFERROR(INDEX('Retirement Calculator'!J:J,MATCH('Isaac 401k'!N147,'Retirement Calculator'!A:A,0),0),0)</f>
        <v>7863.2184191855868</v>
      </c>
      <c r="K147" s="455">
        <f t="shared" ca="1" si="2"/>
        <v>6485.1324033146739</v>
      </c>
      <c r="L147" s="455">
        <f t="shared" ca="1" si="3"/>
        <v>1562916.9091988364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1562916.9091988364</v>
      </c>
      <c r="J148" s="455">
        <f t="array" ref="J148">IFERROR(INDEX('Retirement Calculator'!J:J,MATCH('Isaac 401k'!N148,'Retirement Calculator'!A:A,0),0),0)</f>
        <v>7863.2184191855868</v>
      </c>
      <c r="K148" s="455">
        <f t="shared" ca="1" si="2"/>
        <v>6479.3903782485449</v>
      </c>
      <c r="L148" s="455">
        <f t="shared" ca="1" si="3"/>
        <v>1561533.0811578995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1561533.0811578995</v>
      </c>
      <c r="J149" s="455">
        <f t="array" ref="J149">IFERROR(INDEX('Retirement Calculator'!J:J,MATCH('Isaac 401k'!N149,'Retirement Calculator'!A:A,0),0),0)</f>
        <v>7863.2184191855868</v>
      </c>
      <c r="K149" s="455">
        <f t="shared" ca="1" si="2"/>
        <v>6473.6244280779747</v>
      </c>
      <c r="L149" s="455">
        <f t="shared" ca="1" si="3"/>
        <v>1560143.4871667919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1560143.4871667919</v>
      </c>
      <c r="J150" s="455">
        <f t="array" ref="J150">IFERROR(INDEX('Retirement Calculator'!J:J,MATCH('Isaac 401k'!N150,'Retirement Calculator'!A:A,0),0),0)</f>
        <v>7863.2184191855868</v>
      </c>
      <c r="K150" s="455">
        <f t="shared" ca="1" si="2"/>
        <v>6467.834453115026</v>
      </c>
      <c r="L150" s="455">
        <f t="shared" ca="1" si="3"/>
        <v>1558748.1032007213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1558748.1032007213</v>
      </c>
      <c r="J151" s="455">
        <f t="array" ref="J151">IFERROR(INDEX('Retirement Calculator'!J:J,MATCH('Isaac 401k'!N151,'Retirement Calculator'!A:A,0),0),0)</f>
        <v>7863.2184191855868</v>
      </c>
      <c r="K151" s="455">
        <f t="shared" ca="1" si="2"/>
        <v>6462.0203532563992</v>
      </c>
      <c r="L151" s="455">
        <f t="shared" ca="1" si="3"/>
        <v>1557346.9051347922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1557346.9051347922</v>
      </c>
      <c r="J152" s="455">
        <f t="array" ref="J152">IFERROR(INDEX('Retirement Calculator'!J:J,MATCH('Isaac 401k'!N152,'Retirement Calculator'!A:A,0),0),0)</f>
        <v>7863.2184191855868</v>
      </c>
      <c r="K152" s="455">
        <f t="shared" ca="1" si="2"/>
        <v>6456.1820279816939</v>
      </c>
      <c r="L152" s="455">
        <f t="shared" ca="1" si="3"/>
        <v>1555939.8687435882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1555939.8687435882</v>
      </c>
      <c r="J153" s="455">
        <f t="array" ref="J153">IFERROR(INDEX('Retirement Calculator'!J:J,MATCH('Isaac 401k'!N153,'Retirement Calculator'!A:A,0),0),0)</f>
        <v>7863.2184191855868</v>
      </c>
      <c r="K153" s="455">
        <f t="shared" ca="1" si="2"/>
        <v>6450.3193763516774</v>
      </c>
      <c r="L153" s="455">
        <f t="shared" ca="1" si="3"/>
        <v>1554526.9697007544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1554526.9697007544</v>
      </c>
      <c r="J154" s="455">
        <f t="array" ref="J154">IFERROR(INDEX('Retirement Calculator'!J:J,MATCH('Isaac 401k'!N154,'Retirement Calculator'!A:A,0),0),0)</f>
        <v>7863.2184191855868</v>
      </c>
      <c r="K154" s="455">
        <f t="shared" ca="1" si="2"/>
        <v>6444.4322970065368</v>
      </c>
      <c r="L154" s="455">
        <f t="shared" ca="1" si="3"/>
        <v>1553108.1835785753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1553108.1835785753</v>
      </c>
      <c r="J155" s="455">
        <f t="array" ref="J155">IFERROR(INDEX('Retirement Calculator'!J:J,MATCH('Isaac 401k'!N155,'Retirement Calculator'!A:A,0),0),0)</f>
        <v>7863.2184191855868</v>
      </c>
      <c r="K155" s="455">
        <f t="shared" ca="1" si="2"/>
        <v>6438.5206881641234</v>
      </c>
      <c r="L155" s="455">
        <f t="shared" ca="1" si="3"/>
        <v>1551683.4858475537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1551683.4858475537</v>
      </c>
      <c r="J156" s="455">
        <f t="array" ref="J156">IFERROR(INDEX('Retirement Calculator'!J:J,MATCH('Isaac 401k'!N156,'Retirement Calculator'!A:A,0),0),0)</f>
        <v>7863.2184191855868</v>
      </c>
      <c r="K156" s="455">
        <f t="shared" ca="1" si="2"/>
        <v>6432.5844476182001</v>
      </c>
      <c r="L156" s="455">
        <f t="shared" ca="1" si="3"/>
        <v>1550252.8518759862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1550252.8518759862</v>
      </c>
      <c r="J157" s="455">
        <f t="array" ref="J157">IFERROR(INDEX('Retirement Calculator'!J:J,MATCH('Isaac 401k'!N157,'Retirement Calculator'!A:A,0),0),0)</f>
        <v>7863.2184191855868</v>
      </c>
      <c r="K157" s="455">
        <f t="shared" ca="1" si="2"/>
        <v>6426.6234727366691</v>
      </c>
      <c r="L157" s="455">
        <f t="shared" ca="1" si="3"/>
        <v>1548816.2569295373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1548816.2569295373</v>
      </c>
      <c r="J158" s="455">
        <f t="array" ref="J158">IFERROR(INDEX('Retirement Calculator'!J:J,MATCH('Isaac 401k'!N158,'Retirement Calculator'!A:A,0),0),0)</f>
        <v>7863.2184191855868</v>
      </c>
      <c r="K158" s="455">
        <f t="shared" ca="1" si="2"/>
        <v>6420.637660459799</v>
      </c>
      <c r="L158" s="455">
        <f t="shared" ca="1" si="3"/>
        <v>1547373.6761708115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1547373.6761708115</v>
      </c>
      <c r="J159" s="455">
        <f t="array" ref="J159">IFERROR(INDEX('Retirement Calculator'!J:J,MATCH('Isaac 401k'!N159,'Retirement Calculator'!A:A,0),0),0)</f>
        <v>7863.2184191855868</v>
      </c>
      <c r="K159" s="455">
        <f t="shared" ca="1" si="2"/>
        <v>6414.6269072984414</v>
      </c>
      <c r="L159" s="455">
        <f t="shared" ca="1" si="3"/>
        <v>1545925.0846589243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1545925.0846589243</v>
      </c>
      <c r="J160" s="455">
        <f t="array" ref="J160">IFERROR(INDEX('Retirement Calculator'!J:J,MATCH('Isaac 401k'!N160,'Retirement Calculator'!A:A,0),0),0)</f>
        <v>7863.2184191855868</v>
      </c>
      <c r="K160" s="455">
        <f t="shared" ca="1" si="2"/>
        <v>6408.5911093322447</v>
      </c>
      <c r="L160" s="455">
        <f t="shared" ca="1" si="3"/>
        <v>1544470.4573490708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1544470.4573490708</v>
      </c>
      <c r="J161" s="455">
        <f t="array" ref="J161">IFERROR(INDEX('Retirement Calculator'!J:J,MATCH('Isaac 401k'!N161,'Retirement Calculator'!A:A,0),0),0)</f>
        <v>7863.2184191855868</v>
      </c>
      <c r="K161" s="455">
        <f t="shared" ca="1" si="2"/>
        <v>6402.530162207855</v>
      </c>
      <c r="L161" s="455">
        <f t="shared" ca="1" si="3"/>
        <v>1543009.769092093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1543009.769092093</v>
      </c>
      <c r="J162" s="455">
        <f t="array" ref="J162">IFERROR(INDEX('Retirement Calculator'!J:J,MATCH('Isaac 401k'!N162,'Retirement Calculator'!A:A,0),0),0)</f>
        <v>7863.2184191855868</v>
      </c>
      <c r="K162" s="455">
        <f t="shared" ca="1" si="2"/>
        <v>6396.4439611371145</v>
      </c>
      <c r="L162" s="455">
        <f t="shared" ca="1" si="3"/>
        <v>1541542.9946340446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1541542.9946340446</v>
      </c>
      <c r="J163" s="455">
        <f t="array" ref="J163">IFERROR(INDEX('Retirement Calculator'!J:J,MATCH('Isaac 401k'!N163,'Retirement Calculator'!A:A,0),0),0)</f>
        <v>7863.2184191855868</v>
      </c>
      <c r="K163" s="455">
        <f t="shared" ca="1" si="2"/>
        <v>6390.3324008952459</v>
      </c>
      <c r="L163" s="455">
        <f t="shared" ca="1" si="3"/>
        <v>1540070.1086157542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1540070.1086157542</v>
      </c>
      <c r="J164" s="455">
        <f t="array" ref="J164">IFERROR(INDEX('Retirement Calculator'!J:J,MATCH('Isaac 401k'!N164,'Retirement Calculator'!A:A,0),0),0)</f>
        <v>7863.2184191855868</v>
      </c>
      <c r="K164" s="455">
        <f t="shared" ca="1" si="2"/>
        <v>6384.1953758190357</v>
      </c>
      <c r="L164" s="455">
        <f t="shared" ca="1" si="3"/>
        <v>1538591.0855723876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1538591.0855723876</v>
      </c>
      <c r="J165" s="455">
        <f t="array" ref="J165">IFERROR(INDEX('Retirement Calculator'!J:J,MATCH('Isaac 401k'!N165,'Retirement Calculator'!A:A,0),0),0)</f>
        <v>7863.2184191855868</v>
      </c>
      <c r="K165" s="455">
        <f t="shared" ca="1" si="2"/>
        <v>6378.0327798050084</v>
      </c>
      <c r="L165" s="455">
        <f t="shared" ca="1" si="3"/>
        <v>1537105.8999330068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1537105.8999330068</v>
      </c>
      <c r="J166" s="455">
        <f t="array" ref="J166">IFERROR(INDEX('Retirement Calculator'!J:J,MATCH('Isaac 401k'!N166,'Retirement Calculator'!A:A,0),0),0)</f>
        <v>7863.2184191855868</v>
      </c>
      <c r="K166" s="455">
        <f t="shared" ca="1" si="2"/>
        <v>6371.8445063075887</v>
      </c>
      <c r="L166" s="455">
        <f t="shared" ca="1" si="3"/>
        <v>1535614.5260201287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1535614.5260201287</v>
      </c>
      <c r="J167" s="455">
        <f t="array" ref="J167">IFERROR(INDEX('Retirement Calculator'!J:J,MATCH('Isaac 401k'!N167,'Retirement Calculator'!A:A,0),0),0)</f>
        <v>7863.2184191855868</v>
      </c>
      <c r="K167" s="455">
        <f t="shared" ca="1" si="2"/>
        <v>6365.6304483372633</v>
      </c>
      <c r="L167" s="455">
        <f t="shared" ca="1" si="3"/>
        <v>1534116.9380492803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1534116.9380492803</v>
      </c>
      <c r="J168" s="455">
        <f t="array" ref="J168">IFERROR(INDEX('Retirement Calculator'!J:J,MATCH('Isaac 401k'!N168,'Retirement Calculator'!A:A,0),0),0)</f>
        <v>7863.2184191855868</v>
      </c>
      <c r="K168" s="455">
        <f t="shared" ca="1" si="2"/>
        <v>6359.390498458728</v>
      </c>
      <c r="L168" s="455">
        <f t="shared" ca="1" si="3"/>
        <v>1532613.1101285534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1532613.1101285534</v>
      </c>
      <c r="J169" s="455">
        <f t="array" ref="J169">IFERROR(INDEX('Retirement Calculator'!J:J,MATCH('Isaac 401k'!N169,'Retirement Calculator'!A:A,0),0),0)</f>
        <v>7863.2184191855868</v>
      </c>
      <c r="K169" s="455">
        <f t="shared" ca="1" si="2"/>
        <v>6353.1245487890319</v>
      </c>
      <c r="L169" s="455">
        <f t="shared" ca="1" si="3"/>
        <v>1531103.0162581569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1531103.0162581569</v>
      </c>
      <c r="J170" s="455">
        <f t="array" ref="J170">IFERROR(INDEX('Retirement Calculator'!J:J,MATCH('Isaac 401k'!N170,'Retirement Calculator'!A:A,0),0),0)</f>
        <v>7863.2184191855868</v>
      </c>
      <c r="K170" s="455">
        <f t="shared" ca="1" si="2"/>
        <v>6346.8324909957137</v>
      </c>
      <c r="L170" s="455">
        <f t="shared" ca="1" si="3"/>
        <v>1529586.630329967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1529586.630329967</v>
      </c>
      <c r="J171" s="455">
        <f t="array" ref="J171">IFERROR(INDEX('Retirement Calculator'!J:J,MATCH('Isaac 401k'!N171,'Retirement Calculator'!A:A,0),0),0)</f>
        <v>7863.2184191855868</v>
      </c>
      <c r="K171" s="455">
        <f t="shared" ca="1" si="2"/>
        <v>6340.5142162949223</v>
      </c>
      <c r="L171" s="455">
        <f t="shared" ca="1" si="3"/>
        <v>1528063.9261270764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1528063.9261270764</v>
      </c>
      <c r="J172" s="455">
        <f t="array" ref="J172">IFERROR(INDEX('Retirement Calculator'!J:J,MATCH('Isaac 401k'!N172,'Retirement Calculator'!A:A,0),0),0)</f>
        <v>7863.2184191855868</v>
      </c>
      <c r="K172" s="455">
        <f t="shared" ca="1" si="2"/>
        <v>6334.1696154495448</v>
      </c>
      <c r="L172" s="455">
        <f t="shared" ca="1" si="3"/>
        <v>1526534.8773233404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1526534.8773233404</v>
      </c>
      <c r="J173" s="455">
        <f t="array" ref="J173">IFERROR(INDEX('Retirement Calculator'!J:J,MATCH('Isaac 401k'!N173,'Retirement Calculator'!A:A,0),0),0)</f>
        <v>7863.2184191855868</v>
      </c>
      <c r="K173" s="455">
        <f t="shared" ca="1" si="2"/>
        <v>6327.7985787673115</v>
      </c>
      <c r="L173" s="455">
        <f t="shared" ca="1" si="3"/>
        <v>1524999.4574829221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1524999.4574829221</v>
      </c>
      <c r="J174" s="455">
        <f t="array" ref="J174">IFERROR(INDEX('Retirement Calculator'!J:J,MATCH('Isaac 401k'!N174,'Retirement Calculator'!A:A,0),0),0)</f>
        <v>7863.2184191855868</v>
      </c>
      <c r="K174" s="455">
        <f t="shared" ca="1" si="2"/>
        <v>6321.4009960989024</v>
      </c>
      <c r="L174" s="455">
        <f t="shared" ca="1" si="3"/>
        <v>1523457.6400598355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1523457.6400598355</v>
      </c>
      <c r="J175" s="455">
        <f t="array" ref="J175">IFERROR(INDEX('Retirement Calculator'!J:J,MATCH('Isaac 401k'!N175,'Retirement Calculator'!A:A,0),0),0)</f>
        <v>7863.2184191855868</v>
      </c>
      <c r="K175" s="455">
        <f t="shared" ca="1" si="2"/>
        <v>6314.9767568360412</v>
      </c>
      <c r="L175" s="455">
        <f t="shared" ca="1" si="3"/>
        <v>1521909.398397486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1521909.398397486</v>
      </c>
      <c r="J176" s="455">
        <f t="array" ref="J176">IFERROR(INDEX('Retirement Calculator'!J:J,MATCH('Isaac 401k'!N176,'Retirement Calculator'!A:A,0),0),0)</f>
        <v>7863.2184191855868</v>
      </c>
      <c r="K176" s="455">
        <f t="shared" ca="1" si="2"/>
        <v>6308.5257499095851</v>
      </c>
      <c r="L176" s="455">
        <f t="shared" ca="1" si="3"/>
        <v>1520354.70572821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1520354.70572821</v>
      </c>
      <c r="J177" s="455">
        <f t="array" ref="J177">IFERROR(INDEX('Retirement Calculator'!J:J,MATCH('Isaac 401k'!N177,'Retirement Calculator'!A:A,0),0),0)</f>
        <v>7863.2184191855868</v>
      </c>
      <c r="K177" s="455">
        <f t="shared" ca="1" si="2"/>
        <v>6302.0478637876022</v>
      </c>
      <c r="L177" s="455">
        <f t="shared" ca="1" si="3"/>
        <v>1518793.5351728119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1518793.5351728119</v>
      </c>
      <c r="J178" s="455">
        <f t="array" ref="J178">IFERROR(INDEX('Retirement Calculator'!J:J,MATCH('Isaac 401k'!N178,'Retirement Calculator'!A:A,0),0),0)</f>
        <v>7863.2184191855868</v>
      </c>
      <c r="K178" s="455">
        <f t="shared" ca="1" si="2"/>
        <v>6295.5429864734433</v>
      </c>
      <c r="L178" s="455">
        <f t="shared" ca="1" si="3"/>
        <v>1517225.8597400999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1517225.8597400999</v>
      </c>
      <c r="J179" s="455">
        <f t="array" ref="J179">IFERROR(INDEX('Retirement Calculator'!J:J,MATCH('Isaac 401k'!N179,'Retirement Calculator'!A:A,0),0),0)</f>
        <v>7863.2184191855868</v>
      </c>
      <c r="K179" s="455">
        <f t="shared" ca="1" si="2"/>
        <v>6289.0110055038094</v>
      </c>
      <c r="L179" s="455">
        <f t="shared" ca="1" si="3"/>
        <v>1515651.6523264181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1515651.6523264181</v>
      </c>
      <c r="J180" s="455">
        <f t="array" ref="J180">IFERROR(INDEX('Retirement Calculator'!J:J,MATCH('Isaac 401k'!N180,'Retirement Calculator'!A:A,0),0),0)</f>
        <v>7863.2184191855868</v>
      </c>
      <c r="K180" s="455">
        <f t="shared" ca="1" si="2"/>
        <v>6282.4518079468016</v>
      </c>
      <c r="L180" s="455">
        <f t="shared" ca="1" si="3"/>
        <v>1514070.8857151794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1514070.8857151794</v>
      </c>
      <c r="J181" s="455">
        <f t="array" ref="J181">IFERROR(INDEX('Retirement Calculator'!J:J,MATCH('Isaac 401k'!N181,'Retirement Calculator'!A:A,0),0),0)</f>
        <v>7863.2184191855868</v>
      </c>
      <c r="K181" s="455">
        <f t="shared" ca="1" si="2"/>
        <v>6275.8652803999739</v>
      </c>
      <c r="L181" s="455">
        <f t="shared" ca="1" si="3"/>
        <v>1512483.5325763938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1512483.5325763938</v>
      </c>
      <c r="J182" s="455">
        <f t="array" ref="J182">IFERROR(INDEX('Retirement Calculator'!J:J,MATCH('Isaac 401k'!N182,'Retirement Calculator'!A:A,0),0),0)</f>
        <v>7863.2184191855868</v>
      </c>
      <c r="K182" s="455">
        <f t="shared" ca="1" si="2"/>
        <v>6269.2513089883678</v>
      </c>
      <c r="L182" s="455">
        <f t="shared" ca="1" si="3"/>
        <v>1510889.5654661965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1510889.5654661965</v>
      </c>
      <c r="J183" s="455">
        <f t="array" ref="J183">IFERROR(INDEX('Retirement Calculator'!J:J,MATCH('Isaac 401k'!N183,'Retirement Calculator'!A:A,0),0),0)</f>
        <v>7863.2184191855868</v>
      </c>
      <c r="K183" s="455">
        <f t="shared" ca="1" si="2"/>
        <v>6262.6097793625449</v>
      </c>
      <c r="L183" s="455">
        <f t="shared" ca="1" si="3"/>
        <v>1509288.9568263735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1509288.9568263735</v>
      </c>
      <c r="J184" s="455">
        <f t="array" ref="J184">IFERROR(INDEX('Retirement Calculator'!J:J,MATCH('Isaac 401k'!N184,'Retirement Calculator'!A:A,0),0),0)</f>
        <v>7863.2184191855868</v>
      </c>
      <c r="K184" s="455">
        <f t="shared" ca="1" si="2"/>
        <v>6255.9405766966156</v>
      </c>
      <c r="L184" s="455">
        <f t="shared" ca="1" si="3"/>
        <v>1507681.6789838844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1507681.6789838844</v>
      </c>
      <c r="J185" s="455">
        <f t="array" ref="J185">IFERROR(INDEX('Retirement Calculator'!J:J,MATCH('Isaac 401k'!N185,'Retirement Calculator'!A:A,0),0),0)</f>
        <v>7863.2184191855868</v>
      </c>
      <c r="K185" s="455">
        <f t="shared" ca="1" si="2"/>
        <v>6249.2435856862448</v>
      </c>
      <c r="L185" s="455">
        <f t="shared" ca="1" si="3"/>
        <v>1506067.704150385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1506067.704150385</v>
      </c>
      <c r="J186" s="455">
        <f t="array" ref="J186">IFERROR(INDEX('Retirement Calculator'!J:J,MATCH('Isaac 401k'!N186,'Retirement Calculator'!A:A,0),0),0)</f>
        <v>7863.2184191855868</v>
      </c>
      <c r="K186" s="455">
        <f t="shared" ca="1" si="2"/>
        <v>6242.5186905466644</v>
      </c>
      <c r="L186" s="455">
        <f t="shared" ca="1" si="3"/>
        <v>1504447.0044217461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1504447.0044217461</v>
      </c>
      <c r="J187" s="455">
        <f t="array" ref="J187">IFERROR(INDEX('Retirement Calculator'!J:J,MATCH('Isaac 401k'!N187,'Retirement Calculator'!A:A,0),0),0)</f>
        <v>7863.2184191855868</v>
      </c>
      <c r="K187" s="455">
        <f t="shared" ca="1" si="2"/>
        <v>6235.7657750106691</v>
      </c>
      <c r="L187" s="455">
        <f t="shared" ca="1" si="3"/>
        <v>1502819.5517775712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1502819.5517775712</v>
      </c>
      <c r="J188" s="455">
        <f t="array" ref="J188">IFERROR(INDEX('Retirement Calculator'!J:J,MATCH('Isaac 401k'!N188,'Retirement Calculator'!A:A,0),0),0)</f>
        <v>7863.2184191855868</v>
      </c>
      <c r="K188" s="455">
        <f t="shared" ca="1" si="2"/>
        <v>6228.984722326607</v>
      </c>
      <c r="L188" s="455">
        <f t="shared" ca="1" si="3"/>
        <v>1501185.3180807121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1501185.3180807121</v>
      </c>
      <c r="J189" s="455">
        <f t="array" ref="J189">IFERROR(INDEX('Retirement Calculator'!J:J,MATCH('Isaac 401k'!N189,'Retirement Calculator'!A:A,0),0),0)</f>
        <v>7863.2184191855868</v>
      </c>
      <c r="K189" s="455">
        <f t="shared" ca="1" si="2"/>
        <v>6222.1754152563608</v>
      </c>
      <c r="L189" s="455">
        <f t="shared" ca="1" si="3"/>
        <v>1499544.2750767828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1499544.2750767828</v>
      </c>
      <c r="J190" s="455">
        <f t="array" ref="J190">IFERROR(INDEX('Retirement Calculator'!J:J,MATCH('Isaac 401k'!N190,'Retirement Calculator'!A:A,0),0),0)</f>
        <v>7863.2184191855868</v>
      </c>
      <c r="K190" s="455">
        <f t="shared" ca="1" si="2"/>
        <v>6215.3377360733211</v>
      </c>
      <c r="L190" s="455">
        <f t="shared" ca="1" si="3"/>
        <v>1497896.3943936706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1497896.3943936706</v>
      </c>
      <c r="J191" s="455">
        <f t="array" ref="J191">IFERROR(INDEX('Retirement Calculator'!J:J,MATCH('Isaac 401k'!N191,'Retirement Calculator'!A:A,0),0),0)</f>
        <v>7863.2184191855868</v>
      </c>
      <c r="K191" s="455">
        <f t="shared" ca="1" si="2"/>
        <v>6208.4715665603544</v>
      </c>
      <c r="L191" s="455">
        <f t="shared" ca="1" si="3"/>
        <v>1496241.6475410454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1496241.6475410454</v>
      </c>
      <c r="J192" s="455">
        <f t="array" ref="J192">IFERROR(INDEX('Retirement Calculator'!J:J,MATCH('Isaac 401k'!N192,'Retirement Calculator'!A:A,0),0),0)</f>
        <v>7863.2184191855868</v>
      </c>
      <c r="K192" s="455">
        <f t="shared" ca="1" si="2"/>
        <v>6201.5767880077492</v>
      </c>
      <c r="L192" s="455">
        <f t="shared" ca="1" si="3"/>
        <v>1494580.0059098676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1494580.0059098676</v>
      </c>
      <c r="J193" s="455">
        <f t="array" ref="J193">IFERROR(INDEX('Retirement Calculator'!J:J,MATCH('Isaac 401k'!N193,'Retirement Calculator'!A:A,0),0),0)</f>
        <v>7863.2184191855868</v>
      </c>
      <c r="K193" s="455">
        <f t="shared" ca="1" si="2"/>
        <v>6194.6532812111745</v>
      </c>
      <c r="L193" s="455">
        <f t="shared" ca="1" si="3"/>
        <v>1492911.4407718931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1492911.4407718931</v>
      </c>
      <c r="J194" s="455">
        <f t="array" ref="J194">IFERROR(INDEX('Retirement Calculator'!J:J,MATCH('Isaac 401k'!N194,'Retirement Calculator'!A:A,0),0),0)</f>
        <v>7863.2184191855868</v>
      </c>
      <c r="K194" s="455">
        <f t="shared" ca="1" si="2"/>
        <v>6187.7009264696144</v>
      </c>
      <c r="L194" s="455">
        <f t="shared" ca="1" si="3"/>
        <v>1491235.9232791772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1491235.9232791772</v>
      </c>
      <c r="J195" s="455">
        <f t="array" ref="J195">IFERROR(INDEX('Retirement Calculator'!J:J,MATCH('Isaac 401k'!N195,'Retirement Calculator'!A:A,0),0),0)</f>
        <v>7863.2184191855868</v>
      </c>
      <c r="K195" s="455">
        <f t="shared" ca="1" si="2"/>
        <v>6180.7196035832985</v>
      </c>
      <c r="L195" s="455">
        <f t="shared" ca="1" si="3"/>
        <v>1489553.4244635748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1489553.4244635748</v>
      </c>
      <c r="J196" s="455">
        <f t="array" ref="J196">IFERROR(INDEX('Retirement Calculator'!J:J,MATCH('Isaac 401k'!N196,'Retirement Calculator'!A:A,0),0),0)</f>
        <v>7863.2184191855868</v>
      </c>
      <c r="K196" s="455">
        <f t="shared" ca="1" si="2"/>
        <v>6173.7091918516217</v>
      </c>
      <c r="L196" s="455">
        <f t="shared" ca="1" si="3"/>
        <v>1487863.9152362407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1487863.9152362407</v>
      </c>
      <c r="J197" s="455">
        <f t="array" ref="J197">IFERROR(INDEX('Retirement Calculator'!J:J,MATCH('Isaac 401k'!N197,'Retirement Calculator'!A:A,0),0),0)</f>
        <v>7863.2184191855868</v>
      </c>
      <c r="K197" s="455">
        <f t="shared" ca="1" si="2"/>
        <v>6166.6695700710625</v>
      </c>
      <c r="L197" s="455">
        <f t="shared" ca="1" si="3"/>
        <v>1486167.3663871263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1486167.3663871263</v>
      </c>
      <c r="J198" s="455">
        <f t="array" ref="J198">IFERROR(INDEX('Retirement Calculator'!J:J,MATCH('Isaac 401k'!N198,'Retirement Calculator'!A:A,0),0),0)</f>
        <v>7863.2184191855868</v>
      </c>
      <c r="K198" s="455">
        <f t="shared" ca="1" si="2"/>
        <v>6159.6006165330864</v>
      </c>
      <c r="L198" s="455">
        <f t="shared" ca="1" si="3"/>
        <v>1484463.7485844737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1484463.7485844737</v>
      </c>
      <c r="J199" s="455">
        <f t="array" ref="J199">IFERROR(INDEX('Retirement Calculator'!J:J,MATCH('Isaac 401k'!N199,'Retirement Calculator'!A:A,0),0),0)</f>
        <v>7863.2184191855868</v>
      </c>
      <c r="K199" s="455">
        <f t="shared" ca="1" si="2"/>
        <v>6152.5022090220336</v>
      </c>
      <c r="L199" s="455">
        <f t="shared" ca="1" si="3"/>
        <v>1482753.0323743101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1482753.0323743101</v>
      </c>
      <c r="J200" s="455">
        <f t="array" ref="J200">IFERROR(INDEX('Retirement Calculator'!J:J,MATCH('Isaac 401k'!N200,'Retirement Calculator'!A:A,0),0),0)</f>
        <v>7863.2184191855868</v>
      </c>
      <c r="K200" s="455">
        <f t="shared" ca="1" si="2"/>
        <v>6145.3742248130184</v>
      </c>
      <c r="L200" s="455">
        <f t="shared" ca="1" si="3"/>
        <v>1481035.1881799374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1481035.1881799374</v>
      </c>
      <c r="J201" s="455">
        <f t="array" ref="J201">IFERROR(INDEX('Retirement Calculator'!J:J,MATCH('Isaac 401k'!N201,'Retirement Calculator'!A:A,0),0),0)</f>
        <v>7863.2184191855868</v>
      </c>
      <c r="K201" s="455">
        <f t="shared" ca="1" si="2"/>
        <v>6138.2165406697995</v>
      </c>
      <c r="L201" s="455">
        <f t="shared" ca="1" si="3"/>
        <v>1479310.1863014216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1479310.1863014216</v>
      </c>
      <c r="J202" s="455">
        <f t="array" ref="J202">IFERROR(INDEX('Retirement Calculator'!J:J,MATCH('Isaac 401k'!N202,'Retirement Calculator'!A:A,0),0),0)</f>
        <v>7863.2184191855868</v>
      </c>
      <c r="K202" s="455">
        <f t="shared" ca="1" si="2"/>
        <v>6131.0290328426499</v>
      </c>
      <c r="L202" s="455">
        <f t="shared" ca="1" si="3"/>
        <v>1477577.9969150787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1477577.9969150787</v>
      </c>
      <c r="J203" s="455">
        <f t="array" ref="J203">IFERROR(INDEX('Retirement Calculator'!J:J,MATCH('Isaac 401k'!N203,'Retirement Calculator'!A:A,0),0),0)</f>
        <v>7863.2184191855868</v>
      </c>
      <c r="K203" s="455">
        <f t="shared" ca="1" si="2"/>
        <v>6123.8115770662216</v>
      </c>
      <c r="L203" s="455">
        <f t="shared" ca="1" si="3"/>
        <v>1475838.5900729594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1475838.5900729594</v>
      </c>
      <c r="J204" s="455">
        <f t="array" ref="J204">IFERROR(INDEX('Retirement Calculator'!J:J,MATCH('Isaac 401k'!N204,'Retirement Calculator'!A:A,0),0),0)</f>
        <v>7863.2184191855868</v>
      </c>
      <c r="K204" s="455">
        <f t="shared" ca="1" si="2"/>
        <v>6116.5640485573913</v>
      </c>
      <c r="L204" s="455">
        <f t="shared" ca="1" si="3"/>
        <v>1474091.9357023311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1474091.9357023311</v>
      </c>
      <c r="J205" s="455">
        <f t="array" ref="J205">IFERROR(INDEX('Retirement Calculator'!J:J,MATCH('Isaac 401k'!N205,'Retirement Calculator'!A:A,0),0),0)</f>
        <v>7863.2184191855868</v>
      </c>
      <c r="K205" s="455">
        <f t="shared" ca="1" si="2"/>
        <v>6109.2863220131067</v>
      </c>
      <c r="L205" s="455">
        <f t="shared" ca="1" si="3"/>
        <v>1472338.0036051585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1472338.0036051585</v>
      </c>
      <c r="J206" s="455">
        <f t="array" ref="J206">IFERROR(INDEX('Retirement Calculator'!J:J,MATCH('Isaac 401k'!N206,'Retirement Calculator'!A:A,0),0),0)</f>
        <v>7863.2184191855868</v>
      </c>
      <c r="K206" s="455">
        <f t="shared" ca="1" si="2"/>
        <v>6101.9782716082209</v>
      </c>
      <c r="L206" s="455">
        <f t="shared" ca="1" si="3"/>
        <v>1470576.7634575812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1470576.7634575812</v>
      </c>
      <c r="J207" s="455">
        <f t="array" ref="J207">IFERROR(INDEX('Retirement Calculator'!J:J,MATCH('Isaac 401k'!N207,'Retirement Calculator'!A:A,0),0),0)</f>
        <v>7863.2184191855868</v>
      </c>
      <c r="K207" s="455">
        <f t="shared" ca="1" si="2"/>
        <v>6094.6397709933144</v>
      </c>
      <c r="L207" s="455">
        <f t="shared" ca="1" si="3"/>
        <v>1468808.1848093888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1468808.1848093888</v>
      </c>
      <c r="J208" s="455">
        <f t="array" ref="J208">IFERROR(INDEX('Retirement Calculator'!J:J,MATCH('Isaac 401k'!N208,'Retirement Calculator'!A:A,0),0),0)</f>
        <v>7863.2184191855868</v>
      </c>
      <c r="K208" s="455">
        <f t="shared" ca="1" si="2"/>
        <v>6087.270693292513</v>
      </c>
      <c r="L208" s="455">
        <f t="shared" ca="1" si="3"/>
        <v>1467032.2370834958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1467032.2370834958</v>
      </c>
      <c r="J209" s="455">
        <f t="array" ref="J209">IFERROR(INDEX('Retirement Calculator'!J:J,MATCH('Isaac 401k'!N209,'Retirement Calculator'!A:A,0),0),0)</f>
        <v>7863.2184191855868</v>
      </c>
      <c r="K209" s="455">
        <f t="shared" ca="1" si="2"/>
        <v>6079.8709111012922</v>
      </c>
      <c r="L209" s="455">
        <f t="shared" ca="1" si="3"/>
        <v>1465248.8895754116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1465248.8895754116</v>
      </c>
      <c r="J210" s="455">
        <f t="array" ref="J210">IFERROR(INDEX('Retirement Calculator'!J:J,MATCH('Isaac 401k'!N210,'Retirement Calculator'!A:A,0),0),0)</f>
        <v>7863.2184191855868</v>
      </c>
      <c r="K210" s="455">
        <f t="shared" ca="1" si="2"/>
        <v>6072.4402964842748</v>
      </c>
      <c r="L210" s="455">
        <f t="shared" ca="1" si="3"/>
        <v>1463458.1114527103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1463458.1114527103</v>
      </c>
      <c r="J211" s="455">
        <f t="array" ref="J211">IFERROR(INDEX('Retirement Calculator'!J:J,MATCH('Isaac 401k'!N211,'Retirement Calculator'!A:A,0),0),0)</f>
        <v>7863.2184191855868</v>
      </c>
      <c r="K211" s="455">
        <f t="shared" ca="1" si="2"/>
        <v>6064.9787209730193</v>
      </c>
      <c r="L211" s="455">
        <f t="shared" ca="1" si="3"/>
        <v>1461659.8717544978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1461659.8717544978</v>
      </c>
      <c r="J212" s="455">
        <f t="array" ref="J212">IFERROR(INDEX('Retirement Calculator'!J:J,MATCH('Isaac 401k'!N212,'Retirement Calculator'!A:A,0),0),0)</f>
        <v>7863.2184191855868</v>
      </c>
      <c r="K212" s="455">
        <f t="shared" ca="1" si="2"/>
        <v>6057.4860555638006</v>
      </c>
      <c r="L212" s="455">
        <f t="shared" ca="1" si="3"/>
        <v>1459854.1393908761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1459854.1393908761</v>
      </c>
      <c r="J213" s="455">
        <f t="array" ref="J213">IFERROR(INDEX('Retirement Calculator'!J:J,MATCH('Isaac 401k'!N213,'Retirement Calculator'!A:A,0),0),0)</f>
        <v>7863.2184191855868</v>
      </c>
      <c r="K213" s="455">
        <f t="shared" ca="1" si="2"/>
        <v>6049.9621707153765</v>
      </c>
      <c r="L213" s="455">
        <f t="shared" ca="1" si="3"/>
        <v>1458040.8831424059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1458040.8831424059</v>
      </c>
      <c r="J214" s="455">
        <f t="array" ref="J214">IFERROR(INDEX('Retirement Calculator'!J:J,MATCH('Isaac 401k'!N214,'Retirement Calculator'!A:A,0),0),0)</f>
        <v>7863.2184191855868</v>
      </c>
      <c r="K214" s="455">
        <f t="shared" ca="1" si="2"/>
        <v>6042.4069363467515</v>
      </c>
      <c r="L214" s="455">
        <f t="shared" ca="1" si="3"/>
        <v>1456220.0716595671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1456220.0716595671</v>
      </c>
      <c r="J215" s="455">
        <f t="array" ref="J215">IFERROR(INDEX('Retirement Calculator'!J:J,MATCH('Isaac 401k'!N215,'Retirement Calculator'!A:A,0),0),0)</f>
        <v>7863.2184191855868</v>
      </c>
      <c r="K215" s="455">
        <f t="shared" ca="1" si="2"/>
        <v>6034.8202218349224</v>
      </c>
      <c r="L215" s="455">
        <f t="shared" ca="1" si="3"/>
        <v>1454391.6734622163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1454391.6734622163</v>
      </c>
      <c r="J216" s="455">
        <f t="array" ref="J216">IFERROR(INDEX('Retirement Calculator'!J:J,MATCH('Isaac 401k'!N216,'Retirement Calculator'!A:A,0),0),0)</f>
        <v>7863.2184191855868</v>
      </c>
      <c r="K216" s="455">
        <f t="shared" ca="1" si="2"/>
        <v>6027.2018960126279</v>
      </c>
      <c r="L216" s="455">
        <f t="shared" ca="1" si="3"/>
        <v>1452555.6569390432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1452555.6569390432</v>
      </c>
      <c r="J217" s="455">
        <f t="array" ref="J217">IFERROR(INDEX('Retirement Calculator'!J:J,MATCH('Isaac 401k'!N217,'Retirement Calculator'!A:A,0),0),0)</f>
        <v>7863.2184191855868</v>
      </c>
      <c r="K217" s="455">
        <f t="shared" ca="1" si="2"/>
        <v>6019.5518271660731</v>
      </c>
      <c r="L217" s="455">
        <f t="shared" ca="1" si="3"/>
        <v>1450711.9903470236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1450711.9903470236</v>
      </c>
      <c r="J218" s="455">
        <f t="array" ref="J218">IFERROR(INDEX('Retirement Calculator'!J:J,MATCH('Isaac 401k'!N218,'Retirement Calculator'!A:A,0),0),0)</f>
        <v>7863.2184191855868</v>
      </c>
      <c r="K218" s="455">
        <f t="shared" ca="1" si="2"/>
        <v>6011.8698830326584</v>
      </c>
      <c r="L218" s="455">
        <f t="shared" ca="1" si="3"/>
        <v>1448860.6418108707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1448860.6418108707</v>
      </c>
      <c r="J219" s="455">
        <f t="array" ref="J219">IFERROR(INDEX('Retirement Calculator'!J:J,MATCH('Isaac 401k'!N219,'Retirement Calculator'!A:A,0),0),0)</f>
        <v>7863.2184191855868</v>
      </c>
      <c r="K219" s="455">
        <f t="shared" ca="1" si="2"/>
        <v>6004.1559307986881</v>
      </c>
      <c r="L219" s="455">
        <f t="shared" ca="1" si="3"/>
        <v>1447001.5793224839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1447001.5793224839</v>
      </c>
      <c r="J220" s="455">
        <f t="array" ref="J220">IFERROR(INDEX('Retirement Calculator'!J:J,MATCH('Isaac 401k'!N220,'Retirement Calculator'!A:A,0),0),0)</f>
        <v>7863.2184191855868</v>
      </c>
      <c r="K220" s="455">
        <f t="shared" ca="1" si="2"/>
        <v>5996.409837097076</v>
      </c>
      <c r="L220" s="455">
        <f t="shared" ca="1" si="3"/>
        <v>1445134.7707403954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1445134.7707403954</v>
      </c>
      <c r="J221" s="455">
        <f t="array" ref="J221">IFERROR(INDEX('Retirement Calculator'!J:J,MATCH('Isaac 401k'!N221,'Retirement Calculator'!A:A,0),0),0)</f>
        <v>7863.2184191855868</v>
      </c>
      <c r="K221" s="455">
        <f t="shared" ca="1" si="2"/>
        <v>5988.6314680050409</v>
      </c>
      <c r="L221" s="455">
        <f t="shared" ca="1" si="3"/>
        <v>1443260.1837892148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1443260.1837892148</v>
      </c>
      <c r="J222" s="455">
        <f t="array" ref="J222">IFERROR(INDEX('Retirement Calculator'!J:J,MATCH('Isaac 401k'!N222,'Retirement Calculator'!A:A,0),0),0)</f>
        <v>7863.2184191855868</v>
      </c>
      <c r="K222" s="455">
        <f t="shared" ca="1" si="2"/>
        <v>5980.8206890417887</v>
      </c>
      <c r="L222" s="455">
        <f t="shared" ca="1" si="3"/>
        <v>1441377.7860590711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1441377.7860590711</v>
      </c>
      <c r="J223" s="455">
        <f t="array" ref="J223">IFERROR(INDEX('Retirement Calculator'!J:J,MATCH('Isaac 401k'!N223,'Retirement Calculator'!A:A,0),0),0)</f>
        <v>7863.2184191855868</v>
      </c>
      <c r="K223" s="455">
        <f t="shared" ca="1" si="2"/>
        <v>5972.977365166189</v>
      </c>
      <c r="L223" s="455">
        <f t="shared" ca="1" si="3"/>
        <v>1439487.5450050517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1439487.5450050517</v>
      </c>
      <c r="J224" s="455">
        <f t="array" ref="J224">IFERROR(INDEX('Retirement Calculator'!J:J,MATCH('Isaac 401k'!N224,'Retirement Calculator'!A:A,0),0),0)</f>
        <v>7863.2184191855868</v>
      </c>
      <c r="K224" s="455">
        <f t="shared" ca="1" si="2"/>
        <v>5965.1013607744417</v>
      </c>
      <c r="L224" s="455">
        <f t="shared" ca="1" si="3"/>
        <v>1437589.4279466404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1437589.4279466404</v>
      </c>
      <c r="J225" s="455">
        <f t="array" ref="J225">IFERROR(INDEX('Retirement Calculator'!J:J,MATCH('Isaac 401k'!N225,'Retirement Calculator'!A:A,0),0),0)</f>
        <v>7863.2184191855868</v>
      </c>
      <c r="K225" s="455">
        <f t="shared" ca="1" si="2"/>
        <v>5957.1925396977285</v>
      </c>
      <c r="L225" s="455">
        <f t="shared" ca="1" si="3"/>
        <v>1435683.4020671526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1435683.4020671526</v>
      </c>
      <c r="J226" s="455">
        <f t="array" ref="J226">IFERROR(INDEX('Retirement Calculator'!J:J,MATCH('Isaac 401k'!N226,'Retirement Calculator'!A:A,0),0),0)</f>
        <v>7863.2184191855868</v>
      </c>
      <c r="K226" s="455">
        <f t="shared" ca="1" si="2"/>
        <v>5949.2507651998621</v>
      </c>
      <c r="L226" s="455">
        <f t="shared" ca="1" si="3"/>
        <v>1433769.4344131667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1433769.4344131667</v>
      </c>
      <c r="J227" s="455">
        <f t="array" ref="J227">IFERROR(INDEX('Retirement Calculator'!J:J,MATCH('Isaac 401k'!N227,'Retirement Calculator'!A:A,0),0),0)</f>
        <v>7863.2184191855868</v>
      </c>
      <c r="K227" s="455">
        <f t="shared" ca="1" si="2"/>
        <v>5941.2758999749212</v>
      </c>
      <c r="L227" s="455">
        <f t="shared" ca="1" si="3"/>
        <v>1431847.491893956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1431847.491893956</v>
      </c>
      <c r="J228" s="455">
        <f t="array" ref="J228">IFERROR(INDEX('Retirement Calculator'!J:J,MATCH('Isaac 401k'!N228,'Retirement Calculator'!A:A,0),0),0)</f>
        <v>7863.2184191855868</v>
      </c>
      <c r="K228" s="455">
        <f t="shared" ca="1" si="2"/>
        <v>5933.2678061448769</v>
      </c>
      <c r="L228" s="455">
        <f t="shared" ca="1" si="3"/>
        <v>1429917.5412809153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1429917.5412809153</v>
      </c>
      <c r="J229" s="455">
        <f t="array" ref="J229">IFERROR(INDEX('Retirement Calculator'!J:J,MATCH('Isaac 401k'!N229,'Retirement Calculator'!A:A,0),0),0)</f>
        <v>7863.2184191855868</v>
      </c>
      <c r="K229" s="455">
        <f t="shared" ca="1" si="2"/>
        <v>5925.226345257207</v>
      </c>
      <c r="L229" s="455">
        <f t="shared" ca="1" si="3"/>
        <v>1427979.5492069868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1427979.5492069868</v>
      </c>
      <c r="J230" s="455">
        <f t="array" ref="J230">IFERROR(INDEX('Retirement Calculator'!J:J,MATCH('Isaac 401k'!N230,'Retirement Calculator'!A:A,0),0),0)</f>
        <v>7863.2184191855868</v>
      </c>
      <c r="K230" s="455">
        <f t="shared" ca="1" si="2"/>
        <v>5917.151378282505</v>
      </c>
      <c r="L230" s="455">
        <f t="shared" ca="1" si="3"/>
        <v>1426033.4821660838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1426033.4821660838</v>
      </c>
      <c r="J231" s="455">
        <f t="array" ref="J231">IFERROR(INDEX('Retirement Calculator'!J:J,MATCH('Isaac 401k'!N231,'Retirement Calculator'!A:A,0),0),0)</f>
        <v>7863.2184191855868</v>
      </c>
      <c r="K231" s="455">
        <f t="shared" ca="1" si="2"/>
        <v>5909.0427656120755</v>
      </c>
      <c r="L231" s="455">
        <f t="shared" ca="1" si="3"/>
        <v>1424079.3065125102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1424079.3065125102</v>
      </c>
      <c r="J232" s="455">
        <f t="array" ref="J232">IFERROR(INDEX('Retirement Calculator'!J:J,MATCH('Isaac 401k'!N232,'Retirement Calculator'!A:A,0),0),0)</f>
        <v>7863.2184191855868</v>
      </c>
      <c r="K232" s="455">
        <f t="shared" ca="1" si="2"/>
        <v>5900.9003670555194</v>
      </c>
      <c r="L232" s="455">
        <f t="shared" ca="1" si="3"/>
        <v>1422116.9884603801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1422116.9884603801</v>
      </c>
      <c r="J233" s="455">
        <f t="array" ref="J233">IFERROR(INDEX('Retirement Calculator'!J:J,MATCH('Isaac 401k'!N233,'Retirement Calculator'!A:A,0),0),0)</f>
        <v>7863.2184191855868</v>
      </c>
      <c r="K233" s="455">
        <f t="shared" ca="1" si="2"/>
        <v>5892.7240418383108</v>
      </c>
      <c r="L233" s="455">
        <f t="shared" ca="1" si="3"/>
        <v>1420146.4940830327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1420146.4940830327</v>
      </c>
      <c r="J234" s="455">
        <f t="array" ref="J234">IFERROR(INDEX('Retirement Calculator'!J:J,MATCH('Isaac 401k'!N234,'Retirement Calculator'!A:A,0),0),0)</f>
        <v>7863.2184191855868</v>
      </c>
      <c r="K234" s="455">
        <f t="shared" ca="1" si="2"/>
        <v>5884.5136485993626</v>
      </c>
      <c r="L234" s="455">
        <f t="shared" ca="1" si="3"/>
        <v>1418167.7893124465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1418167.7893124465</v>
      </c>
      <c r="J235" s="455">
        <f t="array" ref="J235">IFERROR(INDEX('Retirement Calculator'!J:J,MATCH('Isaac 401k'!N235,'Retirement Calculator'!A:A,0),0),0)</f>
        <v>7863.2184191855868</v>
      </c>
      <c r="K235" s="455">
        <f t="shared" ca="1" si="2"/>
        <v>5876.2690453885871</v>
      </c>
      <c r="L235" s="455">
        <f t="shared" ca="1" si="3"/>
        <v>1416180.8399386494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1416180.8399386494</v>
      </c>
      <c r="J236" s="455">
        <f t="array" ref="J236">IFERROR(INDEX('Retirement Calculator'!J:J,MATCH('Isaac 401k'!N236,'Retirement Calculator'!A:A,0),0),0)</f>
        <v>7863.2184191855868</v>
      </c>
      <c r="K236" s="455">
        <f t="shared" ca="1" si="2"/>
        <v>5867.9900896644322</v>
      </c>
      <c r="L236" s="455">
        <f t="shared" ca="1" si="3"/>
        <v>1414185.6116091283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1414185.6116091283</v>
      </c>
      <c r="J237" s="455">
        <f t="array" ref="J237">IFERROR(INDEX('Retirement Calculator'!J:J,MATCH('Isaac 401k'!N237,'Retirement Calculator'!A:A,0),0),0)</f>
        <v>7863.2184191855868</v>
      </c>
      <c r="K237" s="455">
        <f t="shared" ca="1" si="2"/>
        <v>5859.6766382914275</v>
      </c>
      <c r="L237" s="455">
        <f t="shared" ca="1" si="3"/>
        <v>1412182.0698282341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1412182.0698282341</v>
      </c>
      <c r="J238" s="455">
        <f t="array" ref="J238">IFERROR(INDEX('Retirement Calculator'!J:J,MATCH('Isaac 401k'!N238,'Retirement Calculator'!A:A,0),0),0)</f>
        <v>7863.2184191855868</v>
      </c>
      <c r="K238" s="455">
        <f t="shared" ca="1" si="2"/>
        <v>5851.3285475377024</v>
      </c>
      <c r="L238" s="455">
        <f t="shared" ca="1" si="3"/>
        <v>1410170.1799565863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1410170.1799565863</v>
      </c>
      <c r="J239" s="455">
        <f t="array" ref="J239">IFERROR(INDEX('Retirement Calculator'!J:J,MATCH('Isaac 401k'!N239,'Retirement Calculator'!A:A,0),0),0)</f>
        <v>7863.2184191855868</v>
      </c>
      <c r="K239" s="455">
        <f t="shared" ca="1" si="2"/>
        <v>5842.9456730725033</v>
      </c>
      <c r="L239" s="455">
        <f t="shared" ca="1" si="3"/>
        <v>1408149.9072104732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1408149.9072104732</v>
      </c>
      <c r="J240" s="455">
        <f t="array" ref="J240">IFERROR(INDEX('Retirement Calculator'!J:J,MATCH('Isaac 401k'!N240,'Retirement Calculator'!A:A,0),0),0)</f>
        <v>7863.2184191855868</v>
      </c>
      <c r="K240" s="455">
        <f t="shared" ca="1" si="2"/>
        <v>5834.5278699636983</v>
      </c>
      <c r="L240" s="455">
        <f t="shared" ca="1" si="3"/>
        <v>1406121.2166612514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1406121.2166612514</v>
      </c>
      <c r="J241" s="455">
        <f t="array" ref="J241">IFERROR(INDEX('Retirement Calculator'!J:J,MATCH('Isaac 401k'!N241,'Retirement Calculator'!A:A,0),0),0)</f>
        <v>7863.2184191855868</v>
      </c>
      <c r="K241" s="455">
        <f t="shared" ca="1" si="2"/>
        <v>5826.0749926752742</v>
      </c>
      <c r="L241" s="455">
        <f t="shared" ca="1" si="3"/>
        <v>1404084.0732347411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1404084.0732347411</v>
      </c>
      <c r="J242" s="455">
        <f t="array" ref="J242">IFERROR(INDEX('Retirement Calculator'!J:J,MATCH('Isaac 401k'!N242,'Retirement Calculator'!A:A,0),0),0)</f>
        <v>7863.2184191855868</v>
      </c>
      <c r="K242" s="455">
        <f t="shared" ca="1" si="2"/>
        <v>5817.5868950648146</v>
      </c>
      <c r="L242" s="455">
        <f t="shared" ca="1" si="3"/>
        <v>1402038.4417106204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1402038.4417106204</v>
      </c>
      <c r="J243" s="455">
        <f t="array" ref="J243">IFERROR(INDEX('Retirement Calculator'!J:J,MATCH('Isaac 401k'!N243,'Retirement Calculator'!A:A,0),0),0)</f>
        <v>7863.2184191855868</v>
      </c>
      <c r="K243" s="455">
        <f t="shared" ca="1" si="2"/>
        <v>5809.0634303809784</v>
      </c>
      <c r="L243" s="455">
        <f t="shared" ca="1" si="3"/>
        <v>1399984.2867218158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1399984.2867218158</v>
      </c>
      <c r="J244" s="455">
        <f t="array" ref="J244">IFERROR(INDEX('Retirement Calculator'!J:J,MATCH('Isaac 401k'!N244,'Retirement Calculator'!A:A,0),0),0)</f>
        <v>7863.2184191855868</v>
      </c>
      <c r="K244" s="455">
        <f t="shared" ca="1" si="2"/>
        <v>5800.5044512609593</v>
      </c>
      <c r="L244" s="455">
        <f t="shared" ca="1" si="3"/>
        <v>1397921.5727538911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1397921.5727538911</v>
      </c>
      <c r="J245" s="455">
        <f t="array" ref="J245">IFERROR(INDEX('Retirement Calculator'!J:J,MATCH('Isaac 401k'!N245,'Retirement Calculator'!A:A,0),0),0)</f>
        <v>7863.2184191855868</v>
      </c>
      <c r="K245" s="455">
        <f t="shared" ca="1" si="2"/>
        <v>5791.9098097279393</v>
      </c>
      <c r="L245" s="455">
        <f t="shared" ca="1" si="3"/>
        <v>1395850.2641444334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1395850.2641444334</v>
      </c>
      <c r="J246" s="455">
        <f t="array" ref="J246">IFERROR(INDEX('Retirement Calculator'!J:J,MATCH('Isaac 401k'!N246,'Retirement Calculator'!A:A,0),0),0)</f>
        <v>7863.2184191855868</v>
      </c>
      <c r="K246" s="455">
        <f t="shared" ca="1" si="2"/>
        <v>5783.2793571885322</v>
      </c>
      <c r="L246" s="455">
        <f t="shared" ca="1" si="3"/>
        <v>1393770.3250824364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1393770.3250824364</v>
      </c>
      <c r="J247" s="455">
        <f t="array" ref="J247">IFERROR(INDEX('Retirement Calculator'!J:J,MATCH('Isaac 401k'!N247,'Retirement Calculator'!A:A,0),0),0)</f>
        <v>7863.2184191855868</v>
      </c>
      <c r="K247" s="455">
        <f t="shared" ca="1" si="2"/>
        <v>5774.6129444302114</v>
      </c>
      <c r="L247" s="455">
        <f t="shared" ca="1" si="3"/>
        <v>1391681.719607681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1391681.719607681</v>
      </c>
      <c r="J248" s="455">
        <f t="array" ref="J248">IFERROR(INDEX('Retirement Calculator'!J:J,MATCH('Isaac 401k'!N248,'Retirement Calculator'!A:A,0),0),0)</f>
        <v>7863.2184191855868</v>
      </c>
      <c r="K248" s="455">
        <f t="shared" ca="1" si="2"/>
        <v>5765.9104216187307</v>
      </c>
      <c r="L248" s="455">
        <f t="shared" ca="1" si="3"/>
        <v>1389584.4116101142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1389584.4116101142</v>
      </c>
      <c r="J249" s="455">
        <f t="array" ref="J249">IFERROR(INDEX('Retirement Calculator'!J:J,MATCH('Isaac 401k'!N249,'Retirement Calculator'!A:A,0),0),0)</f>
        <v>7863.2184191855868</v>
      </c>
      <c r="K249" s="455">
        <f t="shared" ca="1" si="2"/>
        <v>5757.1716382955356</v>
      </c>
      <c r="L249" s="455">
        <f t="shared" ca="1" si="3"/>
        <v>1387478.3648292241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1387478.3648292241</v>
      </c>
      <c r="J250" s="455">
        <f t="array" ref="J250">IFERROR(INDEX('Retirement Calculator'!J:J,MATCH('Isaac 401k'!N250,'Retirement Calculator'!A:A,0),0),0)</f>
        <v>7863.2184191855868</v>
      </c>
      <c r="K250" s="455">
        <f t="shared" ca="1" si="2"/>
        <v>5748.3964433751598</v>
      </c>
      <c r="L250" s="455">
        <f t="shared" ca="1" si="3"/>
        <v>1385363.5428534136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1385363.5428534136</v>
      </c>
      <c r="J251" s="455">
        <f t="array" ref="J251">IFERROR(INDEX('Retirement Calculator'!J:J,MATCH('Isaac 401k'!N251,'Retirement Calculator'!A:A,0),0),0)</f>
        <v>7863.2184191855868</v>
      </c>
      <c r="K251" s="455">
        <f t="shared" ca="1" si="2"/>
        <v>5739.5846851426168</v>
      </c>
      <c r="L251" s="455">
        <f t="shared" ca="1" si="3"/>
        <v>1383239.9091193706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1383239.9091193706</v>
      </c>
      <c r="J252" s="455">
        <f t="array" ref="J252">IFERROR(INDEX('Retirement Calculator'!J:J,MATCH('Isaac 401k'!N252,'Retirement Calculator'!A:A,0),0),0)</f>
        <v>7863.2184191855868</v>
      </c>
      <c r="K252" s="455">
        <f t="shared" ca="1" si="2"/>
        <v>5730.7362112507708</v>
      </c>
      <c r="L252" s="455">
        <f t="shared" ca="1" si="3"/>
        <v>1381107.4269114358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1381107.4269114358</v>
      </c>
      <c r="J253" s="455">
        <f t="array" ref="J253">IFERROR(INDEX('Retirement Calculator'!J:J,MATCH('Isaac 401k'!N253,'Retirement Calculator'!A:A,0),0),0)</f>
        <v>7863.2184191855868</v>
      </c>
      <c r="K253" s="455">
        <f t="shared" ca="1" si="2"/>
        <v>5721.8508687177091</v>
      </c>
      <c r="L253" s="455">
        <f t="shared" ca="1" si="3"/>
        <v>1378966.0593609679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1378966.0593609679</v>
      </c>
      <c r="J254" s="455">
        <f t="array" ref="J254">IFERROR(INDEX('Retirement Calculator'!J:J,MATCH('Isaac 401k'!N254,'Retirement Calculator'!A:A,0),0),0)</f>
        <v>7863.2184191855868</v>
      </c>
      <c r="K254" s="455">
        <f t="shared" ca="1" si="2"/>
        <v>5712.9285039240931</v>
      </c>
      <c r="L254" s="455">
        <f t="shared" ca="1" si="3"/>
        <v>1376815.7694457064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1376815.7694457064</v>
      </c>
      <c r="J255" s="455">
        <f t="array" ref="J255">IFERROR(INDEX('Retirement Calculator'!J:J,MATCH('Isaac 401k'!N255,'Retirement Calculator'!A:A,0),0),0)</f>
        <v>7863.2184191855868</v>
      </c>
      <c r="K255" s="455">
        <f t="shared" ca="1" si="2"/>
        <v>5703.9689626105028</v>
      </c>
      <c r="L255" s="455">
        <f t="shared" ca="1" si="3"/>
        <v>1374656.5199891313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1374656.5199891313</v>
      </c>
      <c r="J256" s="455">
        <f t="array" ref="J256">IFERROR(INDEX('Retirement Calculator'!J:J,MATCH('Isaac 401k'!N256,'Retirement Calculator'!A:A,0),0),0)</f>
        <v>7863.2184191855868</v>
      </c>
      <c r="K256" s="455">
        <f t="shared" ca="1" si="2"/>
        <v>5694.9720898747737</v>
      </c>
      <c r="L256" s="455">
        <f t="shared" ca="1" si="3"/>
        <v>1372488.2736598204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1372488.2736598204</v>
      </c>
      <c r="J257" s="455">
        <f t="array" ref="J257">IFERROR(INDEX('Retirement Calculator'!J:J,MATCH('Isaac 401k'!N257,'Retirement Calculator'!A:A,0),0),0)</f>
        <v>7863.2184191855868</v>
      </c>
      <c r="K257" s="455">
        <f t="shared" ca="1" si="2"/>
        <v>5685.9377301693121</v>
      </c>
      <c r="L257" s="455">
        <f t="shared" ca="1" si="3"/>
        <v>1370310.9929708042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1370310.9929708042</v>
      </c>
      <c r="J258" s="455">
        <f t="array" ref="J258">IFERROR(INDEX('Retirement Calculator'!J:J,MATCH('Isaac 401k'!N258,'Retirement Calculator'!A:A,0),0),0)</f>
        <v>7863.2184191855868</v>
      </c>
      <c r="K258" s="455">
        <f t="shared" ca="1" si="2"/>
        <v>5676.865727298411</v>
      </c>
      <c r="L258" s="455">
        <f t="shared" ca="1" si="3"/>
        <v>1368124.640278917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1368124.640278917</v>
      </c>
      <c r="J259" s="455">
        <f t="array" ref="J259">IFERROR(INDEX('Retirement Calculator'!J:J,MATCH('Isaac 401k'!N259,'Retirement Calculator'!A:A,0),0),0)</f>
        <v>7863.2184191855868</v>
      </c>
      <c r="K259" s="455">
        <f t="shared" ca="1" si="2"/>
        <v>5667.7559244155473</v>
      </c>
      <c r="L259" s="455">
        <f t="shared" ca="1" si="3"/>
        <v>1365929.177784147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1365929.177784147</v>
      </c>
      <c r="J260" s="455">
        <f t="array" ref="J260">IFERROR(INDEX('Retirement Calculator'!J:J,MATCH('Isaac 401k'!N260,'Retirement Calculator'!A:A,0),0),0)</f>
        <v>7863.2184191855868</v>
      </c>
      <c r="K260" s="455">
        <f t="shared" ca="1" si="2"/>
        <v>5658.6081640206721</v>
      </c>
      <c r="L260" s="455">
        <f t="shared" ca="1" si="3"/>
        <v>1363724.5675289819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1363724.5675289819</v>
      </c>
      <c r="J261" s="455">
        <f t="array" ref="J261">IFERROR(INDEX('Retirement Calculator'!J:J,MATCH('Isaac 401k'!N261,'Retirement Calculator'!A:A,0),0),0)</f>
        <v>7863.2184191855868</v>
      </c>
      <c r="K261" s="455">
        <f t="shared" ca="1" si="2"/>
        <v>5649.4222879574845</v>
      </c>
      <c r="L261" s="455">
        <f t="shared" ca="1" si="3"/>
        <v>1361510.7713977539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1361510.7713977539</v>
      </c>
      <c r="J262" s="455">
        <f t="array" ref="J262">IFERROR(INDEX('Retirement Calculator'!J:J,MATCH('Isaac 401k'!N262,'Retirement Calculator'!A:A,0),0),0)</f>
        <v>7863.2184191855868</v>
      </c>
      <c r="K262" s="455">
        <f t="shared" ca="1" si="2"/>
        <v>5640.1981374107008</v>
      </c>
      <c r="L262" s="455">
        <f t="shared" ca="1" si="3"/>
        <v>1359287.7511159789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1359287.7511159789</v>
      </c>
      <c r="J263" s="455">
        <f t="array" ref="J263">IFERROR(INDEX('Retirement Calculator'!J:J,MATCH('Isaac 401k'!N263,'Retirement Calculator'!A:A,0),0),0)</f>
        <v>7863.2184191855868</v>
      </c>
      <c r="K263" s="455">
        <f t="shared" ref="K263:K517" ca="1" si="27">IPMT(M263/12,1,12,-I263+J263,,0)</f>
        <v>5630.9355529033055</v>
      </c>
      <c r="L263" s="455">
        <f t="shared" ref="L263:L517" ca="1" si="28">I263-J263+K263</f>
        <v>1357055.4682496965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1357055.4682496965</v>
      </c>
      <c r="J264" s="455">
        <f t="array" ref="J264">IFERROR(INDEX('Retirement Calculator'!J:J,MATCH('Isaac 401k'!N264,'Retirement Calculator'!A:A,0),0),0)</f>
        <v>7863.2184191855868</v>
      </c>
      <c r="K264" s="455">
        <f t="shared" ca="1" si="27"/>
        <v>5621.6343742937952</v>
      </c>
      <c r="L264" s="455">
        <f t="shared" ca="1" si="28"/>
        <v>1354813.8842048047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1354813.8842048047</v>
      </c>
      <c r="J265" s="455">
        <f t="array" ref="J265">IFERROR(INDEX('Retirement Calculator'!J:J,MATCH('Isaac 401k'!N265,'Retirement Calculator'!A:A,0),0),0)</f>
        <v>7863.2184191855868</v>
      </c>
      <c r="K265" s="455">
        <f t="shared" ca="1" si="27"/>
        <v>5612.294440773413</v>
      </c>
      <c r="L265" s="455">
        <f t="shared" ca="1" si="28"/>
        <v>1352562.9602263924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1352562.9602263924</v>
      </c>
      <c r="J266" s="455">
        <f t="array" ref="J266">IFERROR(INDEX('Retirement Calculator'!J:J,MATCH('Isaac 401k'!N266,'Retirement Calculator'!A:A,0),0),0)</f>
        <v>7863.2184191855868</v>
      </c>
      <c r="K266" s="455">
        <f t="shared" ca="1" si="27"/>
        <v>5602.9155908633611</v>
      </c>
      <c r="L266" s="455">
        <f t="shared" ca="1" si="28"/>
        <v>1350302.6573980702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1350302.6573980702</v>
      </c>
      <c r="J267" s="455">
        <f t="array" ref="J267">IFERROR(INDEX('Retirement Calculator'!J:J,MATCH('Isaac 401k'!N267,'Retirement Calculator'!A:A,0),0),0)</f>
        <v>7863.2184191855868</v>
      </c>
      <c r="K267" s="455">
        <f t="shared" ca="1" si="27"/>
        <v>5593.4976624120191</v>
      </c>
      <c r="L267" s="455">
        <f t="shared" ca="1" si="28"/>
        <v>1348032.9366412966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1348032.9366412966</v>
      </c>
      <c r="J268" s="455">
        <f t="array" ref="J268">IFERROR(INDEX('Retirement Calculator'!J:J,MATCH('Isaac 401k'!N268,'Retirement Calculator'!A:A,0),0),0)</f>
        <v>7863.2184191855868</v>
      </c>
      <c r="K268" s="455">
        <f t="shared" ca="1" si="27"/>
        <v>5584.0404925921293</v>
      </c>
      <c r="L268" s="455">
        <f t="shared" ca="1" si="28"/>
        <v>1345753.7587147031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1345753.7587147031</v>
      </c>
      <c r="J269" s="455">
        <f t="array" ref="J269">IFERROR(INDEX('Retirement Calculator'!J:J,MATCH('Isaac 401k'!N269,'Retirement Calculator'!A:A,0),0),0)</f>
        <v>7863.2184191855868</v>
      </c>
      <c r="K269" s="455">
        <f t="shared" ca="1" si="27"/>
        <v>5574.5439178979896</v>
      </c>
      <c r="L269" s="455">
        <f t="shared" ca="1" si="28"/>
        <v>1343465.0842134156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1343465.0842134156</v>
      </c>
      <c r="J270" s="455">
        <f t="array" ref="J270">IFERROR(INDEX('Retirement Calculator'!J:J,MATCH('Isaac 401k'!N270,'Retirement Calculator'!A:A,0),0),0)</f>
        <v>7863.2184191855868</v>
      </c>
      <c r="K270" s="455">
        <f t="shared" ca="1" si="27"/>
        <v>5565.0077741426248</v>
      </c>
      <c r="L270" s="455">
        <f t="shared" ca="1" si="28"/>
        <v>1341166.8735683726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1341166.8735683726</v>
      </c>
      <c r="J271" s="455">
        <f t="array" ref="J271">IFERROR(INDEX('Retirement Calculator'!J:J,MATCH('Isaac 401k'!N271,'Retirement Calculator'!A:A,0),0),0)</f>
        <v>7863.2184191855868</v>
      </c>
      <c r="K271" s="455">
        <f t="shared" ca="1" si="27"/>
        <v>5555.4318964549457</v>
      </c>
      <c r="L271" s="455">
        <f t="shared" ca="1" si="28"/>
        <v>1338859.0870456418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1338859.0870456418</v>
      </c>
      <c r="J272" s="455">
        <f t="array" ref="J272">IFERROR(INDEX('Retirement Calculator'!J:J,MATCH('Isaac 401k'!N272,'Retirement Calculator'!A:A,0),0),0)</f>
        <v>7863.2184191855868</v>
      </c>
      <c r="K272" s="455">
        <f t="shared" ca="1" si="27"/>
        <v>5545.8161192769012</v>
      </c>
      <c r="L272" s="455">
        <f t="shared" ca="1" si="28"/>
        <v>1336541.6847457332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1336541.6847457332</v>
      </c>
      <c r="J273" s="455">
        <f t="array" ref="J273">IFERROR(INDEX('Retirement Calculator'!J:J,MATCH('Isaac 401k'!N273,'Retirement Calculator'!A:A,0),0),0)</f>
        <v>7863.2184191855868</v>
      </c>
      <c r="K273" s="455">
        <f t="shared" ca="1" si="27"/>
        <v>5536.1602763606152</v>
      </c>
      <c r="L273" s="455">
        <f t="shared" ca="1" si="28"/>
        <v>1334214.6266029081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1334214.6266029081</v>
      </c>
      <c r="J274" s="455">
        <f t="array" ref="J274">IFERROR(INDEX('Retirement Calculator'!J:J,MATCH('Isaac 401k'!N274,'Retirement Calculator'!A:A,0),0),0)</f>
        <v>7863.2184191855868</v>
      </c>
      <c r="K274" s="455">
        <f t="shared" ca="1" si="27"/>
        <v>5526.4642007655102</v>
      </c>
      <c r="L274" s="455">
        <f t="shared" ca="1" si="28"/>
        <v>1331877.8723844881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1331877.8723844881</v>
      </c>
      <c r="J275" s="455">
        <f t="array" ref="J275">IFERROR(INDEX('Retirement Calculator'!J:J,MATCH('Isaac 401k'!N275,'Retirement Calculator'!A:A,0),0),0)</f>
        <v>7863.2184191855868</v>
      </c>
      <c r="K275" s="455">
        <f t="shared" ca="1" si="27"/>
        <v>5516.7277248554274</v>
      </c>
      <c r="L275" s="455">
        <f t="shared" ca="1" si="28"/>
        <v>1329531.381690158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1329531.381690158</v>
      </c>
      <c r="J276" s="455">
        <f t="array" ref="J276">IFERROR(INDEX('Retirement Calculator'!J:J,MATCH('Isaac 401k'!N276,'Retirement Calculator'!A:A,0),0),0)</f>
        <v>7863.2184191855868</v>
      </c>
      <c r="K276" s="455">
        <f t="shared" ca="1" si="27"/>
        <v>5506.9506802957185</v>
      </c>
      <c r="L276" s="455">
        <f t="shared" ca="1" si="28"/>
        <v>1327175.1139512681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1327175.1139512681</v>
      </c>
      <c r="J277" s="455">
        <f t="array" ref="J277">IFERROR(INDEX('Retirement Calculator'!J:J,MATCH('Isaac 401k'!N277,'Retirement Calculator'!A:A,0),0),0)</f>
        <v>7863.2184191855868</v>
      </c>
      <c r="K277" s="455">
        <f t="shared" ca="1" si="27"/>
        <v>5497.132898050344</v>
      </c>
      <c r="L277" s="455">
        <f t="shared" ca="1" si="28"/>
        <v>1324809.0284301329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1324809.0284301329</v>
      </c>
      <c r="J278" s="455">
        <f t="array" ref="J278">IFERROR(INDEX('Retirement Calculator'!J:J,MATCH('Isaac 401k'!N278,'Retirement Calculator'!A:A,0),0),0)</f>
        <v>7863.2184191855868</v>
      </c>
      <c r="K278" s="455">
        <f t="shared" ca="1" si="27"/>
        <v>5487.2742083789472</v>
      </c>
      <c r="L278" s="455">
        <f t="shared" ca="1" si="28"/>
        <v>1322433.0842193263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1322433.0842193263</v>
      </c>
      <c r="J279" s="455">
        <f t="array" ref="J279">IFERROR(INDEX('Retirement Calculator'!J:J,MATCH('Isaac 401k'!N279,'Retirement Calculator'!A:A,0),0),0)</f>
        <v>7863.2184191855868</v>
      </c>
      <c r="K279" s="455">
        <f t="shared" ca="1" si="27"/>
        <v>5477.3744408339189</v>
      </c>
      <c r="L279" s="455">
        <f t="shared" ca="1" si="28"/>
        <v>1320047.2402409746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1320047.2402409746</v>
      </c>
      <c r="J280" s="455">
        <f t="array" ref="J280">IFERROR(INDEX('Retirement Calculator'!J:J,MATCH('Isaac 401k'!N280,'Retirement Calculator'!A:A,0),0),0)</f>
        <v>7863.2184191855868</v>
      </c>
      <c r="K280" s="455">
        <f t="shared" ca="1" si="27"/>
        <v>5467.4334242574541</v>
      </c>
      <c r="L280" s="455">
        <f t="shared" ca="1" si="28"/>
        <v>1317651.4552460464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1317651.4552460464</v>
      </c>
      <c r="J281" s="455">
        <f t="array" ref="J281">IFERROR(INDEX('Retirement Calculator'!J:J,MATCH('Isaac 401k'!N281,'Retirement Calculator'!A:A,0),0),0)</f>
        <v>7863.2184191855868</v>
      </c>
      <c r="K281" s="455">
        <f t="shared" ca="1" si="27"/>
        <v>5457.4509867785864</v>
      </c>
      <c r="L281" s="455">
        <f t="shared" ca="1" si="28"/>
        <v>1315245.6878136394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1315245.6878136394</v>
      </c>
      <c r="J282" s="455">
        <f t="array" ref="J282">IFERROR(INDEX('Retirement Calculator'!J:J,MATCH('Isaac 401k'!N282,'Retirement Calculator'!A:A,0),0),0)</f>
        <v>7863.2184191855868</v>
      </c>
      <c r="K282" s="455">
        <f t="shared" ca="1" si="27"/>
        <v>5447.4269558102242</v>
      </c>
      <c r="L282" s="455">
        <f t="shared" ca="1" si="28"/>
        <v>1312829.8963502641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1312829.8963502641</v>
      </c>
      <c r="J283" s="455">
        <f t="array" ref="J283">IFERROR(INDEX('Retirement Calculator'!J:J,MATCH('Isaac 401k'!N283,'Retirement Calculator'!A:A,0),0),0)</f>
        <v>7863.2184191855868</v>
      </c>
      <c r="K283" s="455">
        <f t="shared" ca="1" si="27"/>
        <v>5437.3611580461602</v>
      </c>
      <c r="L283" s="455">
        <f t="shared" ca="1" si="28"/>
        <v>1310404.0390891246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1310404.0390891246</v>
      </c>
      <c r="J284" s="455">
        <f t="array" ref="J284">IFERROR(INDEX('Retirement Calculator'!J:J,MATCH('Isaac 401k'!N284,'Retirement Calculator'!A:A,0),0),0)</f>
        <v>7863.2184191855868</v>
      </c>
      <c r="K284" s="455">
        <f t="shared" ca="1" si="27"/>
        <v>5427.2534194580794</v>
      </c>
      <c r="L284" s="455">
        <f t="shared" ca="1" si="28"/>
        <v>1307968.0740893972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1307968.0740893972</v>
      </c>
      <c r="J285" s="455">
        <f t="array" ref="J285">IFERROR(INDEX('Retirement Calculator'!J:J,MATCH('Isaac 401k'!N285,'Retirement Calculator'!A:A,0),0),0)</f>
        <v>7863.2184191855868</v>
      </c>
      <c r="K285" s="455">
        <f t="shared" ca="1" si="27"/>
        <v>5417.1035652925484</v>
      </c>
      <c r="L285" s="455">
        <f t="shared" ca="1" si="28"/>
        <v>1305521.959235504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1305521.959235504</v>
      </c>
      <c r="J286" s="455">
        <f t="array" ref="J286">IFERROR(INDEX('Retirement Calculator'!J:J,MATCH('Isaac 401k'!N286,'Retirement Calculator'!A:A,0),0),0)</f>
        <v>7863.2184191855868</v>
      </c>
      <c r="K286" s="455">
        <f t="shared" ca="1" si="27"/>
        <v>5406.9114200679933</v>
      </c>
      <c r="L286" s="455">
        <f t="shared" ca="1" si="28"/>
        <v>1303065.6522363864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1303065.6522363864</v>
      </c>
      <c r="J287" s="455">
        <f t="array" ref="J287">IFERROR(INDEX('Retirement Calculator'!J:J,MATCH('Isaac 401k'!N287,'Retirement Calculator'!A:A,0),0),0)</f>
        <v>7863.2184191855868</v>
      </c>
      <c r="K287" s="455">
        <f t="shared" ca="1" si="27"/>
        <v>5396.67680757167</v>
      </c>
      <c r="L287" s="455">
        <f t="shared" ca="1" si="28"/>
        <v>1300599.1106247725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1300599.1106247725</v>
      </c>
      <c r="J288" s="455">
        <f t="array" ref="J288">IFERROR(INDEX('Retirement Calculator'!J:J,MATCH('Isaac 401k'!N288,'Retirement Calculator'!A:A,0),0),0)</f>
        <v>7863.2184191855868</v>
      </c>
      <c r="K288" s="455">
        <f t="shared" ca="1" si="27"/>
        <v>5386.3995508566122</v>
      </c>
      <c r="L288" s="455">
        <f t="shared" ca="1" si="28"/>
        <v>1298122.2917564434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1298122.2917564434</v>
      </c>
      <c r="J289" s="455">
        <f t="array" ref="J289">IFERROR(INDEX('Retirement Calculator'!J:J,MATCH('Isaac 401k'!N289,'Retirement Calculator'!A:A,0),0),0)</f>
        <v>7863.2184191855868</v>
      </c>
      <c r="K289" s="455">
        <f t="shared" ca="1" si="27"/>
        <v>5376.0794722385745</v>
      </c>
      <c r="L289" s="455">
        <f t="shared" ca="1" si="28"/>
        <v>1295635.1528094965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1295635.1528094965</v>
      </c>
      <c r="J290" s="455">
        <f t="array" ref="J290">IFERROR(INDEX('Retirement Calculator'!J:J,MATCH('Isaac 401k'!N290,'Retirement Calculator'!A:A,0),0),0)</f>
        <v>7863.2184191855868</v>
      </c>
      <c r="K290" s="455">
        <f t="shared" ca="1" si="27"/>
        <v>5365.7163932929616</v>
      </c>
      <c r="L290" s="455">
        <f t="shared" ca="1" si="28"/>
        <v>1293137.6507836038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1293137.6507836038</v>
      </c>
      <c r="J291" s="455">
        <f t="array" ref="J291">IFERROR(INDEX('Retirement Calculator'!J:J,MATCH('Isaac 401k'!N291,'Retirement Calculator'!A:A,0),0),0)</f>
        <v>7863.2184191855868</v>
      </c>
      <c r="K291" s="455">
        <f t="shared" ca="1" si="27"/>
        <v>5355.3101348517421</v>
      </c>
      <c r="L291" s="455">
        <f t="shared" ca="1" si="28"/>
        <v>1290629.74249927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1290629.74249927</v>
      </c>
      <c r="J292" s="455">
        <f t="array" ref="J292">IFERROR(INDEX('Retirement Calculator'!J:J,MATCH('Isaac 401k'!N292,'Retirement Calculator'!A:A,0),0),0)</f>
        <v>7863.2184191855868</v>
      </c>
      <c r="K292" s="455">
        <f t="shared" ca="1" si="27"/>
        <v>5344.860517000352</v>
      </c>
      <c r="L292" s="455">
        <f t="shared" ca="1" si="28"/>
        <v>1288111.3845970847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1288111.3845970847</v>
      </c>
      <c r="J293" s="455">
        <f t="array" ref="J293">IFERROR(INDEX('Retirement Calculator'!J:J,MATCH('Isaac 401k'!N293,'Retirement Calculator'!A:A,0),0),0)</f>
        <v>7863.2184191855868</v>
      </c>
      <c r="K293" s="455">
        <f t="shared" ca="1" si="27"/>
        <v>5334.3673590745793</v>
      </c>
      <c r="L293" s="455">
        <f t="shared" ca="1" si="28"/>
        <v>1285582.5335369736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1285582.5335369736</v>
      </c>
      <c r="J294" s="455">
        <f t="array" ref="J294">IFERROR(INDEX('Retirement Calculator'!J:J,MATCH('Isaac 401k'!N294,'Retirement Calculator'!A:A,0),0),0)</f>
        <v>7863.2184191855868</v>
      </c>
      <c r="K294" s="455">
        <f t="shared" ca="1" si="27"/>
        <v>5323.8304796574503</v>
      </c>
      <c r="L294" s="455">
        <f t="shared" ca="1" si="28"/>
        <v>1283043.1455974455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1283043.1455974455</v>
      </c>
      <c r="J295" s="455">
        <f t="array" ref="J295">IFERROR(INDEX('Retirement Calculator'!J:J,MATCH('Isaac 401k'!N295,'Retirement Calculator'!A:A,0),0),0)</f>
        <v>7863.2184191855868</v>
      </c>
      <c r="K295" s="455">
        <f t="shared" ca="1" si="27"/>
        <v>5313.2496965760829</v>
      </c>
      <c r="L295" s="455">
        <f t="shared" ca="1" si="28"/>
        <v>1280493.176874836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1280493.176874836</v>
      </c>
      <c r="J296" s="455">
        <f t="array" ref="J296">IFERROR(INDEX('Retirement Calculator'!J:J,MATCH('Isaac 401k'!N296,'Retirement Calculator'!A:A,0),0),0)</f>
        <v>7863.2184191855868</v>
      </c>
      <c r="K296" s="455">
        <f t="shared" ca="1" si="27"/>
        <v>5302.6248268985428</v>
      </c>
      <c r="L296" s="455">
        <f t="shared" ca="1" si="28"/>
        <v>1277932.5832825489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1277932.5832825489</v>
      </c>
      <c r="J297" s="455">
        <f t="array" ref="J297">IFERROR(INDEX('Retirement Calculator'!J:J,MATCH('Isaac 401k'!N297,'Retirement Calculator'!A:A,0),0),0)</f>
        <v>7863.2184191855868</v>
      </c>
      <c r="K297" s="455">
        <f t="shared" ca="1" si="27"/>
        <v>5291.9556869306807</v>
      </c>
      <c r="L297" s="455">
        <f t="shared" ca="1" si="28"/>
        <v>1275361.3205502939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1275361.3205502939</v>
      </c>
      <c r="J298" s="455">
        <f t="array" ref="J298">IFERROR(INDEX('Retirement Calculator'!J:J,MATCH('Isaac 401k'!N298,'Retirement Calculator'!A:A,0),0),0)</f>
        <v>7863.2184191855868</v>
      </c>
      <c r="K298" s="455">
        <f t="shared" ca="1" si="27"/>
        <v>5281.2420922129513</v>
      </c>
      <c r="L298" s="455">
        <f t="shared" ca="1" si="28"/>
        <v>1272779.3442233212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1272779.3442233212</v>
      </c>
      <c r="J299" s="455">
        <f t="array" ref="J299">IFERROR(INDEX('Retirement Calculator'!J:J,MATCH('Isaac 401k'!N299,'Retirement Calculator'!A:A,0),0),0)</f>
        <v>7863.2184191855868</v>
      </c>
      <c r="K299" s="455">
        <f t="shared" ca="1" si="27"/>
        <v>5270.4838575172316</v>
      </c>
      <c r="L299" s="455">
        <f t="shared" ca="1" si="28"/>
        <v>1270186.6096616527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1270186.6096616527</v>
      </c>
      <c r="J300" s="455">
        <f t="array" ref="J300">IFERROR(INDEX('Retirement Calculator'!J:J,MATCH('Isaac 401k'!N300,'Retirement Calculator'!A:A,0),0),0)</f>
        <v>7863.2184191855868</v>
      </c>
      <c r="K300" s="455">
        <f t="shared" ca="1" si="27"/>
        <v>5259.6807968436133</v>
      </c>
      <c r="L300" s="455">
        <f t="shared" ca="1" si="28"/>
        <v>1267583.0720393108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1267583.0720393108</v>
      </c>
      <c r="J301" s="455">
        <f t="array" ref="J301">IFERROR(INDEX('Retirement Calculator'!J:J,MATCH('Isaac 401k'!N301,'Retirement Calculator'!A:A,0),0),0)</f>
        <v>7863.2184191855868</v>
      </c>
      <c r="K301" s="455">
        <f t="shared" ca="1" si="27"/>
        <v>5248.8327234171884</v>
      </c>
      <c r="L301" s="455">
        <f t="shared" ca="1" si="28"/>
        <v>1264968.6863435423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1264968.6863435423</v>
      </c>
      <c r="J302" s="455">
        <f t="array" ref="J302">IFERROR(INDEX('Retirement Calculator'!J:J,MATCH('Isaac 401k'!N302,'Retirement Calculator'!A:A,0),0),0)</f>
        <v>7863.2184191855868</v>
      </c>
      <c r="K302" s="455">
        <f t="shared" ca="1" si="27"/>
        <v>5237.9394496848199</v>
      </c>
      <c r="L302" s="455">
        <f t="shared" ca="1" si="28"/>
        <v>1262343.4073740416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1262343.4073740416</v>
      </c>
      <c r="J303" s="455">
        <f t="array" ref="J303">IFERROR(INDEX('Retirement Calculator'!J:J,MATCH('Isaac 401k'!N303,'Retirement Calculator'!A:A,0),0),0)</f>
        <v>7863.2184191855868</v>
      </c>
      <c r="K303" s="455">
        <f t="shared" ca="1" si="27"/>
        <v>5227.0007873119002</v>
      </c>
      <c r="L303" s="455">
        <f t="shared" ca="1" si="28"/>
        <v>1259707.1897421679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1259707.1897421679</v>
      </c>
      <c r="J304" s="455">
        <f t="array" ref="J304">IFERROR(INDEX('Retirement Calculator'!J:J,MATCH('Isaac 401k'!N304,'Retirement Calculator'!A:A,0),0),0)</f>
        <v>7863.2184191855868</v>
      </c>
      <c r="K304" s="455">
        <f t="shared" ca="1" si="27"/>
        <v>5216.0165471790933</v>
      </c>
      <c r="L304" s="455">
        <f t="shared" ca="1" si="28"/>
        <v>1257059.9878701614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1257059.9878701614</v>
      </c>
      <c r="J305" s="455">
        <f t="array" ref="J305">IFERROR(INDEX('Retirement Calculator'!J:J,MATCH('Isaac 401k'!N305,'Retirement Calculator'!A:A,0),0),0)</f>
        <v>7863.2184191855868</v>
      </c>
      <c r="K305" s="455">
        <f t="shared" ca="1" si="27"/>
        <v>5204.986539379066</v>
      </c>
      <c r="L305" s="455">
        <f t="shared" ca="1" si="28"/>
        <v>1254401.7559903548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1254401.7559903548</v>
      </c>
      <c r="J306" s="455">
        <f t="array" ref="J306">IFERROR(INDEX('Retirement Calculator'!J:J,MATCH('Isaac 401k'!N306,'Retirement Calculator'!A:A,0),0),0)</f>
        <v>7863.2184191855868</v>
      </c>
      <c r="K306" s="455">
        <f t="shared" ca="1" si="27"/>
        <v>5193.9105732132048</v>
      </c>
      <c r="L306" s="455">
        <f t="shared" ca="1" si="28"/>
        <v>1251732.4481443823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1251732.4481443823</v>
      </c>
      <c r="J307" s="455">
        <f t="array" ref="J307">IFERROR(INDEX('Retirement Calculator'!J:J,MATCH('Isaac 401k'!N307,'Retirement Calculator'!A:A,0),0),0)</f>
        <v>7863.2184191855868</v>
      </c>
      <c r="K307" s="455">
        <f t="shared" ca="1" si="27"/>
        <v>5182.7884571883196</v>
      </c>
      <c r="L307" s="455">
        <f t="shared" ca="1" si="28"/>
        <v>1249052.018182385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1249052.018182385</v>
      </c>
      <c r="J308" s="455">
        <f t="array" ref="J308">IFERROR(INDEX('Retirement Calculator'!J:J,MATCH('Isaac 401k'!N308,'Retirement Calculator'!A:A,0),0),0)</f>
        <v>7863.2184191855868</v>
      </c>
      <c r="K308" s="455">
        <f t="shared" ca="1" si="27"/>
        <v>5171.6199990133309</v>
      </c>
      <c r="L308" s="455">
        <f t="shared" ca="1" si="28"/>
        <v>1246360.4197622128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1246360.4197622128</v>
      </c>
      <c r="J309" s="455">
        <f t="array" ref="J309">IFERROR(INDEX('Retirement Calculator'!J:J,MATCH('Isaac 401k'!N309,'Retirement Calculator'!A:A,0),0),0)</f>
        <v>7863.2184191855868</v>
      </c>
      <c r="K309" s="455">
        <f t="shared" ca="1" si="27"/>
        <v>5160.4050055959469</v>
      </c>
      <c r="L309" s="455">
        <f t="shared" ca="1" si="28"/>
        <v>1243657.6063486231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1243657.6063486231</v>
      </c>
      <c r="J310" s="455">
        <f t="array" ref="J310">IFERROR(INDEX('Retirement Calculator'!J:J,MATCH('Isaac 401k'!N310,'Retirement Calculator'!A:A,0),0),0)</f>
        <v>7863.2184191855868</v>
      </c>
      <c r="K310" s="455">
        <f t="shared" ca="1" si="27"/>
        <v>5149.1432830393223</v>
      </c>
      <c r="L310" s="455">
        <f t="shared" ca="1" si="28"/>
        <v>1240943.5312124768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1240943.5312124768</v>
      </c>
      <c r="J311" s="455">
        <f t="array" ref="J311">IFERROR(INDEX('Retirement Calculator'!J:J,MATCH('Isaac 401k'!N311,'Retirement Calculator'!A:A,0),0),0)</f>
        <v>7863.2184191855868</v>
      </c>
      <c r="K311" s="455">
        <f t="shared" ca="1" si="27"/>
        <v>5137.8346366387132</v>
      </c>
      <c r="L311" s="455">
        <f t="shared" ca="1" si="28"/>
        <v>1238218.1474299298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1238218.1474299298</v>
      </c>
      <c r="J312" s="455">
        <f t="array" ref="J312">IFERROR(INDEX('Retirement Calculator'!J:J,MATCH('Isaac 401k'!N312,'Retirement Calculator'!A:A,0),0),0)</f>
        <v>7863.2184191855868</v>
      </c>
      <c r="K312" s="455">
        <f t="shared" ca="1" si="27"/>
        <v>5126.4788708781007</v>
      </c>
      <c r="L312" s="455">
        <f t="shared" ca="1" si="28"/>
        <v>1235481.4078816222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1235481.4078816222</v>
      </c>
      <c r="J313" s="455">
        <f t="array" ref="J313">IFERROR(INDEX('Retirement Calculator'!J:J,MATCH('Isaac 401k'!N313,'Retirement Calculator'!A:A,0),0),0)</f>
        <v>7863.2184191855868</v>
      </c>
      <c r="K313" s="455">
        <f t="shared" ca="1" si="27"/>
        <v>5115.075789426819</v>
      </c>
      <c r="L313" s="455">
        <f t="shared" ca="1" si="28"/>
        <v>1232733.2652518635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1232733.2652518635</v>
      </c>
      <c r="J314" s="455">
        <f t="array" ref="J314">IFERROR(INDEX('Retirement Calculator'!J:J,MATCH('Isaac 401k'!N314,'Retirement Calculator'!A:A,0),0),0)</f>
        <v>7863.2184191855868</v>
      </c>
      <c r="K314" s="455">
        <f t="shared" ca="1" si="27"/>
        <v>5103.6251951361583</v>
      </c>
      <c r="L314" s="455">
        <f t="shared" ca="1" si="28"/>
        <v>1229973.672027814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1229973.672027814</v>
      </c>
      <c r="J315" s="455">
        <f t="array" ref="J315">IFERROR(INDEX('Retirement Calculator'!J:J,MATCH('Isaac 401k'!N315,'Retirement Calculator'!A:A,0),0),0)</f>
        <v>7863.2184191855868</v>
      </c>
      <c r="K315" s="455">
        <f t="shared" ca="1" si="27"/>
        <v>5092.1268900359519</v>
      </c>
      <c r="L315" s="455">
        <f t="shared" ca="1" si="28"/>
        <v>1227202.5804986644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1227202.5804986644</v>
      </c>
      <c r="J316" s="455">
        <f t="array" ref="J316">IFERROR(INDEX('Retirement Calculator'!J:J,MATCH('Isaac 401k'!N316,'Retirement Calculator'!A:A,0),0),0)</f>
        <v>7863.2184191855868</v>
      </c>
      <c r="K316" s="455">
        <f t="shared" ca="1" si="27"/>
        <v>5080.5806753311617</v>
      </c>
      <c r="L316" s="455">
        <f t="shared" ca="1" si="28"/>
        <v>1224419.94275481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1224419.94275481</v>
      </c>
      <c r="J317" s="455">
        <f t="array" ref="J317">IFERROR(INDEX('Retirement Calculator'!J:J,MATCH('Isaac 401k'!N317,'Retirement Calculator'!A:A,0),0),0)</f>
        <v>7863.2184191855868</v>
      </c>
      <c r="K317" s="455">
        <f t="shared" ca="1" si="27"/>
        <v>5068.9863513984346</v>
      </c>
      <c r="L317" s="455">
        <f t="shared" ca="1" si="28"/>
        <v>1221625.7106870229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1221625.7106870229</v>
      </c>
      <c r="J318" s="455">
        <f t="array" ref="J318">IFERROR(INDEX('Retirement Calculator'!J:J,MATCH('Isaac 401k'!N318,'Retirement Calculator'!A:A,0),0),0)</f>
        <v>7863.2184191855868</v>
      </c>
      <c r="K318" s="455">
        <f t="shared" ca="1" si="27"/>
        <v>5057.3437177826554</v>
      </c>
      <c r="L318" s="455">
        <f t="shared" ca="1" si="28"/>
        <v>1218819.83598562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1218819.83598562</v>
      </c>
      <c r="J319" s="455">
        <f t="array" ref="J319">IFERROR(INDEX('Retirement Calculator'!J:J,MATCH('Isaac 401k'!N319,'Retirement Calculator'!A:A,0),0),0)</f>
        <v>7863.2184191855868</v>
      </c>
      <c r="K319" s="455">
        <f t="shared" ca="1" si="27"/>
        <v>5045.6525731934771</v>
      </c>
      <c r="L319" s="455">
        <f t="shared" ca="1" si="28"/>
        <v>1216002.2701396279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1216002.2701396279</v>
      </c>
      <c r="J320" s="455">
        <f t="array" ref="J320">IFERROR(INDEX('Retirement Calculator'!J:J,MATCH('Isaac 401k'!N320,'Retirement Calculator'!A:A,0),0),0)</f>
        <v>7863.2184191855868</v>
      </c>
      <c r="K320" s="455">
        <f t="shared" ca="1" si="27"/>
        <v>5033.9127155018423</v>
      </c>
      <c r="L320" s="455">
        <f t="shared" ca="1" si="28"/>
        <v>1213172.9644359441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1213172.9644359441</v>
      </c>
      <c r="J321" s="455">
        <f t="array" ref="J321">IFERROR(INDEX('Retirement Calculator'!J:J,MATCH('Isaac 401k'!N321,'Retirement Calculator'!A:A,0),0),0)</f>
        <v>7863.2184191855868</v>
      </c>
      <c r="K321" s="455">
        <f t="shared" ca="1" si="27"/>
        <v>5022.1239417364941</v>
      </c>
      <c r="L321" s="455">
        <f t="shared" ca="1" si="28"/>
        <v>1210331.869958495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1210331.869958495</v>
      </c>
      <c r="J322" s="455">
        <f t="array" ref="J322">IFERROR(INDEX('Retirement Calculator'!J:J,MATCH('Isaac 401k'!N322,'Retirement Calculator'!A:A,0),0),0)</f>
        <v>7863.2184191855868</v>
      </c>
      <c r="K322" s="455">
        <f t="shared" ca="1" si="27"/>
        <v>5010.2860480804557</v>
      </c>
      <c r="L322" s="455">
        <f t="shared" ca="1" si="28"/>
        <v>1207478.93758739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1207478.93758739</v>
      </c>
      <c r="J323" s="455">
        <f t="array" ref="J323">IFERROR(INDEX('Retirement Calculator'!J:J,MATCH('Isaac 401k'!N323,'Retirement Calculator'!A:A,0),0),0)</f>
        <v>7863.2184191855868</v>
      </c>
      <c r="K323" s="455">
        <f t="shared" ca="1" si="27"/>
        <v>4998.3988298675176</v>
      </c>
      <c r="L323" s="455">
        <f t="shared" ca="1" si="28"/>
        <v>1204614.1179980719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1204614.1179980719</v>
      </c>
      <c r="J324" s="455">
        <f t="array" ref="J324">IFERROR(INDEX('Retirement Calculator'!J:J,MATCH('Isaac 401k'!N324,'Retirement Calculator'!A:A,0),0),0)</f>
        <v>7863.2184191855868</v>
      </c>
      <c r="K324" s="455">
        <f t="shared" ca="1" si="27"/>
        <v>4986.462081578693</v>
      </c>
      <c r="L324" s="455">
        <f t="shared" ca="1" si="28"/>
        <v>1201737.3616604651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1201737.3616604651</v>
      </c>
      <c r="J325" s="455">
        <f t="array" ref="J325">IFERROR(INDEX('Retirement Calculator'!J:J,MATCH('Isaac 401k'!N325,'Retirement Calculator'!A:A,0),0),0)</f>
        <v>7863.2184191855868</v>
      </c>
      <c r="K325" s="455">
        <f t="shared" ca="1" si="27"/>
        <v>4974.4755968386644</v>
      </c>
      <c r="L325" s="455">
        <f t="shared" ca="1" si="28"/>
        <v>1198848.6188381182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1198848.6188381182</v>
      </c>
      <c r="J326" s="455">
        <f t="array" ref="J326">IFERROR(INDEX('Retirement Calculator'!J:J,MATCH('Isaac 401k'!N326,'Retirement Calculator'!A:A,0),0),0)</f>
        <v>7863.2184191855868</v>
      </c>
      <c r="K326" s="455">
        <f t="shared" ca="1" si="27"/>
        <v>4962.4391684122193</v>
      </c>
      <c r="L326" s="455">
        <f t="shared" ca="1" si="28"/>
        <v>1195947.8395873448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1195947.8395873448</v>
      </c>
      <c r="J327" s="455">
        <f t="array" ref="J327">IFERROR(INDEX('Retirement Calculator'!J:J,MATCH('Isaac 401k'!N327,'Retirement Calculator'!A:A,0),0),0)</f>
        <v>7863.2184191855868</v>
      </c>
      <c r="K327" s="455">
        <f t="shared" ca="1" si="27"/>
        <v>4950.3525882006634</v>
      </c>
      <c r="L327" s="455">
        <f t="shared" ca="1" si="28"/>
        <v>1193034.9737563599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1193034.9737563599</v>
      </c>
      <c r="J328" s="455">
        <f t="array" ref="J328">IFERROR(INDEX('Retirement Calculator'!J:J,MATCH('Isaac 401k'!N328,'Retirement Calculator'!A:A,0),0),0)</f>
        <v>7863.2184191855868</v>
      </c>
      <c r="K328" s="455">
        <f t="shared" ca="1" si="27"/>
        <v>4938.2156472382258</v>
      </c>
      <c r="L328" s="455">
        <f t="shared" ca="1" si="28"/>
        <v>1190109.9709844126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1190109.9709844126</v>
      </c>
      <c r="J329" s="455">
        <f t="array" ref="J329">IFERROR(INDEX('Retirement Calculator'!J:J,MATCH('Isaac 401k'!N329,'Retirement Calculator'!A:A,0),0),0)</f>
        <v>7863.2184191855868</v>
      </c>
      <c r="K329" s="455">
        <f t="shared" ca="1" si="27"/>
        <v>4926.0281356884461</v>
      </c>
      <c r="L329" s="455">
        <f t="shared" ca="1" si="28"/>
        <v>1187172.7807009155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1187172.7807009155</v>
      </c>
      <c r="J330" s="455">
        <f t="array" ref="J330">IFERROR(INDEX('Retirement Calculator'!J:J,MATCH('Isaac 401k'!N330,'Retirement Calculator'!A:A,0),0),0)</f>
        <v>7863.2184191855868</v>
      </c>
      <c r="K330" s="455">
        <f t="shared" ca="1" si="27"/>
        <v>4913.7898428405415</v>
      </c>
      <c r="L330" s="455">
        <f t="shared" ca="1" si="28"/>
        <v>1184223.3521245704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1184223.3521245704</v>
      </c>
      <c r="J331" s="455">
        <f t="array" ref="J331">IFERROR(INDEX('Retirement Calculator'!J:J,MATCH('Isaac 401k'!N331,'Retirement Calculator'!A:A,0),0),0)</f>
        <v>7863.2184191855868</v>
      </c>
      <c r="K331" s="455">
        <f t="shared" ca="1" si="27"/>
        <v>4901.50055710577</v>
      </c>
      <c r="L331" s="455">
        <f t="shared" ca="1" si="28"/>
        <v>1181261.6342624906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1181261.6342624906</v>
      </c>
      <c r="J332" s="455">
        <f t="array" ref="J332">IFERROR(INDEX('Retirement Calculator'!J:J,MATCH('Isaac 401k'!N332,'Retirement Calculator'!A:A,0),0),0)</f>
        <v>7863.2184191855868</v>
      </c>
      <c r="K332" s="455">
        <f t="shared" ca="1" si="27"/>
        <v>4889.1600660137701</v>
      </c>
      <c r="L332" s="455">
        <f t="shared" ca="1" si="28"/>
        <v>1178287.5759093186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1178287.5759093186</v>
      </c>
      <c r="J333" s="455">
        <f t="array" ref="J333">IFERROR(INDEX('Retirement Calculator'!J:J,MATCH('Isaac 401k'!N333,'Retirement Calculator'!A:A,0),0),0)</f>
        <v>7863.2184191855868</v>
      </c>
      <c r="K333" s="455">
        <f t="shared" ca="1" si="27"/>
        <v>4876.7681562088874</v>
      </c>
      <c r="L333" s="455">
        <f t="shared" ca="1" si="28"/>
        <v>1175301.1256463418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1175301.1256463418</v>
      </c>
      <c r="J334" s="455">
        <f t="array" ref="J334">IFERROR(INDEX('Retirement Calculator'!J:J,MATCH('Isaac 401k'!N334,'Retirement Calculator'!A:A,0),0),0)</f>
        <v>7863.2184191855868</v>
      </c>
      <c r="K334" s="455">
        <f t="shared" ca="1" si="27"/>
        <v>4864.3246134464844</v>
      </c>
      <c r="L334" s="455">
        <f t="shared" ca="1" si="28"/>
        <v>1172302.2318406026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1172302.2318406026</v>
      </c>
      <c r="J335" s="455">
        <f t="array" ref="J335">IFERROR(INDEX('Retirement Calculator'!J:J,MATCH('Isaac 401k'!N335,'Retirement Calculator'!A:A,0),0),0)</f>
        <v>7863.2184191855868</v>
      </c>
      <c r="K335" s="455">
        <f t="shared" ca="1" si="27"/>
        <v>4851.8292225892374</v>
      </c>
      <c r="L335" s="455">
        <f t="shared" ca="1" si="28"/>
        <v>1169290.8426440062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1169290.8426440062</v>
      </c>
      <c r="J336" s="455">
        <f t="array" ref="J336">IFERROR(INDEX('Retirement Calculator'!J:J,MATCH('Isaac 401k'!N336,'Retirement Calculator'!A:A,0),0),0)</f>
        <v>7863.2184191855868</v>
      </c>
      <c r="K336" s="455">
        <f t="shared" ca="1" si="27"/>
        <v>4839.2817676034192</v>
      </c>
      <c r="L336" s="455">
        <f t="shared" ca="1" si="28"/>
        <v>1166266.9059924241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1166266.9059924241</v>
      </c>
      <c r="J337" s="455">
        <f t="array" ref="J337">IFERROR(INDEX('Retirement Calculator'!J:J,MATCH('Isaac 401k'!N337,'Retirement Calculator'!A:A,0),0),0)</f>
        <v>7863.2184191855868</v>
      </c>
      <c r="K337" s="455">
        <f t="shared" ca="1" si="27"/>
        <v>4826.6820315551604</v>
      </c>
      <c r="L337" s="455">
        <f t="shared" ca="1" si="28"/>
        <v>1163230.3696047936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1163230.3696047936</v>
      </c>
      <c r="J338" s="455">
        <f t="array" ref="J338">IFERROR(INDEX('Retirement Calculator'!J:J,MATCH('Isaac 401k'!N338,'Retirement Calculator'!A:A,0),0),0)</f>
        <v>7863.2184191855868</v>
      </c>
      <c r="K338" s="455">
        <f t="shared" ca="1" si="27"/>
        <v>4814.0297966067001</v>
      </c>
      <c r="L338" s="455">
        <f t="shared" ca="1" si="28"/>
        <v>1160181.1809822146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1160181.1809822146</v>
      </c>
      <c r="J339" s="455">
        <f t="array" ref="J339">IFERROR(INDEX('Retirement Calculator'!J:J,MATCH('Isaac 401k'!N339,'Retirement Calculator'!A:A,0),0),0)</f>
        <v>7863.2184191855868</v>
      </c>
      <c r="K339" s="455">
        <f t="shared" ca="1" si="27"/>
        <v>4801.3248440126208</v>
      </c>
      <c r="L339" s="455">
        <f t="shared" ca="1" si="28"/>
        <v>1157119.2874070418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1157119.2874070418</v>
      </c>
      <c r="J340" s="455">
        <f t="array" ref="J340">IFERROR(INDEX('Retirement Calculator'!J:J,MATCH('Isaac 401k'!N340,'Retirement Calculator'!A:A,0),0),0)</f>
        <v>7863.2184191855868</v>
      </c>
      <c r="K340" s="455">
        <f t="shared" ca="1" si="27"/>
        <v>4788.5669541160669</v>
      </c>
      <c r="L340" s="455">
        <f t="shared" ca="1" si="28"/>
        <v>1154044.6359419723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1154044.6359419723</v>
      </c>
      <c r="J341" s="455">
        <f t="array" ref="J341">IFERROR(INDEX('Retirement Calculator'!J:J,MATCH('Isaac 401k'!N341,'Retirement Calculator'!A:A,0),0),0)</f>
        <v>7863.2184191855868</v>
      </c>
      <c r="K341" s="455">
        <f t="shared" ca="1" si="27"/>
        <v>4775.7559063449444</v>
      </c>
      <c r="L341" s="455">
        <f t="shared" ca="1" si="28"/>
        <v>1150957.1734291315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1150957.1734291315</v>
      </c>
      <c r="J342" s="455">
        <f t="array" ref="J342">IFERROR(INDEX('Retirement Calculator'!J:J,MATCH('Isaac 401k'!N342,'Retirement Calculator'!A:A,0),0),0)</f>
        <v>7863.2184191855868</v>
      </c>
      <c r="K342" s="455">
        <f t="shared" ca="1" si="27"/>
        <v>4762.8914792081077</v>
      </c>
      <c r="L342" s="455">
        <f t="shared" ca="1" si="28"/>
        <v>1147856.846489154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1147856.846489154</v>
      </c>
      <c r="J343" s="455">
        <f t="array" ref="J343">IFERROR(INDEX('Retirement Calculator'!J:J,MATCH('Isaac 401k'!N343,'Retirement Calculator'!A:A,0),0),0)</f>
        <v>7863.2184191855868</v>
      </c>
      <c r="K343" s="455">
        <f t="shared" ca="1" si="27"/>
        <v>4749.9734502915353</v>
      </c>
      <c r="L343" s="455">
        <f t="shared" ca="1" si="28"/>
        <v>1144743.6015202599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1144743.6015202599</v>
      </c>
      <c r="J344" s="455">
        <f t="array" ref="J344">IFERROR(INDEX('Retirement Calculator'!J:J,MATCH('Isaac 401k'!N344,'Retirement Calculator'!A:A,0),0),0)</f>
        <v>7863.2184191855868</v>
      </c>
      <c r="K344" s="455">
        <f t="shared" ca="1" si="27"/>
        <v>4737.0015962544758</v>
      </c>
      <c r="L344" s="455">
        <f t="shared" ca="1" si="28"/>
        <v>1141617.3846973288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1141617.3846973288</v>
      </c>
      <c r="J345" s="455">
        <f t="array" ref="J345">IFERROR(INDEX('Retirement Calculator'!J:J,MATCH('Isaac 401k'!N345,'Retirement Calculator'!A:A,0),0),0)</f>
        <v>7863.2184191855868</v>
      </c>
      <c r="K345" s="455">
        <f t="shared" ca="1" si="27"/>
        <v>4723.9756928255965</v>
      </c>
      <c r="L345" s="455">
        <f t="shared" ca="1" si="28"/>
        <v>1138478.1419709688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1138478.1419709688</v>
      </c>
      <c r="J346" s="455">
        <f t="array" ref="J346">IFERROR(INDEX('Retirement Calculator'!J:J,MATCH('Isaac 401k'!N346,'Retirement Calculator'!A:A,0),0),0)</f>
        <v>7863.2184191855868</v>
      </c>
      <c r="K346" s="455">
        <f t="shared" ca="1" si="27"/>
        <v>4710.8955147990964</v>
      </c>
      <c r="L346" s="455">
        <f t="shared" ca="1" si="28"/>
        <v>1135325.8190665822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1135325.8190665822</v>
      </c>
      <c r="J347" s="455">
        <f t="array" ref="J347">IFERROR(INDEX('Retirement Calculator'!J:J,MATCH('Isaac 401k'!N347,'Retirement Calculator'!A:A,0),0),0)</f>
        <v>7863.2184191855868</v>
      </c>
      <c r="K347" s="455">
        <f t="shared" ca="1" si="27"/>
        <v>4697.7608360308195</v>
      </c>
      <c r="L347" s="455">
        <f t="shared" ca="1" si="28"/>
        <v>1132160.3614834275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1132160.3614834275</v>
      </c>
      <c r="J348" s="455">
        <f t="array" ref="J348">IFERROR(INDEX('Retirement Calculator'!J:J,MATCH('Isaac 401k'!N348,'Retirement Calculator'!A:A,0),0),0)</f>
        <v>7863.2184191855868</v>
      </c>
      <c r="K348" s="455">
        <f t="shared" ca="1" si="27"/>
        <v>4684.5714294343406</v>
      </c>
      <c r="L348" s="455">
        <f t="shared" ca="1" si="28"/>
        <v>1128981.7144936761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1128981.7144936761</v>
      </c>
      <c r="J349" s="455">
        <f t="array" ref="J349">IFERROR(INDEX('Retirement Calculator'!J:J,MATCH('Isaac 401k'!N349,'Retirement Calculator'!A:A,0),0),0)</f>
        <v>7863.2184191855868</v>
      </c>
      <c r="K349" s="455">
        <f t="shared" ca="1" si="27"/>
        <v>4671.3270669770436</v>
      </c>
      <c r="L349" s="455">
        <f t="shared" ca="1" si="28"/>
        <v>1125789.8231414675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1125789.8231414675</v>
      </c>
      <c r="J350" s="455">
        <f t="array" ref="J350">IFERROR(INDEX('Retirement Calculator'!J:J,MATCH('Isaac 401k'!N350,'Retirement Calculator'!A:A,0),0),0)</f>
        <v>7863.2184191855868</v>
      </c>
      <c r="K350" s="455">
        <f t="shared" ca="1" si="27"/>
        <v>4658.027519676175</v>
      </c>
      <c r="L350" s="455">
        <f t="shared" ca="1" si="28"/>
        <v>1122584.6322419581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1122584.6322419581</v>
      </c>
      <c r="J351" s="455">
        <f t="array" ref="J351">IFERROR(INDEX('Retirement Calculator'!J:J,MATCH('Isaac 401k'!N351,'Retirement Calculator'!A:A,0),0),0)</f>
        <v>7863.2184191855868</v>
      </c>
      <c r="K351" s="455">
        <f t="shared" ca="1" si="27"/>
        <v>4644.6725575948849</v>
      </c>
      <c r="L351" s="455">
        <f t="shared" ca="1" si="28"/>
        <v>1119366.0863803674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1119366.0863803674</v>
      </c>
      <c r="J352" s="455">
        <f t="array" ref="J352">IFERROR(INDEX('Retirement Calculator'!J:J,MATCH('Isaac 401k'!N352,'Retirement Calculator'!A:A,0),0),0)</f>
        <v>7863.2184191855868</v>
      </c>
      <c r="K352" s="455">
        <f t="shared" ca="1" si="27"/>
        <v>4631.2619498382574</v>
      </c>
      <c r="L352" s="455">
        <f t="shared" ca="1" si="28"/>
        <v>1116134.1299110202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1116134.1299110202</v>
      </c>
      <c r="J353" s="455">
        <f t="array" ref="J353">IFERROR(INDEX('Retirement Calculator'!J:J,MATCH('Isaac 401k'!N353,'Retirement Calculator'!A:A,0),0),0)</f>
        <v>7863.2184191855868</v>
      </c>
      <c r="K353" s="455">
        <f t="shared" ca="1" si="27"/>
        <v>4617.795464549311</v>
      </c>
      <c r="L353" s="455">
        <f t="shared" ca="1" si="28"/>
        <v>1112888.7069563838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1112888.7069563838</v>
      </c>
      <c r="J354" s="455">
        <f t="array" ref="J354">IFERROR(INDEX('Retirement Calculator'!J:J,MATCH('Isaac 401k'!N354,'Retirement Calculator'!A:A,0),0),0)</f>
        <v>7863.2184191855868</v>
      </c>
      <c r="K354" s="455">
        <f t="shared" ca="1" si="27"/>
        <v>4604.2728689049927</v>
      </c>
      <c r="L354" s="455">
        <f t="shared" ca="1" si="28"/>
        <v>1109629.7614061031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1109629.7614061031</v>
      </c>
      <c r="J355" s="455">
        <f t="array" ref="J355">IFERROR(INDEX('Retirement Calculator'!J:J,MATCH('Isaac 401k'!N355,'Retirement Calculator'!A:A,0),0),0)</f>
        <v>7863.2184191855868</v>
      </c>
      <c r="K355" s="455">
        <f t="shared" ca="1" si="27"/>
        <v>4590.6939291121562</v>
      </c>
      <c r="L355" s="455">
        <f t="shared" ca="1" si="28"/>
        <v>1106357.2369160296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1106357.2369160296</v>
      </c>
      <c r="J356" s="455">
        <f t="array" ref="J356">IFERROR(INDEX('Retirement Calculator'!J:J,MATCH('Isaac 401k'!N356,'Retirement Calculator'!A:A,0),0),0)</f>
        <v>7863.2184191855868</v>
      </c>
      <c r="K356" s="455">
        <f t="shared" ca="1" si="27"/>
        <v>4577.058410403517</v>
      </c>
      <c r="L356" s="455">
        <f t="shared" ca="1" si="28"/>
        <v>1103071.0769072475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1103071.0769072475</v>
      </c>
      <c r="J357" s="455">
        <f t="array" ref="J357">IFERROR(INDEX('Retirement Calculator'!J:J,MATCH('Isaac 401k'!N357,'Retirement Calculator'!A:A,0),0),0)</f>
        <v>7863.2184191855868</v>
      </c>
      <c r="K357" s="455">
        <f t="shared" ca="1" si="27"/>
        <v>4563.366077033591</v>
      </c>
      <c r="L357" s="455">
        <f t="shared" ca="1" si="28"/>
        <v>1099771.2245650955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1099771.2245650955</v>
      </c>
      <c r="J358" s="455">
        <f t="array" ref="J358">IFERROR(INDEX('Retirement Calculator'!J:J,MATCH('Isaac 401k'!N358,'Retirement Calculator'!A:A,0),0),0)</f>
        <v>7863.2184191855868</v>
      </c>
      <c r="K358" s="455">
        <f t="shared" ca="1" si="27"/>
        <v>4549.6166922746243</v>
      </c>
      <c r="L358" s="455">
        <f t="shared" ca="1" si="28"/>
        <v>1096457.6228381845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1096457.6228381845</v>
      </c>
      <c r="J359" s="455">
        <f t="array" ref="J359">IFERROR(INDEX('Retirement Calculator'!J:J,MATCH('Isaac 401k'!N359,'Retirement Calculator'!A:A,0),0),0)</f>
        <v>7863.2184191855868</v>
      </c>
      <c r="K359" s="455">
        <f t="shared" ca="1" si="27"/>
        <v>4535.8100184124951</v>
      </c>
      <c r="L359" s="455">
        <f t="shared" ca="1" si="28"/>
        <v>1093130.2144374114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1093130.2144374114</v>
      </c>
      <c r="J360" s="455">
        <f t="array" ref="J360">IFERROR(INDEX('Retirement Calculator'!J:J,MATCH('Isaac 401k'!N360,'Retirement Calculator'!A:A,0),0),0)</f>
        <v>7863.2184191855868</v>
      </c>
      <c r="K360" s="455">
        <f t="shared" ca="1" si="27"/>
        <v>4521.9458167426073</v>
      </c>
      <c r="L360" s="455">
        <f t="shared" ca="1" si="28"/>
        <v>1089788.9418349685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1089788.9418349685</v>
      </c>
      <c r="J361" s="455">
        <f t="array" ref="J361">IFERROR(INDEX('Retirement Calculator'!J:J,MATCH('Isaac 401k'!N361,'Retirement Calculator'!A:A,0),0),0)</f>
        <v>7863.2184191855868</v>
      </c>
      <c r="K361" s="455">
        <f t="shared" ca="1" si="27"/>
        <v>4508.0238475657625</v>
      </c>
      <c r="L361" s="455">
        <f t="shared" ca="1" si="28"/>
        <v>1086433.7472633487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1086433.7472633487</v>
      </c>
      <c r="J362" s="455">
        <f t="array" ref="J362">IFERROR(INDEX('Retirement Calculator'!J:J,MATCH('Isaac 401k'!N362,'Retirement Calculator'!A:A,0),0),0)</f>
        <v>7863.2184191855868</v>
      </c>
      <c r="K362" s="455">
        <f t="shared" ca="1" si="27"/>
        <v>4494.043870184013</v>
      </c>
      <c r="L362" s="455">
        <f t="shared" ca="1" si="28"/>
        <v>1083064.5727143472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1083064.5727143472</v>
      </c>
      <c r="J363" s="455">
        <f t="array" ref="J363">IFERROR(INDEX('Retirement Calculator'!J:J,MATCH('Isaac 401k'!N363,'Retirement Calculator'!A:A,0),0),0)</f>
        <v>7863.2184191855868</v>
      </c>
      <c r="K363" s="455">
        <f t="shared" ca="1" si="27"/>
        <v>4480.0056428965063</v>
      </c>
      <c r="L363" s="455">
        <f t="shared" ca="1" si="28"/>
        <v>1079681.3599380581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1079681.3599380581</v>
      </c>
      <c r="J364" s="455">
        <f t="array" ref="J364">IFERROR(INDEX('Retirement Calculator'!J:J,MATCH('Isaac 401k'!N364,'Retirement Calculator'!A:A,0),0),0)</f>
        <v>7863.2184191855868</v>
      </c>
      <c r="K364" s="455">
        <f t="shared" ca="1" si="27"/>
        <v>4465.9089229953015</v>
      </c>
      <c r="L364" s="455">
        <f t="shared" ca="1" si="28"/>
        <v>1076284.0504418677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1076284.0504418677</v>
      </c>
      <c r="J365" s="455">
        <f t="array" ref="J365">IFERROR(INDEX('Retirement Calculator'!J:J,MATCH('Isaac 401k'!N365,'Retirement Calculator'!A:A,0),0),0)</f>
        <v>7863.2184191855868</v>
      </c>
      <c r="K365" s="455">
        <f t="shared" ca="1" si="27"/>
        <v>4451.7534667611753</v>
      </c>
      <c r="L365" s="455">
        <f t="shared" ca="1" si="28"/>
        <v>1072872.5854894433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1072872.5854894433</v>
      </c>
      <c r="J366" s="455">
        <f t="array" ref="J366">IFERROR(INDEX('Retirement Calculator'!J:J,MATCH('Isaac 401k'!N366,'Retirement Calculator'!A:A,0),0),0)</f>
        <v>7863.2184191855868</v>
      </c>
      <c r="K366" s="455">
        <f t="shared" ca="1" si="27"/>
        <v>4437.5390294594072</v>
      </c>
      <c r="L366" s="455">
        <f t="shared" ca="1" si="28"/>
        <v>1069446.9060997171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1069446.9060997171</v>
      </c>
      <c r="J367" s="455">
        <f t="array" ref="J367">IFERROR(INDEX('Retirement Calculator'!J:J,MATCH('Isaac 401k'!N367,'Retirement Calculator'!A:A,0),0),0)</f>
        <v>7863.2184191855868</v>
      </c>
      <c r="K367" s="455">
        <f t="shared" ca="1" si="27"/>
        <v>4423.2653653355483</v>
      </c>
      <c r="L367" s="455">
        <f t="shared" ca="1" si="28"/>
        <v>1066006.9530458672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1066006.9530458672</v>
      </c>
      <c r="J368" s="455">
        <f t="array" ref="J368">IFERROR(INDEX('Retirement Calculator'!J:J,MATCH('Isaac 401k'!N368,'Retirement Calculator'!A:A,0),0),0)</f>
        <v>7863.2184191855868</v>
      </c>
      <c r="K368" s="455">
        <f t="shared" ca="1" si="27"/>
        <v>4408.9322276111734</v>
      </c>
      <c r="L368" s="455">
        <f t="shared" ca="1" si="28"/>
        <v>1062552.6668542926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1062552.6668542926</v>
      </c>
      <c r="J369" s="455">
        <f t="array" ref="J369">IFERROR(INDEX('Retirement Calculator'!J:J,MATCH('Isaac 401k'!N369,'Retirement Calculator'!A:A,0),0),0)</f>
        <v>7863.2184191855868</v>
      </c>
      <c r="K369" s="455">
        <f t="shared" ca="1" si="27"/>
        <v>4394.5393684796127</v>
      </c>
      <c r="L369" s="455">
        <f t="shared" ca="1" si="28"/>
        <v>1059083.9878035865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1059083.9878035865</v>
      </c>
      <c r="J370" s="455">
        <f t="array" ref="J370">IFERROR(INDEX('Retirement Calculator'!J:J,MATCH('Isaac 401k'!N370,'Retirement Calculator'!A:A,0),0),0)</f>
        <v>7863.2184191855868</v>
      </c>
      <c r="K370" s="455">
        <f t="shared" ca="1" si="27"/>
        <v>4380.0865391016705</v>
      </c>
      <c r="L370" s="455">
        <f t="shared" ca="1" si="28"/>
        <v>1055600.8559235027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1055600.8559235027</v>
      </c>
      <c r="J371" s="455">
        <f t="array" ref="J371">IFERROR(INDEX('Retirement Calculator'!J:J,MATCH('Isaac 401k'!N371,'Retirement Calculator'!A:A,0),0),0)</f>
        <v>7863.2184191855868</v>
      </c>
      <c r="K371" s="455">
        <f t="shared" ca="1" si="27"/>
        <v>4365.5734896013209</v>
      </c>
      <c r="L371" s="455">
        <f t="shared" ca="1" si="28"/>
        <v>1052103.2109939184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1052103.2109939184</v>
      </c>
      <c r="J372" s="455">
        <f t="array" ref="J372">IFERROR(INDEX('Retirement Calculator'!J:J,MATCH('Isaac 401k'!N372,'Retirement Calculator'!A:A,0),0),0)</f>
        <v>7863.2184191855868</v>
      </c>
      <c r="K372" s="455">
        <f t="shared" ca="1" si="27"/>
        <v>4350.9999690613868</v>
      </c>
      <c r="L372" s="455">
        <f t="shared" ca="1" si="28"/>
        <v>1048590.9925437942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1048590.9925437942</v>
      </c>
      <c r="J373" s="455">
        <f t="array" ref="J373">IFERROR(INDEX('Retirement Calculator'!J:J,MATCH('Isaac 401k'!N373,'Retirement Calculator'!A:A,0),0),0)</f>
        <v>7863.2184191855868</v>
      </c>
      <c r="K373" s="455">
        <f t="shared" ca="1" si="27"/>
        <v>4336.3657255192029</v>
      </c>
      <c r="L373" s="455">
        <f t="shared" ca="1" si="28"/>
        <v>1045064.1398501279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1045064.1398501279</v>
      </c>
      <c r="J374" s="455">
        <f t="array" ref="J374">IFERROR(INDEX('Retirement Calculator'!J:J,MATCH('Isaac 401k'!N374,'Retirement Calculator'!A:A,0),0),0)</f>
        <v>7863.2184191855868</v>
      </c>
      <c r="K374" s="455">
        <f t="shared" ca="1" si="27"/>
        <v>4321.6705059622591</v>
      </c>
      <c r="L374" s="455">
        <f t="shared" ca="1" si="28"/>
        <v>1041522.5919369045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1041522.5919369045</v>
      </c>
      <c r="J375" s="455">
        <f t="array" ref="J375">IFERROR(INDEX('Retirement Calculator'!J:J,MATCH('Isaac 401k'!N375,'Retirement Calculator'!A:A,0),0),0)</f>
        <v>7863.2184191855868</v>
      </c>
      <c r="K375" s="455">
        <f t="shared" ca="1" si="27"/>
        <v>4306.9140563238288</v>
      </c>
      <c r="L375" s="455">
        <f t="shared" ca="1" si="28"/>
        <v>1037966.2875740427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1037966.2875740427</v>
      </c>
      <c r="J376" s="455">
        <f t="array" ref="J376">IFERROR(INDEX('Retirement Calculator'!J:J,MATCH('Isaac 401k'!N376,'Retirement Calculator'!A:A,0),0),0)</f>
        <v>7863.2184191855868</v>
      </c>
      <c r="K376" s="455">
        <f t="shared" ca="1" si="27"/>
        <v>4292.0961214785711</v>
      </c>
      <c r="L376" s="455">
        <f t="shared" ca="1" si="28"/>
        <v>1034395.1652763357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1034395.1652763357</v>
      </c>
      <c r="J377" s="455">
        <f t="array" ref="J377">IFERROR(INDEX('Retirement Calculator'!J:J,MATCH('Isaac 401k'!N377,'Retirement Calculator'!A:A,0),0),0)</f>
        <v>7863.2184191855868</v>
      </c>
      <c r="K377" s="455">
        <f t="shared" ca="1" si="27"/>
        <v>4277.2164452381248</v>
      </c>
      <c r="L377" s="455">
        <f t="shared" ca="1" si="28"/>
        <v>1030809.1633023882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1030809.1633023882</v>
      </c>
      <c r="J378" s="455">
        <f t="array" ref="J378">IFERROR(INDEX('Retirement Calculator'!J:J,MATCH('Isaac 401k'!N378,'Retirement Calculator'!A:A,0),0),0)</f>
        <v>7863.2184191855868</v>
      </c>
      <c r="K378" s="455">
        <f t="shared" ca="1" si="27"/>
        <v>4262.2747703466775</v>
      </c>
      <c r="L378" s="455">
        <f t="shared" ca="1" si="28"/>
        <v>1027208.2196535493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1027208.2196535493</v>
      </c>
      <c r="J379" s="455">
        <f t="array" ref="J379">IFERROR(INDEX('Retirement Calculator'!J:J,MATCH('Isaac 401k'!N379,'Retirement Calculator'!A:A,0),0),0)</f>
        <v>7863.2184191855868</v>
      </c>
      <c r="K379" s="455">
        <f t="shared" ca="1" si="27"/>
        <v>4247.2708384765156</v>
      </c>
      <c r="L379" s="455">
        <f t="shared" ca="1" si="28"/>
        <v>1023592.2720728401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1023592.2720728401</v>
      </c>
      <c r="J380" s="455">
        <f t="array" ref="J380">IFERROR(INDEX('Retirement Calculator'!J:J,MATCH('Isaac 401k'!N380,'Retirement Calculator'!A:A,0),0),0)</f>
        <v>7863.2184191855868</v>
      </c>
      <c r="K380" s="455">
        <f t="shared" ca="1" si="27"/>
        <v>4232.20439022356</v>
      </c>
      <c r="L380" s="455">
        <f t="shared" ca="1" si="28"/>
        <v>1019961.2580438781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1019961.2580438781</v>
      </c>
      <c r="J381" s="455">
        <f t="array" ref="J381">IFERROR(INDEX('Retirement Calculator'!J:J,MATCH('Isaac 401k'!N381,'Retirement Calculator'!A:A,0),0),0)</f>
        <v>7863.2184191855868</v>
      </c>
      <c r="K381" s="455">
        <f t="shared" ca="1" si="27"/>
        <v>4217.0751651028859</v>
      </c>
      <c r="L381" s="455">
        <f t="shared" ca="1" si="28"/>
        <v>1016315.1147897954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1016315.1147897954</v>
      </c>
      <c r="J382" s="455">
        <f t="array" ref="J382">IFERROR(INDEX('Retirement Calculator'!J:J,MATCH('Isaac 401k'!N382,'Retirement Calculator'!A:A,0),0),0)</f>
        <v>7863.2184191855868</v>
      </c>
      <c r="K382" s="455">
        <f t="shared" ca="1" si="27"/>
        <v>4201.882901544207</v>
      </c>
      <c r="L382" s="455">
        <f t="shared" ca="1" si="28"/>
        <v>1012653.779272154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1012653.779272154</v>
      </c>
      <c r="J383" s="455">
        <f t="array" ref="J383">IFERROR(INDEX('Retirement Calculator'!J:J,MATCH('Isaac 401k'!N383,'Retirement Calculator'!A:A,0),0),0)</f>
        <v>7863.2184191855868</v>
      </c>
      <c r="K383" s="455">
        <f t="shared" ca="1" si="27"/>
        <v>4186.627336887369</v>
      </c>
      <c r="L383" s="455">
        <f t="shared" ca="1" si="28"/>
        <v>1008977.1881898558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1008977.1881898558</v>
      </c>
      <c r="J384" s="455">
        <f t="array" ref="J384">IFERROR(INDEX('Retirement Calculator'!J:J,MATCH('Isaac 401k'!N384,'Retirement Calculator'!A:A,0),0),0)</f>
        <v>7863.2184191855868</v>
      </c>
      <c r="K384" s="455">
        <f t="shared" ca="1" si="27"/>
        <v>4171.3082073777932</v>
      </c>
      <c r="L384" s="455">
        <f t="shared" ca="1" si="28"/>
        <v>1005285.277978048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1005285.277978048</v>
      </c>
      <c r="J385" s="455">
        <f t="array" ref="J385">IFERROR(INDEX('Retirement Calculator'!J:J,MATCH('Isaac 401k'!N385,'Retirement Calculator'!A:A,0),0),0)</f>
        <v>7863.2184191855868</v>
      </c>
      <c r="K385" s="455">
        <f t="shared" ca="1" si="27"/>
        <v>4155.925248161926</v>
      </c>
      <c r="L385" s="455">
        <f t="shared" ca="1" si="28"/>
        <v>1001577.9848070242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1001577.9848070242</v>
      </c>
      <c r="J386" s="455">
        <f t="array" ref="J386">IFERROR(INDEX('Retirement Calculator'!J:J,MATCH('Isaac 401k'!N386,'Retirement Calculator'!A:A,0),0),0)</f>
        <v>7863.2184191855868</v>
      </c>
      <c r="K386" s="455">
        <f t="shared" ca="1" si="27"/>
        <v>4140.4781932826609</v>
      </c>
      <c r="L386" s="455">
        <f t="shared" ca="1" si="28"/>
        <v>997855.24458112125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997855.24458112125</v>
      </c>
      <c r="J387" s="455">
        <f t="array" ref="J387">IFERROR(INDEX('Retirement Calculator'!J:J,MATCH('Isaac 401k'!N387,'Retirement Calculator'!A:A,0),0),0)</f>
        <v>7863.2184191855868</v>
      </c>
      <c r="K387" s="455">
        <f t="shared" ca="1" si="27"/>
        <v>4124.9667756747322</v>
      </c>
      <c r="L387" s="455">
        <f t="shared" ca="1" si="28"/>
        <v>994116.99293761037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994116.99293761037</v>
      </c>
      <c r="J388" s="455">
        <f t="array" ref="J388">IFERROR(INDEX('Retirement Calculator'!J:J,MATCH('Isaac 401k'!N388,'Retirement Calculator'!A:A,0),0),0)</f>
        <v>7863.2184191855868</v>
      </c>
      <c r="K388" s="455">
        <f t="shared" ca="1" si="27"/>
        <v>4109.3907271601029</v>
      </c>
      <c r="L388" s="455">
        <f t="shared" ca="1" si="28"/>
        <v>990363.16524558491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990363.16524558491</v>
      </c>
      <c r="J389" s="455">
        <f t="array" ref="J389">IFERROR(INDEX('Retirement Calculator'!J:J,MATCH('Isaac 401k'!N389,'Retirement Calculator'!A:A,0),0),0)</f>
        <v>7863.2184191855868</v>
      </c>
      <c r="K389" s="455">
        <f t="shared" ca="1" si="27"/>
        <v>4093.7497784433299</v>
      </c>
      <c r="L389" s="455">
        <f t="shared" ca="1" si="28"/>
        <v>986593.69660484267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986593.69660484267</v>
      </c>
      <c r="J390" s="455">
        <f t="array" ref="J390">IFERROR(INDEX('Retirement Calculator'!J:J,MATCH('Isaac 401k'!N390,'Retirement Calculator'!A:A,0),0),0)</f>
        <v>7863.2184191855868</v>
      </c>
      <c r="K390" s="455">
        <f t="shared" ca="1" si="27"/>
        <v>4078.0436591069047</v>
      </c>
      <c r="L390" s="455">
        <f t="shared" ca="1" si="28"/>
        <v>982808.52184476401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982808.52184476401</v>
      </c>
      <c r="J391" s="455">
        <f t="array" ref="J391">IFERROR(INDEX('Retirement Calculator'!J:J,MATCH('Isaac 401k'!N391,'Retirement Calculator'!A:A,0),0),0)</f>
        <v>7863.2184191855868</v>
      </c>
      <c r="K391" s="455">
        <f t="shared" ca="1" si="27"/>
        <v>4062.2720976065766</v>
      </c>
      <c r="L391" s="455">
        <f t="shared" ca="1" si="28"/>
        <v>979007.57552318496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979007.57552318496</v>
      </c>
      <c r="J392" s="455">
        <f t="array" ref="J392">IFERROR(INDEX('Retirement Calculator'!J:J,MATCH('Isaac 401k'!N392,'Retirement Calculator'!A:A,0),0),0)</f>
        <v>7863.2184191855868</v>
      </c>
      <c r="K392" s="455">
        <f t="shared" ca="1" si="27"/>
        <v>4046.4348212666641</v>
      </c>
      <c r="L392" s="455">
        <f t="shared" ca="1" si="28"/>
        <v>975190.79192526604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975190.79192526604</v>
      </c>
      <c r="J393" s="455">
        <f t="array" ref="J393">IFERROR(INDEX('Retirement Calculator'!J:J,MATCH('Isaac 401k'!N393,'Retirement Calculator'!A:A,0),0),0)</f>
        <v>7863.2184191855868</v>
      </c>
      <c r="K393" s="455">
        <f t="shared" ca="1" si="27"/>
        <v>4030.5315562753353</v>
      </c>
      <c r="L393" s="455">
        <f t="shared" ca="1" si="28"/>
        <v>971358.10506235575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971358.10506235575</v>
      </c>
      <c r="J394" s="455">
        <f t="array" ref="J394">IFERROR(INDEX('Retirement Calculator'!J:J,MATCH('Isaac 401k'!N394,'Retirement Calculator'!A:A,0),0),0)</f>
        <v>7863.2184191855868</v>
      </c>
      <c r="K394" s="455">
        <f t="shared" ca="1" si="27"/>
        <v>4014.5620276798754</v>
      </c>
      <c r="L394" s="455">
        <f t="shared" ca="1" si="28"/>
        <v>967509.44867085002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967509.44867085002</v>
      </c>
      <c r="J395" s="455">
        <f t="array" ref="J395">IFERROR(INDEX('Retirement Calculator'!J:J,MATCH('Isaac 401k'!N395,'Retirement Calculator'!A:A,0),0),0)</f>
        <v>7863.2184191855868</v>
      </c>
      <c r="K395" s="455">
        <f t="shared" ca="1" si="27"/>
        <v>3998.5259593819346</v>
      </c>
      <c r="L395" s="455">
        <f t="shared" ca="1" si="28"/>
        <v>963644.75621104636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963644.75621104636</v>
      </c>
      <c r="J396" s="455">
        <f t="array" ref="J396">IFERROR(INDEX('Retirement Calculator'!J:J,MATCH('Isaac 401k'!N396,'Retirement Calculator'!A:A,0),0),0)</f>
        <v>7863.2184191855868</v>
      </c>
      <c r="K396" s="455">
        <f t="shared" ca="1" si="27"/>
        <v>3982.4230741327533</v>
      </c>
      <c r="L396" s="455">
        <f t="shared" ca="1" si="28"/>
        <v>959763.96086599352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959763.96086599352</v>
      </c>
      <c r="J397" s="455">
        <f t="array" ref="J397">IFERROR(INDEX('Retirement Calculator'!J:J,MATCH('Isaac 401k'!N397,'Retirement Calculator'!A:A,0),0),0)</f>
        <v>7863.2184191855868</v>
      </c>
      <c r="K397" s="455">
        <f t="shared" ca="1" si="27"/>
        <v>3966.2530935283662</v>
      </c>
      <c r="L397" s="455">
        <f t="shared" ca="1" si="28"/>
        <v>955866.99554033624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955866.99554033624</v>
      </c>
      <c r="J398" s="455">
        <f t="array" ref="J398">IFERROR(INDEX('Retirement Calculator'!J:J,MATCH('Isaac 401k'!N398,'Retirement Calculator'!A:A,0),0),0)</f>
        <v>7863.2184191855868</v>
      </c>
      <c r="K398" s="455">
        <f t="shared" ca="1" si="27"/>
        <v>3950.0157380047935</v>
      </c>
      <c r="L398" s="455">
        <f t="shared" ca="1" si="28"/>
        <v>951953.79285915545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951953.79285915545</v>
      </c>
      <c r="J399" s="455">
        <f t="array" ref="J399">IFERROR(INDEX('Retirement Calculator'!J:J,MATCH('Isaac 401k'!N399,'Retirement Calculator'!A:A,0),0),0)</f>
        <v>7863.2184191855868</v>
      </c>
      <c r="K399" s="455">
        <f t="shared" ca="1" si="27"/>
        <v>3933.710726833207</v>
      </c>
      <c r="L399" s="455">
        <f t="shared" ca="1" si="28"/>
        <v>948024.28516680305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948024.28516680305</v>
      </c>
      <c r="J400" s="455">
        <f t="array" ref="J400">IFERROR(INDEX('Retirement Calculator'!J:J,MATCH('Isaac 401k'!N400,'Retirement Calculator'!A:A,0),0),0)</f>
        <v>7863.2184191855868</v>
      </c>
      <c r="K400" s="455">
        <f t="shared" ca="1" si="27"/>
        <v>3917.3377781150725</v>
      </c>
      <c r="L400" s="455">
        <f t="shared" ca="1" si="28"/>
        <v>944078.40452573251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944078.40452573251</v>
      </c>
      <c r="J401" s="455">
        <f t="array" ref="J401">IFERROR(INDEX('Retirement Calculator'!J:J,MATCH('Isaac 401k'!N401,'Retirement Calculator'!A:A,0),0),0)</f>
        <v>7863.2184191855868</v>
      </c>
      <c r="K401" s="455">
        <f t="shared" ca="1" si="27"/>
        <v>3900.8966087772783</v>
      </c>
      <c r="L401" s="455">
        <f t="shared" ca="1" si="28"/>
        <v>940116.08271532413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940116.08271532413</v>
      </c>
      <c r="J402" s="455">
        <f t="array" ref="J402">IFERROR(INDEX('Retirement Calculator'!J:J,MATCH('Isaac 401k'!N402,'Retirement Calculator'!A:A,0),0),0)</f>
        <v>7863.2184191855868</v>
      </c>
      <c r="K402" s="455">
        <f t="shared" ca="1" si="27"/>
        <v>3884.3869345672433</v>
      </c>
      <c r="L402" s="455">
        <f t="shared" ca="1" si="28"/>
        <v>936137.25123070576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936137.25123070576</v>
      </c>
      <c r="J403" s="455">
        <f t="array" ref="J403">IFERROR(INDEX('Retirement Calculator'!J:J,MATCH('Isaac 401k'!N403,'Retirement Calculator'!A:A,0),0),0)</f>
        <v>7863.2184191855868</v>
      </c>
      <c r="K403" s="455">
        <f t="shared" ca="1" si="27"/>
        <v>3867.8084700480008</v>
      </c>
      <c r="L403" s="455">
        <f t="shared" ca="1" si="28"/>
        <v>932141.84128156817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932141.84128156817</v>
      </c>
      <c r="J404" s="455">
        <f t="array" ref="J404">IFERROR(INDEX('Retirement Calculator'!J:J,MATCH('Isaac 401k'!N404,'Retirement Calculator'!A:A,0),0),0)</f>
        <v>7863.2184191855868</v>
      </c>
      <c r="K404" s="455">
        <f t="shared" ca="1" si="27"/>
        <v>3851.1609285932609</v>
      </c>
      <c r="L404" s="455">
        <f t="shared" ca="1" si="28"/>
        <v>928129.78379097581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928129.78379097581</v>
      </c>
      <c r="J405" s="455">
        <f t="array" ref="J405">IFERROR(INDEX('Retirement Calculator'!J:J,MATCH('Isaac 401k'!N405,'Retirement Calculator'!A:A,0),0),0)</f>
        <v>7863.2184191855868</v>
      </c>
      <c r="K405" s="455">
        <f t="shared" ca="1" si="27"/>
        <v>3834.4440223824586</v>
      </c>
      <c r="L405" s="455">
        <f t="shared" ca="1" si="28"/>
        <v>924101.0093941727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924101.0093941727</v>
      </c>
      <c r="J406" s="455">
        <f t="array" ref="J406">IFERROR(INDEX('Retirement Calculator'!J:J,MATCH('Isaac 401k'!N406,'Retirement Calculator'!A:A,0),0),0)</f>
        <v>7863.2184191855868</v>
      </c>
      <c r="K406" s="455">
        <f t="shared" ca="1" si="27"/>
        <v>3817.657462395779</v>
      </c>
      <c r="L406" s="455">
        <f t="shared" ca="1" si="28"/>
        <v>920055.44843738282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920055.44843738282</v>
      </c>
      <c r="J407" s="455">
        <f t="array" ref="J407">IFERROR(INDEX('Retirement Calculator'!J:J,MATCH('Isaac 401k'!N407,'Retirement Calculator'!A:A,0),0),0)</f>
        <v>7863.2184191855868</v>
      </c>
      <c r="K407" s="455">
        <f t="shared" ca="1" si="27"/>
        <v>3800.8009584091556</v>
      </c>
      <c r="L407" s="455">
        <f t="shared" ca="1" si="28"/>
        <v>915993.03097660642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915993.03097660642</v>
      </c>
      <c r="J408" s="455">
        <f t="array" ref="J408">IFERROR(INDEX('Retirement Calculator'!J:J,MATCH('Isaac 401k'!N408,'Retirement Calculator'!A:A,0),0),0)</f>
        <v>7863.2184191855868</v>
      </c>
      <c r="K408" s="455">
        <f t="shared" ca="1" si="27"/>
        <v>3783.8742189892537</v>
      </c>
      <c r="L408" s="455">
        <f t="shared" ca="1" si="28"/>
        <v>911913.68677641009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911913.68677641009</v>
      </c>
      <c r="J409" s="455">
        <f t="array" ref="J409">IFERROR(INDEX('Retirement Calculator'!J:J,MATCH('Isaac 401k'!N409,'Retirement Calculator'!A:A,0),0),0)</f>
        <v>7863.2184191855868</v>
      </c>
      <c r="K409" s="455">
        <f t="shared" ca="1" si="27"/>
        <v>3766.8769514884352</v>
      </c>
      <c r="L409" s="455">
        <f t="shared" ca="1" si="28"/>
        <v>907817.34530871292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907817.34530871292</v>
      </c>
      <c r="J410" s="455">
        <f t="array" ref="J410">IFERROR(INDEX('Retirement Calculator'!J:J,MATCH('Isaac 401k'!N410,'Retirement Calculator'!A:A,0),0),0)</f>
        <v>7863.2184191855868</v>
      </c>
      <c r="K410" s="455">
        <f t="shared" ca="1" si="27"/>
        <v>3749.8088620396975</v>
      </c>
      <c r="L410" s="455">
        <f t="shared" ca="1" si="28"/>
        <v>903703.93575156701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903703.93575156701</v>
      </c>
      <c r="J411" s="455">
        <f t="array" ref="J411">IFERROR(INDEX('Retirement Calculator'!J:J,MATCH('Isaac 401k'!N411,'Retirement Calculator'!A:A,0),0),0)</f>
        <v>7863.2184191855868</v>
      </c>
      <c r="K411" s="455">
        <f t="shared" ca="1" si="27"/>
        <v>3732.6696555515891</v>
      </c>
      <c r="L411" s="455">
        <f t="shared" ca="1" si="28"/>
        <v>899573.38698793296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899573.38698793296</v>
      </c>
      <c r="J412" s="455">
        <f t="array" ref="J412">IFERROR(INDEX('Retirement Calculator'!J:J,MATCH('Isaac 401k'!N412,'Retirement Calculator'!A:A,0),0),0)</f>
        <v>7863.2184191855868</v>
      </c>
      <c r="K412" s="455">
        <f t="shared" ca="1" si="27"/>
        <v>3715.4590357031138</v>
      </c>
      <c r="L412" s="455">
        <f t="shared" ca="1" si="28"/>
        <v>895425.62760445045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895425.62760445045</v>
      </c>
      <c r="J413" s="455">
        <f t="array" ref="J413">IFERROR(INDEX('Retirement Calculator'!J:J,MATCH('Isaac 401k'!N413,'Retirement Calculator'!A:A,0),0),0)</f>
        <v>7863.2184191855868</v>
      </c>
      <c r="K413" s="455">
        <f t="shared" ca="1" si="27"/>
        <v>3698.1767049386031</v>
      </c>
      <c r="L413" s="455">
        <f t="shared" ca="1" si="28"/>
        <v>891260.58589020348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891260.58589020348</v>
      </c>
      <c r="J414" s="455">
        <f t="array" ref="J414">IFERROR(INDEX('Retirement Calculator'!J:J,MATCH('Isaac 401k'!N414,'Retirement Calculator'!A:A,0),0),0)</f>
        <v>7863.2184191855868</v>
      </c>
      <c r="K414" s="455">
        <f t="shared" ca="1" si="27"/>
        <v>3680.8223644625746</v>
      </c>
      <c r="L414" s="455">
        <f t="shared" ca="1" si="28"/>
        <v>887078.18983548041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887078.18983548041</v>
      </c>
      <c r="J415" s="455">
        <f t="array" ref="J415">IFERROR(INDEX('Retirement Calculator'!J:J,MATCH('Isaac 401k'!N415,'Retirement Calculator'!A:A,0),0),0)</f>
        <v>7863.2184191855868</v>
      </c>
      <c r="K415" s="455">
        <f t="shared" ca="1" si="27"/>
        <v>3663.3957142345616</v>
      </c>
      <c r="L415" s="455">
        <f t="shared" ca="1" si="28"/>
        <v>882878.36713052937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882878.36713052937</v>
      </c>
      <c r="J416" s="455">
        <f t="array" ref="J416">IFERROR(INDEX('Retirement Calculator'!J:J,MATCH('Isaac 401k'!N416,'Retirement Calculator'!A:A,0),0),0)</f>
        <v>7863.2184191855868</v>
      </c>
      <c r="K416" s="455">
        <f t="shared" ca="1" si="27"/>
        <v>3645.8964529639325</v>
      </c>
      <c r="L416" s="455">
        <f t="shared" ca="1" si="28"/>
        <v>878661.0451643077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878661.0451643077</v>
      </c>
      <c r="J417" s="455">
        <f t="array" ref="J417">IFERROR(INDEX('Retirement Calculator'!J:J,MATCH('Isaac 401k'!N417,'Retirement Calculator'!A:A,0),0),0)</f>
        <v>7863.2184191855868</v>
      </c>
      <c r="K417" s="455">
        <f t="shared" ca="1" si="27"/>
        <v>3628.3242781046752</v>
      </c>
      <c r="L417" s="455">
        <f t="shared" ca="1" si="28"/>
        <v>874426.15102322679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874426.15102322679</v>
      </c>
      <c r="J418" s="455">
        <f t="array" ref="J418">IFERROR(INDEX('Retirement Calculator'!J:J,MATCH('Isaac 401k'!N418,'Retirement Calculator'!A:A,0),0),0)</f>
        <v>7863.2184191855868</v>
      </c>
      <c r="K418" s="455">
        <f t="shared" ca="1" si="27"/>
        <v>3610.6788858501709</v>
      </c>
      <c r="L418" s="455">
        <f t="shared" ca="1" si="28"/>
        <v>870173.61148989131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870173.61148989131</v>
      </c>
      <c r="J419" s="455">
        <f t="array" ref="J419">IFERROR(INDEX('Retirement Calculator'!J:J,MATCH('Isaac 401k'!N419,'Retirement Calculator'!A:A,0),0),0)</f>
        <v>7863.2184191855868</v>
      </c>
      <c r="K419" s="455">
        <f t="shared" ca="1" si="27"/>
        <v>3592.9599711279402</v>
      </c>
      <c r="L419" s="455">
        <f t="shared" ca="1" si="28"/>
        <v>865903.35304183362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865903.35304183362</v>
      </c>
      <c r="J420" s="455">
        <f t="array" ref="J420">IFERROR(INDEX('Retirement Calculator'!J:J,MATCH('Isaac 401k'!N420,'Retirement Calculator'!A:A,0),0),0)</f>
        <v>7863.2184191855868</v>
      </c>
      <c r="K420" s="455">
        <f t="shared" ca="1" si="27"/>
        <v>3575.1672275943665</v>
      </c>
      <c r="L420" s="455">
        <f t="shared" ca="1" si="28"/>
        <v>861615.30185024242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861615.30185024242</v>
      </c>
      <c r="J421" s="455">
        <f t="array" ref="J421">IFERROR(INDEX('Retirement Calculator'!J:J,MATCH('Isaac 401k'!N421,'Retirement Calculator'!A:A,0),0),0)</f>
        <v>7863.2184191855868</v>
      </c>
      <c r="K421" s="455">
        <f t="shared" ca="1" si="27"/>
        <v>3557.3003476294034</v>
      </c>
      <c r="L421" s="455">
        <f t="shared" ca="1" si="28"/>
        <v>857309.38377868617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857309.38377868617</v>
      </c>
      <c r="J422" s="455">
        <f t="array" ref="J422">IFERROR(INDEX('Retirement Calculator'!J:J,MATCH('Isaac 401k'!N422,'Retirement Calculator'!A:A,0),0),0)</f>
        <v>7863.2184191855868</v>
      </c>
      <c r="K422" s="455">
        <f t="shared" ca="1" si="27"/>
        <v>3539.3590223312522</v>
      </c>
      <c r="L422" s="455">
        <f t="shared" ca="1" si="28"/>
        <v>852985.52438183187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852985.52438183187</v>
      </c>
      <c r="J423" s="455">
        <f t="array" ref="J423">IFERROR(INDEX('Retirement Calculator'!J:J,MATCH('Isaac 401k'!N423,'Retirement Calculator'!A:A,0),0),0)</f>
        <v>7863.2184191855868</v>
      </c>
      <c r="K423" s="455">
        <f t="shared" ca="1" si="27"/>
        <v>3521.3429415110254</v>
      </c>
      <c r="L423" s="455">
        <f t="shared" ca="1" si="28"/>
        <v>848643.64890415734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848643.64890415734</v>
      </c>
      <c r="J424" s="455">
        <f t="array" ref="J424">IFERROR(INDEX('Retirement Calculator'!J:J,MATCH('Isaac 401k'!N424,'Retirement Calculator'!A:A,0),0),0)</f>
        <v>7863.2184191855868</v>
      </c>
      <c r="K424" s="455">
        <f t="shared" ca="1" si="27"/>
        <v>3503.2517936873824</v>
      </c>
      <c r="L424" s="455">
        <f t="shared" ca="1" si="28"/>
        <v>844283.68227865908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844283.68227865908</v>
      </c>
      <c r="J425" s="455">
        <f t="array" ref="J425">IFERROR(INDEX('Retirement Calculator'!J:J,MATCH('Isaac 401k'!N425,'Retirement Calculator'!A:A,0),0),0)</f>
        <v>7863.2184191855868</v>
      </c>
      <c r="K425" s="455">
        <f t="shared" ca="1" si="27"/>
        <v>3485.0852660811393</v>
      </c>
      <c r="L425" s="455">
        <f t="shared" ca="1" si="28"/>
        <v>839905.54912555462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839905.54912555462</v>
      </c>
      <c r="J426" s="455">
        <f t="array" ref="J426">IFERROR(INDEX('Retirement Calculator'!J:J,MATCH('Isaac 401k'!N426,'Retirement Calculator'!A:A,0),0),0)</f>
        <v>7863.2184191855868</v>
      </c>
      <c r="K426" s="455">
        <f t="shared" ca="1" si="27"/>
        <v>3466.843044609871</v>
      </c>
      <c r="L426" s="455">
        <f t="shared" ca="1" si="28"/>
        <v>835509.17375097889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835509.17375097889</v>
      </c>
      <c r="J427" s="455">
        <f t="array" ref="J427">IFERROR(INDEX('Retirement Calculator'!J:J,MATCH('Isaac 401k'!N427,'Retirement Calculator'!A:A,0),0),0)</f>
        <v>7863.2184191855868</v>
      </c>
      <c r="K427" s="455">
        <f t="shared" ca="1" si="27"/>
        <v>3448.5248138824722</v>
      </c>
      <c r="L427" s="455">
        <f t="shared" ca="1" si="28"/>
        <v>831094.48014567571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831094.48014567571</v>
      </c>
      <c r="J428" s="455">
        <f t="array" ref="J428">IFERROR(INDEX('Retirement Calculator'!J:J,MATCH('Isaac 401k'!N428,'Retirement Calculator'!A:A,0),0),0)</f>
        <v>7863.2184191855868</v>
      </c>
      <c r="K428" s="455">
        <f t="shared" ca="1" si="27"/>
        <v>3430.130257193709</v>
      </c>
      <c r="L428" s="455">
        <f t="shared" ca="1" si="28"/>
        <v>826661.3919836838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826661.3919836838</v>
      </c>
      <c r="J429" s="455">
        <f t="array" ref="J429">IFERROR(INDEX('Retirement Calculator'!J:J,MATCH('Isaac 401k'!N429,'Retirement Calculator'!A:A,0),0),0)</f>
        <v>7863.2184191855868</v>
      </c>
      <c r="K429" s="455">
        <f t="shared" ca="1" si="27"/>
        <v>3411.6590565187421</v>
      </c>
      <c r="L429" s="455">
        <f t="shared" ca="1" si="28"/>
        <v>822209.83262101689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822209.83262101689</v>
      </c>
      <c r="J430" s="455">
        <f t="array" ref="J430">IFERROR(INDEX('Retirement Calculator'!J:J,MATCH('Isaac 401k'!N430,'Retirement Calculator'!A:A,0),0),0)</f>
        <v>7863.2184191855868</v>
      </c>
      <c r="K430" s="455">
        <f t="shared" ca="1" si="27"/>
        <v>3393.1108925076301</v>
      </c>
      <c r="L430" s="455">
        <f t="shared" ca="1" si="28"/>
        <v>817739.72509433888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817739.72509433888</v>
      </c>
      <c r="J431" s="455">
        <f t="array" ref="J431">IFERROR(INDEX('Retirement Calculator'!J:J,MATCH('Isaac 401k'!N431,'Retirement Calculator'!A:A,0),0),0)</f>
        <v>7863.2184191855868</v>
      </c>
      <c r="K431" s="455">
        <f t="shared" ca="1" si="27"/>
        <v>3374.4854444798052</v>
      </c>
      <c r="L431" s="455">
        <f t="shared" ca="1" si="28"/>
        <v>813250.99211963313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813250.99211963313</v>
      </c>
      <c r="J432" s="455">
        <f t="array" ref="J432">IFERROR(INDEX('Retirement Calculator'!J:J,MATCH('Isaac 401k'!N432,'Retirement Calculator'!A:A,0),0),0)</f>
        <v>7863.2184191855868</v>
      </c>
      <c r="K432" s="455">
        <f t="shared" ca="1" si="27"/>
        <v>3355.7823904185311</v>
      </c>
      <c r="L432" s="455">
        <f t="shared" ca="1" si="28"/>
        <v>808743.5560908661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808743.5560908661</v>
      </c>
      <c r="J433" s="455">
        <f t="array" ref="J433">IFERROR(INDEX('Retirement Calculator'!J:J,MATCH('Isaac 401k'!N433,'Retirement Calculator'!A:A,0),0),0)</f>
        <v>7863.2184191855868</v>
      </c>
      <c r="K433" s="455">
        <f t="shared" ca="1" si="27"/>
        <v>3337.0014069653353</v>
      </c>
      <c r="L433" s="455">
        <f t="shared" ca="1" si="28"/>
        <v>804217.3390786458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804217.3390786458</v>
      </c>
      <c r="J434" s="455">
        <f t="array" ref="J434">IFERROR(INDEX('Retirement Calculator'!J:J,MATCH('Isaac 401k'!N434,'Retirement Calculator'!A:A,0),0),0)</f>
        <v>7863.2184191855868</v>
      </c>
      <c r="K434" s="455">
        <f t="shared" ca="1" si="27"/>
        <v>3318.1421694144174</v>
      </c>
      <c r="L434" s="455">
        <f t="shared" ca="1" si="28"/>
        <v>799672.26282887463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799672.26282887463</v>
      </c>
      <c r="J435" s="455">
        <f t="array" ref="J435">IFERROR(INDEX('Retirement Calculator'!J:J,MATCH('Isaac 401k'!N435,'Retirement Calculator'!A:A,0),0),0)</f>
        <v>7863.2184191855868</v>
      </c>
      <c r="K435" s="455">
        <f t="shared" ca="1" si="27"/>
        <v>3299.2043517070374</v>
      </c>
      <c r="L435" s="455">
        <f t="shared" ca="1" si="28"/>
        <v>795108.24876139604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795108.24876139604</v>
      </c>
      <c r="J436" s="455">
        <f t="array" ref="J436">IFERROR(INDEX('Retirement Calculator'!J:J,MATCH('Isaac 401k'!N436,'Retirement Calculator'!A:A,0),0),0)</f>
        <v>7863.2184191855868</v>
      </c>
      <c r="K436" s="455">
        <f t="shared" ca="1" si="27"/>
        <v>3280.1876264258767</v>
      </c>
      <c r="L436" s="455">
        <f t="shared" ca="1" si="28"/>
        <v>790525.21796863631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790525.21796863631</v>
      </c>
      <c r="J437" s="455">
        <f t="array" ref="J437">IFERROR(INDEX('Retirement Calculator'!J:J,MATCH('Isaac 401k'!N437,'Retirement Calculator'!A:A,0),0),0)</f>
        <v>7863.2184191855868</v>
      </c>
      <c r="K437" s="455">
        <f t="shared" ca="1" si="27"/>
        <v>3261.0916647893778</v>
      </c>
      <c r="L437" s="455">
        <f t="shared" ca="1" si="28"/>
        <v>785923.09121424006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785923.09121424006</v>
      </c>
      <c r="J438" s="455">
        <f t="array" ref="J438">IFERROR(INDEX('Retirement Calculator'!J:J,MATCH('Isaac 401k'!N438,'Retirement Calculator'!A:A,0),0),0)</f>
        <v>7863.2184191855868</v>
      </c>
      <c r="K438" s="455">
        <f t="shared" ca="1" si="27"/>
        <v>3241.9161366460603</v>
      </c>
      <c r="L438" s="455">
        <f t="shared" ca="1" si="28"/>
        <v>781301.78893170052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781301.78893170052</v>
      </c>
      <c r="J439" s="455">
        <f t="array" ref="J439">IFERROR(INDEX('Retirement Calculator'!J:J,MATCH('Isaac 401k'!N439,'Retirement Calculator'!A:A,0),0),0)</f>
        <v>7863.2184191855868</v>
      </c>
      <c r="K439" s="455">
        <f t="shared" ca="1" si="27"/>
        <v>3222.6607104688119</v>
      </c>
      <c r="L439" s="455">
        <f t="shared" ca="1" si="28"/>
        <v>776661.23122298368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776661.23122298368</v>
      </c>
      <c r="J440" s="455">
        <f t="array" ref="J440">IFERROR(INDEX('Retirement Calculator'!J:J,MATCH('Isaac 401k'!N440,'Retirement Calculator'!A:A,0),0),0)</f>
        <v>7863.2184191855868</v>
      </c>
      <c r="K440" s="455">
        <f t="shared" ca="1" si="27"/>
        <v>3203.3250533491587</v>
      </c>
      <c r="L440" s="455">
        <f t="shared" ca="1" si="28"/>
        <v>772001.33785714721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772001.33785714721</v>
      </c>
      <c r="J441" s="455">
        <f t="array" ref="J441">IFERROR(INDEX('Retirement Calculator'!J:J,MATCH('Isaac 401k'!N441,'Retirement Calculator'!A:A,0),0),0)</f>
        <v>7863.2184191855868</v>
      </c>
      <c r="K441" s="455">
        <f t="shared" ca="1" si="27"/>
        <v>3183.9088309915069</v>
      </c>
      <c r="L441" s="455">
        <f t="shared" ca="1" si="28"/>
        <v>767322.02826895309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767322.02826895309</v>
      </c>
      <c r="J442" s="455">
        <f t="array" ref="J442">IFERROR(INDEX('Retirement Calculator'!J:J,MATCH('Isaac 401k'!N442,'Retirement Calculator'!A:A,0),0),0)</f>
        <v>7863.2184191855868</v>
      </c>
      <c r="K442" s="455">
        <f t="shared" ca="1" si="27"/>
        <v>3164.4117077073643</v>
      </c>
      <c r="L442" s="455">
        <f t="shared" ca="1" si="28"/>
        <v>762623.22155747481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762623.22155747481</v>
      </c>
      <c r="J443" s="455">
        <f t="array" ref="J443">IFERROR(INDEX('Retirement Calculator'!J:J,MATCH('Isaac 401k'!N443,'Retirement Calculator'!A:A,0),0),0)</f>
        <v>7863.2184191855868</v>
      </c>
      <c r="K443" s="455">
        <f t="shared" ca="1" si="27"/>
        <v>3144.8333464095385</v>
      </c>
      <c r="L443" s="455">
        <f t="shared" ca="1" si="28"/>
        <v>757904.8364846987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757904.8364846987</v>
      </c>
      <c r="J444" s="455">
        <f t="array" ref="J444">IFERROR(INDEX('Retirement Calculator'!J:J,MATCH('Isaac 401k'!N444,'Retirement Calculator'!A:A,0),0),0)</f>
        <v>7863.2184191855868</v>
      </c>
      <c r="K444" s="455">
        <f t="shared" ca="1" si="27"/>
        <v>3125.1734086063043</v>
      </c>
      <c r="L444" s="455">
        <f t="shared" ca="1" si="28"/>
        <v>753166.79147411941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753166.79147411941</v>
      </c>
      <c r="J445" s="455">
        <f t="array" ref="J445">IFERROR(INDEX('Retirement Calculator'!J:J,MATCH('Isaac 401k'!N445,'Retirement Calculator'!A:A,0),0),0)</f>
        <v>7863.2184191855868</v>
      </c>
      <c r="K445" s="455">
        <f t="shared" ca="1" si="27"/>
        <v>3105.4315543955577</v>
      </c>
      <c r="L445" s="455">
        <f t="shared" ca="1" si="28"/>
        <v>748409.00460932939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748409.00460932939</v>
      </c>
      <c r="J446" s="455">
        <f t="array" ref="J446">IFERROR(INDEX('Retirement Calculator'!J:J,MATCH('Isaac 401k'!N446,'Retirement Calculator'!A:A,0),0),0)</f>
        <v>7863.2184191855868</v>
      </c>
      <c r="K446" s="455">
        <f t="shared" ca="1" si="27"/>
        <v>3085.6074424589324</v>
      </c>
      <c r="L446" s="455">
        <f t="shared" ca="1" si="28"/>
        <v>743631.39363260276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743631.39363260276</v>
      </c>
      <c r="J447" s="455">
        <f t="array" ref="J447">IFERROR(INDEX('Retirement Calculator'!J:J,MATCH('Isaac 401k'!N447,'Retirement Calculator'!A:A,0),0),0)</f>
        <v>7863.2184191855868</v>
      </c>
      <c r="K447" s="455">
        <f t="shared" ca="1" si="27"/>
        <v>3065.7007300559048</v>
      </c>
      <c r="L447" s="455">
        <f t="shared" ca="1" si="28"/>
        <v>738833.87594347307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738833.87594347307</v>
      </c>
      <c r="J448" s="455">
        <f t="array" ref="J448">IFERROR(INDEX('Retirement Calculator'!J:J,MATCH('Isaac 401k'!N448,'Retirement Calculator'!A:A,0),0),0)</f>
        <v>7863.2184191855868</v>
      </c>
      <c r="K448" s="455">
        <f t="shared" ca="1" si="27"/>
        <v>3045.7110730178642</v>
      </c>
      <c r="L448" s="455">
        <f t="shared" ca="1" si="28"/>
        <v>734016.36859730538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734016.36859730538</v>
      </c>
      <c r="J449" s="455">
        <f t="array" ref="J449">IFERROR(INDEX('Retirement Calculator'!J:J,MATCH('Isaac 401k'!N449,'Retirement Calculator'!A:A,0),0),0)</f>
        <v>7863.2184191855868</v>
      </c>
      <c r="K449" s="455">
        <f t="shared" ca="1" si="27"/>
        <v>3025.6381257421658</v>
      </c>
      <c r="L449" s="455">
        <f t="shared" ca="1" si="28"/>
        <v>729178.78830386198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729178.78830386198</v>
      </c>
      <c r="J450" s="455">
        <f t="array" ref="J450">IFERROR(INDEX('Retirement Calculator'!J:J,MATCH('Isaac 401k'!N450,'Retirement Calculator'!A:A,0),0),0)</f>
        <v>7863.2184191855868</v>
      </c>
      <c r="K450" s="455">
        <f t="shared" ca="1" si="27"/>
        <v>3005.4815411861514</v>
      </c>
      <c r="L450" s="455">
        <f t="shared" ca="1" si="28"/>
        <v>724321.05142586248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724321.05142586248</v>
      </c>
      <c r="J451" s="455">
        <f t="array" ref="J451">IFERROR(INDEX('Retirement Calculator'!J:J,MATCH('Isaac 401k'!N451,'Retirement Calculator'!A:A,0),0),0)</f>
        <v>7863.2184191855868</v>
      </c>
      <c r="K451" s="455">
        <f t="shared" ca="1" si="27"/>
        <v>2985.2409708611535</v>
      </c>
      <c r="L451" s="455">
        <f t="shared" ca="1" si="28"/>
        <v>719443.07397753804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719443.07397753804</v>
      </c>
      <c r="J452" s="455">
        <f t="array" ref="J452">IFERROR(INDEX('Retirement Calculator'!J:J,MATCH('Isaac 401k'!N452,'Retirement Calculator'!A:A,0),0),0)</f>
        <v>7863.2184191855868</v>
      </c>
      <c r="K452" s="455">
        <f t="shared" ca="1" si="27"/>
        <v>2964.9160648264683</v>
      </c>
      <c r="L452" s="455">
        <f t="shared" ca="1" si="28"/>
        <v>714544.77162317885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714544.77162317885</v>
      </c>
      <c r="J453" s="455">
        <f t="array" ref="J453">IFERROR(INDEX('Retirement Calculator'!J:J,MATCH('Isaac 401k'!N453,'Retirement Calculator'!A:A,0),0),0)</f>
        <v>7863.2184191855868</v>
      </c>
      <c r="K453" s="455">
        <f t="shared" ca="1" si="27"/>
        <v>2944.5064716833053</v>
      </c>
      <c r="L453" s="455">
        <f t="shared" ca="1" si="28"/>
        <v>709626.05967567652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709626.05967567652</v>
      </c>
      <c r="J454" s="455">
        <f t="array" ref="J454">IFERROR(INDEX('Retirement Calculator'!J:J,MATCH('Isaac 401k'!N454,'Retirement Calculator'!A:A,0),0),0)</f>
        <v>7863.2184191855868</v>
      </c>
      <c r="K454" s="455">
        <f t="shared" ca="1" si="27"/>
        <v>2924.0118385687119</v>
      </c>
      <c r="L454" s="455">
        <f t="shared" ca="1" si="28"/>
        <v>704686.85309505963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704686.85309505963</v>
      </c>
      <c r="J455" s="455">
        <f t="array" ref="J455">IFERROR(INDEX('Retirement Calculator'!J:J,MATCH('Isaac 401k'!N455,'Retirement Calculator'!A:A,0),0),0)</f>
        <v>7863.2184191855868</v>
      </c>
      <c r="K455" s="455">
        <f t="shared" ca="1" si="27"/>
        <v>2903.4318111494749</v>
      </c>
      <c r="L455" s="455">
        <f t="shared" ca="1" si="28"/>
        <v>699727.06648702349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699727.06648702349</v>
      </c>
      <c r="J456" s="455">
        <f t="array" ref="J456">IFERROR(INDEX('Retirement Calculator'!J:J,MATCH('Isaac 401k'!N456,'Retirement Calculator'!A:A,0),0),0)</f>
        <v>7863.2184191855868</v>
      </c>
      <c r="K456" s="455">
        <f t="shared" ca="1" si="27"/>
        <v>2882.7660336159911</v>
      </c>
      <c r="L456" s="455">
        <f t="shared" ca="1" si="28"/>
        <v>694746.61410145392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694746.61410145392</v>
      </c>
      <c r="J457" s="455">
        <f t="array" ref="J457">IFERROR(INDEX('Retirement Calculator'!J:J,MATCH('Isaac 401k'!N457,'Retirement Calculator'!A:A,0),0),0)</f>
        <v>7863.2184191855868</v>
      </c>
      <c r="K457" s="455">
        <f t="shared" ca="1" si="27"/>
        <v>2862.0141486761181</v>
      </c>
      <c r="L457" s="455">
        <f t="shared" ca="1" si="28"/>
        <v>689745.40983094438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689745.40983094438</v>
      </c>
      <c r="J458" s="455">
        <f t="array" ref="J458">IFERROR(INDEX('Retirement Calculator'!J:J,MATCH('Isaac 401k'!N458,'Retirement Calculator'!A:A,0),0),0)</f>
        <v>7863.2184191855868</v>
      </c>
      <c r="K458" s="455">
        <f t="shared" ca="1" si="27"/>
        <v>2841.175797548995</v>
      </c>
      <c r="L458" s="455">
        <f t="shared" ca="1" si="28"/>
        <v>684723.36720930773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684723.36720930773</v>
      </c>
      <c r="J459" s="455">
        <f t="array" ref="J459">IFERROR(INDEX('Retirement Calculator'!J:J,MATCH('Isaac 401k'!N459,'Retirement Calculator'!A:A,0),0),0)</f>
        <v>7863.2184191855868</v>
      </c>
      <c r="K459" s="455">
        <f t="shared" ca="1" si="27"/>
        <v>2820.250619958842</v>
      </c>
      <c r="L459" s="455">
        <f t="shared" ca="1" si="28"/>
        <v>679680.39941008098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679680.39941008098</v>
      </c>
      <c r="J460" s="455">
        <f t="array" ref="J460">IFERROR(INDEX('Retirement Calculator'!J:J,MATCH('Isaac 401k'!N460,'Retirement Calculator'!A:A,0),0),0)</f>
        <v>7863.2184191855868</v>
      </c>
      <c r="K460" s="455">
        <f t="shared" ca="1" si="27"/>
        <v>2799.2382541287307</v>
      </c>
      <c r="L460" s="455">
        <f t="shared" ca="1" si="28"/>
        <v>674616.4192450241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674616.4192450241</v>
      </c>
      <c r="J461" s="455">
        <f t="array" ref="J461">IFERROR(INDEX('Retirement Calculator'!J:J,MATCH('Isaac 401k'!N461,'Retirement Calculator'!A:A,0),0),0)</f>
        <v>7863.2184191855868</v>
      </c>
      <c r="K461" s="455">
        <f t="shared" ca="1" si="27"/>
        <v>2778.1383367743269</v>
      </c>
      <c r="L461" s="455">
        <f t="shared" ca="1" si="28"/>
        <v>669531.3391626128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669531.3391626128</v>
      </c>
      <c r="J462" s="455">
        <f t="array" ref="J462">IFERROR(INDEX('Retirement Calculator'!J:J,MATCH('Isaac 401k'!N462,'Retirement Calculator'!A:A,0),0),0)</f>
        <v>7863.2184191855868</v>
      </c>
      <c r="K462" s="455">
        <f t="shared" ca="1" si="27"/>
        <v>2756.9505030976134</v>
      </c>
      <c r="L462" s="455">
        <f t="shared" ca="1" si="28"/>
        <v>664425.07124652481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664425.07124652481</v>
      </c>
      <c r="J463" s="455">
        <f t="array" ref="J463">IFERROR(INDEX('Retirement Calculator'!J:J,MATCH('Isaac 401k'!N463,'Retirement Calculator'!A:A,0),0),0)</f>
        <v>7863.2184191855868</v>
      </c>
      <c r="K463" s="455">
        <f t="shared" ca="1" si="27"/>
        <v>2735.6743867805799</v>
      </c>
      <c r="L463" s="455">
        <f t="shared" ca="1" si="28"/>
        <v>659297.52721411979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659297.52721411979</v>
      </c>
      <c r="J464" s="455">
        <f t="array" ref="J464">IFERROR(INDEX('Retirement Calculator'!J:J,MATCH('Isaac 401k'!N464,'Retirement Calculator'!A:A,0),0),0)</f>
        <v>7863.2184191855868</v>
      </c>
      <c r="K464" s="455">
        <f t="shared" ca="1" si="27"/>
        <v>2714.3096199788924</v>
      </c>
      <c r="L464" s="455">
        <f t="shared" ca="1" si="28"/>
        <v>654148.61841491307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654148.61841491307</v>
      </c>
      <c r="J465" s="455">
        <f t="array" ref="J465">IFERROR(INDEX('Retirement Calculator'!J:J,MATCH('Isaac 401k'!N465,'Retirement Calculator'!A:A,0),0),0)</f>
        <v>7863.2184191855868</v>
      </c>
      <c r="K465" s="455">
        <f t="shared" ca="1" si="27"/>
        <v>2692.8558333155311</v>
      </c>
      <c r="L465" s="455">
        <f t="shared" ca="1" si="28"/>
        <v>648978.25582904299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648978.25582904299</v>
      </c>
      <c r="J466" s="455">
        <f t="array" ref="J466">IFERROR(INDEX('Retirement Calculator'!J:J,MATCH('Isaac 401k'!N466,'Retirement Calculator'!A:A,0),0),0)</f>
        <v>7863.2184191855868</v>
      </c>
      <c r="K466" s="455">
        <f t="shared" ca="1" si="27"/>
        <v>2671.3126558744057</v>
      </c>
      <c r="L466" s="455">
        <f t="shared" ca="1" si="28"/>
        <v>643786.35006573179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643786.35006573179</v>
      </c>
      <c r="J467" s="455">
        <f t="array" ref="J467">IFERROR(INDEX('Retirement Calculator'!J:J,MATCH('Isaac 401k'!N467,'Retirement Calculator'!A:A,0),0),0)</f>
        <v>7863.2184191855868</v>
      </c>
      <c r="K467" s="455">
        <f t="shared" ca="1" si="27"/>
        <v>2649.6797151939422</v>
      </c>
      <c r="L467" s="455">
        <f t="shared" ca="1" si="28"/>
        <v>638572.81136174011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638572.81136174011</v>
      </c>
      <c r="J468" s="455">
        <f t="array" ref="J468">IFERROR(INDEX('Retirement Calculator'!J:J,MATCH('Isaac 401k'!N468,'Retirement Calculator'!A:A,0),0),0)</f>
        <v>7863.2184191855868</v>
      </c>
      <c r="K468" s="455">
        <f t="shared" ca="1" si="27"/>
        <v>2627.9566372606437</v>
      </c>
      <c r="L468" s="455">
        <f t="shared" ca="1" si="28"/>
        <v>633337.54957981512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633337.54957981512</v>
      </c>
      <c r="J469" s="455">
        <f t="array" ref="J469">IFERROR(INDEX('Retirement Calculator'!J:J,MATCH('Isaac 401k'!N469,'Retirement Calculator'!A:A,0),0),0)</f>
        <v>7863.2184191855868</v>
      </c>
      <c r="K469" s="455">
        <f t="shared" ca="1" si="27"/>
        <v>2606.1430465026228</v>
      </c>
      <c r="L469" s="455">
        <f t="shared" ca="1" si="28"/>
        <v>628080.47420713212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628080.47420713212</v>
      </c>
      <c r="J470" s="455">
        <f t="array" ref="J470">IFERROR(INDEX('Retirement Calculator'!J:J,MATCH('Isaac 401k'!N470,'Retirement Calculator'!A:A,0),0),0)</f>
        <v>7863.2184191855868</v>
      </c>
      <c r="K470" s="455">
        <f t="shared" ca="1" si="27"/>
        <v>2584.2385657831105</v>
      </c>
      <c r="L470" s="455">
        <f t="shared" ca="1" si="28"/>
        <v>622801.49435372965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622801.49435372965</v>
      </c>
      <c r="J471" s="455">
        <f t="array" ref="J471">IFERROR(INDEX('Retirement Calculator'!J:J,MATCH('Isaac 401k'!N471,'Retirement Calculator'!A:A,0),0),0)</f>
        <v>7863.2184191855868</v>
      </c>
      <c r="K471" s="455">
        <f t="shared" ca="1" si="27"/>
        <v>2562.2428163939335</v>
      </c>
      <c r="L471" s="455">
        <f t="shared" ca="1" si="28"/>
        <v>617500.518750938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617500.518750938</v>
      </c>
      <c r="J472" s="455">
        <f t="array" ref="J472">IFERROR(INDEX('Retirement Calculator'!J:J,MATCH('Isaac 401k'!N472,'Retirement Calculator'!A:A,0),0),0)</f>
        <v>7863.2184191855868</v>
      </c>
      <c r="K472" s="455">
        <f t="shared" ca="1" si="27"/>
        <v>2540.1554180489684</v>
      </c>
      <c r="L472" s="455">
        <f t="shared" ca="1" si="28"/>
        <v>612177.45574980136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612177.45574980136</v>
      </c>
      <c r="J473" s="455">
        <f t="array" ref="J473">IFERROR(INDEX('Retirement Calculator'!J:J,MATCH('Isaac 401k'!N473,'Retirement Calculator'!A:A,0),0),0)</f>
        <v>7863.2184191855868</v>
      </c>
      <c r="K473" s="455">
        <f t="shared" ca="1" si="27"/>
        <v>2517.9759888775657</v>
      </c>
      <c r="L473" s="455">
        <f t="shared" ca="1" si="28"/>
        <v>606832.21331949334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606832.21331949334</v>
      </c>
      <c r="J474" s="455">
        <f t="array" ref="J474">IFERROR(INDEX('Retirement Calculator'!J:J,MATCH('Isaac 401k'!N474,'Retirement Calculator'!A:A,0),0),0)</f>
        <v>7863.2184191855868</v>
      </c>
      <c r="K474" s="455">
        <f t="shared" ca="1" si="27"/>
        <v>2495.7041454179489</v>
      </c>
      <c r="L474" s="455">
        <f t="shared" ca="1" si="28"/>
        <v>601464.69904572563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601464.69904572563</v>
      </c>
      <c r="J475" s="455">
        <f t="array" ref="J475">IFERROR(INDEX('Retirement Calculator'!J:J,MATCH('Isaac 401k'!N475,'Retirement Calculator'!A:A,0),0),0)</f>
        <v>7863.2184191855868</v>
      </c>
      <c r="K475" s="455">
        <f t="shared" ca="1" si="27"/>
        <v>2473.3395026105836</v>
      </c>
      <c r="L475" s="455">
        <f t="shared" ca="1" si="28"/>
        <v>596074.82012915064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596074.82012915064</v>
      </c>
      <c r="J476" s="455">
        <f t="array" ref="J476">IFERROR(INDEX('Retirement Calculator'!J:J,MATCH('Isaac 401k'!N476,'Retirement Calculator'!A:A,0),0),0)</f>
        <v>7863.2184191855868</v>
      </c>
      <c r="K476" s="455">
        <f t="shared" ca="1" si="27"/>
        <v>2450.8816737915208</v>
      </c>
      <c r="L476" s="455">
        <f t="shared" ca="1" si="28"/>
        <v>590662.4833837566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590662.4833837566</v>
      </c>
      <c r="J477" s="455">
        <f t="array" ref="J477">IFERROR(INDEX('Retirement Calculator'!J:J,MATCH('Isaac 401k'!N477,'Retirement Calculator'!A:A,0),0),0)</f>
        <v>7863.2184191855868</v>
      </c>
      <c r="K477" s="455">
        <f t="shared" ca="1" si="27"/>
        <v>2428.3302706857125</v>
      </c>
      <c r="L477" s="455">
        <f t="shared" ca="1" si="28"/>
        <v>585227.59523525671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585227.59523525671</v>
      </c>
      <c r="J478" s="455">
        <f t="array" ref="J478">IFERROR(INDEX('Retirement Calculator'!J:J,MATCH('Isaac 401k'!N478,'Retirement Calculator'!A:A,0),0),0)</f>
        <v>7863.2184191855868</v>
      </c>
      <c r="K478" s="455">
        <f t="shared" ca="1" si="27"/>
        <v>2405.6849034002962</v>
      </c>
      <c r="L478" s="455">
        <f t="shared" ca="1" si="28"/>
        <v>579770.06171947136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579770.06171947136</v>
      </c>
      <c r="J479" s="455">
        <f t="array" ref="J479">IFERROR(INDEX('Retirement Calculator'!J:J,MATCH('Isaac 401k'!N479,'Retirement Calculator'!A:A,0),0),0)</f>
        <v>7863.2184191855868</v>
      </c>
      <c r="K479" s="455">
        <f t="shared" ca="1" si="27"/>
        <v>2382.945180417857</v>
      </c>
      <c r="L479" s="455">
        <f t="shared" ca="1" si="28"/>
        <v>574289.7884807036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574289.7884807036</v>
      </c>
      <c r="J480" s="455">
        <f t="array" ref="J480">IFERROR(INDEX('Retirement Calculator'!J:J,MATCH('Isaac 401k'!N480,'Retirement Calculator'!A:A,0),0),0)</f>
        <v>7863.2184191855868</v>
      </c>
      <c r="K480" s="455">
        <f t="shared" ca="1" si="27"/>
        <v>2360.1107085896583</v>
      </c>
      <c r="L480" s="455">
        <f t="shared" ca="1" si="28"/>
        <v>568786.68077010766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568786.68077010766</v>
      </c>
      <c r="J481" s="455">
        <f t="array" ref="J481">IFERROR(INDEX('Retirement Calculator'!J:J,MATCH('Isaac 401k'!N481,'Retirement Calculator'!A:A,0),0),0)</f>
        <v>7863.2184191855868</v>
      </c>
      <c r="K481" s="455">
        <f t="shared" ca="1" si="27"/>
        <v>2337.1810931288419</v>
      </c>
      <c r="L481" s="455">
        <f t="shared" ca="1" si="28"/>
        <v>563260.64344405092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563260.64344405092</v>
      </c>
      <c r="J482" s="455">
        <f t="array" ref="J482">IFERROR(INDEX('Retirement Calculator'!J:J,MATCH('Isaac 401k'!N482,'Retirement Calculator'!A:A,0),0),0)</f>
        <v>7863.2184191855868</v>
      </c>
      <c r="K482" s="455">
        <f t="shared" ca="1" si="27"/>
        <v>2314.1559376036053</v>
      </c>
      <c r="L482" s="455">
        <f t="shared" ca="1" si="28"/>
        <v>557711.58096246887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557711.58096246887</v>
      </c>
      <c r="J483" s="455">
        <f t="array" ref="J483">IFERROR(INDEX('Retirement Calculator'!J:J,MATCH('Isaac 401k'!N483,'Retirement Calculator'!A:A,0),0),0)</f>
        <v>7863.2184191855868</v>
      </c>
      <c r="K483" s="455">
        <f t="shared" ca="1" si="27"/>
        <v>2291.0348439303471</v>
      </c>
      <c r="L483" s="455">
        <f t="shared" ca="1" si="28"/>
        <v>552139.39738721366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552139.39738721366</v>
      </c>
      <c r="J484" s="455">
        <f t="array" ref="J484">IFERROR(INDEX('Retirement Calculator'!J:J,MATCH('Isaac 401k'!N484,'Retirement Calculator'!A:A,0),0),0)</f>
        <v>7863.2184191855868</v>
      </c>
      <c r="K484" s="455">
        <f t="shared" ca="1" si="27"/>
        <v>2267.8174123667836</v>
      </c>
      <c r="L484" s="455">
        <f t="shared" ca="1" si="28"/>
        <v>546543.99638039479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546543.99638039479</v>
      </c>
      <c r="J485" s="455">
        <f t="array" ref="J485">IFERROR(INDEX('Retirement Calculator'!J:J,MATCH('Isaac 401k'!N485,'Retirement Calculator'!A:A,0),0),0)</f>
        <v>7863.2184191855868</v>
      </c>
      <c r="K485" s="455">
        <f t="shared" ca="1" si="27"/>
        <v>2244.5032415050382</v>
      </c>
      <c r="L485" s="455">
        <f t="shared" ca="1" si="28"/>
        <v>540925.28120271419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540925.28120271419</v>
      </c>
      <c r="J486" s="455">
        <f t="array" ref="J486">IFERROR(INDEX('Retirement Calculator'!J:J,MATCH('Isaac 401k'!N486,'Retirement Calculator'!A:A,0),0),0)</f>
        <v>7863.2184191855868</v>
      </c>
      <c r="K486" s="455">
        <f t="shared" ca="1" si="27"/>
        <v>2221.0919282647023</v>
      </c>
      <c r="L486" s="455">
        <f t="shared" ca="1" si="28"/>
        <v>535283.15471179329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535283.15471179329</v>
      </c>
      <c r="J487" s="455">
        <f t="array" ref="J487">IFERROR(INDEX('Retirement Calculator'!J:J,MATCH('Isaac 401k'!N487,'Retirement Calculator'!A:A,0),0),0)</f>
        <v>7863.2184191855868</v>
      </c>
      <c r="K487" s="455">
        <f t="shared" ca="1" si="27"/>
        <v>2197.5830678858651</v>
      </c>
      <c r="L487" s="455">
        <f t="shared" ca="1" si="28"/>
        <v>529617.51936049352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529617.51936049352</v>
      </c>
      <c r="J488" s="455">
        <f t="array" ref="J488">IFERROR(INDEX('Retirement Calculator'!J:J,MATCH('Isaac 401k'!N488,'Retirement Calculator'!A:A,0),0),0)</f>
        <v>7863.2184191855868</v>
      </c>
      <c r="K488" s="455">
        <f t="shared" ca="1" si="27"/>
        <v>2173.976253922116</v>
      </c>
      <c r="L488" s="455">
        <f t="shared" ca="1" si="28"/>
        <v>523928.27719523001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523928.27719523001</v>
      </c>
      <c r="J489" s="455">
        <f t="array" ref="J489">IFERROR(INDEX('Retirement Calculator'!J:J,MATCH('Isaac 401k'!N489,'Retirement Calculator'!A:A,0),0),0)</f>
        <v>7863.2184191855868</v>
      </c>
      <c r="K489" s="455">
        <f t="shared" ca="1" si="27"/>
        <v>2150.271078233518</v>
      </c>
      <c r="L489" s="455">
        <f t="shared" ca="1" si="28"/>
        <v>518215.32985427789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518215.32985427789</v>
      </c>
      <c r="J490" s="455">
        <f t="array" ref="J490">IFERROR(INDEX('Retirement Calculator'!J:J,MATCH('Isaac 401k'!N490,'Retirement Calculator'!A:A,0),0),0)</f>
        <v>7863.2184191855868</v>
      </c>
      <c r="K490" s="455">
        <f t="shared" ca="1" si="27"/>
        <v>2126.4671309795513</v>
      </c>
      <c r="L490" s="455">
        <f t="shared" ca="1" si="28"/>
        <v>512478.57856607181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512478.57856607181</v>
      </c>
      <c r="J491" s="455">
        <f t="array" ref="J491">IFERROR(INDEX('Retirement Calculator'!J:J,MATCH('Isaac 401k'!N491,'Retirement Calculator'!A:A,0),0),0)</f>
        <v>7863.2184191855868</v>
      </c>
      <c r="K491" s="455">
        <f t="shared" ca="1" si="27"/>
        <v>2102.5640006120257</v>
      </c>
      <c r="L491" s="455">
        <f t="shared" ca="1" si="28"/>
        <v>506717.92414749821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506717.92414749821</v>
      </c>
      <c r="J492" s="455">
        <f t="array" ref="J492">IFERROR(INDEX('Retirement Calculator'!J:J,MATCH('Isaac 401k'!N492,'Retirement Calculator'!A:A,0),0),0)</f>
        <v>7863.2184191855868</v>
      </c>
      <c r="K492" s="455">
        <f t="shared" ca="1" si="27"/>
        <v>2078.5612738679692</v>
      </c>
      <c r="L492" s="455">
        <f t="shared" ca="1" si="28"/>
        <v>500933.26700218057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500933.26700218057</v>
      </c>
      <c r="J493" s="455">
        <f t="array" ref="J493">IFERROR(INDEX('Retirement Calculator'!J:J,MATCH('Isaac 401k'!N493,'Retirement Calculator'!A:A,0),0),0)</f>
        <v>7863.2184191855868</v>
      </c>
      <c r="K493" s="455">
        <f t="shared" ca="1" si="27"/>
        <v>2054.4585357624787</v>
      </c>
      <c r="L493" s="455">
        <f t="shared" ca="1" si="28"/>
        <v>495124.50711875746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495124.50711875746</v>
      </c>
      <c r="J494" s="455">
        <f t="array" ref="J494">IFERROR(INDEX('Retirement Calculator'!J:J,MATCH('Isaac 401k'!N494,'Retirement Calculator'!A:A,0),0),0)</f>
        <v>7863.2184191855868</v>
      </c>
      <c r="K494" s="455">
        <f t="shared" ca="1" si="27"/>
        <v>2030.2553695815493</v>
      </c>
      <c r="L494" s="455">
        <f t="shared" ca="1" si="28"/>
        <v>489291.54406915343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489291.54406915343</v>
      </c>
      <c r="J495" s="455">
        <f t="array" ref="J495">IFERROR(INDEX('Retirement Calculator'!J:J,MATCH('Isaac 401k'!N495,'Retirement Calculator'!A:A,0),0),0)</f>
        <v>7863.2184191855868</v>
      </c>
      <c r="K495" s="455">
        <f t="shared" ca="1" si="27"/>
        <v>2005.951356874866</v>
      </c>
      <c r="L495" s="455">
        <f t="shared" ca="1" si="28"/>
        <v>483434.27700684266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483434.27700684266</v>
      </c>
      <c r="J496" s="455">
        <f t="array" ref="J496">IFERROR(INDEX('Retirement Calculator'!J:J,MATCH('Isaac 401k'!N496,'Retirement Calculator'!A:A,0),0),0)</f>
        <v>7863.2184191855868</v>
      </c>
      <c r="K496" s="455">
        <f t="shared" ca="1" si="27"/>
        <v>1981.5460774485707</v>
      </c>
      <c r="L496" s="455">
        <f t="shared" ca="1" si="28"/>
        <v>477552.60466510564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477552.60466510564</v>
      </c>
      <c r="J497" s="455">
        <f t="array" ref="J497">IFERROR(INDEX('Retirement Calculator'!J:J,MATCH('Isaac 401k'!N497,'Retirement Calculator'!A:A,0),0),0)</f>
        <v>7863.2184191855868</v>
      </c>
      <c r="K497" s="455">
        <f t="shared" ca="1" si="27"/>
        <v>1957.0391093579999</v>
      </c>
      <c r="L497" s="455">
        <f t="shared" ca="1" si="28"/>
        <v>471646.42535527801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471646.42535527801</v>
      </c>
      <c r="J498" s="455">
        <f t="array" ref="J498">IFERROR(INDEX('Retirement Calculator'!J:J,MATCH('Isaac 401k'!N498,'Retirement Calculator'!A:A,0),0),0)</f>
        <v>7863.2184191855868</v>
      </c>
      <c r="K498" s="455">
        <f t="shared" ca="1" si="27"/>
        <v>1932.430028900385</v>
      </c>
      <c r="L498" s="455">
        <f t="shared" ca="1" si="28"/>
        <v>465715.63696499279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465715.63696499279</v>
      </c>
      <c r="J499" s="455">
        <f t="array" ref="J499">IFERROR(INDEX('Retirement Calculator'!J:J,MATCH('Isaac 401k'!N499,'Retirement Calculator'!A:A,0),0),0)</f>
        <v>7863.2184191855868</v>
      </c>
      <c r="K499" s="455">
        <f t="shared" ca="1" si="27"/>
        <v>1907.7184106075299</v>
      </c>
      <c r="L499" s="455">
        <f t="shared" ca="1" si="28"/>
        <v>459760.13695641473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459760.13695641473</v>
      </c>
      <c r="J500" s="455">
        <f t="array" ref="J500">IFERROR(INDEX('Retirement Calculator'!J:J,MATCH('Isaac 401k'!N500,'Retirement Calculator'!A:A,0),0),0)</f>
        <v>7863.2184191855868</v>
      </c>
      <c r="K500" s="455">
        <f t="shared" ca="1" si="27"/>
        <v>1882.9038272384544</v>
      </c>
      <c r="L500" s="455">
        <f t="shared" ca="1" si="28"/>
        <v>453779.8223644676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453779.8223644676</v>
      </c>
      <c r="J501" s="455">
        <f t="array" ref="J501">IFERROR(INDEX('Retirement Calculator'!J:J,MATCH('Isaac 401k'!N501,'Retirement Calculator'!A:A,0),0),0)</f>
        <v>7863.2184191855868</v>
      </c>
      <c r="K501" s="455">
        <f t="shared" ca="1" si="27"/>
        <v>1857.9858497720081</v>
      </c>
      <c r="L501" s="455">
        <f t="shared" ca="1" si="28"/>
        <v>447774.58979505399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447774.58979505399</v>
      </c>
      <c r="J502" s="455">
        <f t="array" ref="J502">IFERROR(INDEX('Retirement Calculator'!J:J,MATCH('Isaac 401k'!N502,'Retirement Calculator'!A:A,0),0),0)</f>
        <v>7863.2184191855868</v>
      </c>
      <c r="K502" s="455">
        <f t="shared" ca="1" si="27"/>
        <v>1832.9640473994516</v>
      </c>
      <c r="L502" s="455">
        <f t="shared" ca="1" si="28"/>
        <v>441744.33542326785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441744.33542326785</v>
      </c>
      <c r="J503" s="455">
        <f t="array" ref="J503">IFERROR(INDEX('Retirement Calculator'!J:J,MATCH('Isaac 401k'!N503,'Retirement Calculator'!A:A,0),0),0)</f>
        <v>7863.2184191855868</v>
      </c>
      <c r="K503" s="455">
        <f t="shared" ca="1" si="27"/>
        <v>1807.8379875170094</v>
      </c>
      <c r="L503" s="455">
        <f t="shared" ca="1" si="28"/>
        <v>435688.95499159925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435688.95499159925</v>
      </c>
      <c r="J504" s="455">
        <f t="array" ref="J504">IFERROR(INDEX('Retirement Calculator'!J:J,MATCH('Isaac 401k'!N504,'Retirement Calculator'!A:A,0),0),0)</f>
        <v>7863.2184191855868</v>
      </c>
      <c r="K504" s="455">
        <f t="shared" ca="1" si="27"/>
        <v>1782.6072357183903</v>
      </c>
      <c r="L504" s="455">
        <f t="shared" ca="1" si="28"/>
        <v>429608.34380813205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429608.34380813205</v>
      </c>
      <c r="J505" s="455">
        <f t="array" ref="J505">IFERROR(INDEX('Retirement Calculator'!J:J,MATCH('Isaac 401k'!N505,'Retirement Calculator'!A:A,0),0),0)</f>
        <v>7863.2184191855868</v>
      </c>
      <c r="K505" s="455">
        <f t="shared" ca="1" si="27"/>
        <v>1757.2713557872769</v>
      </c>
      <c r="L505" s="455">
        <f t="shared" ca="1" si="28"/>
        <v>423502.39674473373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423502.39674473373</v>
      </c>
      <c r="J506" s="455">
        <f t="array" ref="J506">IFERROR(INDEX('Retirement Calculator'!J:J,MATCH('Isaac 401k'!N506,'Retirement Calculator'!A:A,0),0),0)</f>
        <v>7863.2184191855868</v>
      </c>
      <c r="K506" s="455">
        <f t="shared" ca="1" si="27"/>
        <v>1731.8299096897836</v>
      </c>
      <c r="L506" s="455">
        <f t="shared" ca="1" si="28"/>
        <v>417371.00823523791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417371.00823523791</v>
      </c>
      <c r="J507" s="455">
        <f t="array" ref="J507">IFERROR(INDEX('Retirement Calculator'!J:J,MATCH('Isaac 401k'!N507,'Retirement Calculator'!A:A,0),0),0)</f>
        <v>7863.2184191855868</v>
      </c>
      <c r="K507" s="455">
        <f t="shared" ca="1" si="27"/>
        <v>1706.2824575668847</v>
      </c>
      <c r="L507" s="455">
        <f t="shared" ca="1" si="28"/>
        <v>411214.07227361918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411214.07227361918</v>
      </c>
      <c r="J508" s="455">
        <f t="array" ref="J508">IFERROR(INDEX('Retirement Calculator'!J:J,MATCH('Isaac 401k'!N508,'Retirement Calculator'!A:A,0),0),0)</f>
        <v>7863.2184191855868</v>
      </c>
      <c r="K508" s="455">
        <f t="shared" ca="1" si="27"/>
        <v>1680.6285577268065</v>
      </c>
      <c r="L508" s="455">
        <f t="shared" ca="1" si="28"/>
        <v>405031.48241216037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405031.48241216037</v>
      </c>
      <c r="J509" s="455">
        <f t="array" ref="J509">IFERROR(INDEX('Retirement Calculator'!J:J,MATCH('Isaac 401k'!N509,'Retirement Calculator'!A:A,0),0),0)</f>
        <v>7863.2184191855868</v>
      </c>
      <c r="K509" s="455">
        <f t="shared" ca="1" si="27"/>
        <v>1654.8677666373949</v>
      </c>
      <c r="L509" s="455">
        <f t="shared" ca="1" si="28"/>
        <v>398823.13175961218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398823.13175961218</v>
      </c>
      <c r="J510" s="455">
        <f t="array" ref="J510">IFERROR(INDEX('Retirement Calculator'!J:J,MATCH('Isaac 401k'!N510,'Retirement Calculator'!A:A,0),0),0)</f>
        <v>7863.2184191855868</v>
      </c>
      <c r="K510" s="455">
        <f t="shared" ca="1" si="27"/>
        <v>1628.9996389184441</v>
      </c>
      <c r="L510" s="455">
        <f t="shared" ca="1" si="28"/>
        <v>392588.91297934501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392588.91297934501</v>
      </c>
      <c r="J511" s="455">
        <f t="array" ref="J511">IFERROR(INDEX('Retirement Calculator'!J:J,MATCH('Isaac 401k'!N511,'Retirement Calculator'!A:A,0),0),0)</f>
        <v>7863.2184191855868</v>
      </c>
      <c r="K511" s="455">
        <f t="shared" ca="1" si="27"/>
        <v>1603.0237273339976</v>
      </c>
      <c r="L511" s="455">
        <f t="shared" ca="1" si="28"/>
        <v>386328.71828749339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386328.71828749339</v>
      </c>
      <c r="J512" s="455">
        <f t="array" ref="J512">IFERROR(INDEX('Retirement Calculator'!J:J,MATCH('Isaac 401k'!N512,'Retirement Calculator'!A:A,0),0),0)</f>
        <v>7863.2184191855868</v>
      </c>
      <c r="K512" s="455">
        <f t="shared" ca="1" si="27"/>
        <v>1576.9395827846158</v>
      </c>
      <c r="L512" s="455">
        <f t="shared" ca="1" si="28"/>
        <v>380042.43945109239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380042.43945109239</v>
      </c>
      <c r="J513" s="455">
        <f t="array" ref="J513">IFERROR(INDEX('Retirement Calculator'!J:J,MATCH('Isaac 401k'!N513,'Retirement Calculator'!A:A,0),0),0)</f>
        <v>7863.2184191855868</v>
      </c>
      <c r="K513" s="455">
        <f t="shared" ca="1" si="27"/>
        <v>1550.7467542996117</v>
      </c>
      <c r="L513" s="455">
        <f t="shared" ca="1" si="28"/>
        <v>373729.9677862064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373729.9677862064</v>
      </c>
      <c r="J514" s="455">
        <f t="array" ref="J514">IFERROR(INDEX('Retirement Calculator'!J:J,MATCH('Isaac 401k'!N514,'Retirement Calculator'!A:A,0),0),0)</f>
        <v>7863.2184191855868</v>
      </c>
      <c r="K514" s="455">
        <f t="shared" ca="1" si="27"/>
        <v>1524.4447890292533</v>
      </c>
      <c r="L514" s="455">
        <f t="shared" ca="1" si="28"/>
        <v>367391.19415605004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367391.19415605004</v>
      </c>
      <c r="J515" s="455">
        <f t="array" ref="J515">IFERROR(INDEX('Retirement Calculator'!J:J,MATCH('Isaac 401k'!N515,'Retirement Calculator'!A:A,0),0),0)</f>
        <v>7863.2184191855868</v>
      </c>
      <c r="K515" s="455">
        <f t="shared" ca="1" si="27"/>
        <v>1498.0332322369352</v>
      </c>
      <c r="L515" s="455">
        <f t="shared" ca="1" si="28"/>
        <v>361026.00896910136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361026.00896910136</v>
      </c>
      <c r="J516" s="455">
        <f t="array" ref="J516">IFERROR(INDEX('Retirement Calculator'!J:J,MATCH('Isaac 401k'!N516,'Retirement Calculator'!A:A,0),0),0)</f>
        <v>7863.2184191855868</v>
      </c>
      <c r="K516" s="455">
        <f t="shared" ca="1" si="27"/>
        <v>1471.5116272913156</v>
      </c>
      <c r="L516" s="455">
        <f t="shared" ca="1" si="28"/>
        <v>354634.30217720708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354634.30217720708</v>
      </c>
      <c r="J517" s="455">
        <f t="array" ref="J517">IFERROR(INDEX('Retirement Calculator'!J:J,MATCH('Isaac 401k'!N517,'Retirement Calculator'!A:A,0),0),0)</f>
        <v>7863.2184191855868</v>
      </c>
      <c r="K517" s="455">
        <f t="shared" ca="1" si="27"/>
        <v>1444.8795156584229</v>
      </c>
      <c r="L517" s="455">
        <f t="shared" ca="1" si="28"/>
        <v>348215.9632736799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348215.9632736799</v>
      </c>
      <c r="J518" s="455">
        <f t="array" ref="J518">IFERROR(INDEX('Retirement Calculator'!J:J,MATCH('Isaac 401k'!N518,'Retirement Calculator'!A:A,0),0),0)</f>
        <v>7863.2184191855868</v>
      </c>
      <c r="K518" s="455">
        <f t="shared" ref="K518:K772" ca="1" si="53">IPMT(M518/12,1,12,-I518+J518,,0)</f>
        <v>1418.1364368937261</v>
      </c>
      <c r="L518" s="455">
        <f t="shared" ref="L518:L772" ca="1" si="54">I518-J518+K518</f>
        <v>341770.88129138801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341770.88129138801</v>
      </c>
      <c r="J519" s="455">
        <f t="array" ref="J519">IFERROR(INDEX('Retirement Calculator'!J:J,MATCH('Isaac 401k'!N519,'Retirement Calculator'!A:A,0),0),0)</f>
        <v>7863.2184191855868</v>
      </c>
      <c r="K519" s="455">
        <f t="shared" ca="1" si="53"/>
        <v>1391.2819286341767</v>
      </c>
      <c r="L519" s="455">
        <f t="shared" ca="1" si="54"/>
        <v>335298.94480083656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335298.94480083656</v>
      </c>
      <c r="J520" s="455">
        <f t="array" ref="J520">IFERROR(INDEX('Retirement Calculator'!J:J,MATCH('Isaac 401k'!N520,'Retirement Calculator'!A:A,0),0),0)</f>
        <v>7863.2184191855868</v>
      </c>
      <c r="K520" s="455">
        <f t="shared" ca="1" si="53"/>
        <v>1364.3155265902124</v>
      </c>
      <c r="L520" s="455">
        <f t="shared" ca="1" si="54"/>
        <v>328800.04190824117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328800.04190824117</v>
      </c>
      <c r="J521" s="455">
        <f t="array" ref="J521">IFERROR(INDEX('Retirement Calculator'!J:J,MATCH('Isaac 401k'!N521,'Retirement Calculator'!A:A,0),0),0)</f>
        <v>7863.2184191855868</v>
      </c>
      <c r="K521" s="455">
        <f t="shared" ca="1" si="53"/>
        <v>1337.2367645377315</v>
      </c>
      <c r="L521" s="455">
        <f t="shared" ca="1" si="54"/>
        <v>322274.06025359331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322274.06025359331</v>
      </c>
      <c r="J522" s="455">
        <f t="array" ref="J522">IFERROR(INDEX('Retirement Calculator'!J:J,MATCH('Isaac 401k'!N522,'Retirement Calculator'!A:A,0),0),0)</f>
        <v>7863.2184191855868</v>
      </c>
      <c r="K522" s="455">
        <f t="shared" ca="1" si="53"/>
        <v>1310.0451743100321</v>
      </c>
      <c r="L522" s="455">
        <f t="shared" ca="1" si="54"/>
        <v>315720.88700871775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315720.88700871775</v>
      </c>
      <c r="J523" s="455">
        <f t="array" ref="J523">IFERROR(INDEX('Retirement Calculator'!J:J,MATCH('Isaac 401k'!N523,'Retirement Calculator'!A:A,0),0),0)</f>
        <v>7863.2184191855868</v>
      </c>
      <c r="K523" s="455">
        <f t="shared" ca="1" si="53"/>
        <v>1282.7402857897173</v>
      </c>
      <c r="L523" s="455">
        <f t="shared" ca="1" si="54"/>
        <v>309140.40887532185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309140.40887532185</v>
      </c>
      <c r="J524" s="455">
        <f t="array" ref="J524">IFERROR(INDEX('Retirement Calculator'!J:J,MATCH('Isaac 401k'!N524,'Retirement Calculator'!A:A,0),0),0)</f>
        <v>7863.2184191855868</v>
      </c>
      <c r="K524" s="455">
        <f t="shared" ca="1" si="53"/>
        <v>1255.3216269005677</v>
      </c>
      <c r="L524" s="455">
        <f t="shared" ca="1" si="54"/>
        <v>302532.51208303683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302532.51208303683</v>
      </c>
      <c r="J525" s="455">
        <f t="array" ref="J525">IFERROR(INDEX('Retirement Calculator'!J:J,MATCH('Isaac 401k'!N525,'Retirement Calculator'!A:A,0),0),0)</f>
        <v>7863.2184191855868</v>
      </c>
      <c r="K525" s="455">
        <f t="shared" ca="1" si="53"/>
        <v>1227.7887235993801</v>
      </c>
      <c r="L525" s="455">
        <f t="shared" ca="1" si="54"/>
        <v>295897.08238745062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295897.08238745062</v>
      </c>
      <c r="J526" s="455">
        <f t="array" ref="J526">IFERROR(INDEX('Retirement Calculator'!J:J,MATCH('Isaac 401k'!N526,'Retirement Calculator'!A:A,0),0),0)</f>
        <v>7863.2184191855868</v>
      </c>
      <c r="K526" s="455">
        <f t="shared" ca="1" si="53"/>
        <v>1200.1410998677709</v>
      </c>
      <c r="L526" s="455">
        <f t="shared" ca="1" si="54"/>
        <v>289234.00506813277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289234.00506813277</v>
      </c>
      <c r="J527" s="455">
        <f t="array" ref="J527">IFERROR(INDEX('Retirement Calculator'!J:J,MATCH('Isaac 401k'!N527,'Retirement Calculator'!A:A,0),0),0)</f>
        <v>7863.2184191855868</v>
      </c>
      <c r="K527" s="455">
        <f t="shared" ca="1" si="53"/>
        <v>1172.3782777039464</v>
      </c>
      <c r="L527" s="455">
        <f t="shared" ca="1" si="54"/>
        <v>282543.16492665111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282543.16492665111</v>
      </c>
      <c r="J528" s="455">
        <f t="array" ref="J528">IFERROR(INDEX('Retirement Calculator'!J:J,MATCH('Isaac 401k'!N528,'Retirement Calculator'!A:A,0),0),0)</f>
        <v>7863.2184191855868</v>
      </c>
      <c r="K528" s="455">
        <f t="shared" ca="1" si="53"/>
        <v>1144.4997771144397</v>
      </c>
      <c r="L528" s="455">
        <f t="shared" ca="1" si="54"/>
        <v>275824.44628457993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275824.44628457993</v>
      </c>
      <c r="J529" s="455">
        <f t="array" ref="J529">IFERROR(INDEX('Retirement Calculator'!J:J,MATCH('Isaac 401k'!N529,'Retirement Calculator'!A:A,0),0),0)</f>
        <v>7863.2184191855868</v>
      </c>
      <c r="K529" s="455">
        <f t="shared" ca="1" si="53"/>
        <v>1116.5051161058097</v>
      </c>
      <c r="L529" s="455">
        <f t="shared" ca="1" si="54"/>
        <v>269077.73298150016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269077.73298150016</v>
      </c>
      <c r="J530" s="455">
        <f t="array" ref="J530">IFERROR(INDEX('Retirement Calculator'!J:J,MATCH('Isaac 401k'!N530,'Retirement Calculator'!A:A,0),0),0)</f>
        <v>7863.2184191855868</v>
      </c>
      <c r="K530" s="455">
        <f t="shared" ca="1" si="53"/>
        <v>1088.3938106763107</v>
      </c>
      <c r="L530" s="455">
        <f t="shared" ca="1" si="54"/>
        <v>262302.9083729909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262302.9083729909</v>
      </c>
      <c r="J531" s="455">
        <f t="array" ref="J531">IFERROR(INDEX('Retirement Calculator'!J:J,MATCH('Isaac 401k'!N531,'Retirement Calculator'!A:A,0),0),0)</f>
        <v>7863.2184191855868</v>
      </c>
      <c r="K531" s="455">
        <f t="shared" ca="1" si="53"/>
        <v>1060.1653748075221</v>
      </c>
      <c r="L531" s="455">
        <f t="shared" ca="1" si="54"/>
        <v>255499.85532861284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255499.85532861284</v>
      </c>
      <c r="J532" s="455">
        <f t="array" ref="J532">IFERROR(INDEX('Retirement Calculator'!J:J,MATCH('Isaac 401k'!N532,'Retirement Calculator'!A:A,0),0),0)</f>
        <v>7863.2184191855868</v>
      </c>
      <c r="K532" s="455">
        <f t="shared" ca="1" si="53"/>
        <v>1031.819320455947</v>
      </c>
      <c r="L532" s="455">
        <f t="shared" ca="1" si="54"/>
        <v>248668.45622988322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248668.45622988322</v>
      </c>
      <c r="J533" s="455">
        <f t="array" ref="J533">IFERROR(INDEX('Retirement Calculator'!J:J,MATCH('Isaac 401k'!N533,'Retirement Calculator'!A:A,0),0),0)</f>
        <v>7863.2184191855868</v>
      </c>
      <c r="K533" s="455">
        <f t="shared" ca="1" si="53"/>
        <v>1003.3551575445734</v>
      </c>
      <c r="L533" s="455">
        <f t="shared" ca="1" si="54"/>
        <v>241808.59296824221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241808.59296824221</v>
      </c>
      <c r="J534" s="455">
        <f t="array" ref="J534">IFERROR(INDEX('Retirement Calculator'!J:J,MATCH('Isaac 401k'!N534,'Retirement Calculator'!A:A,0),0),0)</f>
        <v>7863.2184191855868</v>
      </c>
      <c r="K534" s="455">
        <f t="shared" ca="1" si="53"/>
        <v>974.77239395440267</v>
      </c>
      <c r="L534" s="455">
        <f t="shared" ca="1" si="54"/>
        <v>234920.14694301103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234920.14694301103</v>
      </c>
      <c r="J535" s="455">
        <f t="array" ref="J535">IFERROR(INDEX('Retirement Calculator'!J:J,MATCH('Isaac 401k'!N535,'Retirement Calculator'!A:A,0),0),0)</f>
        <v>7863.2184191855868</v>
      </c>
      <c r="K535" s="455">
        <f t="shared" ca="1" si="53"/>
        <v>946.07053551593935</v>
      </c>
      <c r="L535" s="455">
        <f t="shared" ca="1" si="54"/>
        <v>228002.99905934138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228002.99905934138</v>
      </c>
      <c r="J536" s="455">
        <f t="array" ref="J536">IFERROR(INDEX('Retirement Calculator'!J:J,MATCH('Isaac 401k'!N536,'Retirement Calculator'!A:A,0),0),0)</f>
        <v>7863.2184191855868</v>
      </c>
      <c r="K536" s="455">
        <f t="shared" ca="1" si="53"/>
        <v>917.24908600064919</v>
      </c>
      <c r="L536" s="455">
        <f t="shared" ca="1" si="54"/>
        <v>221057.02972615644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221057.02972615644</v>
      </c>
      <c r="J537" s="455">
        <f t="array" ref="J537">IFERROR(INDEX('Retirement Calculator'!J:J,MATCH('Isaac 401k'!N537,'Retirement Calculator'!A:A,0),0),0)</f>
        <v>7863.2184191855868</v>
      </c>
      <c r="K537" s="455">
        <f t="shared" ca="1" si="53"/>
        <v>888.30754711237853</v>
      </c>
      <c r="L537" s="455">
        <f t="shared" ca="1" si="54"/>
        <v>214082.11885408324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214082.11885408324</v>
      </c>
      <c r="J538" s="455">
        <f t="array" ref="J538">IFERROR(INDEX('Retirement Calculator'!J:J,MATCH('Isaac 401k'!N538,'Retirement Calculator'!A:A,0),0),0)</f>
        <v>7863.2184191855868</v>
      </c>
      <c r="K538" s="455">
        <f t="shared" ca="1" si="53"/>
        <v>859.24541847874013</v>
      </c>
      <c r="L538" s="455">
        <f t="shared" ca="1" si="54"/>
        <v>207078.14585337639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207078.14585337639</v>
      </c>
      <c r="J539" s="455">
        <f t="array" ref="J539">IFERROR(INDEX('Retirement Calculator'!J:J,MATCH('Isaac 401k'!N539,'Retirement Calculator'!A:A,0),0),0)</f>
        <v>7863.2184191855868</v>
      </c>
      <c r="K539" s="455">
        <f t="shared" ca="1" si="53"/>
        <v>830.06219764246168</v>
      </c>
      <c r="L539" s="455">
        <f t="shared" ca="1" si="54"/>
        <v>200044.98963183328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200044.98963183328</v>
      </c>
      <c r="J540" s="455">
        <f t="array" ref="J540">IFERROR(INDEX('Retirement Calculator'!J:J,MATCH('Isaac 401k'!N540,'Retirement Calculator'!A:A,0),0),0)</f>
        <v>7863.2184191855868</v>
      </c>
      <c r="K540" s="455">
        <f t="shared" ca="1" si="53"/>
        <v>800.75738005269875</v>
      </c>
      <c r="L540" s="455">
        <f t="shared" ca="1" si="54"/>
        <v>192982.5285927004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192982.5285927004</v>
      </c>
      <c r="J541" s="455">
        <f t="array" ref="J541">IFERROR(INDEX('Retirement Calculator'!J:J,MATCH('Isaac 401k'!N541,'Retirement Calculator'!A:A,0),0),0)</f>
        <v>7863.2184191855868</v>
      </c>
      <c r="K541" s="455">
        <f t="shared" ca="1" si="53"/>
        <v>771.33045905631172</v>
      </c>
      <c r="L541" s="455">
        <f t="shared" ca="1" si="54"/>
        <v>185890.64063257113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185890.64063257113</v>
      </c>
      <c r="J542" s="455">
        <f t="array" ref="J542">IFERROR(INDEX('Retirement Calculator'!J:J,MATCH('Isaac 401k'!N542,'Retirement Calculator'!A:A,0),0),0)</f>
        <v>7863.2184191855868</v>
      </c>
      <c r="K542" s="455">
        <f t="shared" ca="1" si="53"/>
        <v>741.78092588910647</v>
      </c>
      <c r="L542" s="455">
        <f t="shared" ca="1" si="54"/>
        <v>178769.20313927464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178769.20313927464</v>
      </c>
      <c r="J543" s="455">
        <f t="array" ref="J543">IFERROR(INDEX('Retirement Calculator'!J:J,MATCH('Isaac 401k'!N543,'Retirement Calculator'!A:A,0),0),0)</f>
        <v>7863.2184191855868</v>
      </c>
      <c r="K543" s="455">
        <f t="shared" ca="1" si="53"/>
        <v>712.1082696670378</v>
      </c>
      <c r="L543" s="455">
        <f t="shared" ca="1" si="54"/>
        <v>171618.09298975611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171618.09298975611</v>
      </c>
      <c r="J544" s="455">
        <f t="array" ref="J544">IFERROR(INDEX('Retirement Calculator'!J:J,MATCH('Isaac 401k'!N544,'Retirement Calculator'!A:A,0),0),0)</f>
        <v>7863.2184191855868</v>
      </c>
      <c r="K544" s="455">
        <f t="shared" ca="1" si="53"/>
        <v>682.31197737737727</v>
      </c>
      <c r="L544" s="455">
        <f t="shared" ca="1" si="54"/>
        <v>164437.1865479479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164437.1865479479</v>
      </c>
      <c r="J545" s="455">
        <f t="array" ref="J545">IFERROR(INDEX('Retirement Calculator'!J:J,MATCH('Isaac 401k'!N545,'Retirement Calculator'!A:A,0),0),0)</f>
        <v>7863.2184191855868</v>
      </c>
      <c r="K545" s="455">
        <f t="shared" ca="1" si="53"/>
        <v>652.39153386984299</v>
      </c>
      <c r="L545" s="455">
        <f t="shared" ca="1" si="54"/>
        <v>157226.35966263217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157226.35966263217</v>
      </c>
      <c r="J546" s="455">
        <f t="array" ref="J546">IFERROR(INDEX('Retirement Calculator'!J:J,MATCH('Isaac 401k'!N546,'Retirement Calculator'!A:A,0),0),0)</f>
        <v>7863.2184191855868</v>
      </c>
      <c r="K546" s="455">
        <f t="shared" ca="1" si="53"/>
        <v>622.34642184769416</v>
      </c>
      <c r="L546" s="455">
        <f t="shared" ca="1" si="54"/>
        <v>149985.48766529429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149985.48766529429</v>
      </c>
      <c r="J547" s="455">
        <f t="array" ref="J547">IFERROR(INDEX('Retirement Calculator'!J:J,MATCH('Isaac 401k'!N547,'Retirement Calculator'!A:A,0),0),0)</f>
        <v>7863.2184191855868</v>
      </c>
      <c r="K547" s="455">
        <f t="shared" ca="1" si="53"/>
        <v>592.17612185878625</v>
      </c>
      <c r="L547" s="455">
        <f t="shared" ca="1" si="54"/>
        <v>142714.44536796751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142714.44536796751</v>
      </c>
      <c r="J548" s="455">
        <f t="array" ref="J548">IFERROR(INDEX('Retirement Calculator'!J:J,MATCH('Isaac 401k'!N548,'Retirement Calculator'!A:A,0),0),0)</f>
        <v>7863.2184191855868</v>
      </c>
      <c r="K548" s="455">
        <f t="shared" ca="1" si="53"/>
        <v>561.88011228659138</v>
      </c>
      <c r="L548" s="455">
        <f t="shared" ca="1" si="54"/>
        <v>135413.10706106853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135413.10706106853</v>
      </c>
      <c r="J549" s="455">
        <f t="array" ref="J549">IFERROR(INDEX('Retirement Calculator'!J:J,MATCH('Isaac 401k'!N549,'Retirement Calculator'!A:A,0),0),0)</f>
        <v>7863.2184191855868</v>
      </c>
      <c r="K549" s="455">
        <f t="shared" ca="1" si="53"/>
        <v>531.45786934117893</v>
      </c>
      <c r="L549" s="455">
        <f t="shared" ca="1" si="54"/>
        <v>128081.34651122411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128081.34651122411</v>
      </c>
      <c r="J550" s="455">
        <f t="array" ref="J550">IFERROR(INDEX('Retirement Calculator'!J:J,MATCH('Isaac 401k'!N550,'Retirement Calculator'!A:A,0),0),0)</f>
        <v>7863.2184191855868</v>
      </c>
      <c r="K550" s="455">
        <f t="shared" ca="1" si="53"/>
        <v>500.9088670501605</v>
      </c>
      <c r="L550" s="455">
        <f t="shared" ca="1" si="54"/>
        <v>120719.03695908868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120719.03695908868</v>
      </c>
      <c r="J551" s="455">
        <f t="array" ref="J551">IFERROR(INDEX('Retirement Calculator'!J:J,MATCH('Isaac 401k'!N551,'Retirement Calculator'!A:A,0),0),0)</f>
        <v>7863.2184191855868</v>
      </c>
      <c r="K551" s="455">
        <f t="shared" ca="1" si="53"/>
        <v>470.2325772495962</v>
      </c>
      <c r="L551" s="455">
        <f t="shared" ca="1" si="54"/>
        <v>113326.05111715269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113326.05111715269</v>
      </c>
      <c r="J552" s="455">
        <f t="array" ref="J552">IFERROR(INDEX('Retirement Calculator'!J:J,MATCH('Isaac 401k'!N552,'Retirement Calculator'!A:A,0),0),0)</f>
        <v>7863.2184191855868</v>
      </c>
      <c r="K552" s="455">
        <f t="shared" ca="1" si="53"/>
        <v>439.42846957486296</v>
      </c>
      <c r="L552" s="455">
        <f t="shared" ca="1" si="54"/>
        <v>105902.26116754196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105902.26116754196</v>
      </c>
      <c r="J553" s="455">
        <f t="array" ref="J553">IFERROR(INDEX('Retirement Calculator'!J:J,MATCH('Isaac 401k'!N553,'Retirement Calculator'!A:A,0),0),0)</f>
        <v>7863.2184191855868</v>
      </c>
      <c r="K553" s="455">
        <f t="shared" ca="1" si="53"/>
        <v>408.49601145148489</v>
      </c>
      <c r="L553" s="455">
        <f t="shared" ca="1" si="54"/>
        <v>98447.538759807852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98447.538759807852</v>
      </c>
      <c r="J554" s="455">
        <f t="array" ref="J554">IFERROR(INDEX('Retirement Calculator'!J:J,MATCH('Isaac 401k'!N554,'Retirement Calculator'!A:A,0),0),0)</f>
        <v>7863.2184191855868</v>
      </c>
      <c r="K554" s="455">
        <f t="shared" ca="1" si="53"/>
        <v>377.43466808592609</v>
      </c>
      <c r="L554" s="455">
        <f t="shared" ca="1" si="54"/>
        <v>90961.755008708191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90961.755008708191</v>
      </c>
      <c r="J555" s="455">
        <f t="array" ref="J555">IFERROR(INDEX('Retirement Calculator'!J:J,MATCH('Isaac 401k'!N555,'Retirement Calculator'!A:A,0),0),0)</f>
        <v>7863.2184191855868</v>
      </c>
      <c r="K555" s="455">
        <f t="shared" ca="1" si="53"/>
        <v>346.24390245634413</v>
      </c>
      <c r="L555" s="455">
        <f t="shared" ca="1" si="54"/>
        <v>83444.780491978949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83444.780491978949</v>
      </c>
      <c r="J556" s="455">
        <f t="array" ref="J556">IFERROR(INDEX('Retirement Calculator'!J:J,MATCH('Isaac 401k'!N556,'Retirement Calculator'!A:A,0),0),0)</f>
        <v>7863.2184191855868</v>
      </c>
      <c r="K556" s="455">
        <f t="shared" ca="1" si="53"/>
        <v>314.92317530330564</v>
      </c>
      <c r="L556" s="455">
        <f t="shared" ca="1" si="54"/>
        <v>75896.485248096666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75896.485248096666</v>
      </c>
      <c r="J557" s="455">
        <f t="array" ref="J557">IFERROR(INDEX('Retirement Calculator'!J:J,MATCH('Isaac 401k'!N557,'Retirement Calculator'!A:A,0),0),0)</f>
        <v>7863.2184191855868</v>
      </c>
      <c r="K557" s="455">
        <f t="shared" ca="1" si="53"/>
        <v>283.47194512046281</v>
      </c>
      <c r="L557" s="455">
        <f t="shared" ca="1" si="54"/>
        <v>68316.738774031532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68316.738774031532</v>
      </c>
      <c r="J558" s="455">
        <f t="array" ref="J558">IFERROR(INDEX('Retirement Calculator'!J:J,MATCH('Isaac 401k'!N558,'Retirement Calculator'!A:A,0),0),0)</f>
        <v>7863.2184191855868</v>
      </c>
      <c r="K558" s="455">
        <f t="shared" ca="1" si="53"/>
        <v>251.88966814519145</v>
      </c>
      <c r="L558" s="455">
        <f t="shared" ca="1" si="54"/>
        <v>60705.410022991135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60705.410022991135</v>
      </c>
      <c r="J559" s="455">
        <f t="array" ref="J559">IFERROR(INDEX('Retirement Calculator'!J:J,MATCH('Isaac 401k'!N559,'Retirement Calculator'!A:A,0),0),0)</f>
        <v>7863.2184191855868</v>
      </c>
      <c r="K559" s="455">
        <f t="shared" ca="1" si="53"/>
        <v>220.17579834918982</v>
      </c>
      <c r="L559" s="455">
        <f t="shared" ca="1" si="54"/>
        <v>53062.367402154741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53062.367402154741</v>
      </c>
      <c r="J560" s="455">
        <f t="array" ref="J560">IFERROR(INDEX('Retirement Calculator'!J:J,MATCH('Isaac 401k'!N560,'Retirement Calculator'!A:A,0),0),0)</f>
        <v>7863.2184191855868</v>
      </c>
      <c r="K560" s="455">
        <f t="shared" ca="1" si="53"/>
        <v>188.32978742903816</v>
      </c>
      <c r="L560" s="455">
        <f t="shared" ca="1" si="54"/>
        <v>45387.478770398193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45387.478770398193</v>
      </c>
      <c r="J561" s="455">
        <f t="array" ref="J561">IFERROR(INDEX('Retirement Calculator'!J:J,MATCH('Isaac 401k'!N561,'Retirement Calculator'!A:A,0),0),0)</f>
        <v>7863.2184191855868</v>
      </c>
      <c r="K561" s="455">
        <f t="shared" ca="1" si="53"/>
        <v>156.35108479671919</v>
      </c>
      <c r="L561" s="455">
        <f t="shared" ca="1" si="54"/>
        <v>37680.611436009327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37680.611436009327</v>
      </c>
      <c r="J562" s="455">
        <f t="array" ref="J562">IFERROR(INDEX('Retirement Calculator'!J:J,MATCH('Isaac 401k'!N562,'Retirement Calculator'!A:A,0),0),0)</f>
        <v>7863.2184191855868</v>
      </c>
      <c r="K562" s="455">
        <f t="shared" ca="1" si="53"/>
        <v>124.2391375700989</v>
      </c>
      <c r="L562" s="455">
        <f t="shared" ca="1" si="54"/>
        <v>29941.632154393839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29941.632154393839</v>
      </c>
      <c r="J563" s="455">
        <f t="array" ref="J563">IFERROR(INDEX('Retirement Calculator'!J:J,MATCH('Isaac 401k'!N563,'Retirement Calculator'!A:A,0),0),0)</f>
        <v>7863.2184191855868</v>
      </c>
      <c r="K563" s="455">
        <f t="shared" ca="1" si="53"/>
        <v>91.993390563367726</v>
      </c>
      <c r="L563" s="455">
        <f t="shared" ca="1" si="54"/>
        <v>22170.40712577162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22170.40712577162</v>
      </c>
      <c r="J564" s="455">
        <f t="array" ref="J564">IFERROR(INDEX('Retirement Calculator'!J:J,MATCH('Isaac 401k'!N564,'Retirement Calculator'!A:A,0),0),0)</f>
        <v>7863.2184191855868</v>
      </c>
      <c r="K564" s="455">
        <f t="shared" ca="1" si="53"/>
        <v>59.613286277441809</v>
      </c>
      <c r="L564" s="455">
        <f t="shared" ca="1" si="54"/>
        <v>14366.801992863475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14366.801992863475</v>
      </c>
      <c r="J565" s="455">
        <f t="array" ref="J565">IFERROR(INDEX('Retirement Calculator'!J:J,MATCH('Isaac 401k'!N565,'Retirement Calculator'!A:A,0),0),0)</f>
        <v>7863.2184191855868</v>
      </c>
      <c r="K565" s="455">
        <f t="shared" ca="1" si="53"/>
        <v>27.098264890324533</v>
      </c>
      <c r="L565" s="455">
        <f t="shared" ca="1" si="54"/>
        <v>6530.6818385682127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6530.6818385682127</v>
      </c>
      <c r="J566" s="455">
        <f t="array" ref="J566">IFERROR(INDEX('Retirement Calculator'!J:J,MATCH('Isaac 401k'!N566,'Retirement Calculator'!A:A,0),0),0)</f>
        <v>7863.2184191855868</v>
      </c>
      <c r="K566" s="455">
        <f t="shared" ca="1" si="53"/>
        <v>-5.5522357525723915</v>
      </c>
      <c r="L566" s="455">
        <f t="shared" ca="1" si="54"/>
        <v>-1338.0888163699465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-1338.0888163699465</v>
      </c>
      <c r="J567" s="455">
        <f t="array" ref="J567">IFERROR(INDEX('Retirement Calculator'!J:J,MATCH('Isaac 401k'!N567,'Retirement Calculator'!A:A,0),0),0)</f>
        <v>7863.2184191855868</v>
      </c>
      <c r="K567" s="455">
        <f t="shared" ca="1" si="53"/>
        <v>-38.338780148148061</v>
      </c>
      <c r="L567" s="455">
        <f t="shared" ca="1" si="54"/>
        <v>-9239.6460157036818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-9239.6460157036818</v>
      </c>
      <c r="J568" s="455">
        <f t="array" ref="J568">IFERROR(INDEX('Retirement Calculator'!J:J,MATCH('Isaac 401k'!N568,'Retirement Calculator'!A:A,0),0),0)</f>
        <v>7863.2184191855868</v>
      </c>
      <c r="K568" s="455">
        <f t="shared" ca="1" si="53"/>
        <v>-71.261935145371964</v>
      </c>
      <c r="L568" s="455">
        <f t="shared" ca="1" si="54"/>
        <v>-17174.126370034643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-17174.126370034643</v>
      </c>
      <c r="J569" s="455">
        <f t="array" ref="J569">IFERROR(INDEX('Retirement Calculator'!J:J,MATCH('Isaac 401k'!N569,'Retirement Calculator'!A:A,0),0),0)</f>
        <v>7863.2184191855868</v>
      </c>
      <c r="K569" s="455">
        <f t="shared" ca="1" si="53"/>
        <v>-104.32226995508429</v>
      </c>
      <c r="L569" s="455">
        <f t="shared" ca="1" si="54"/>
        <v>-25141.667059175317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-25141.667059175317</v>
      </c>
      <c r="J570" s="455">
        <f t="array" ref="J570">IFERROR(INDEX('Retirement Calculator'!J:J,MATCH('Isaac 401k'!N570,'Retirement Calculator'!A:A,0),0),0)</f>
        <v>7863.2184191855868</v>
      </c>
      <c r="K570" s="455">
        <f t="shared" ca="1" si="53"/>
        <v>-137.52035615983709</v>
      </c>
      <c r="L570" s="455">
        <f t="shared" ca="1" si="54"/>
        <v>-33142.405834520745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-33142.405834520745</v>
      </c>
      <c r="J571" s="455">
        <f t="array" ref="J571">IFERROR(INDEX('Retirement Calculator'!J:J,MATCH('Isaac 401k'!N571,'Retirement Calculator'!A:A,0),0),0)</f>
        <v>7863.2184191855868</v>
      </c>
      <c r="K571" s="455">
        <f t="shared" ca="1" si="53"/>
        <v>-170.85676772377639</v>
      </c>
      <c r="L571" s="455">
        <f t="shared" ca="1" si="54"/>
        <v>-41176.481021430103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-41176.481021430103</v>
      </c>
      <c r="J572" s="455">
        <f t="array" ref="J572">IFERROR(INDEX('Retirement Calculator'!J:J,MATCH('Isaac 401k'!N572,'Retirement Calculator'!A:A,0),0),0)</f>
        <v>7863.2184191855868</v>
      </c>
      <c r="K572" s="455">
        <f t="shared" ca="1" si="53"/>
        <v>-204.33208100256536</v>
      </c>
      <c r="L572" s="455">
        <f t="shared" ca="1" si="54"/>
        <v>-49244.031521618257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-49244.031521618257</v>
      </c>
      <c r="J573" s="455">
        <f t="array" ref="J573">IFERROR(INDEX('Retirement Calculator'!J:J,MATCH('Isaac 401k'!N573,'Retirement Calculator'!A:A,0),0),0)</f>
        <v>7863.2184191855868</v>
      </c>
      <c r="K573" s="455">
        <f t="shared" ca="1" si="53"/>
        <v>-237.94687475334933</v>
      </c>
      <c r="L573" s="455">
        <f t="shared" ca="1" si="54"/>
        <v>-57345.196815557189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-57345.196815557189</v>
      </c>
      <c r="J574" s="455">
        <f t="array" ref="J574">IFERROR(INDEX('Retirement Calculator'!J:J,MATCH('Isaac 401k'!N574,'Retirement Calculator'!A:A,0),0),0)</f>
        <v>7863.2184191855868</v>
      </c>
      <c r="K574" s="455">
        <f t="shared" ca="1" si="53"/>
        <v>-271.70173014476154</v>
      </c>
      <c r="L574" s="455">
        <f t="shared" ca="1" si="54"/>
        <v>-65480.116964887537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-65480.116964887537</v>
      </c>
      <c r="J575" s="455">
        <f t="array" ref="J575">IFERROR(INDEX('Retirement Calculator'!J:J,MATCH('Isaac 401k'!N575,'Retirement Calculator'!A:A,0),0),0)</f>
        <v>7863.2184191855868</v>
      </c>
      <c r="K575" s="455">
        <f t="shared" ca="1" si="53"/>
        <v>-305.59723076697139</v>
      </c>
      <c r="L575" s="455">
        <f t="shared" ca="1" si="54"/>
        <v>-73648.932614840101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-73648.932614840101</v>
      </c>
      <c r="J576" s="455">
        <f t="array" ref="J576">IFERROR(INDEX('Retirement Calculator'!J:J,MATCH('Isaac 401k'!N576,'Retirement Calculator'!A:A,0),0),0)</f>
        <v>7863.2184191855868</v>
      </c>
      <c r="K576" s="455">
        <f t="shared" ca="1" si="53"/>
        <v>-339.63396264177373</v>
      </c>
      <c r="L576" s="455">
        <f t="shared" ca="1" si="54"/>
        <v>-81851.784996667469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-81851.784996667469</v>
      </c>
      <c r="J577" s="455">
        <f t="array" ref="J577">IFERROR(INDEX('Retirement Calculator'!J:J,MATCH('Isaac 401k'!N577,'Retirement Calculator'!A:A,0),0),0)</f>
        <v>7863.2184191855868</v>
      </c>
      <c r="K577" s="455">
        <f t="shared" ca="1" si="53"/>
        <v>-373.81251423272107</v>
      </c>
      <c r="L577" s="455">
        <f t="shared" ca="1" si="54"/>
        <v>-90088.815930085781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-90088.815930085781</v>
      </c>
      <c r="J578" s="455">
        <f t="array" ref="J578">IFERROR(INDEX('Retirement Calculator'!J:J,MATCH('Isaac 401k'!N578,'Retirement Calculator'!A:A,0),0),0)</f>
        <v>7863.2184191855868</v>
      </c>
      <c r="K578" s="455">
        <f t="shared" ca="1" si="53"/>
        <v>-408.1334764552974</v>
      </c>
      <c r="L578" s="455">
        <f t="shared" ca="1" si="54"/>
        <v>-98360.167825726676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-98360.167825726676</v>
      </c>
      <c r="J579" s="455">
        <f t="array" ref="J579">IFERROR(INDEX('Retirement Calculator'!J:J,MATCH('Isaac 401k'!N579,'Retirement Calculator'!A:A,0),0),0)</f>
        <v>7863.2184191855868</v>
      </c>
      <c r="K579" s="455">
        <f t="shared" ca="1" si="53"/>
        <v>-442.59744268713445</v>
      </c>
      <c r="L579" s="455">
        <f t="shared" ca="1" si="54"/>
        <v>-106665.98368759941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-106665.98368759941</v>
      </c>
      <c r="J580" s="455">
        <f t="array" ref="J580">IFERROR(INDEX('Retirement Calculator'!J:J,MATCH('Isaac 401k'!N580,'Retirement Calculator'!A:A,0),0),0)</f>
        <v>7863.2184191855868</v>
      </c>
      <c r="K580" s="455">
        <f t="shared" ca="1" si="53"/>
        <v>-477.20500877827089</v>
      </c>
      <c r="L580" s="455">
        <f t="shared" ca="1" si="54"/>
        <v>-115006.40711556327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-115006.40711556327</v>
      </c>
      <c r="J581" s="455">
        <f t="array" ref="J581">IFERROR(INDEX('Retirement Calculator'!J:J,MATCH('Isaac 401k'!N581,'Retirement Calculator'!A:A,0),0),0)</f>
        <v>7863.2184191855868</v>
      </c>
      <c r="K581" s="455">
        <f t="shared" ca="1" si="53"/>
        <v>-511.95677306145359</v>
      </c>
      <c r="L581" s="455">
        <f t="shared" ca="1" si="54"/>
        <v>-123381.58230781031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-123381.58230781031</v>
      </c>
      <c r="J582" s="455">
        <f t="array" ref="J582">IFERROR(INDEX('Retirement Calculator'!J:J,MATCH('Isaac 401k'!N582,'Retirement Calculator'!A:A,0),0),0)</f>
        <v>7863.2184191855868</v>
      </c>
      <c r="K582" s="455">
        <f t="shared" ca="1" si="53"/>
        <v>-546.85333636248288</v>
      </c>
      <c r="L582" s="455">
        <f t="shared" ca="1" si="54"/>
        <v>-131791.65406335838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-131791.65406335838</v>
      </c>
      <c r="J583" s="455">
        <f t="array" ref="J583">IFERROR(INDEX('Retirement Calculator'!J:J,MATCH('Isaac 401k'!N583,'Retirement Calculator'!A:A,0),0),0)</f>
        <v>7863.2184191855868</v>
      </c>
      <c r="K583" s="455">
        <f t="shared" ca="1" si="53"/>
        <v>-581.89530201059983</v>
      </c>
      <c r="L583" s="455">
        <f t="shared" ca="1" si="54"/>
        <v>-140236.76778455457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-140236.76778455457</v>
      </c>
      <c r="J584" s="455">
        <f t="array" ref="J584">IFERROR(INDEX('Retirement Calculator'!J:J,MATCH('Isaac 401k'!N584,'Retirement Calculator'!A:A,0),0),0)</f>
        <v>7863.2184191855868</v>
      </c>
      <c r="K584" s="455">
        <f t="shared" ca="1" si="53"/>
        <v>-617.08327584891731</v>
      </c>
      <c r="L584" s="455">
        <f t="shared" ca="1" si="54"/>
        <v>-148717.06947958906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-148717.06947958906</v>
      </c>
      <c r="J585" s="455">
        <f t="array" ref="J585">IFERROR(INDEX('Retirement Calculator'!J:J,MATCH('Isaac 401k'!N585,'Retirement Calculator'!A:A,0),0),0)</f>
        <v>7863.2184191855868</v>
      </c>
      <c r="K585" s="455">
        <f t="shared" ca="1" si="53"/>
        <v>-652.4178662448943</v>
      </c>
      <c r="L585" s="455">
        <f t="shared" ca="1" si="54"/>
        <v>-157232.70576501952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-157232.70576501952</v>
      </c>
      <c r="J586" s="455">
        <f t="array" ref="J586">IFERROR(INDEX('Retirement Calculator'!J:J,MATCH('Isaac 401k'!N586,'Retirement Calculator'!A:A,0),0),0)</f>
        <v>7863.2184191855868</v>
      </c>
      <c r="K586" s="455">
        <f t="shared" ca="1" si="53"/>
        <v>-687.89968410085453</v>
      </c>
      <c r="L586" s="455">
        <f t="shared" ca="1" si="54"/>
        <v>-165783.82386830595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-165783.82386830595</v>
      </c>
      <c r="J587" s="455">
        <f t="array" ref="J587">IFERROR(INDEX('Retirement Calculator'!J:J,MATCH('Isaac 401k'!N587,'Retirement Calculator'!A:A,0),0),0)</f>
        <v>7863.2184191855868</v>
      </c>
      <c r="K587" s="455">
        <f t="shared" ca="1" si="53"/>
        <v>-723.52934286454797</v>
      </c>
      <c r="L587" s="455">
        <f t="shared" ca="1" si="54"/>
        <v>-174370.57163035608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-174370.57163035608</v>
      </c>
      <c r="J588" s="455">
        <f t="array" ref="J588">IFERROR(INDEX('Retirement Calculator'!J:J,MATCH('Isaac 401k'!N588,'Retirement Calculator'!A:A,0),0),0)</f>
        <v>7863.2184191855868</v>
      </c>
      <c r="K588" s="455">
        <f t="shared" ca="1" si="53"/>
        <v>-759.30745853975691</v>
      </c>
      <c r="L588" s="455">
        <f t="shared" ca="1" si="54"/>
        <v>-182993.09750808141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-182993.09750808141</v>
      </c>
      <c r="J589" s="455">
        <f t="array" ref="J589">IFERROR(INDEX('Retirement Calculator'!J:J,MATCH('Isaac 401k'!N589,'Retirement Calculator'!A:A,0),0),0)</f>
        <v>7863.2184191855868</v>
      </c>
      <c r="K589" s="455">
        <f t="shared" ca="1" si="53"/>
        <v>-795.23464969694578</v>
      </c>
      <c r="L589" s="455">
        <f t="shared" ca="1" si="54"/>
        <v>-191651.55057696393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-191651.55057696393</v>
      </c>
      <c r="J590" s="455">
        <f t="array" ref="J590">IFERROR(INDEX('Retirement Calculator'!J:J,MATCH('Isaac 401k'!N590,'Retirement Calculator'!A:A,0),0),0)</f>
        <v>7863.2184191855868</v>
      </c>
      <c r="K590" s="455">
        <f t="shared" ca="1" si="53"/>
        <v>-831.31153748395627</v>
      </c>
      <c r="L590" s="455">
        <f t="shared" ca="1" si="54"/>
        <v>-200346.08053363347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-200346.08053363347</v>
      </c>
      <c r="J591" s="455">
        <f t="array" ref="J591">IFERROR(INDEX('Retirement Calculator'!J:J,MATCH('Isaac 401k'!N591,'Retirement Calculator'!A:A,0),0),0)</f>
        <v>7863.2184191855868</v>
      </c>
      <c r="K591" s="455">
        <f t="shared" ca="1" si="53"/>
        <v>-867.53874563674606</v>
      </c>
      <c r="L591" s="455">
        <f t="shared" ca="1" si="54"/>
        <v>-209076.83769845578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-209076.83769845578</v>
      </c>
      <c r="J592" s="455">
        <f t="array" ref="J592">IFERROR(INDEX('Retirement Calculator'!J:J,MATCH('Isaac 401k'!N592,'Retirement Calculator'!A:A,0),0),0)</f>
        <v>7863.2184191855868</v>
      </c>
      <c r="K592" s="455">
        <f t="shared" ca="1" si="53"/>
        <v>-903.91690049017234</v>
      </c>
      <c r="L592" s="455">
        <f t="shared" ca="1" si="54"/>
        <v>-217843.97301813154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-217843.97301813154</v>
      </c>
      <c r="J593" s="455">
        <f t="array" ref="J593">IFERROR(INDEX('Retirement Calculator'!J:J,MATCH('Isaac 401k'!N593,'Retirement Calculator'!A:A,0),0),0)</f>
        <v>7863.2184191855868</v>
      </c>
      <c r="K593" s="455">
        <f t="shared" ca="1" si="53"/>
        <v>-940.44663098882131</v>
      </c>
      <c r="L593" s="455">
        <f t="shared" ca="1" si="54"/>
        <v>-226647.63806830594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-226647.63806830594</v>
      </c>
      <c r="J594" s="455">
        <f t="array" ref="J594">IFERROR(INDEX('Retirement Calculator'!J:J,MATCH('Isaac 401k'!N594,'Retirement Calculator'!A:A,0),0),0)</f>
        <v>7863.2184191855868</v>
      </c>
      <c r="K594" s="455">
        <f t="shared" ca="1" si="53"/>
        <v>-977.12856869788129</v>
      </c>
      <c r="L594" s="455">
        <f t="shared" ca="1" si="54"/>
        <v>-235487.98505618941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-235487.98505618941</v>
      </c>
      <c r="J595" s="455">
        <f t="array" ref="J595">IFERROR(INDEX('Retirement Calculator'!J:J,MATCH('Isaac 401k'!N595,'Retirement Calculator'!A:A,0),0),0)</f>
        <v>7863.2184191855868</v>
      </c>
      <c r="K595" s="455">
        <f t="shared" ca="1" si="53"/>
        <v>-1013.9633478140626</v>
      </c>
      <c r="L595" s="455">
        <f t="shared" ca="1" si="54"/>
        <v>-244365.16682318907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-244365.16682318907</v>
      </c>
      <c r="J596" s="455">
        <f t="array" ref="J596">IFERROR(INDEX('Retirement Calculator'!J:J,MATCH('Isaac 401k'!N596,'Retirement Calculator'!A:A,0),0),0)</f>
        <v>7863.2184191855868</v>
      </c>
      <c r="K596" s="455">
        <f t="shared" ca="1" si="53"/>
        <v>-1050.9516051765611</v>
      </c>
      <c r="L596" s="455">
        <f t="shared" ca="1" si="54"/>
        <v>-253279.3368475512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-253279.3368475512</v>
      </c>
      <c r="J597" s="455">
        <f t="array" ref="J597">IFERROR(INDEX('Retirement Calculator'!J:J,MATCH('Isaac 401k'!N597,'Retirement Calculator'!A:A,0),0),0)</f>
        <v>7863.2184191855868</v>
      </c>
      <c r="K597" s="455">
        <f t="shared" ca="1" si="53"/>
        <v>-1088.0939802780699</v>
      </c>
      <c r="L597" s="455">
        <f t="shared" ca="1" si="54"/>
        <v>-262230.64924701484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-262230.64924701484</v>
      </c>
      <c r="J598" s="455">
        <f t="array" ref="J598">IFERROR(INDEX('Retirement Calculator'!J:J,MATCH('Isaac 401k'!N598,'Retirement Calculator'!A:A,0),0),0)</f>
        <v>7863.2184191855868</v>
      </c>
      <c r="K598" s="455">
        <f t="shared" ca="1" si="53"/>
        <v>-1125.3911152758351</v>
      </c>
      <c r="L598" s="455">
        <f t="shared" ca="1" si="54"/>
        <v>-271219.2587814763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-271219.2587814763</v>
      </c>
      <c r="J599" s="455">
        <f t="array" ref="J599">IFERROR(INDEX('Retirement Calculator'!J:J,MATCH('Isaac 401k'!N599,'Retirement Calculator'!A:A,0),0),0)</f>
        <v>7863.2184191855868</v>
      </c>
      <c r="K599" s="455">
        <f t="shared" ca="1" si="53"/>
        <v>-1162.8436550027579</v>
      </c>
      <c r="L599" s="455">
        <f t="shared" ca="1" si="54"/>
        <v>-280245.32085566467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-280245.32085566467</v>
      </c>
      <c r="J600" s="455">
        <f t="array" ref="J600">IFERROR(INDEX('Retirement Calculator'!J:J,MATCH('Isaac 401k'!N600,'Retirement Calculator'!A:A,0),0),0)</f>
        <v>7863.2184191855868</v>
      </c>
      <c r="K600" s="455">
        <f t="shared" ca="1" si="53"/>
        <v>-1200.4522469785429</v>
      </c>
      <c r="L600" s="455">
        <f t="shared" ca="1" si="54"/>
        <v>-289308.99152182881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-289308.99152182881</v>
      </c>
      <c r="J601" s="455">
        <f t="array" ref="J601">IFERROR(INDEX('Retirement Calculator'!J:J,MATCH('Isaac 401k'!N601,'Retirement Calculator'!A:A,0),0),0)</f>
        <v>7863.2184191855868</v>
      </c>
      <c r="K601" s="455">
        <f t="shared" ca="1" si="53"/>
        <v>-1238.2175414208934</v>
      </c>
      <c r="L601" s="455">
        <f t="shared" ca="1" si="54"/>
        <v>-298410.42748243531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-298410.42748243531</v>
      </c>
      <c r="J602" s="455">
        <f t="array" ref="J602">IFERROR(INDEX('Retirement Calculator'!J:J,MATCH('Isaac 401k'!N602,'Retirement Calculator'!A:A,0),0),0)</f>
        <v>7863.2184191855868</v>
      </c>
      <c r="K602" s="455">
        <f t="shared" ca="1" si="53"/>
        <v>-1276.1401912567537</v>
      </c>
      <c r="L602" s="455">
        <f t="shared" ca="1" si="54"/>
        <v>-307549.78609287768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-307549.78609287768</v>
      </c>
      <c r="J603" s="455">
        <f t="array" ref="J603">IFERROR(INDEX('Retirement Calculator'!J:J,MATCH('Isaac 401k'!N603,'Retirement Calculator'!A:A,0),0),0)</f>
        <v>7863.2184191855868</v>
      </c>
      <c r="K603" s="455">
        <f t="shared" ca="1" si="53"/>
        <v>-1314.220852133597</v>
      </c>
      <c r="L603" s="455">
        <f t="shared" ca="1" si="54"/>
        <v>-316727.22536419687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-316727.22536419687</v>
      </c>
      <c r="J604" s="455">
        <f t="array" ref="J604">IFERROR(INDEX('Retirement Calculator'!J:J,MATCH('Isaac 401k'!N604,'Retirement Calculator'!A:A,0),0),0)</f>
        <v>7863.2184191855868</v>
      </c>
      <c r="K604" s="455">
        <f t="shared" ca="1" si="53"/>
        <v>-1352.4601824307604</v>
      </c>
      <c r="L604" s="455">
        <f t="shared" ca="1" si="54"/>
        <v>-325942.90396581322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-325942.90396581322</v>
      </c>
      <c r="J605" s="455">
        <f t="array" ref="J605">IFERROR(INDEX('Retirement Calculator'!J:J,MATCH('Isaac 401k'!N605,'Retirement Calculator'!A:A,0),0),0)</f>
        <v>7863.2184191855868</v>
      </c>
      <c r="K605" s="455">
        <f t="shared" ca="1" si="53"/>
        <v>-1390.8588432708284</v>
      </c>
      <c r="L605" s="455">
        <f t="shared" ca="1" si="54"/>
        <v>-335196.98122826964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-335196.98122826964</v>
      </c>
      <c r="J606" s="455">
        <f t="array" ref="J606">IFERROR(INDEX('Retirement Calculator'!J:J,MATCH('Isaac 401k'!N606,'Retirement Calculator'!A:A,0),0),0)</f>
        <v>7863.2184191855868</v>
      </c>
      <c r="K606" s="455">
        <f t="shared" ca="1" si="53"/>
        <v>-1429.4174985310635</v>
      </c>
      <c r="L606" s="455">
        <f t="shared" ca="1" si="54"/>
        <v>-344489.6171459863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-344489.6171459863</v>
      </c>
      <c r="J607" s="455">
        <f t="array" ref="J607">IFERROR(INDEX('Retirement Calculator'!J:J,MATCH('Isaac 401k'!N607,'Retirement Calculator'!A:A,0),0),0)</f>
        <v>7863.2184191855868</v>
      </c>
      <c r="K607" s="455">
        <f t="shared" ca="1" si="53"/>
        <v>-1468.1368148548829</v>
      </c>
      <c r="L607" s="455">
        <f t="shared" ca="1" si="54"/>
        <v>-353820.97238002677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-353820.97238002677</v>
      </c>
      <c r="J608" s="455">
        <f t="array" ref="J608">IFERROR(INDEX('Retirement Calculator'!J:J,MATCH('Isaac 401k'!N608,'Retirement Calculator'!A:A,0),0),0)</f>
        <v>7863.2184191855868</v>
      </c>
      <c r="K608" s="455">
        <f t="shared" ca="1" si="53"/>
        <v>-1507.0174616633849</v>
      </c>
      <c r="L608" s="455">
        <f t="shared" ca="1" si="54"/>
        <v>-363191.20826087578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-363191.20826087578</v>
      </c>
      <c r="J609" s="455">
        <f t="array" ref="J609">IFERROR(INDEX('Retirement Calculator'!J:J,MATCH('Isaac 401k'!N609,'Retirement Calculator'!A:A,0),0),0)</f>
        <v>7863.2184191855868</v>
      </c>
      <c r="K609" s="455">
        <f t="shared" ca="1" si="53"/>
        <v>-1546.0601111669225</v>
      </c>
      <c r="L609" s="455">
        <f t="shared" ca="1" si="54"/>
        <v>-372600.48679122829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-372600.48679122829</v>
      </c>
      <c r="J610" s="455">
        <f t="array" ref="J610">IFERROR(INDEX('Retirement Calculator'!J:J,MATCH('Isaac 401k'!N610,'Retirement Calculator'!A:A,0),0),0)</f>
        <v>7863.2184191855868</v>
      </c>
      <c r="K610" s="455">
        <f t="shared" ca="1" si="53"/>
        <v>-1585.2654383767247</v>
      </c>
      <c r="L610" s="455">
        <f t="shared" ca="1" si="54"/>
        <v>-382048.97064879065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-382048.97064879065</v>
      </c>
      <c r="J611" s="455">
        <f t="array" ref="J611">IFERROR(INDEX('Retirement Calculator'!J:J,MATCH('Isaac 401k'!N611,'Retirement Calculator'!A:A,0),0),0)</f>
        <v>7863.2184191855868</v>
      </c>
      <c r="K611" s="455">
        <f t="shared" ca="1" si="53"/>
        <v>-1624.6341211165677</v>
      </c>
      <c r="L611" s="455">
        <f t="shared" ca="1" si="54"/>
        <v>-391536.8231890928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-391536.8231890928</v>
      </c>
      <c r="J612" s="455">
        <f t="array" ref="J612">IFERROR(INDEX('Retirement Calculator'!J:J,MATCH('Isaac 401k'!N612,'Retirement Calculator'!A:A,0),0),0)</f>
        <v>7863.2184191855868</v>
      </c>
      <c r="K612" s="455">
        <f t="shared" ca="1" si="53"/>
        <v>-1664.1668400344934</v>
      </c>
      <c r="L612" s="455">
        <f t="shared" ca="1" si="54"/>
        <v>-401064.20844831289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-401064.20844831289</v>
      </c>
      <c r="J613" s="455">
        <f t="array" ref="J613">IFERROR(INDEX('Retirement Calculator'!J:J,MATCH('Isaac 401k'!N613,'Retirement Calculator'!A:A,0),0),0)</f>
        <v>7863.2184191855868</v>
      </c>
      <c r="K613" s="455">
        <f t="shared" ca="1" si="53"/>
        <v>-1703.864278614577</v>
      </c>
      <c r="L613" s="455">
        <f t="shared" ca="1" si="54"/>
        <v>-410631.29114611307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-410631.29114611307</v>
      </c>
      <c r="J614" s="455">
        <f t="array" ref="J614">IFERROR(INDEX('Retirement Calculator'!J:J,MATCH('Isaac 401k'!N614,'Retirement Calculator'!A:A,0),0),0)</f>
        <v>7863.2184191855868</v>
      </c>
      <c r="K614" s="455">
        <f t="shared" ca="1" si="53"/>
        <v>-1743.7271231887446</v>
      </c>
      <c r="L614" s="455">
        <f t="shared" ca="1" si="54"/>
        <v>-420238.23668848741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-420238.23668848741</v>
      </c>
      <c r="J615" s="455">
        <f t="array" ref="J615">IFERROR(INDEX('Retirement Calculator'!J:J,MATCH('Isaac 401k'!N615,'Retirement Calculator'!A:A,0),0),0)</f>
        <v>7863.2184191855868</v>
      </c>
      <c r="K615" s="455">
        <f t="shared" ca="1" si="53"/>
        <v>-1783.7560629486375</v>
      </c>
      <c r="L615" s="455">
        <f t="shared" ca="1" si="54"/>
        <v>-429885.21117062162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-429885.21117062162</v>
      </c>
      <c r="J616" s="455">
        <f t="array" ref="J616">IFERROR(INDEX('Retirement Calculator'!J:J,MATCH('Isaac 401k'!N616,'Retirement Calculator'!A:A,0),0),0)</f>
        <v>7863.2184191855868</v>
      </c>
      <c r="K616" s="455">
        <f t="shared" ca="1" si="53"/>
        <v>-1823.9517899575301</v>
      </c>
      <c r="L616" s="455">
        <f t="shared" ca="1" si="54"/>
        <v>-439572.38137976476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-439572.38137976476</v>
      </c>
      <c r="J617" s="455">
        <f t="array" ref="J617">IFERROR(INDEX('Retirement Calculator'!J:J,MATCH('Isaac 401k'!N617,'Retirement Calculator'!A:A,0),0),0)</f>
        <v>7863.2184191855868</v>
      </c>
      <c r="K617" s="455">
        <f t="shared" ca="1" si="53"/>
        <v>-1864.3149991622934</v>
      </c>
      <c r="L617" s="455">
        <f t="shared" ca="1" si="54"/>
        <v>-449299.91479811264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-449299.91479811264</v>
      </c>
      <c r="J618" s="455">
        <f t="array" ref="J618">IFERROR(INDEX('Retirement Calculator'!J:J,MATCH('Isaac 401k'!N618,'Retirement Calculator'!A:A,0),0),0)</f>
        <v>7863.2184191855868</v>
      </c>
      <c r="K618" s="455">
        <f t="shared" ca="1" si="53"/>
        <v>-1904.8463884054092</v>
      </c>
      <c r="L618" s="455">
        <f t="shared" ca="1" si="54"/>
        <v>-459067.97960570367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-459067.97960570367</v>
      </c>
      <c r="J619" s="455">
        <f t="array" ref="J619">IFERROR(INDEX('Retirement Calculator'!J:J,MATCH('Isaac 401k'!N619,'Retirement Calculator'!A:A,0),0),0)</f>
        <v>7863.2184191855868</v>
      </c>
      <c r="K619" s="455">
        <f t="shared" ca="1" si="53"/>
        <v>-1945.5466584370388</v>
      </c>
      <c r="L619" s="455">
        <f t="shared" ca="1" si="54"/>
        <v>-468876.74468332634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-468876.74468332634</v>
      </c>
      <c r="J620" s="455">
        <f t="array" ref="J620">IFERROR(INDEX('Retirement Calculator'!J:J,MATCH('Isaac 401k'!N620,'Retirement Calculator'!A:A,0),0),0)</f>
        <v>7863.2184191855868</v>
      </c>
      <c r="K620" s="455">
        <f t="shared" ca="1" si="53"/>
        <v>-1986.4165129271328</v>
      </c>
      <c r="L620" s="455">
        <f t="shared" ca="1" si="54"/>
        <v>-478726.3796154391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-478726.3796154391</v>
      </c>
      <c r="J621" s="455">
        <f t="array" ref="J621">IFERROR(INDEX('Retirement Calculator'!J:J,MATCH('Isaac 401k'!N621,'Retirement Calculator'!A:A,0),0),0)</f>
        <v>7863.2184191855868</v>
      </c>
      <c r="K621" s="455">
        <f t="shared" ca="1" si="53"/>
        <v>-2027.4566584776032</v>
      </c>
      <c r="L621" s="455">
        <f t="shared" ca="1" si="54"/>
        <v>-488617.05469310231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-488617.05469310231</v>
      </c>
      <c r="J622" s="455">
        <f t="array" ref="J622">IFERROR(INDEX('Retirement Calculator'!J:J,MATCH('Isaac 401k'!N622,'Retirement Calculator'!A:A,0),0),0)</f>
        <v>7863.2184191855868</v>
      </c>
      <c r="K622" s="455">
        <f t="shared" ca="1" si="53"/>
        <v>-2068.6678046345328</v>
      </c>
      <c r="L622" s="455">
        <f t="shared" ca="1" si="54"/>
        <v>-498548.94091692247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-498548.94091692247</v>
      </c>
      <c r="J623" s="455">
        <f t="array" ref="J623">IFERROR(INDEX('Retirement Calculator'!J:J,MATCH('Isaac 401k'!N623,'Retirement Calculator'!A:A,0),0),0)</f>
        <v>7863.2184191855868</v>
      </c>
      <c r="K623" s="455">
        <f t="shared" ca="1" si="53"/>
        <v>-2110.0506639004507</v>
      </c>
      <c r="L623" s="455">
        <f t="shared" ca="1" si="54"/>
        <v>-508522.21000000852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-508522.21000000852</v>
      </c>
      <c r="J624" s="455">
        <f t="array" ref="J624">IFERROR(INDEX('Retirement Calculator'!J:J,MATCH('Isaac 401k'!N624,'Retirement Calculator'!A:A,0),0),0)</f>
        <v>7863.2184191855868</v>
      </c>
      <c r="K624" s="455">
        <f t="shared" ca="1" si="53"/>
        <v>-2151.6059517466419</v>
      </c>
      <c r="L624" s="455">
        <f t="shared" ca="1" si="54"/>
        <v>-518537.03437094076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-518537.03437094076</v>
      </c>
      <c r="J625" s="455">
        <f t="array" ref="J625">IFERROR(INDEX('Retirement Calculator'!J:J,MATCH('Isaac 401k'!N625,'Retirement Calculator'!A:A,0),0),0)</f>
        <v>7863.2184191855868</v>
      </c>
      <c r="K625" s="455">
        <f t="shared" ca="1" si="53"/>
        <v>-2193.3343866255263</v>
      </c>
      <c r="L625" s="455">
        <f t="shared" ca="1" si="54"/>
        <v>-528593.58717675193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-528593.58717675193</v>
      </c>
      <c r="J626" s="455">
        <f t="array" ref="J626">IFERROR(INDEX('Retirement Calculator'!J:J,MATCH('Isaac 401k'!N626,'Retirement Calculator'!A:A,0),0),0)</f>
        <v>7863.2184191855868</v>
      </c>
      <c r="K626" s="455">
        <f t="shared" ca="1" si="53"/>
        <v>-2235.2366899830731</v>
      </c>
      <c r="L626" s="455">
        <f t="shared" ca="1" si="54"/>
        <v>-538692.04228592059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-538692.04228592059</v>
      </c>
      <c r="J627" s="455">
        <f t="array" ref="J627">IFERROR(INDEX('Retirement Calculator'!J:J,MATCH('Isaac 401k'!N627,'Retirement Calculator'!A:A,0),0),0)</f>
        <v>7863.2184191855868</v>
      </c>
      <c r="K627" s="455">
        <f t="shared" ca="1" si="53"/>
        <v>-2277.3135862712757</v>
      </c>
      <c r="L627" s="455">
        <f t="shared" ca="1" si="54"/>
        <v>-548832.57429137744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-548832.57429137744</v>
      </c>
      <c r="J628" s="455">
        <f t="array" ref="J628">IFERROR(INDEX('Retirement Calculator'!J:J,MATCH('Isaac 401k'!N628,'Retirement Calculator'!A:A,0),0),0)</f>
        <v>7863.2184191855868</v>
      </c>
      <c r="K628" s="455">
        <f t="shared" ca="1" si="53"/>
        <v>-2319.5658029606793</v>
      </c>
      <c r="L628" s="455">
        <f t="shared" ca="1" si="54"/>
        <v>-559015.35851352371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-559015.35851352371</v>
      </c>
      <c r="J629" s="455">
        <f t="array" ref="J629">IFERROR(INDEX('Retirement Calculator'!J:J,MATCH('Isaac 401k'!N629,'Retirement Calculator'!A:A,0),0),0)</f>
        <v>7863.2184191855868</v>
      </c>
      <c r="K629" s="455">
        <f t="shared" ca="1" si="53"/>
        <v>-2361.9940705529552</v>
      </c>
      <c r="L629" s="455">
        <f t="shared" ca="1" si="54"/>
        <v>-569240.5710032623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-569240.5710032623</v>
      </c>
      <c r="J630" s="455">
        <f t="array" ref="J630">IFERROR(INDEX('Retirement Calculator'!J:J,MATCH('Isaac 401k'!N630,'Retirement Calculator'!A:A,0),0),0)</f>
        <v>7863.2184191855868</v>
      </c>
      <c r="K630" s="455">
        <f t="shared" ca="1" si="53"/>
        <v>-2404.5991225935331</v>
      </c>
      <c r="L630" s="455">
        <f t="shared" ca="1" si="54"/>
        <v>-579508.38854504144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-579508.38854504144</v>
      </c>
      <c r="J631" s="455">
        <f t="array" ref="J631">IFERROR(INDEX('Retirement Calculator'!J:J,MATCH('Isaac 401k'!N631,'Retirement Calculator'!A:A,0),0),0)</f>
        <v>7863.2184191855868</v>
      </c>
      <c r="K631" s="455">
        <f t="shared" ca="1" si="53"/>
        <v>-2447.3816956842793</v>
      </c>
      <c r="L631" s="455">
        <f t="shared" ca="1" si="54"/>
        <v>-589818.98865991132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-589818.98865991132</v>
      </c>
      <c r="J632" s="455">
        <f t="array" ref="J632">IFERROR(INDEX('Retirement Calculator'!J:J,MATCH('Isaac 401k'!N632,'Retirement Calculator'!A:A,0),0),0)</f>
        <v>7863.2184191855868</v>
      </c>
      <c r="K632" s="455">
        <f t="shared" ca="1" si="53"/>
        <v>-2490.3425294962371</v>
      </c>
      <c r="L632" s="455">
        <f t="shared" ca="1" si="54"/>
        <v>-600172.54960859322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-600172.54960859322</v>
      </c>
      <c r="J633" s="455">
        <f t="array" ref="J633">IFERROR(INDEX('Retirement Calculator'!J:J,MATCH('Isaac 401k'!N633,'Retirement Calculator'!A:A,0),0),0)</f>
        <v>7863.2184191855868</v>
      </c>
      <c r="K633" s="455">
        <f t="shared" ca="1" si="53"/>
        <v>-2533.4823667824116</v>
      </c>
      <c r="L633" s="455">
        <f t="shared" ca="1" si="54"/>
        <v>-610569.25039456121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-610569.25039456121</v>
      </c>
      <c r="J634" s="455">
        <f t="array" ref="J634">IFERROR(INDEX('Retirement Calculator'!J:J,MATCH('Isaac 401k'!N634,'Retirement Calculator'!A:A,0),0),0)</f>
        <v>7863.2184191855868</v>
      </c>
      <c r="K634" s="455">
        <f t="shared" ca="1" si="53"/>
        <v>-2576.8019533906117</v>
      </c>
      <c r="L634" s="455">
        <f t="shared" ca="1" si="54"/>
        <v>-621009.27076713741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-621009.27076713741</v>
      </c>
      <c r="J635" s="455">
        <f t="array" ref="J635">IFERROR(INDEX('Retirement Calculator'!J:J,MATCH('Isaac 401k'!N635,'Retirement Calculator'!A:A,0),0),0)</f>
        <v>7863.2184191855868</v>
      </c>
      <c r="K635" s="455">
        <f t="shared" ca="1" si="53"/>
        <v>-2620.3020382763457</v>
      </c>
      <c r="L635" s="455">
        <f t="shared" ca="1" si="54"/>
        <v>-631492.79122459935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-631492.79122459935</v>
      </c>
      <c r="J636" s="455">
        <f t="array" ref="J636">IFERROR(INDEX('Retirement Calculator'!J:J,MATCH('Isaac 401k'!N636,'Retirement Calculator'!A:A,0),0),0)</f>
        <v>7863.2184191855868</v>
      </c>
      <c r="K636" s="455">
        <f t="shared" ca="1" si="53"/>
        <v>-2663.9833735157708</v>
      </c>
      <c r="L636" s="455">
        <f t="shared" ca="1" si="54"/>
        <v>-642019.99301730073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-642019.99301730073</v>
      </c>
      <c r="J637" s="455">
        <f t="array" ref="J637">IFERROR(INDEX('Retirement Calculator'!J:J,MATCH('Isaac 401k'!N637,'Retirement Calculator'!A:A,0),0),0)</f>
        <v>7863.2184191855868</v>
      </c>
      <c r="K637" s="455">
        <f t="shared" ca="1" si="53"/>
        <v>-2707.8467143186931</v>
      </c>
      <c r="L637" s="455">
        <f t="shared" ca="1" si="54"/>
        <v>-652591.05815080507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-652591.05815080507</v>
      </c>
      <c r="J638" s="455">
        <f t="array" ref="J638">IFERROR(INDEX('Retirement Calculator'!J:J,MATCH('Isaac 401k'!N638,'Retirement Calculator'!A:A,0),0),0)</f>
        <v>7863.2184191855868</v>
      </c>
      <c r="K638" s="455">
        <f t="shared" ca="1" si="53"/>
        <v>-2751.8928190416277</v>
      </c>
      <c r="L638" s="455">
        <f t="shared" ca="1" si="54"/>
        <v>-663206.16938903229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-663206.16938903229</v>
      </c>
      <c r="J639" s="455">
        <f t="array" ref="J639">IFERROR(INDEX('Retirement Calculator'!J:J,MATCH('Isaac 401k'!N639,'Retirement Calculator'!A:A,0),0),0)</f>
        <v>7863.2184191855868</v>
      </c>
      <c r="K639" s="455">
        <f t="shared" ca="1" si="53"/>
        <v>-2796.1224492009078</v>
      </c>
      <c r="L639" s="455">
        <f t="shared" ca="1" si="54"/>
        <v>-673865.51025741885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-673865.51025741885</v>
      </c>
      <c r="J640" s="455">
        <f t="array" ref="J640">IFERROR(INDEX('Retirement Calculator'!J:J,MATCH('Isaac 401k'!N640,'Retirement Calculator'!A:A,0),0),0)</f>
        <v>7863.2184191855868</v>
      </c>
      <c r="K640" s="455">
        <f t="shared" ca="1" si="53"/>
        <v>-2840.536369485852</v>
      </c>
      <c r="L640" s="455">
        <f t="shared" ca="1" si="54"/>
        <v>-684569.26504609035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-684569.26504609035</v>
      </c>
      <c r="J641" s="455">
        <f t="array" ref="J641">IFERROR(INDEX('Retirement Calculator'!J:J,MATCH('Isaac 401k'!N641,'Retirement Calculator'!A:A,0),0),0)</f>
        <v>7863.2184191855868</v>
      </c>
      <c r="K641" s="455">
        <f t="shared" ca="1" si="53"/>
        <v>-2885.1353477719831</v>
      </c>
      <c r="L641" s="455">
        <f t="shared" ca="1" si="54"/>
        <v>-695317.618813048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-695317.618813048</v>
      </c>
      <c r="J642" s="455">
        <f t="array" ref="J642">IFERROR(INDEX('Retirement Calculator'!J:J,MATCH('Isaac 401k'!N642,'Retirement Calculator'!A:A,0),0),0)</f>
        <v>7863.2184191855868</v>
      </c>
      <c r="K642" s="455">
        <f t="shared" ca="1" si="53"/>
        <v>-2929.9201551343067</v>
      </c>
      <c r="L642" s="455">
        <f t="shared" ca="1" si="54"/>
        <v>-706110.75738736789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-706110.75738736789</v>
      </c>
      <c r="J643" s="455">
        <f t="array" ref="J643">IFERROR(INDEX('Retirement Calculator'!J:J,MATCH('Isaac 401k'!N643,'Retirement Calculator'!A:A,0),0),0)</f>
        <v>7863.2184191855868</v>
      </c>
      <c r="K643" s="455">
        <f t="shared" ca="1" si="53"/>
        <v>-2974.8915658606397</v>
      </c>
      <c r="L643" s="455">
        <f t="shared" ca="1" si="54"/>
        <v>-716948.8673724141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-716948.8673724141</v>
      </c>
      <c r="J644" s="455">
        <f t="array" ref="J644">IFERROR(INDEX('Retirement Calculator'!J:J,MATCH('Isaac 401k'!N644,'Retirement Calculator'!A:A,0),0),0)</f>
        <v>7863.2184191855868</v>
      </c>
      <c r="K644" s="455">
        <f t="shared" ca="1" si="53"/>
        <v>-3020.0503574649988</v>
      </c>
      <c r="L644" s="455">
        <f t="shared" ca="1" si="54"/>
        <v>-727832.13614906475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-727832.13614906475</v>
      </c>
      <c r="J645" s="455">
        <f t="array" ref="J645">IFERROR(INDEX('Retirement Calculator'!J:J,MATCH('Isaac 401k'!N645,'Retirement Calculator'!A:A,0),0),0)</f>
        <v>7863.2184191855868</v>
      </c>
      <c r="K645" s="455">
        <f t="shared" ca="1" si="53"/>
        <v>-3065.3973107010434</v>
      </c>
      <c r="L645" s="455">
        <f t="shared" ca="1" si="54"/>
        <v>-738760.75187895144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-738760.75187895144</v>
      </c>
      <c r="J646" s="455">
        <f t="array" ref="J646">IFERROR(INDEX('Retirement Calculator'!J:J,MATCH('Isaac 401k'!N646,'Retirement Calculator'!A:A,0),0),0)</f>
        <v>7863.2184191855868</v>
      </c>
      <c r="K646" s="455">
        <f t="shared" ca="1" si="53"/>
        <v>-3110.9332095755708</v>
      </c>
      <c r="L646" s="455">
        <f t="shared" ca="1" si="54"/>
        <v>-749734.90350771265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-749734.90350771265</v>
      </c>
      <c r="J647" s="455">
        <f t="array" ref="J647">IFERROR(INDEX('Retirement Calculator'!J:J,MATCH('Isaac 401k'!N647,'Retirement Calculator'!A:A,0),0),0)</f>
        <v>7863.2184191855868</v>
      </c>
      <c r="K647" s="455">
        <f t="shared" ca="1" si="53"/>
        <v>-3156.6588413620761</v>
      </c>
      <c r="L647" s="455">
        <f t="shared" ca="1" si="54"/>
        <v>-760754.78076826036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-760754.78076826036</v>
      </c>
      <c r="J648" s="455">
        <f t="array" ref="J648">IFERROR(INDEX('Retirement Calculator'!J:J,MATCH('Isaac 401k'!N648,'Retirement Calculator'!A:A,0),0),0)</f>
        <v>7863.2184191855868</v>
      </c>
      <c r="K648" s="455">
        <f t="shared" ca="1" si="53"/>
        <v>-3202.574996614358</v>
      </c>
      <c r="L648" s="455">
        <f t="shared" ca="1" si="54"/>
        <v>-771820.57418406033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-771820.57418406033</v>
      </c>
      <c r="J649" s="455">
        <f t="array" ref="J649">IFERROR(INDEX('Retirement Calculator'!J:J,MATCH('Isaac 401k'!N649,'Retirement Calculator'!A:A,0),0),0)</f>
        <v>7863.2184191855868</v>
      </c>
      <c r="K649" s="455">
        <f t="shared" ca="1" si="53"/>
        <v>-3248.6824691801912</v>
      </c>
      <c r="L649" s="455">
        <f t="shared" ca="1" si="54"/>
        <v>-782932.47507242614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-782932.47507242614</v>
      </c>
      <c r="J650" s="455">
        <f t="array" ref="J650">IFERROR(INDEX('Retirement Calculator'!J:J,MATCH('Isaac 401k'!N650,'Retirement Calculator'!A:A,0),0),0)</f>
        <v>7863.2184191855868</v>
      </c>
      <c r="K650" s="455">
        <f t="shared" ca="1" si="53"/>
        <v>-3294.9820562150489</v>
      </c>
      <c r="L650" s="455">
        <f t="shared" ca="1" si="54"/>
        <v>-794090.6755478268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-794090.6755478268</v>
      </c>
      <c r="J651" s="455">
        <f t="array" ref="J651">IFERROR(INDEX('Retirement Calculator'!J:J,MATCH('Isaac 401k'!N651,'Retirement Calculator'!A:A,0),0),0)</f>
        <v>7863.2184191855868</v>
      </c>
      <c r="K651" s="455">
        <f t="shared" ca="1" si="53"/>
        <v>-3341.474558195885</v>
      </c>
      <c r="L651" s="455">
        <f t="shared" ca="1" si="54"/>
        <v>-805295.36852520832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-805295.36852520832</v>
      </c>
      <c r="J652" s="455">
        <f t="array" ref="J652">IFERROR(INDEX('Retirement Calculator'!J:J,MATCH('Isaac 401k'!N652,'Retirement Calculator'!A:A,0),0),0)</f>
        <v>7863.2184191855868</v>
      </c>
      <c r="K652" s="455">
        <f t="shared" ca="1" si="53"/>
        <v>-3388.1607789349746</v>
      </c>
      <c r="L652" s="455">
        <f t="shared" ca="1" si="54"/>
        <v>-816546.74772332888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-816546.74772332888</v>
      </c>
      <c r="J653" s="455">
        <f t="array" ref="J653">IFERROR(INDEX('Retirement Calculator'!J:J,MATCH('Isaac 401k'!N653,'Retirement Calculator'!A:A,0),0),0)</f>
        <v>7863.2184191855868</v>
      </c>
      <c r="K653" s="455">
        <f t="shared" ca="1" si="53"/>
        <v>-3435.0415255938101</v>
      </c>
      <c r="L653" s="455">
        <f t="shared" ca="1" si="54"/>
        <v>-827845.00766810833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-827845.00766810833</v>
      </c>
      <c r="J654" s="455">
        <f t="array" ref="J654">IFERROR(INDEX('Retirement Calculator'!J:J,MATCH('Isaac 401k'!N654,'Retirement Calculator'!A:A,0),0),0)</f>
        <v>7863.2184191855868</v>
      </c>
      <c r="K654" s="455">
        <f t="shared" ca="1" si="53"/>
        <v>-3482.1176086970581</v>
      </c>
      <c r="L654" s="455">
        <f t="shared" ca="1" si="54"/>
        <v>-839190.34369599097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-839190.34369599097</v>
      </c>
      <c r="J655" s="455">
        <f t="array" ref="J655">IFERROR(INDEX('Retirement Calculator'!J:J,MATCH('Isaac 401k'!N655,'Retirement Calculator'!A:A,0),0),0)</f>
        <v>7863.2184191855868</v>
      </c>
      <c r="K655" s="455">
        <f t="shared" ca="1" si="53"/>
        <v>-3529.3898421465688</v>
      </c>
      <c r="L655" s="455">
        <f t="shared" ca="1" si="54"/>
        <v>-850582.95195732312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-850582.95195732312</v>
      </c>
      <c r="J656" s="455">
        <f t="array" ref="J656">IFERROR(INDEX('Retirement Calculator'!J:J,MATCH('Isaac 401k'!N656,'Retirement Calculator'!A:A,0),0),0)</f>
        <v>7863.2184191855868</v>
      </c>
      <c r="K656" s="455">
        <f t="shared" ca="1" si="53"/>
        <v>-3576.8590432354526</v>
      </c>
      <c r="L656" s="455">
        <f t="shared" ca="1" si="54"/>
        <v>-862023.02941974415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-862023.02941974415</v>
      </c>
      <c r="J657" s="455">
        <f t="array" ref="J657">IFERROR(INDEX('Retirement Calculator'!J:J,MATCH('Isaac 401k'!N657,'Retirement Calculator'!A:A,0),0),0)</f>
        <v>7863.2184191855868</v>
      </c>
      <c r="K657" s="455">
        <f t="shared" ca="1" si="53"/>
        <v>-3624.5260326622079</v>
      </c>
      <c r="L657" s="455">
        <f t="shared" ca="1" si="54"/>
        <v>-873510.77387159201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-873510.77387159201</v>
      </c>
      <c r="J658" s="455">
        <f t="array" ref="J658">IFERROR(INDEX('Retirement Calculator'!J:J,MATCH('Isaac 401k'!N658,'Retirement Calculator'!A:A,0),0),0)</f>
        <v>7863.2184191855868</v>
      </c>
      <c r="K658" s="455">
        <f t="shared" ca="1" si="53"/>
        <v>-3672.391634544907</v>
      </c>
      <c r="L658" s="455">
        <f t="shared" ca="1" si="54"/>
        <v>-885046.38392532256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-885046.38392532256</v>
      </c>
      <c r="J659" s="455">
        <f t="array" ref="J659">IFERROR(INDEX('Retirement Calculator'!J:J,MATCH('Isaac 401k'!N659,'Retirement Calculator'!A:A,0),0),0)</f>
        <v>7863.2184191855868</v>
      </c>
      <c r="K659" s="455">
        <f t="shared" ca="1" si="53"/>
        <v>-3720.4566764354508</v>
      </c>
      <c r="L659" s="455">
        <f t="shared" ca="1" si="54"/>
        <v>-896630.05902094359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-896630.05902094359</v>
      </c>
      <c r="J660" s="455">
        <f t="array" ref="J660">IFERROR(INDEX('Retirement Calculator'!J:J,MATCH('Isaac 401k'!N660,'Retirement Calculator'!A:A,0),0),0)</f>
        <v>7863.2184191855868</v>
      </c>
      <c r="K660" s="455">
        <f t="shared" ca="1" si="53"/>
        <v>-3768.7219893338715</v>
      </c>
      <c r="L660" s="455">
        <f t="shared" ca="1" si="54"/>
        <v>-908261.99942946306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-908261.99942946306</v>
      </c>
      <c r="J661" s="455">
        <f t="array" ref="J661">IFERROR(INDEX('Retirement Calculator'!J:J,MATCH('Isaac 401k'!N661,'Retirement Calculator'!A:A,0),0),0)</f>
        <v>7863.2184191855868</v>
      </c>
      <c r="K661" s="455">
        <f t="shared" ca="1" si="53"/>
        <v>-3817.188407702703</v>
      </c>
      <c r="L661" s="455">
        <f t="shared" ca="1" si="54"/>
        <v>-919942.40625635139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-919942.40625635139</v>
      </c>
      <c r="J662" s="455">
        <f t="array" ref="J662">IFERROR(INDEX('Retirement Calculator'!J:J,MATCH('Isaac 401k'!N662,'Retirement Calculator'!A:A,0),0),0)</f>
        <v>7863.2184191855868</v>
      </c>
      <c r="K662" s="455">
        <f t="shared" ca="1" si="53"/>
        <v>-3865.8567694814042</v>
      </c>
      <c r="L662" s="455">
        <f t="shared" ca="1" si="54"/>
        <v>-931671.48144501843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-931671.48144501843</v>
      </c>
      <c r="J663" s="455">
        <f t="array" ref="J663">IFERROR(INDEX('Retirement Calculator'!J:J,MATCH('Isaac 401k'!N663,'Retirement Calculator'!A:A,0),0),0)</f>
        <v>7863.2184191855868</v>
      </c>
      <c r="K663" s="455">
        <f t="shared" ca="1" si="53"/>
        <v>-3914.7279161008496</v>
      </c>
      <c r="L663" s="455">
        <f t="shared" ca="1" si="54"/>
        <v>-943449.42778030492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-943449.42778030492</v>
      </c>
      <c r="J664" s="455">
        <f t="array" ref="J664">IFERROR(INDEX('Retirement Calculator'!J:J,MATCH('Isaac 401k'!N664,'Retirement Calculator'!A:A,0),0),0)</f>
        <v>7863.2184191855868</v>
      </c>
      <c r="K664" s="455">
        <f t="shared" ca="1" si="53"/>
        <v>-3963.8026924978772</v>
      </c>
      <c r="L664" s="455">
        <f t="shared" ca="1" si="54"/>
        <v>-955276.44889198837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-955276.44889198837</v>
      </c>
      <c r="J665" s="455">
        <f t="array" ref="J665">IFERROR(INDEX('Retirement Calculator'!J:J,MATCH('Isaac 401k'!N665,'Retirement Calculator'!A:A,0),0),0)</f>
        <v>7863.2184191855868</v>
      </c>
      <c r="K665" s="455">
        <f t="shared" ca="1" si="53"/>
        <v>-4013.0819471298919</v>
      </c>
      <c r="L665" s="455">
        <f t="shared" ca="1" si="54"/>
        <v>-967152.7492583039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-967152.7492583039</v>
      </c>
      <c r="J666" s="455">
        <f t="array" ref="J666">IFERROR(INDEX('Retirement Calculator'!J:J,MATCH('Isaac 401k'!N666,'Retirement Calculator'!A:A,0),0),0)</f>
        <v>7863.2184191855868</v>
      </c>
      <c r="K666" s="455">
        <f t="shared" ca="1" si="53"/>
        <v>-4062.5665319895393</v>
      </c>
      <c r="L666" s="455">
        <f t="shared" ca="1" si="54"/>
        <v>-979078.534209479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-979078.534209479</v>
      </c>
      <c r="J667" s="455">
        <f t="array" ref="J667">IFERROR(INDEX('Retirement Calculator'!J:J,MATCH('Isaac 401k'!N667,'Retirement Calculator'!A:A,0),0),0)</f>
        <v>7863.2184191855868</v>
      </c>
      <c r="K667" s="455">
        <f t="shared" ca="1" si="53"/>
        <v>-4112.257302619435</v>
      </c>
      <c r="L667" s="455">
        <f t="shared" ca="1" si="54"/>
        <v>-991054.009931284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-991054.009931284</v>
      </c>
      <c r="J668" s="455">
        <f t="array" ref="J668">IFERROR(INDEX('Retirement Calculator'!J:J,MATCH('Isaac 401k'!N668,'Retirement Calculator'!A:A,0),0),0)</f>
        <v>7863.2184191855868</v>
      </c>
      <c r="K668" s="455">
        <f t="shared" ca="1" si="53"/>
        <v>-4162.1551181269569</v>
      </c>
      <c r="L668" s="455">
        <f t="shared" ca="1" si="54"/>
        <v>-1003079.3834685966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-1003079.3834685966</v>
      </c>
      <c r="J669" s="455">
        <f t="array" ref="J669">IFERROR(INDEX('Retirement Calculator'!J:J,MATCH('Isaac 401k'!N669,'Retirement Calculator'!A:A,0),0),0)</f>
        <v>7863.2184191855868</v>
      </c>
      <c r="K669" s="455">
        <f t="shared" ca="1" si="53"/>
        <v>-4212.2608411990923</v>
      </c>
      <c r="L669" s="455">
        <f t="shared" ca="1" si="54"/>
        <v>-1015154.8627289813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-1015154.8627289813</v>
      </c>
      <c r="J670" s="455">
        <f t="array" ref="J670">IFERROR(INDEX('Retirement Calculator'!J:J,MATCH('Isaac 401k'!N670,'Retirement Calculator'!A:A,0),0),0)</f>
        <v>7863.2184191855868</v>
      </c>
      <c r="K670" s="455">
        <f t="shared" ca="1" si="53"/>
        <v>-4262.5753381173618</v>
      </c>
      <c r="L670" s="455">
        <f t="shared" ca="1" si="54"/>
        <v>-1027280.6564862842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-1027280.6564862842</v>
      </c>
      <c r="J671" s="455">
        <f t="array" ref="J671">IFERROR(INDEX('Retirement Calculator'!J:J,MATCH('Isaac 401k'!N671,'Retirement Calculator'!A:A,0),0),0)</f>
        <v>7863.2184191855868</v>
      </c>
      <c r="K671" s="455">
        <f t="shared" ca="1" si="53"/>
        <v>-4313.0994787727905</v>
      </c>
      <c r="L671" s="455">
        <f t="shared" ca="1" si="54"/>
        <v>-1039456.9743842427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-1039456.9743842427</v>
      </c>
      <c r="J672" s="455">
        <f t="array" ref="J672">IFERROR(INDEX('Retirement Calculator'!J:J,MATCH('Isaac 401k'!N672,'Retirement Calculator'!A:A,0),0),0)</f>
        <v>7863.2184191855868</v>
      </c>
      <c r="K672" s="455">
        <f t="shared" ca="1" si="53"/>
        <v>-4363.8341366809509</v>
      </c>
      <c r="L672" s="455">
        <f t="shared" ca="1" si="54"/>
        <v>-1051684.0269401092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-1051684.0269401092</v>
      </c>
      <c r="J673" s="455">
        <f t="array" ref="J673">IFERROR(INDEX('Retirement Calculator'!J:J,MATCH('Isaac 401k'!N673,'Retirement Calculator'!A:A,0),0),0)</f>
        <v>7863.2184191855868</v>
      </c>
      <c r="K673" s="455">
        <f t="shared" ca="1" si="53"/>
        <v>-4414.7801889970615</v>
      </c>
      <c r="L673" s="455">
        <f t="shared" ca="1" si="54"/>
        <v>-1063962.0255482919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-1063962.0255482919</v>
      </c>
      <c r="J674" s="455">
        <f t="array" ref="J674">IFERROR(INDEX('Retirement Calculator'!J:J,MATCH('Isaac 401k'!N674,'Retirement Calculator'!A:A,0),0),0)</f>
        <v>7863.2184191855868</v>
      </c>
      <c r="K674" s="455">
        <f t="shared" ca="1" si="53"/>
        <v>-4465.938516531156</v>
      </c>
      <c r="L674" s="455">
        <f t="shared" ca="1" si="54"/>
        <v>-1076291.1824840086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-1076291.1824840086</v>
      </c>
      <c r="J675" s="455">
        <f t="array" ref="J675">IFERROR(INDEX('Retirement Calculator'!J:J,MATCH('Isaac 401k'!N675,'Retirement Calculator'!A:A,0),0),0)</f>
        <v>7863.2184191855868</v>
      </c>
      <c r="K675" s="455">
        <f t="shared" ca="1" si="53"/>
        <v>-4517.3100037633094</v>
      </c>
      <c r="L675" s="455">
        <f t="shared" ca="1" si="54"/>
        <v>-1088671.7109069575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-1088671.7109069575</v>
      </c>
      <c r="J676" s="455">
        <f t="array" ref="J676">IFERROR(INDEX('Retirement Calculator'!J:J,MATCH('Isaac 401k'!N676,'Retirement Calculator'!A:A,0),0),0)</f>
        <v>7863.2184191855868</v>
      </c>
      <c r="K676" s="455">
        <f t="shared" ca="1" si="53"/>
        <v>-4568.8955388589293</v>
      </c>
      <c r="L676" s="455">
        <f t="shared" ca="1" si="54"/>
        <v>-1101103.824865002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-1101103.824865002</v>
      </c>
      <c r="J677" s="455">
        <f t="array" ref="J677">IFERROR(INDEX('Retirement Calculator'!J:J,MATCH('Isaac 401k'!N677,'Retirement Calculator'!A:A,0),0),0)</f>
        <v>7863.2184191855868</v>
      </c>
      <c r="K677" s="455">
        <f t="shared" ca="1" si="53"/>
        <v>-4620.6960136841144</v>
      </c>
      <c r="L677" s="455">
        <f t="shared" ca="1" si="54"/>
        <v>-1113587.7392978717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-1113587.7392978717</v>
      </c>
      <c r="J678" s="455">
        <f t="array" ref="J678">IFERROR(INDEX('Retirement Calculator'!J:J,MATCH('Isaac 401k'!N678,'Retirement Calculator'!A:A,0),0),0)</f>
        <v>7863.2184191855868</v>
      </c>
      <c r="K678" s="455">
        <f t="shared" ca="1" si="53"/>
        <v>-4672.7123238210725</v>
      </c>
      <c r="L678" s="455">
        <f t="shared" ca="1" si="54"/>
        <v>-1126123.6700408785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-1126123.6700408785</v>
      </c>
      <c r="J679" s="455">
        <f t="array" ref="J679">IFERROR(INDEX('Retirement Calculator'!J:J,MATCH('Isaac 401k'!N679,'Retirement Calculator'!A:A,0),0),0)</f>
        <v>7863.2184191855868</v>
      </c>
      <c r="K679" s="455">
        <f t="shared" ca="1" si="53"/>
        <v>-4724.9453685836006</v>
      </c>
      <c r="L679" s="455">
        <f t="shared" ca="1" si="54"/>
        <v>-1138711.8338286476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-1138711.8338286476</v>
      </c>
      <c r="J680" s="455">
        <f t="array" ref="J680">IFERROR(INDEX('Retirement Calculator'!J:J,MATCH('Isaac 401k'!N680,'Retirement Calculator'!A:A,0),0),0)</f>
        <v>7863.2184191855868</v>
      </c>
      <c r="K680" s="455">
        <f t="shared" ca="1" si="53"/>
        <v>-4777.3960510326388</v>
      </c>
      <c r="L680" s="455">
        <f t="shared" ca="1" si="54"/>
        <v>-1151352.4482988659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-1151352.4482988659</v>
      </c>
      <c r="J681" s="455">
        <f t="array" ref="J681">IFERROR(INDEX('Retirement Calculator'!J:J,MATCH('Isaac 401k'!N681,'Retirement Calculator'!A:A,0),0),0)</f>
        <v>7863.2184191855868</v>
      </c>
      <c r="K681" s="455">
        <f t="shared" ca="1" si="53"/>
        <v>-4830.065277991881</v>
      </c>
      <c r="L681" s="455">
        <f t="shared" ca="1" si="54"/>
        <v>-1164045.7319960434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-1164045.7319960434</v>
      </c>
      <c r="J682" s="455">
        <f t="array" ref="J682">IFERROR(INDEX('Retirement Calculator'!J:J,MATCH('Isaac 401k'!N682,'Retirement Calculator'!A:A,0),0),0)</f>
        <v>7863.2184191855868</v>
      </c>
      <c r="K682" s="455">
        <f t="shared" ca="1" si="53"/>
        <v>-4882.9539600634544</v>
      </c>
      <c r="L682" s="455">
        <f t="shared" ca="1" si="54"/>
        <v>-1176791.9043752924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-1176791.9043752924</v>
      </c>
      <c r="J683" s="455">
        <f t="array" ref="J683">IFERROR(INDEX('Retirement Calculator'!J:J,MATCH('Isaac 401k'!N683,'Retirement Calculator'!A:A,0),0),0)</f>
        <v>7863.2184191855868</v>
      </c>
      <c r="K683" s="455">
        <f t="shared" ca="1" si="53"/>
        <v>-4936.0630116436578</v>
      </c>
      <c r="L683" s="455">
        <f t="shared" ca="1" si="54"/>
        <v>-1189591.1858061217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-1189591.1858061217</v>
      </c>
      <c r="J684" s="455">
        <f t="array" ref="J684">IFERROR(INDEX('Retirement Calculator'!J:J,MATCH('Isaac 401k'!N684,'Retirement Calculator'!A:A,0),0),0)</f>
        <v>7863.2184191855868</v>
      </c>
      <c r="K684" s="455">
        <f t="shared" ca="1" si="53"/>
        <v>-4989.3933509387807</v>
      </c>
      <c r="L684" s="455">
        <f t="shared" ca="1" si="54"/>
        <v>-1202443.7975762461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-1202443.7975762461</v>
      </c>
      <c r="J685" s="455">
        <f t="array" ref="J685">IFERROR(INDEX('Retirement Calculator'!J:J,MATCH('Isaac 401k'!N685,'Retirement Calculator'!A:A,0),0),0)</f>
        <v>7863.2184191855868</v>
      </c>
      <c r="K685" s="455">
        <f t="shared" ca="1" si="53"/>
        <v>-5042.9458999809649</v>
      </c>
      <c r="L685" s="455">
        <f t="shared" ca="1" si="54"/>
        <v>-1215349.9618954128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-1215349.9618954128</v>
      </c>
      <c r="J686" s="455">
        <f t="array" ref="J686">IFERROR(INDEX('Retirement Calculator'!J:J,MATCH('Isaac 401k'!N686,'Retirement Calculator'!A:A,0),0),0)</f>
        <v>7863.2184191855868</v>
      </c>
      <c r="K686" s="455">
        <f t="shared" ca="1" si="53"/>
        <v>-5096.7215846441595</v>
      </c>
      <c r="L686" s="455">
        <f t="shared" ca="1" si="54"/>
        <v>-1228309.9018992425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-1228309.9018992425</v>
      </c>
      <c r="J687" s="455">
        <f t="array" ref="J687">IFERROR(INDEX('Retirement Calculator'!J:J,MATCH('Isaac 401k'!N687,'Retirement Calculator'!A:A,0),0),0)</f>
        <v>7863.2184191855868</v>
      </c>
      <c r="K687" s="455">
        <f t="shared" ca="1" si="53"/>
        <v>-5150.7213346601175</v>
      </c>
      <c r="L687" s="455">
        <f t="shared" ca="1" si="54"/>
        <v>-1241323.8416530883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-1241323.8416530883</v>
      </c>
      <c r="J688" s="455">
        <f t="array" ref="J688">IFERROR(INDEX('Retirement Calculator'!J:J,MATCH('Isaac 401k'!N688,'Retirement Calculator'!A:A,0),0),0)</f>
        <v>7863.2184191855868</v>
      </c>
      <c r="K688" s="455">
        <f t="shared" ca="1" si="53"/>
        <v>-5204.9460836344751</v>
      </c>
      <c r="L688" s="455">
        <f t="shared" ca="1" si="54"/>
        <v>-1254392.0061559083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-1254392.0061559083</v>
      </c>
      <c r="J689" s="455">
        <f t="array" ref="J689">IFERROR(INDEX('Retirement Calculator'!J:J,MATCH('Isaac 401k'!N689,'Retirement Calculator'!A:A,0),0),0)</f>
        <v>7863.2184191855868</v>
      </c>
      <c r="K689" s="455">
        <f t="shared" ca="1" si="53"/>
        <v>-5259.3967690628915</v>
      </c>
      <c r="L689" s="455">
        <f t="shared" ca="1" si="54"/>
        <v>-1267514.6213441568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-1267514.6213441568</v>
      </c>
      <c r="J690" s="455">
        <f t="array" ref="J690">IFERROR(INDEX('Retirement Calculator'!J:J,MATCH('Isaac 401k'!N690,'Retirement Calculator'!A:A,0),0),0)</f>
        <v>7863.2184191855868</v>
      </c>
      <c r="K690" s="455">
        <f t="shared" ca="1" si="53"/>
        <v>-5314.0743323472598</v>
      </c>
      <c r="L690" s="455">
        <f t="shared" ca="1" si="54"/>
        <v>-1280691.9140956898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-1280691.9140956898</v>
      </c>
      <c r="J691" s="455">
        <f t="array" ref="J691">IFERROR(INDEX('Retirement Calculator'!J:J,MATCH('Isaac 401k'!N691,'Retirement Calculator'!A:A,0),0),0)</f>
        <v>7863.2184191855868</v>
      </c>
      <c r="K691" s="455">
        <f t="shared" ca="1" si="53"/>
        <v>-5368.979718811981</v>
      </c>
      <c r="L691" s="455">
        <f t="shared" ca="1" si="54"/>
        <v>-1293924.1122336874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-1293924.1122336874</v>
      </c>
      <c r="J692" s="455">
        <f t="array" ref="J692">IFERROR(INDEX('Retirement Calculator'!J:J,MATCH('Isaac 401k'!N692,'Retirement Calculator'!A:A,0),0),0)</f>
        <v>7863.2184191855868</v>
      </c>
      <c r="K692" s="455">
        <f t="shared" ca="1" si="53"/>
        <v>-5424.1138777203041</v>
      </c>
      <c r="L692" s="455">
        <f t="shared" ca="1" si="54"/>
        <v>-1307211.4445305932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-1307211.4445305932</v>
      </c>
      <c r="J693" s="455">
        <f t="array" ref="J693">IFERROR(INDEX('Retirement Calculator'!J:J,MATCH('Isaac 401k'!N693,'Retirement Calculator'!A:A,0),0),0)</f>
        <v>7863.2184191855868</v>
      </c>
      <c r="K693" s="455">
        <f t="shared" ca="1" si="53"/>
        <v>-5479.477762290745</v>
      </c>
      <c r="L693" s="455">
        <f t="shared" ca="1" si="54"/>
        <v>-1320554.1407120696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-1320554.1407120696</v>
      </c>
      <c r="J694" s="455">
        <f t="array" ref="J694">IFERROR(INDEX('Retirement Calculator'!J:J,MATCH('Isaac 401k'!N694,'Retirement Calculator'!A:A,0),0),0)</f>
        <v>7863.2184191855868</v>
      </c>
      <c r="K694" s="455">
        <f t="shared" ca="1" si="53"/>
        <v>-5535.0723297135628</v>
      </c>
      <c r="L694" s="455">
        <f t="shared" ca="1" si="54"/>
        <v>-1333952.4314609687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-1333952.4314609687</v>
      </c>
      <c r="J695" s="455">
        <f t="array" ref="J695">IFERROR(INDEX('Retirement Calculator'!J:J,MATCH('Isaac 401k'!N695,'Retirement Calculator'!A:A,0),0),0)</f>
        <v>7863.2184191855868</v>
      </c>
      <c r="K695" s="455">
        <f t="shared" ca="1" si="53"/>
        <v>-5590.8985411673093</v>
      </c>
      <c r="L695" s="455">
        <f t="shared" ca="1" si="54"/>
        <v>-1347406.5484213217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-1347406.5484213217</v>
      </c>
      <c r="J696" s="455">
        <f t="array" ref="J696">IFERROR(INDEX('Retirement Calculator'!J:J,MATCH('Isaac 401k'!N696,'Retirement Calculator'!A:A,0),0),0)</f>
        <v>7863.2184191855868</v>
      </c>
      <c r="K696" s="455">
        <f t="shared" ca="1" si="53"/>
        <v>-5646.957361835447</v>
      </c>
      <c r="L696" s="455">
        <f t="shared" ca="1" si="54"/>
        <v>-1360916.7242023428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-1360916.7242023428</v>
      </c>
      <c r="J697" s="455">
        <f t="array" ref="J697">IFERROR(INDEX('Retirement Calculator'!J:J,MATCH('Isaac 401k'!N697,'Retirement Calculator'!A:A,0),0),0)</f>
        <v>7863.2184191855868</v>
      </c>
      <c r="K697" s="455">
        <f t="shared" ca="1" si="53"/>
        <v>-5703.249760923035</v>
      </c>
      <c r="L697" s="455">
        <f t="shared" ca="1" si="54"/>
        <v>-1374483.1923824514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-1374483.1923824514</v>
      </c>
      <c r="J698" s="455">
        <f t="array" ref="J698">IFERROR(INDEX('Retirement Calculator'!J:J,MATCH('Isaac 401k'!N698,'Retirement Calculator'!A:A,0),0),0)</f>
        <v>7863.2184191855868</v>
      </c>
      <c r="K698" s="455">
        <f t="shared" ca="1" si="53"/>
        <v>-5759.7767116734876</v>
      </c>
      <c r="L698" s="455">
        <f t="shared" ca="1" si="54"/>
        <v>-1388106.1875133105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-1388106.1875133105</v>
      </c>
      <c r="J699" s="455">
        <f t="array" ref="J699">IFERROR(INDEX('Retirement Calculator'!J:J,MATCH('Isaac 401k'!N699,'Retirement Calculator'!A:A,0),0),0)</f>
        <v>7863.2184191855868</v>
      </c>
      <c r="K699" s="455">
        <f t="shared" ca="1" si="53"/>
        <v>-5816.5391913854</v>
      </c>
      <c r="L699" s="455">
        <f t="shared" ca="1" si="54"/>
        <v>-1401785.9451238816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-1401785.9451238816</v>
      </c>
      <c r="J700" s="455">
        <f t="array" ref="J700">IFERROR(INDEX('Retirement Calculator'!J:J,MATCH('Isaac 401k'!N700,'Retirement Calculator'!A:A,0),0),0)</f>
        <v>7863.2184191855868</v>
      </c>
      <c r="K700" s="455">
        <f t="shared" ca="1" si="53"/>
        <v>-5873.5381814294469</v>
      </c>
      <c r="L700" s="455">
        <f t="shared" ca="1" si="54"/>
        <v>-1415522.7017244967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-1415522.7017244967</v>
      </c>
      <c r="J701" s="455">
        <f t="array" ref="J701">IFERROR(INDEX('Retirement Calculator'!J:J,MATCH('Isaac 401k'!N701,'Retirement Calculator'!A:A,0),0),0)</f>
        <v>7863.2184191855868</v>
      </c>
      <c r="K701" s="455">
        <f t="shared" ca="1" si="53"/>
        <v>-5930.7746672653429</v>
      </c>
      <c r="L701" s="455">
        <f t="shared" ca="1" si="54"/>
        <v>-1429316.6948109476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-1429316.6948109476</v>
      </c>
      <c r="J702" s="455">
        <f t="array" ref="J702">IFERROR(INDEX('Retirement Calculator'!J:J,MATCH('Isaac 401k'!N702,'Retirement Calculator'!A:A,0),0),0)</f>
        <v>7863.2184191855868</v>
      </c>
      <c r="K702" s="455">
        <f t="shared" ca="1" si="53"/>
        <v>-5988.2496384588885</v>
      </c>
      <c r="L702" s="455">
        <f t="shared" ca="1" si="54"/>
        <v>-1443168.1628685922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-1443168.1628685922</v>
      </c>
      <c r="J703" s="455">
        <f t="array" ref="J703">IFERROR(INDEX('Retirement Calculator'!J:J,MATCH('Isaac 401k'!N703,'Retirement Calculator'!A:A,0),0),0)</f>
        <v>7863.2184191855868</v>
      </c>
      <c r="K703" s="455">
        <f t="shared" ca="1" si="53"/>
        <v>-6045.9640886990737</v>
      </c>
      <c r="L703" s="455">
        <f t="shared" ca="1" si="54"/>
        <v>-1457077.3453764769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-1457077.3453764769</v>
      </c>
      <c r="J704" s="455">
        <f t="array" ref="J704">IFERROR(INDEX('Retirement Calculator'!J:J,MATCH('Isaac 401k'!N704,'Retirement Calculator'!A:A,0),0),0)</f>
        <v>7863.2184191855868</v>
      </c>
      <c r="K704" s="455">
        <f t="shared" ca="1" si="53"/>
        <v>-6103.9190158152605</v>
      </c>
      <c r="L704" s="455">
        <f t="shared" ca="1" si="54"/>
        <v>-1471044.4828114777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-1471044.4828114777</v>
      </c>
      <c r="J705" s="455">
        <f t="array" ref="J705">IFERROR(INDEX('Retirement Calculator'!J:J,MATCH('Isaac 401k'!N705,'Retirement Calculator'!A:A,0),0),0)</f>
        <v>7863.2184191855868</v>
      </c>
      <c r="K705" s="455">
        <f t="shared" ca="1" si="53"/>
        <v>-6162.1154217944304</v>
      </c>
      <c r="L705" s="455">
        <f t="shared" ca="1" si="54"/>
        <v>-1485069.8166524577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-1485069.8166524577</v>
      </c>
      <c r="J706" s="455">
        <f t="array" ref="J706">IFERROR(INDEX('Retirement Calculator'!J:J,MATCH('Isaac 401k'!N706,'Retirement Calculator'!A:A,0),0),0)</f>
        <v>7863.2184191855868</v>
      </c>
      <c r="K706" s="455">
        <f t="shared" ca="1" si="53"/>
        <v>-6220.5543127985138</v>
      </c>
      <c r="L706" s="455">
        <f t="shared" ca="1" si="54"/>
        <v>-1499153.5893844417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-1499153.5893844417</v>
      </c>
      <c r="J707" s="455">
        <f t="array" ref="J707">IFERROR(INDEX('Retirement Calculator'!J:J,MATCH('Isaac 401k'!N707,'Retirement Calculator'!A:A,0),0),0)</f>
        <v>7863.2184191855868</v>
      </c>
      <c r="K707" s="455">
        <f t="shared" ca="1" si="53"/>
        <v>-6279.2366991817808</v>
      </c>
      <c r="L707" s="455">
        <f t="shared" ca="1" si="54"/>
        <v>-1513296.0445028092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-1513296.0445028092</v>
      </c>
      <c r="J708" s="455">
        <f t="array" ref="J708">IFERROR(INDEX('Retirement Calculator'!J:J,MATCH('Isaac 401k'!N708,'Retirement Calculator'!A:A,0),0),0)</f>
        <v>7863.2184191855868</v>
      </c>
      <c r="K708" s="455">
        <f t="shared" ca="1" si="53"/>
        <v>-6338.1635955083111</v>
      </c>
      <c r="L708" s="455">
        <f t="shared" ca="1" si="54"/>
        <v>-1527497.4265175031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-1527497.4265175031</v>
      </c>
      <c r="J709" s="455">
        <f t="array" ref="J709">IFERROR(INDEX('Retirement Calculator'!J:J,MATCH('Isaac 401k'!N709,'Retirement Calculator'!A:A,0),0),0)</f>
        <v>7863.2184191855868</v>
      </c>
      <c r="K709" s="455">
        <f t="shared" ca="1" si="53"/>
        <v>-6397.3360205695362</v>
      </c>
      <c r="L709" s="455">
        <f t="shared" ca="1" si="54"/>
        <v>-1541757.9809572583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-1541757.9809572583</v>
      </c>
      <c r="J710" s="455">
        <f t="array" ref="J710">IFERROR(INDEX('Retirement Calculator'!J:J,MATCH('Isaac 401k'!N710,'Retirement Calculator'!A:A,0),0),0)</f>
        <v>7863.2184191855868</v>
      </c>
      <c r="K710" s="455">
        <f t="shared" ca="1" si="53"/>
        <v>-6456.7549974018493</v>
      </c>
      <c r="L710" s="455">
        <f t="shared" ca="1" si="54"/>
        <v>-1556077.9543738458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-1556077.9543738458</v>
      </c>
      <c r="J711" s="455">
        <f t="array" ref="J711">IFERROR(INDEX('Retirement Calculator'!J:J,MATCH('Isaac 401k'!N711,'Retirement Calculator'!A:A,0),0),0)</f>
        <v>7863.2184191855868</v>
      </c>
      <c r="K711" s="455">
        <f t="shared" ca="1" si="53"/>
        <v>-6516.421553304298</v>
      </c>
      <c r="L711" s="455">
        <f t="shared" ca="1" si="54"/>
        <v>-1570457.5943463356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-1570457.5943463356</v>
      </c>
      <c r="J712" s="455">
        <f t="array" ref="J712">IFERROR(INDEX('Retirement Calculator'!J:J,MATCH('Isaac 401k'!N712,'Retirement Calculator'!A:A,0),0),0)</f>
        <v>7863.2184191855868</v>
      </c>
      <c r="K712" s="455">
        <f t="shared" ca="1" si="53"/>
        <v>-6576.3367198563383</v>
      </c>
      <c r="L712" s="455">
        <f t="shared" ca="1" si="54"/>
        <v>-1584897.1494853776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-1584897.1494853776</v>
      </c>
      <c r="J713" s="455">
        <f t="array" ref="J713">IFERROR(INDEX('Retirement Calculator'!J:J,MATCH('Isaac 401k'!N713,'Retirement Calculator'!A:A,0),0),0)</f>
        <v>7863.2184191855868</v>
      </c>
      <c r="K713" s="455">
        <f t="shared" ca="1" si="53"/>
        <v>-6636.5015329356802</v>
      </c>
      <c r="L713" s="455">
        <f t="shared" ca="1" si="54"/>
        <v>-1599396.869437499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-1599396.869437499</v>
      </c>
      <c r="J714" s="455">
        <f t="array" ref="J714">IFERROR(INDEX('Retirement Calculator'!J:J,MATCH('Isaac 401k'!N714,'Retirement Calculator'!A:A,0),0),0)</f>
        <v>7863.2184191855868</v>
      </c>
      <c r="K714" s="455">
        <f t="shared" ca="1" si="53"/>
        <v>-6696.9170327361853</v>
      </c>
      <c r="L714" s="455">
        <f t="shared" ca="1" si="54"/>
        <v>-1613957.0048894207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-1613957.0048894207</v>
      </c>
      <c r="J715" s="455">
        <f t="array" ref="J715">IFERROR(INDEX('Retirement Calculator'!J:J,MATCH('Isaac 401k'!N715,'Retirement Calculator'!A:A,0),0),0)</f>
        <v>7863.2184191855868</v>
      </c>
      <c r="K715" s="455">
        <f t="shared" ca="1" si="53"/>
        <v>-6757.5842637858595</v>
      </c>
      <c r="L715" s="455">
        <f t="shared" ca="1" si="54"/>
        <v>-1628577.8075723923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-1628577.8075723923</v>
      </c>
      <c r="J716" s="455">
        <f t="array" ref="J716">IFERROR(INDEX('Retirement Calculator'!J:J,MATCH('Isaac 401k'!N716,'Retirement Calculator'!A:A,0),0),0)</f>
        <v>7863.2184191855868</v>
      </c>
      <c r="K716" s="455">
        <f t="shared" ca="1" si="53"/>
        <v>-6818.5042749649074</v>
      </c>
      <c r="L716" s="455">
        <f t="shared" ca="1" si="54"/>
        <v>-1643259.5302665427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-1643259.5302665427</v>
      </c>
      <c r="J717" s="455">
        <f t="array" ref="J717">IFERROR(INDEX('Retirement Calculator'!J:J,MATCH('Isaac 401k'!N717,'Retirement Calculator'!A:A,0),0),0)</f>
        <v>7863.2184191855868</v>
      </c>
      <c r="K717" s="455">
        <f t="shared" ca="1" si="53"/>
        <v>-6879.6781195238682</v>
      </c>
      <c r="L717" s="455">
        <f t="shared" ca="1" si="54"/>
        <v>-1658002.4268052522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-1658002.4268052522</v>
      </c>
      <c r="J718" s="455">
        <f t="array" ref="J718">IFERROR(INDEX('Retirement Calculator'!J:J,MATCH('Isaac 401k'!N718,'Retirement Calculator'!A:A,0),0),0)</f>
        <v>7863.2184191855868</v>
      </c>
      <c r="K718" s="455">
        <f t="shared" ca="1" si="53"/>
        <v>-6941.1068551018234</v>
      </c>
      <c r="L718" s="455">
        <f t="shared" ca="1" si="54"/>
        <v>-1672806.7520795397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-1672806.7520795397</v>
      </c>
      <c r="J719" s="455">
        <f t="array" ref="J719">IFERROR(INDEX('Retirement Calculator'!J:J,MATCH('Isaac 401k'!N719,'Retirement Calculator'!A:A,0),0),0)</f>
        <v>7863.2184191855868</v>
      </c>
      <c r="K719" s="455">
        <f t="shared" ca="1" si="53"/>
        <v>-7002.7915437446891</v>
      </c>
      <c r="L719" s="455">
        <f t="shared" ca="1" si="54"/>
        <v>-1687672.76204247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-1687672.76204247</v>
      </c>
      <c r="J720" s="455">
        <f t="array" ref="J720">IFERROR(INDEX('Retirement Calculator'!J:J,MATCH('Isaac 401k'!N720,'Retirement Calculator'!A:A,0),0),0)</f>
        <v>7863.2184191855868</v>
      </c>
      <c r="K720" s="455">
        <f t="shared" ca="1" si="53"/>
        <v>-7064.7332519235651</v>
      </c>
      <c r="L720" s="455">
        <f t="shared" ca="1" si="54"/>
        <v>-1702600.7137135791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-1702600.7137135791</v>
      </c>
      <c r="J721" s="455">
        <f t="array" ref="J721">IFERROR(INDEX('Retirement Calculator'!J:J,MATCH('Isaac 401k'!N721,'Retirement Calculator'!A:A,0),0),0)</f>
        <v>7863.2184191855868</v>
      </c>
      <c r="K721" s="455">
        <f t="shared" ca="1" si="53"/>
        <v>-7126.9330505531871</v>
      </c>
      <c r="L721" s="455">
        <f t="shared" ca="1" si="54"/>
        <v>-1717590.8651833178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-1717590.8651833178</v>
      </c>
      <c r="J722" s="455">
        <f t="array" ref="J722">IFERROR(INDEX('Retirement Calculator'!J:J,MATCH('Isaac 401k'!N722,'Retirement Calculator'!A:A,0),0),0)</f>
        <v>7863.2184191855868</v>
      </c>
      <c r="K722" s="455">
        <f t="shared" ca="1" si="53"/>
        <v>-7189.3920150104304</v>
      </c>
      <c r="L722" s="455">
        <f t="shared" ca="1" si="54"/>
        <v>-1732643.4756175138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-1732643.4756175138</v>
      </c>
      <c r="J723" s="455">
        <f t="array" ref="J723">IFERROR(INDEX('Retirement Calculator'!J:J,MATCH('Isaac 401k'!N723,'Retirement Calculator'!A:A,0),0),0)</f>
        <v>7863.2184191855868</v>
      </c>
      <c r="K723" s="455">
        <f t="shared" ca="1" si="53"/>
        <v>-7252.1112251529139</v>
      </c>
      <c r="L723" s="455">
        <f t="shared" ca="1" si="54"/>
        <v>-1747758.8052618522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-1747758.8052618522</v>
      </c>
      <c r="J724" s="455">
        <f t="array" ref="J724">IFERROR(INDEX('Retirement Calculator'!J:J,MATCH('Isaac 401k'!N724,'Retirement Calculator'!A:A,0),0),0)</f>
        <v>7863.2184191855868</v>
      </c>
      <c r="K724" s="455">
        <f t="shared" ca="1" si="53"/>
        <v>-7315.0917653376564</v>
      </c>
      <c r="L724" s="455">
        <f t="shared" ca="1" si="54"/>
        <v>-1762937.1154463755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-1762937.1154463755</v>
      </c>
      <c r="J725" s="455">
        <f t="array" ref="J725">IFERROR(INDEX('Retirement Calculator'!J:J,MATCH('Isaac 401k'!N725,'Retirement Calculator'!A:A,0),0),0)</f>
        <v>7863.2184191855868</v>
      </c>
      <c r="K725" s="455">
        <f t="shared" ca="1" si="53"/>
        <v>-7378.3347244398374</v>
      </c>
      <c r="L725" s="455">
        <f t="shared" ca="1" si="54"/>
        <v>-1778178.6685900008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-1778178.6685900008</v>
      </c>
      <c r="J726" s="455">
        <f t="array" ref="J726">IFERROR(INDEX('Retirement Calculator'!J:J,MATCH('Isaac 401k'!N726,'Retirement Calculator'!A:A,0),0),0)</f>
        <v>7863.2184191855868</v>
      </c>
      <c r="K726" s="455">
        <f t="shared" ca="1" si="53"/>
        <v>-7441.8411958716097</v>
      </c>
      <c r="L726" s="455">
        <f t="shared" ca="1" si="54"/>
        <v>-1793483.728205058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-1793483.728205058</v>
      </c>
      <c r="J727" s="455">
        <f t="array" ref="J727">IFERROR(INDEX('Retirement Calculator'!J:J,MATCH('Isaac 401k'!N727,'Retirement Calculator'!A:A,0),0),0)</f>
        <v>7863.2184191855868</v>
      </c>
      <c r="K727" s="455">
        <f t="shared" ca="1" si="53"/>
        <v>-7505.6122776010143</v>
      </c>
      <c r="L727" s="455">
        <f t="shared" ca="1" si="54"/>
        <v>-1808852.5589018445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-1808852.5589018445</v>
      </c>
      <c r="J728" s="455">
        <f t="array" ref="J728">IFERROR(INDEX('Retirement Calculator'!J:J,MATCH('Isaac 401k'!N728,'Retirement Calculator'!A:A,0),0),0)</f>
        <v>7863.2184191855868</v>
      </c>
      <c r="K728" s="455">
        <f t="shared" ca="1" si="53"/>
        <v>-7569.6490721709588</v>
      </c>
      <c r="L728" s="455">
        <f t="shared" ca="1" si="54"/>
        <v>-1824285.4263932011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-1824285.4263932011</v>
      </c>
      <c r="J729" s="455">
        <f t="array" ref="J729">IFERROR(INDEX('Retirement Calculator'!J:J,MATCH('Isaac 401k'!N729,'Retirement Calculator'!A:A,0),0),0)</f>
        <v>7863.2184191855868</v>
      </c>
      <c r="K729" s="455">
        <f t="shared" ca="1" si="53"/>
        <v>-7633.9526867182776</v>
      </c>
      <c r="L729" s="455">
        <f t="shared" ca="1" si="54"/>
        <v>-1839782.5974991049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-1839782.5974991049</v>
      </c>
      <c r="J730" s="455">
        <f t="array" ref="J730">IFERROR(INDEX('Retirement Calculator'!J:J,MATCH('Isaac 401k'!N730,'Retirement Calculator'!A:A,0),0),0)</f>
        <v>7863.2184191855868</v>
      </c>
      <c r="K730" s="455">
        <f t="shared" ca="1" si="53"/>
        <v>-7698.5242329928769</v>
      </c>
      <c r="L730" s="455">
        <f t="shared" ca="1" si="54"/>
        <v>-1855344.3401512834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-1855344.3401512834</v>
      </c>
      <c r="J731" s="455">
        <f t="array" ref="J731">IFERROR(INDEX('Retirement Calculator'!J:J,MATCH('Isaac 401k'!N731,'Retirement Calculator'!A:A,0),0),0)</f>
        <v>7863.2184191855868</v>
      </c>
      <c r="K731" s="455">
        <f t="shared" ca="1" si="53"/>
        <v>-7763.3648273769541</v>
      </c>
      <c r="L731" s="455">
        <f t="shared" ca="1" si="54"/>
        <v>-1870970.9233978461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-1870970.9233978461</v>
      </c>
      <c r="J732" s="455">
        <f t="array" ref="J732">IFERROR(INDEX('Retirement Calculator'!J:J,MATCH('Isaac 401k'!N732,'Retirement Calculator'!A:A,0),0),0)</f>
        <v>7863.2184191855868</v>
      </c>
      <c r="K732" s="455">
        <f t="shared" ca="1" si="53"/>
        <v>-7828.4755909042988</v>
      </c>
      <c r="L732" s="455">
        <f t="shared" ca="1" si="54"/>
        <v>-1886662.6174079359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-1886662.6174079359</v>
      </c>
      <c r="J733" s="455">
        <f t="array" ref="J733">IFERROR(INDEX('Retirement Calculator'!J:J,MATCH('Isaac 401k'!N733,'Retirement Calculator'!A:A,0),0),0)</f>
        <v>7863.2184191855868</v>
      </c>
      <c r="K733" s="455">
        <f t="shared" ca="1" si="53"/>
        <v>-7893.8576492796728</v>
      </c>
      <c r="L733" s="455">
        <f t="shared" ca="1" si="54"/>
        <v>-1902419.6934764013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-1902419.6934764013</v>
      </c>
      <c r="J734" s="455">
        <f t="array" ref="J734">IFERROR(INDEX('Retirement Calculator'!J:J,MATCH('Isaac 401k'!N734,'Retirement Calculator'!A:A,0),0),0)</f>
        <v>7863.2184191855868</v>
      </c>
      <c r="K734" s="455">
        <f t="shared" ca="1" si="53"/>
        <v>-7959.5121328982796</v>
      </c>
      <c r="L734" s="455">
        <f t="shared" ca="1" si="54"/>
        <v>-1918242.4240284851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-1918242.4240284851</v>
      </c>
      <c r="J735" s="455">
        <f t="array" ref="J735">IFERROR(INDEX('Retirement Calculator'!J:J,MATCH('Isaac 401k'!N735,'Retirement Calculator'!A:A,0),0),0)</f>
        <v>7863.2184191855868</v>
      </c>
      <c r="K735" s="455">
        <f t="shared" ca="1" si="53"/>
        <v>-8025.4401768652942</v>
      </c>
      <c r="L735" s="455">
        <f t="shared" ca="1" si="54"/>
        <v>-1934131.082624536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-1934131.082624536</v>
      </c>
      <c r="J736" s="455">
        <f t="array" ref="J736">IFERROR(INDEX('Retirement Calculator'!J:J,MATCH('Isaac 401k'!N736,'Retirement Calculator'!A:A,0),0),0)</f>
        <v>7863.2184191855868</v>
      </c>
      <c r="K736" s="455">
        <f t="shared" ca="1" si="53"/>
        <v>-8091.6429210155075</v>
      </c>
      <c r="L736" s="455">
        <f t="shared" ca="1" si="54"/>
        <v>-1950085.9439647372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-1950085.9439647372</v>
      </c>
      <c r="J737" s="455">
        <f t="array" ref="J737">IFERROR(INDEX('Retirement Calculator'!J:J,MATCH('Isaac 401k'!N737,'Retirement Calculator'!A:A,0),0),0)</f>
        <v>7863.2184191855868</v>
      </c>
      <c r="K737" s="455">
        <f t="shared" ca="1" si="53"/>
        <v>-8158.1215099330129</v>
      </c>
      <c r="L737" s="455">
        <f t="shared" ca="1" si="54"/>
        <v>-1966107.2838938558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-1966107.2838938558</v>
      </c>
      <c r="J738" s="455">
        <f t="array" ref="J738">IFERROR(INDEX('Retirement Calculator'!J:J,MATCH('Isaac 401k'!N738,'Retirement Calculator'!A:A,0),0),0)</f>
        <v>7863.2184191855868</v>
      </c>
      <c r="K738" s="455">
        <f t="shared" ca="1" si="53"/>
        <v>-8224.8770929710063</v>
      </c>
      <c r="L738" s="455">
        <f t="shared" ca="1" si="54"/>
        <v>-1982195.3794060124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-1982195.3794060124</v>
      </c>
      <c r="J739" s="455">
        <f t="array" ref="J739">IFERROR(INDEX('Retirement Calculator'!J:J,MATCH('Isaac 401k'!N739,'Retirement Calculator'!A:A,0),0),0)</f>
        <v>7863.2184191855868</v>
      </c>
      <c r="K739" s="455">
        <f t="shared" ca="1" si="53"/>
        <v>-8291.9108242716593</v>
      </c>
      <c r="L739" s="455">
        <f t="shared" ca="1" si="54"/>
        <v>-1998350.5086494696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-1998350.5086494696</v>
      </c>
      <c r="J740" s="455">
        <f t="array" ref="J740">IFERROR(INDEX('Retirement Calculator'!J:J,MATCH('Isaac 401k'!N740,'Retirement Calculator'!A:A,0),0),0)</f>
        <v>7863.2184191855868</v>
      </c>
      <c r="K740" s="455">
        <f t="shared" ca="1" si="53"/>
        <v>-8359.2238627860625</v>
      </c>
      <c r="L740" s="455">
        <f t="shared" ca="1" si="54"/>
        <v>-2014572.9509314413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-2014572.9509314413</v>
      </c>
      <c r="J741" s="455">
        <f t="array" ref="J741">IFERROR(INDEX('Retirement Calculator'!J:J,MATCH('Isaac 401k'!N741,'Retirement Calculator'!A:A,0),0),0)</f>
        <v>7863.2184191855868</v>
      </c>
      <c r="K741" s="455">
        <f t="shared" ca="1" si="53"/>
        <v>-8426.8173722942793</v>
      </c>
      <c r="L741" s="455">
        <f t="shared" ca="1" si="54"/>
        <v>-2030862.9867229213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-2030862.9867229213</v>
      </c>
      <c r="J742" s="455">
        <f t="array" ref="J742">IFERROR(INDEX('Retirement Calculator'!J:J,MATCH('Isaac 401k'!N742,'Retirement Calculator'!A:A,0),0),0)</f>
        <v>7863.2184191855868</v>
      </c>
      <c r="K742" s="455">
        <f t="shared" ca="1" si="53"/>
        <v>-8494.6925214254443</v>
      </c>
      <c r="L742" s="455">
        <f t="shared" ca="1" si="54"/>
        <v>-2047220.8976635323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-2047220.8976635323</v>
      </c>
      <c r="J743" s="455">
        <f t="array" ref="J743">IFERROR(INDEX('Retirement Calculator'!J:J,MATCH('Isaac 401k'!N743,'Retirement Calculator'!A:A,0),0),0)</f>
        <v>7863.2184191855868</v>
      </c>
      <c r="K743" s="455">
        <f t="shared" ca="1" si="53"/>
        <v>-8562.8504836779903</v>
      </c>
      <c r="L743" s="455">
        <f t="shared" ca="1" si="54"/>
        <v>-2063646.9665663959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-2063646.9665663959</v>
      </c>
      <c r="J744" s="455">
        <f t="array" ref="J744">IFERROR(INDEX('Retirement Calculator'!J:J,MATCH('Isaac 401k'!N744,'Retirement Calculator'!A:A,0),0),0)</f>
        <v>7863.2184191855868</v>
      </c>
      <c r="K744" s="455">
        <f t="shared" ca="1" si="53"/>
        <v>-8631.2924374399227</v>
      </c>
      <c r="L744" s="455">
        <f t="shared" ca="1" si="54"/>
        <v>-2080141.4774230216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-2080141.4774230216</v>
      </c>
      <c r="J745" s="455">
        <f t="array" ref="J745">IFERROR(INDEX('Retirement Calculator'!J:J,MATCH('Isaac 401k'!N745,'Retirement Calculator'!A:A,0),0),0)</f>
        <v>7863.2184191855868</v>
      </c>
      <c r="K745" s="455">
        <f t="shared" ca="1" si="53"/>
        <v>-8700.0195660091958</v>
      </c>
      <c r="L745" s="455">
        <f t="shared" ca="1" si="54"/>
        <v>-2096704.7154082165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-2096704.7154082165</v>
      </c>
      <c r="J746" s="455">
        <f t="array" ref="J746">IFERROR(INDEX('Retirement Calculator'!J:J,MATCH('Isaac 401k'!N746,'Retirement Calculator'!A:A,0),0),0)</f>
        <v>7863.2184191855868</v>
      </c>
      <c r="K746" s="455">
        <f t="shared" ca="1" si="53"/>
        <v>-8769.033057614175</v>
      </c>
      <c r="L746" s="455">
        <f t="shared" ca="1" si="54"/>
        <v>-2113336.9668850163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-2113336.9668850163</v>
      </c>
      <c r="J747" s="455">
        <f t="array" ref="J747">IFERROR(INDEX('Retirement Calculator'!J:J,MATCH('Isaac 401k'!N747,'Retirement Calculator'!A:A,0),0),0)</f>
        <v>7863.2184191855868</v>
      </c>
      <c r="K747" s="455">
        <f t="shared" ca="1" si="53"/>
        <v>-8838.3341054341727</v>
      </c>
      <c r="L747" s="455">
        <f t="shared" ca="1" si="54"/>
        <v>-2130038.519409636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-2130038.519409636</v>
      </c>
      <c r="J748" s="455">
        <f t="array" ref="J748">IFERROR(INDEX('Retirement Calculator'!J:J,MATCH('Isaac 401k'!N748,'Retirement Calculator'!A:A,0),0),0)</f>
        <v>7863.2184191855868</v>
      </c>
      <c r="K748" s="455">
        <f t="shared" ca="1" si="53"/>
        <v>-8907.9239076200884</v>
      </c>
      <c r="L748" s="455">
        <f t="shared" ca="1" si="54"/>
        <v>-2146809.6617364413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-2146809.6617364413</v>
      </c>
      <c r="J749" s="455">
        <f t="array" ref="J749">IFERROR(INDEX('Retirement Calculator'!J:J,MATCH('Isaac 401k'!N749,'Retirement Calculator'!A:A,0),0),0)</f>
        <v>7863.2184191855868</v>
      </c>
      <c r="K749" s="455">
        <f t="shared" ca="1" si="53"/>
        <v>-8977.8036673151109</v>
      </c>
      <c r="L749" s="455">
        <f t="shared" ca="1" si="54"/>
        <v>-2163650.683822942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-2163650.683822942</v>
      </c>
      <c r="J750" s="455">
        <f t="array" ref="J750">IFERROR(INDEX('Retirement Calculator'!J:J,MATCH('Isaac 401k'!N750,'Retirement Calculator'!A:A,0),0),0)</f>
        <v>7863.2184191855868</v>
      </c>
      <c r="K750" s="455">
        <f t="shared" ca="1" si="53"/>
        <v>-9047.9745926755313</v>
      </c>
      <c r="L750" s="455">
        <f t="shared" ca="1" si="54"/>
        <v>-2180561.8768348028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-2180561.8768348028</v>
      </c>
      <c r="J751" s="455">
        <f t="array" ref="J751">IFERROR(INDEX('Retirement Calculator'!J:J,MATCH('Isaac 401k'!N751,'Retirement Calculator'!A:A,0),0),0)</f>
        <v>7863.2184191855868</v>
      </c>
      <c r="K751" s="455">
        <f t="shared" ca="1" si="53"/>
        <v>-9118.4378968916171</v>
      </c>
      <c r="L751" s="455">
        <f t="shared" ca="1" si="54"/>
        <v>-2197543.5331508797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-2197543.5331508797</v>
      </c>
      <c r="J752" s="455">
        <f t="array" ref="J752">IFERROR(INDEX('Retirement Calculator'!J:J,MATCH('Isaac 401k'!N752,'Retirement Calculator'!A:A,0),0),0)</f>
        <v>7863.2184191855868</v>
      </c>
      <c r="K752" s="455">
        <f t="shared" ca="1" si="53"/>
        <v>-9189.194798208604</v>
      </c>
      <c r="L752" s="455">
        <f t="shared" ca="1" si="54"/>
        <v>-2214595.9463682738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-2214595.9463682738</v>
      </c>
      <c r="J753" s="455">
        <f t="array" ref="J753">IFERROR(INDEX('Retirement Calculator'!J:J,MATCH('Isaac 401k'!N753,'Retirement Calculator'!A:A,0),0),0)</f>
        <v>7863.2184191855868</v>
      </c>
      <c r="K753" s="455">
        <f t="shared" ca="1" si="53"/>
        <v>-9260.2465199477465</v>
      </c>
      <c r="L753" s="455">
        <f t="shared" ca="1" si="54"/>
        <v>-2231719.4113074071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-2231719.4113074071</v>
      </c>
      <c r="J754" s="455">
        <f t="array" ref="J754">IFERROR(INDEX('Retirement Calculator'!J:J,MATCH('Isaac 401k'!N754,'Retirement Calculator'!A:A,0),0),0)</f>
        <v>7863.2184191855868</v>
      </c>
      <c r="K754" s="455">
        <f t="shared" ca="1" si="53"/>
        <v>-9331.5942905274678</v>
      </c>
      <c r="L754" s="455">
        <f t="shared" ca="1" si="54"/>
        <v>-2248914.22401712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-2248914.22401712</v>
      </c>
      <c r="J755" s="455">
        <f t="array" ref="J755">IFERROR(INDEX('Retirement Calculator'!J:J,MATCH('Isaac 401k'!N755,'Retirement Calculator'!A:A,0),0),0)</f>
        <v>7863.2184191855868</v>
      </c>
      <c r="K755" s="455">
        <f t="shared" ca="1" si="53"/>
        <v>-9403.2393434846053</v>
      </c>
      <c r="L755" s="455">
        <f t="shared" ca="1" si="54"/>
        <v>-2266180.6817797897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-2266180.6817797897</v>
      </c>
      <c r="J756" s="455">
        <f t="array" ref="J756">IFERROR(INDEX('Retirement Calculator'!J:J,MATCH('Isaac 401k'!N756,'Retirement Calculator'!A:A,0),0),0)</f>
        <v>7863.2184191855868</v>
      </c>
      <c r="K756" s="455">
        <f t="shared" ca="1" si="53"/>
        <v>-9475.1829174957293</v>
      </c>
      <c r="L756" s="455">
        <f t="shared" ca="1" si="54"/>
        <v>-2283519.0831164708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-2283519.0831164708</v>
      </c>
      <c r="J757" s="455">
        <f t="array" ref="J757">IFERROR(INDEX('Retirement Calculator'!J:J,MATCH('Isaac 401k'!N757,'Retirement Calculator'!A:A,0),0),0)</f>
        <v>7863.2184191855868</v>
      </c>
      <c r="K757" s="455">
        <f t="shared" ca="1" si="53"/>
        <v>-9547.4262563985667</v>
      </c>
      <c r="L757" s="455">
        <f t="shared" ca="1" si="54"/>
        <v>-2300929.7277920549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-2300929.7277920549</v>
      </c>
      <c r="J758" s="455">
        <f t="array" ref="J758">IFERROR(INDEX('Retirement Calculator'!J:J,MATCH('Isaac 401k'!N758,'Retirement Calculator'!A:A,0),0),0)</f>
        <v>7863.2184191855868</v>
      </c>
      <c r="K758" s="455">
        <f t="shared" ca="1" si="53"/>
        <v>-9619.9706092135002</v>
      </c>
      <c r="L758" s="455">
        <f t="shared" ca="1" si="54"/>
        <v>-2318412.9168204539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-2318412.9168204539</v>
      </c>
      <c r="J759" s="455">
        <f t="array" ref="J759">IFERROR(INDEX('Retirement Calculator'!J:J,MATCH('Isaac 401k'!N759,'Retirement Calculator'!A:A,0),0),0)</f>
        <v>7863.2184191855868</v>
      </c>
      <c r="K759" s="455">
        <f t="shared" ca="1" si="53"/>
        <v>-9692.817230165163</v>
      </c>
      <c r="L759" s="455">
        <f t="shared" ca="1" si="54"/>
        <v>-2335968.9524698043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-2335968.9524698043</v>
      </c>
      <c r="J760" s="455">
        <f t="array" ref="J760">IFERROR(INDEX('Retirement Calculator'!J:J,MATCH('Isaac 401k'!N760,'Retirement Calculator'!A:A,0),0),0)</f>
        <v>7863.2184191855868</v>
      </c>
      <c r="K760" s="455">
        <f t="shared" ca="1" si="53"/>
        <v>-9765.9673787041229</v>
      </c>
      <c r="L760" s="455">
        <f t="shared" ca="1" si="54"/>
        <v>-2353598.138267694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-2353598.138267694</v>
      </c>
      <c r="J761" s="455">
        <f t="array" ref="J761">IFERROR(INDEX('Retirement Calculator'!J:J,MATCH('Isaac 401k'!N761,'Retirement Calculator'!A:A,0),0),0)</f>
        <v>7863.2184191855868</v>
      </c>
      <c r="K761" s="455">
        <f t="shared" ca="1" si="53"/>
        <v>-9839.422319528665</v>
      </c>
      <c r="L761" s="455">
        <f t="shared" ca="1" si="54"/>
        <v>-2371300.7790064081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-2371300.7790064081</v>
      </c>
      <c r="J762" s="455">
        <f t="array" ref="J762">IFERROR(INDEX('Retirement Calculator'!J:J,MATCH('Isaac 401k'!N762,'Retirement Calculator'!A:A,0),0),0)</f>
        <v>7863.2184191855868</v>
      </c>
      <c r="K762" s="455">
        <f t="shared" ca="1" si="53"/>
        <v>-9913.1833226066392</v>
      </c>
      <c r="L762" s="455">
        <f t="shared" ca="1" si="54"/>
        <v>-2389077.1807482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-2389077.1807482</v>
      </c>
      <c r="J763" s="455">
        <f t="array" ref="J763">IFERROR(INDEX('Retirement Calculator'!J:J,MATCH('Isaac 401k'!N763,'Retirement Calculator'!A:A,0),0),0)</f>
        <v>7863.2184191855868</v>
      </c>
      <c r="K763" s="455">
        <f t="shared" ca="1" si="53"/>
        <v>-9987.2516631974395</v>
      </c>
      <c r="L763" s="455">
        <f t="shared" ca="1" si="54"/>
        <v>-2406927.6508305827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-2406927.6508305827</v>
      </c>
      <c r="J764" s="455">
        <f t="array" ref="J764">IFERROR(INDEX('Retirement Calculator'!J:J,MATCH('Isaac 401k'!N764,'Retirement Calculator'!A:A,0),0),0)</f>
        <v>7863.2184191855868</v>
      </c>
      <c r="K764" s="455">
        <f t="shared" ca="1" si="53"/>
        <v>-10061.628621874033</v>
      </c>
      <c r="L764" s="455">
        <f t="shared" ca="1" si="54"/>
        <v>-2424852.497871642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-2424852.497871642</v>
      </c>
      <c r="J765" s="455">
        <f t="array" ref="J765">IFERROR(INDEX('Retirement Calculator'!J:J,MATCH('Isaac 401k'!N765,'Retirement Calculator'!A:A,0),0),0)</f>
        <v>7863.2184191855868</v>
      </c>
      <c r="K765" s="455">
        <f t="shared" ca="1" si="53"/>
        <v>-10136.315484545114</v>
      </c>
      <c r="L765" s="455">
        <f t="shared" ca="1" si="54"/>
        <v>-2442852.0317753726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-2442852.0317753726</v>
      </c>
      <c r="J766" s="455">
        <f t="array" ref="J766">IFERROR(INDEX('Retirement Calculator'!J:J,MATCH('Isaac 401k'!N766,'Retirement Calculator'!A:A,0),0),0)</f>
        <v>7863.2184191855868</v>
      </c>
      <c r="K766" s="455">
        <f t="shared" ca="1" si="53"/>
        <v>-10211.313542477325</v>
      </c>
      <c r="L766" s="455">
        <f t="shared" ca="1" si="54"/>
        <v>-2460926.5637370353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-2460926.5637370353</v>
      </c>
      <c r="J767" s="455">
        <f t="array" ref="J767">IFERROR(INDEX('Retirement Calculator'!J:J,MATCH('Isaac 401k'!N767,'Retirement Calculator'!A:A,0),0),0)</f>
        <v>7863.2184191855868</v>
      </c>
      <c r="K767" s="455">
        <f t="shared" ca="1" si="53"/>
        <v>-10286.624092317586</v>
      </c>
      <c r="L767" s="455">
        <f t="shared" ca="1" si="54"/>
        <v>-2479076.4062485383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-2479076.4062485383</v>
      </c>
      <c r="J768" s="455">
        <f t="array" ref="J768">IFERROR(INDEX('Retirement Calculator'!J:J,MATCH('Isaac 401k'!N768,'Retirement Calculator'!A:A,0),0),0)</f>
        <v>7863.2184191855868</v>
      </c>
      <c r="K768" s="455">
        <f t="shared" ca="1" si="53"/>
        <v>-10362.248436115515</v>
      </c>
      <c r="L768" s="455">
        <f t="shared" ca="1" si="54"/>
        <v>-2497301.8731038393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-2497301.8731038393</v>
      </c>
      <c r="J769" s="455">
        <f t="array" ref="J769">IFERROR(INDEX('Retirement Calculator'!J:J,MATCH('Isaac 401k'!N769,'Retirement Calculator'!A:A,0),0),0)</f>
        <v>7863.2184191855868</v>
      </c>
      <c r="K769" s="455">
        <f t="shared" ca="1" si="53"/>
        <v>-10438.187881345937</v>
      </c>
      <c r="L769" s="455">
        <f t="shared" ca="1" si="54"/>
        <v>-2515603.2794043706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-2515603.2794043706</v>
      </c>
      <c r="J770" s="455">
        <f t="array" ref="J770">IFERROR(INDEX('Retirement Calculator'!J:J,MATCH('Isaac 401k'!N770,'Retirement Calculator'!A:A,0),0),0)</f>
        <v>7863.2184191855868</v>
      </c>
      <c r="K770" s="455">
        <f t="shared" ca="1" si="53"/>
        <v>-10514.443740931483</v>
      </c>
      <c r="L770" s="455">
        <f t="shared" ca="1" si="54"/>
        <v>-2533980.9415644873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-2533980.9415644873</v>
      </c>
      <c r="J771" s="455">
        <f t="array" ref="J771">IFERROR(INDEX('Retirement Calculator'!J:J,MATCH('Isaac 401k'!N771,'Retirement Calculator'!A:A,0),0),0)</f>
        <v>7863.2184191855868</v>
      </c>
      <c r="K771" s="455">
        <f t="shared" ca="1" si="53"/>
        <v>-10591.017333265303</v>
      </c>
      <c r="L771" s="455">
        <f t="shared" ca="1" si="54"/>
        <v>-2552435.1773169381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-2552435.1773169381</v>
      </c>
      <c r="J772" s="455">
        <f t="array" ref="J772">IFERROR(INDEX('Retirement Calculator'!J:J,MATCH('Isaac 401k'!N772,'Retirement Calculator'!A:A,0),0),0)</f>
        <v>7863.2184191855868</v>
      </c>
      <c r="K772" s="455">
        <f t="shared" ca="1" si="53"/>
        <v>-10667.909982233847</v>
      </c>
      <c r="L772" s="455">
        <f t="shared" ca="1" si="54"/>
        <v>-2570966.3057183572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-2570966.3057183572</v>
      </c>
      <c r="J773" s="455">
        <f t="array" ref="J773">IFERROR(INDEX('Retirement Calculator'!J:J,MATCH('Isaac 401k'!N773,'Retirement Calculator'!A:A,0),0),0)</f>
        <v>7863.2184191855868</v>
      </c>
      <c r="K773" s="455">
        <f t="shared" ref="K773:K1027" ca="1" si="79">IPMT(M773/12,1,12,-I773+J773,,0)</f>
        <v>-10745.123017239761</v>
      </c>
      <c r="L773" s="455">
        <f t="shared" ref="L773:L1027" ca="1" si="80">I773-J773+K773</f>
        <v>-2589574.6471547824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-2589574.6471547824</v>
      </c>
      <c r="J774" s="455">
        <f t="array" ref="J774">IFERROR(INDEX('Retirement Calculator'!J:J,MATCH('Isaac 401k'!N774,'Retirement Calculator'!A:A,0),0),0)</f>
        <v>7863.2184191855868</v>
      </c>
      <c r="K774" s="455">
        <f t="shared" ca="1" si="79"/>
        <v>-10822.657773224866</v>
      </c>
      <c r="L774" s="455">
        <f t="shared" ca="1" si="80"/>
        <v>-2608260.5233471924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-2608260.5233471924</v>
      </c>
      <c r="J775" s="455">
        <f t="array" ref="J775">IFERROR(INDEX('Retirement Calculator'!J:J,MATCH('Isaac 401k'!N775,'Retirement Calculator'!A:A,0),0),0)</f>
        <v>7863.2184191855868</v>
      </c>
      <c r="K775" s="455">
        <f t="shared" ca="1" si="79"/>
        <v>-10900.515590693241</v>
      </c>
      <c r="L775" s="455">
        <f t="shared" ca="1" si="80"/>
        <v>-2627024.2573570712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-2627024.2573570712</v>
      </c>
      <c r="J776" s="455">
        <f t="array" ref="J776">IFERROR(INDEX('Retirement Calculator'!J:J,MATCH('Isaac 401k'!N776,'Retirement Calculator'!A:A,0),0),0)</f>
        <v>7863.2184191855868</v>
      </c>
      <c r="K776" s="455">
        <f t="shared" ca="1" si="79"/>
        <v>-10978.697815734402</v>
      </c>
      <c r="L776" s="455">
        <f t="shared" ca="1" si="80"/>
        <v>-2645866.173591991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-2645866.173591991</v>
      </c>
      <c r="J777" s="455">
        <f t="array" ref="J777">IFERROR(INDEX('Retirement Calculator'!J:J,MATCH('Isaac 401k'!N777,'Retirement Calculator'!A:A,0),0),0)</f>
        <v>7863.2184191855868</v>
      </c>
      <c r="K777" s="455">
        <f t="shared" ca="1" si="79"/>
        <v>-11057.205800046568</v>
      </c>
      <c r="L777" s="455">
        <f t="shared" ca="1" si="80"/>
        <v>-2664786.597811223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-2664786.597811223</v>
      </c>
      <c r="J778" s="455">
        <f t="array" ref="J778">IFERROR(INDEX('Retirement Calculator'!J:J,MATCH('Isaac 401k'!N778,'Retirement Calculator'!A:A,0),0),0)</f>
        <v>7863.2184191855868</v>
      </c>
      <c r="K778" s="455">
        <f t="shared" ca="1" si="79"/>
        <v>-11136.040900960035</v>
      </c>
      <c r="L778" s="455">
        <f t="shared" ca="1" si="80"/>
        <v>-2683785.8571313685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-2683785.8571313685</v>
      </c>
      <c r="J779" s="455">
        <f t="array" ref="J779">IFERROR(INDEX('Retirement Calculator'!J:J,MATCH('Isaac 401k'!N779,'Retirement Calculator'!A:A,0),0),0)</f>
        <v>7863.2184191855868</v>
      </c>
      <c r="K779" s="455">
        <f t="shared" ca="1" si="79"/>
        <v>-11215.204481460642</v>
      </c>
      <c r="L779" s="455">
        <f t="shared" ca="1" si="80"/>
        <v>-2702864.2800320145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-2702864.2800320145</v>
      </c>
      <c r="J780" s="455">
        <f t="array" ref="J780">IFERROR(INDEX('Retirement Calculator'!J:J,MATCH('Isaac 401k'!N780,'Retirement Calculator'!A:A,0),0),0)</f>
        <v>7863.2184191855868</v>
      </c>
      <c r="K780" s="455">
        <f t="shared" ca="1" si="79"/>
        <v>-11294.697910213332</v>
      </c>
      <c r="L780" s="455">
        <f t="shared" ca="1" si="80"/>
        <v>-2722022.1963614132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-2722022.1963614132</v>
      </c>
      <c r="J781" s="455">
        <f t="array" ref="J781">IFERROR(INDEX('Retirement Calculator'!J:J,MATCH('Isaac 401k'!N781,'Retirement Calculator'!A:A,0),0),0)</f>
        <v>7863.2184191855868</v>
      </c>
      <c r="K781" s="455">
        <f t="shared" ca="1" si="79"/>
        <v>-11374.522561585827</v>
      </c>
      <c r="L781" s="455">
        <f t="shared" ca="1" si="80"/>
        <v>-2741259.9373421846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-2741259.9373421846</v>
      </c>
      <c r="J782" s="455">
        <f t="array" ref="J782">IFERROR(INDEX('Retirement Calculator'!J:J,MATCH('Isaac 401k'!N782,'Retirement Calculator'!A:A,0),0),0)</f>
        <v>7863.2184191855868</v>
      </c>
      <c r="K782" s="455">
        <f t="shared" ca="1" si="79"/>
        <v>-11454.679815672374</v>
      </c>
      <c r="L782" s="455">
        <f t="shared" ca="1" si="80"/>
        <v>-2760577.8355770423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-2760577.8355770423</v>
      </c>
      <c r="J783" s="455">
        <f t="array" ref="J783">IFERROR(INDEX('Retirement Calculator'!J:J,MATCH('Isaac 401k'!N783,'Retirement Calculator'!A:A,0),0),0)</f>
        <v>7863.2184191855868</v>
      </c>
      <c r="K783" s="455">
        <f t="shared" ca="1" si="79"/>
        <v>-11535.171058317615</v>
      </c>
      <c r="L783" s="455">
        <f t="shared" ca="1" si="80"/>
        <v>-2779976.2250545453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-2779976.2250545453</v>
      </c>
      <c r="J784" s="455">
        <f t="array" ref="J784">IFERROR(INDEX('Retirement Calculator'!J:J,MATCH('Isaac 401k'!N784,'Retirement Calculator'!A:A,0),0),0)</f>
        <v>7863.2184191855868</v>
      </c>
      <c r="K784" s="455">
        <f t="shared" ca="1" si="79"/>
        <v>-11615.997681140545</v>
      </c>
      <c r="L784" s="455">
        <f t="shared" ca="1" si="80"/>
        <v>-2799455.4411548711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-2799455.4411548711</v>
      </c>
      <c r="J785" s="455">
        <f t="array" ref="J785">IFERROR(INDEX('Retirement Calculator'!J:J,MATCH('Isaac 401k'!N785,'Retirement Calculator'!A:A,0),0),0)</f>
        <v>7863.2184191855868</v>
      </c>
      <c r="K785" s="455">
        <f t="shared" ca="1" si="79"/>
        <v>-11697.161081558568</v>
      </c>
      <c r="L785" s="455">
        <f t="shared" ca="1" si="80"/>
        <v>-2819015.8206556151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-2819015.8206556151</v>
      </c>
      <c r="J786" s="455">
        <f t="array" ref="J786">IFERROR(INDEX('Retirement Calculator'!J:J,MATCH('Isaac 401k'!N786,'Retirement Calculator'!A:A,0),0),0)</f>
        <v>7863.2184191855868</v>
      </c>
      <c r="K786" s="455">
        <f t="shared" ca="1" si="79"/>
        <v>-11778.662662811668</v>
      </c>
      <c r="L786" s="455">
        <f t="shared" ca="1" si="80"/>
        <v>-2838657.701737612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-2838657.701737612</v>
      </c>
      <c r="J787" s="455">
        <f t="array" ref="J787">IFERROR(INDEX('Retirement Calculator'!J:J,MATCH('Isaac 401k'!N787,'Retirement Calculator'!A:A,0),0),0)</f>
        <v>7863.2184191855868</v>
      </c>
      <c r="K787" s="455">
        <f t="shared" ca="1" si="79"/>
        <v>-11860.503833986655</v>
      </c>
      <c r="L787" s="455">
        <f t="shared" ca="1" si="80"/>
        <v>-2858381.4239907842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-2858381.4239907842</v>
      </c>
      <c r="J788" s="455">
        <f t="array" ref="J788">IFERROR(INDEX('Retirement Calculator'!J:J,MATCH('Isaac 401k'!N788,'Retirement Calculator'!A:A,0),0),0)</f>
        <v>7863.2184191855868</v>
      </c>
      <c r="K788" s="455">
        <f t="shared" ca="1" si="79"/>
        <v>-11942.68601004154</v>
      </c>
      <c r="L788" s="455">
        <f t="shared" ca="1" si="80"/>
        <v>-2878187.3284200113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-2878187.3284200113</v>
      </c>
      <c r="J789" s="455">
        <f t="array" ref="J789">IFERROR(INDEX('Retirement Calculator'!J:J,MATCH('Isaac 401k'!N789,'Retirement Calculator'!A:A,0),0),0)</f>
        <v>7863.2184191855868</v>
      </c>
      <c r="K789" s="455">
        <f t="shared" ca="1" si="79"/>
        <v>-12025.210611829985</v>
      </c>
      <c r="L789" s="455">
        <f t="shared" ca="1" si="80"/>
        <v>-2898075.7574510267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-2898075.7574510267</v>
      </c>
      <c r="J790" s="455">
        <f t="array" ref="J790">IFERROR(INDEX('Retirement Calculator'!J:J,MATCH('Isaac 401k'!N790,'Retirement Calculator'!A:A,0),0),0)</f>
        <v>7863.2184191855868</v>
      </c>
      <c r="K790" s="455">
        <f t="shared" ca="1" si="79"/>
        <v>-12108.079066125883</v>
      </c>
      <c r="L790" s="455">
        <f t="shared" ca="1" si="80"/>
        <v>-2918047.0549363378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-2918047.0549363378</v>
      </c>
      <c r="J791" s="455">
        <f t="array" ref="J791">IFERROR(INDEX('Retirement Calculator'!J:J,MATCH('Isaac 401k'!N791,'Retirement Calculator'!A:A,0),0),0)</f>
        <v>7863.2184191855868</v>
      </c>
      <c r="K791" s="455">
        <f t="shared" ca="1" si="79"/>
        <v>-12191.292805648012</v>
      </c>
      <c r="L791" s="455">
        <f t="shared" ca="1" si="80"/>
        <v>-2938101.5661611711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-2938101.5661611711</v>
      </c>
      <c r="J792" s="455">
        <f t="array" ref="J792">IFERROR(INDEX('Retirement Calculator'!J:J,MATCH('Isaac 401k'!N792,'Retirement Calculator'!A:A,0),0),0)</f>
        <v>7863.2184191855868</v>
      </c>
      <c r="K792" s="455">
        <f t="shared" ca="1" si="79"/>
        <v>-12274.853269084819</v>
      </c>
      <c r="L792" s="455">
        <f t="shared" ca="1" si="80"/>
        <v>-2958239.6378494413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-2958239.6378494413</v>
      </c>
      <c r="J793" s="455">
        <f t="array" ref="J793">IFERROR(INDEX('Retirement Calculator'!J:J,MATCH('Isaac 401k'!N793,'Retirement Calculator'!A:A,0),0),0)</f>
        <v>7863.2184191855868</v>
      </c>
      <c r="K793" s="455">
        <f t="shared" ca="1" si="79"/>
        <v>-12358.761901119278</v>
      </c>
      <c r="L793" s="455">
        <f t="shared" ca="1" si="80"/>
        <v>-2978461.6181697459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-2978461.6181697459</v>
      </c>
      <c r="J794" s="455">
        <f t="array" ref="J794">IFERROR(INDEX('Retirement Calculator'!J:J,MATCH('Isaac 401k'!N794,'Retirement Calculator'!A:A,0),0),0)</f>
        <v>7863.2184191855868</v>
      </c>
      <c r="K794" s="455">
        <f t="shared" ca="1" si="79"/>
        <v>-12443.020152453881</v>
      </c>
      <c r="L794" s="455">
        <f t="shared" ca="1" si="80"/>
        <v>-2998767.8567413851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-2998767.8567413851</v>
      </c>
      <c r="J795" s="455">
        <f t="array" ref="J795">IFERROR(INDEX('Retirement Calculator'!J:J,MATCH('Isaac 401k'!N795,'Retirement Calculator'!A:A,0),0),0)</f>
        <v>7863.2184191855868</v>
      </c>
      <c r="K795" s="455">
        <f t="shared" ca="1" si="79"/>
        <v>-12527.62947983571</v>
      </c>
      <c r="L795" s="455">
        <f t="shared" ca="1" si="80"/>
        <v>-3019158.7046404062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-3019158.7046404062</v>
      </c>
      <c r="J796" s="455">
        <f t="array" ref="J796">IFERROR(INDEX('Retirement Calculator'!J:J,MATCH('Isaac 401k'!N796,'Retirement Calculator'!A:A,0),0),0)</f>
        <v>7863.2184191855868</v>
      </c>
      <c r="K796" s="455">
        <f t="shared" ca="1" si="79"/>
        <v>-12612.591346081632</v>
      </c>
      <c r="L796" s="455">
        <f t="shared" ca="1" si="80"/>
        <v>-3039634.5144056734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-3039634.5144056734</v>
      </c>
      <c r="J797" s="455">
        <f t="array" ref="J797">IFERROR(INDEX('Retirement Calculator'!J:J,MATCH('Isaac 401k'!N797,'Retirement Calculator'!A:A,0),0),0)</f>
        <v>7863.2184191855868</v>
      </c>
      <c r="K797" s="455">
        <f t="shared" ca="1" si="79"/>
        <v>-12697.907220103578</v>
      </c>
      <c r="L797" s="455">
        <f t="shared" ca="1" si="80"/>
        <v>-3060195.6400449625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-3060195.6400449625</v>
      </c>
      <c r="J798" s="455">
        <f t="array" ref="J798">IFERROR(INDEX('Retirement Calculator'!J:J,MATCH('Isaac 401k'!N798,'Retirement Calculator'!A:A,0),0),0)</f>
        <v>7863.2184191855868</v>
      </c>
      <c r="K798" s="455">
        <f t="shared" ca="1" si="79"/>
        <v>-12783.578576933949</v>
      </c>
      <c r="L798" s="455">
        <f t="shared" ca="1" si="80"/>
        <v>-3080842.437041082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-3080842.437041082</v>
      </c>
      <c r="J799" s="455">
        <f t="array" ref="J799">IFERROR(INDEX('Retirement Calculator'!J:J,MATCH('Isaac 401k'!N799,'Retirement Calculator'!A:A,0),0),0)</f>
        <v>7863.2184191855868</v>
      </c>
      <c r="K799" s="455">
        <f t="shared" ca="1" si="79"/>
        <v>-12869.606897751113</v>
      </c>
      <c r="L799" s="455">
        <f t="shared" ca="1" si="80"/>
        <v>-3101575.2623580187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-3101575.2623580187</v>
      </c>
      <c r="J800" s="455">
        <f t="array" ref="J800">IFERROR(INDEX('Retirement Calculator'!J:J,MATCH('Isaac 401k'!N800,'Retirement Calculator'!A:A,0),0),0)</f>
        <v>7863.2184191855868</v>
      </c>
      <c r="K800" s="455">
        <f t="shared" ca="1" si="79"/>
        <v>-12955.993669905016</v>
      </c>
      <c r="L800" s="455">
        <f t="shared" ca="1" si="80"/>
        <v>-3122394.4744471093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-3122394.4744471093</v>
      </c>
      <c r="J801" s="455">
        <f t="array" ref="J801">IFERROR(INDEX('Retirement Calculator'!J:J,MATCH('Isaac 401k'!N801,'Retirement Calculator'!A:A,0),0),0)</f>
        <v>7863.2184191855868</v>
      </c>
      <c r="K801" s="455">
        <f t="shared" ca="1" si="79"/>
        <v>-13042.740386942894</v>
      </c>
      <c r="L801" s="455">
        <f t="shared" ca="1" si="80"/>
        <v>-3143300.4332532375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-3143300.4332532375</v>
      </c>
      <c r="J802" s="455">
        <f t="array" ref="J802">IFERROR(INDEX('Retirement Calculator'!J:J,MATCH('Isaac 401k'!N802,'Retirement Calculator'!A:A,0),0),0)</f>
        <v>7863.2184191855868</v>
      </c>
      <c r="K802" s="455">
        <f t="shared" ca="1" si="79"/>
        <v>-13129.848548635095</v>
      </c>
      <c r="L802" s="455">
        <f t="shared" ca="1" si="80"/>
        <v>-3164293.5002210578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-3164293.5002210578</v>
      </c>
      <c r="J803" s="455">
        <f t="array" ref="J803">IFERROR(INDEX('Retirement Calculator'!J:J,MATCH('Isaac 401k'!N803,'Retirement Calculator'!A:A,0),0),0)</f>
        <v>7863.2184191855868</v>
      </c>
      <c r="K803" s="455">
        <f t="shared" ca="1" si="79"/>
        <v>-13217.319661001013</v>
      </c>
      <c r="L803" s="455">
        <f t="shared" ca="1" si="80"/>
        <v>-3185374.0383012444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-3185374.0383012444</v>
      </c>
      <c r="J804" s="455">
        <f t="array" ref="J804">IFERROR(INDEX('Retirement Calculator'!J:J,MATCH('Isaac 401k'!N804,'Retirement Calculator'!A:A,0),0),0)</f>
        <v>7863.2184191855868</v>
      </c>
      <c r="K804" s="455">
        <f t="shared" ca="1" si="79"/>
        <v>-13305.155236335124</v>
      </c>
      <c r="L804" s="455">
        <f t="shared" ca="1" si="80"/>
        <v>-3206542.4119567648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-3206542.4119567648</v>
      </c>
      <c r="J805" s="455">
        <f t="array" ref="J805">IFERROR(INDEX('Retirement Calculator'!J:J,MATCH('Isaac 401k'!N805,'Retirement Calculator'!A:A,0),0),0)</f>
        <v>7863.2184191855868</v>
      </c>
      <c r="K805" s="455">
        <f t="shared" ca="1" si="79"/>
        <v>-13393.356793233126</v>
      </c>
      <c r="L805" s="455">
        <f t="shared" ca="1" si="80"/>
        <v>-3227798.9871691833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-3227798.9871691833</v>
      </c>
      <c r="J806" s="455">
        <f t="array" ref="J806">IFERROR(INDEX('Retirement Calculator'!J:J,MATCH('Isaac 401k'!N806,'Retirement Calculator'!A:A,0),0),0)</f>
        <v>7863.2184191855868</v>
      </c>
      <c r="K806" s="455">
        <f t="shared" ca="1" si="79"/>
        <v>-13481.925856618203</v>
      </c>
      <c r="L806" s="455">
        <f t="shared" ca="1" si="80"/>
        <v>-3249144.1314449869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-3249144.1314449869</v>
      </c>
      <c r="J807" s="455">
        <f t="array" ref="J807">IFERROR(INDEX('Retirement Calculator'!J:J,MATCH('Isaac 401k'!N807,'Retirement Calculator'!A:A,0),0),0)</f>
        <v>7863.2184191855868</v>
      </c>
      <c r="K807" s="455">
        <f t="shared" ca="1" si="79"/>
        <v>-13570.863957767384</v>
      </c>
      <c r="L807" s="455">
        <f t="shared" ca="1" si="80"/>
        <v>-3270578.2138219397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-3270578.2138219397</v>
      </c>
      <c r="J808" s="455">
        <f t="array" ref="J808">IFERROR(INDEX('Retirement Calculator'!J:J,MATCH('Isaac 401k'!N808,'Retirement Calculator'!A:A,0),0),0)</f>
        <v>7863.2184191855868</v>
      </c>
      <c r="K808" s="455">
        <f t="shared" ca="1" si="79"/>
        <v>-13660.17263433802</v>
      </c>
      <c r="L808" s="455">
        <f t="shared" ca="1" si="80"/>
        <v>-3292101.6048754631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-3292101.6048754631</v>
      </c>
      <c r="J809" s="455">
        <f t="array" ref="J809">IFERROR(INDEX('Retirement Calculator'!J:J,MATCH('Isaac 401k'!N809,'Retirement Calculator'!A:A,0),0),0)</f>
        <v>7863.2184191855868</v>
      </c>
      <c r="K809" s="455">
        <f t="shared" ca="1" si="79"/>
        <v>-13749.853430394369</v>
      </c>
      <c r="L809" s="455">
        <f t="shared" ca="1" si="80"/>
        <v>-3313714.676725043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-3313714.676725043</v>
      </c>
      <c r="J810" s="455">
        <f t="array" ref="J810">IFERROR(INDEX('Retirement Calculator'!J:J,MATCH('Isaac 401k'!N810,'Retirement Calculator'!A:A,0),0),0)</f>
        <v>7863.2184191855868</v>
      </c>
      <c r="K810" s="455">
        <f t="shared" ca="1" si="79"/>
        <v>-13839.907896434284</v>
      </c>
      <c r="L810" s="455">
        <f t="shared" ca="1" si="80"/>
        <v>-3335417.8030406628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-3335417.8030406628</v>
      </c>
      <c r="J811" s="455">
        <f t="array" ref="J811">IFERROR(INDEX('Retirement Calculator'!J:J,MATCH('Isaac 401k'!N811,'Retirement Calculator'!A:A,0),0),0)</f>
        <v>7863.2184191855868</v>
      </c>
      <c r="K811" s="455">
        <f t="shared" ca="1" si="79"/>
        <v>-13930.337589416034</v>
      </c>
      <c r="L811" s="455">
        <f t="shared" ca="1" si="80"/>
        <v>-3357211.3590492643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-3357211.3590492643</v>
      </c>
      <c r="J812" s="455">
        <f t="array" ref="J812">IFERROR(INDEX('Retirement Calculator'!J:J,MATCH('Isaac 401k'!N812,'Retirement Calculator'!A:A,0),0),0)</f>
        <v>7863.2184191855868</v>
      </c>
      <c r="K812" s="455">
        <f t="shared" ca="1" si="79"/>
        <v>-14021.14407278521</v>
      </c>
      <c r="L812" s="455">
        <f t="shared" ca="1" si="80"/>
        <v>-3379095.7215412348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-3379095.7215412348</v>
      </c>
      <c r="J813" s="455">
        <f t="array" ref="J813">IFERROR(INDEX('Retirement Calculator'!J:J,MATCH('Isaac 401k'!N813,'Retirement Calculator'!A:A,0),0),0)</f>
        <v>7863.2184191855868</v>
      </c>
      <c r="K813" s="455">
        <f t="shared" ca="1" si="79"/>
        <v>-14112.32891650175</v>
      </c>
      <c r="L813" s="455">
        <f t="shared" ca="1" si="80"/>
        <v>-3401071.2688769219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-3401071.2688769219</v>
      </c>
      <c r="J814" s="455">
        <f t="array" ref="J814">IFERROR(INDEX('Retirement Calculator'!J:J,MATCH('Isaac 401k'!N814,'Retirement Calculator'!A:A,0),0),0)</f>
        <v>7863.2184191855868</v>
      </c>
      <c r="K814" s="455">
        <f t="shared" ca="1" si="79"/>
        <v>-14203.893697067113</v>
      </c>
      <c r="L814" s="455">
        <f t="shared" ca="1" si="80"/>
        <v>-3423138.3809931744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-3423138.3809931744</v>
      </c>
      <c r="J815" s="455">
        <f t="array" ref="J815">IFERROR(INDEX('Retirement Calculator'!J:J,MATCH('Isaac 401k'!N815,'Retirement Calculator'!A:A,0),0),0)</f>
        <v>7863.2184191855868</v>
      </c>
      <c r="K815" s="455">
        <f t="shared" ca="1" si="79"/>
        <v>-14295.839997551497</v>
      </c>
      <c r="L815" s="455">
        <f t="shared" ca="1" si="80"/>
        <v>-3445297.4394099112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-3445297.4394099112</v>
      </c>
      <c r="J816" s="455">
        <f t="array" ref="J816">IFERROR(INDEX('Retirement Calculator'!J:J,MATCH('Isaac 401k'!N816,'Retirement Calculator'!A:A,0),0),0)</f>
        <v>7863.2184191855868</v>
      </c>
      <c r="K816" s="455">
        <f t="shared" ca="1" si="79"/>
        <v>-14388.169407621235</v>
      </c>
      <c r="L816" s="455">
        <f t="shared" ca="1" si="80"/>
        <v>-3467548.8272367176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-3467548.8272367176</v>
      </c>
      <c r="J817" s="455">
        <f t="array" ref="J817">IFERROR(INDEX('Retirement Calculator'!J:J,MATCH('Isaac 401k'!N817,'Retirement Calculator'!A:A,0),0),0)</f>
        <v>7863.2184191855868</v>
      </c>
      <c r="K817" s="455">
        <f t="shared" ca="1" si="79"/>
        <v>-14480.883523566263</v>
      </c>
      <c r="L817" s="455">
        <f t="shared" ca="1" si="80"/>
        <v>-3489892.9291794691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-3489892.9291794691</v>
      </c>
      <c r="J818" s="455">
        <f t="array" ref="J818">IFERROR(INDEX('Retirement Calculator'!J:J,MATCH('Isaac 401k'!N818,'Retirement Calculator'!A:A,0),0),0)</f>
        <v>7863.2184191855868</v>
      </c>
      <c r="K818" s="455">
        <f t="shared" ca="1" si="79"/>
        <v>-14573.983948327728</v>
      </c>
      <c r="L818" s="455">
        <f t="shared" ca="1" si="80"/>
        <v>-3512330.1315469821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-3512330.1315469821</v>
      </c>
      <c r="J819" s="455">
        <f t="array" ref="J819">IFERROR(INDEX('Retirement Calculator'!J:J,MATCH('Isaac 401k'!N819,'Retirement Calculator'!A:A,0),0),0)</f>
        <v>7863.2184191855868</v>
      </c>
      <c r="K819" s="455">
        <f t="shared" ca="1" si="79"/>
        <v>-14667.472291525699</v>
      </c>
      <c r="L819" s="455">
        <f t="shared" ca="1" si="80"/>
        <v>-3534860.8222576934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-3534860.8222576934</v>
      </c>
      <c r="J820" s="455">
        <f t="array" ref="J820">IFERROR(INDEX('Retirement Calculator'!J:J,MATCH('Isaac 401k'!N820,'Retirement Calculator'!A:A,0),0),0)</f>
        <v>7863.2184191855868</v>
      </c>
      <c r="K820" s="455">
        <f t="shared" ca="1" si="79"/>
        <v>-14761.350169486994</v>
      </c>
      <c r="L820" s="455">
        <f t="shared" ca="1" si="80"/>
        <v>-3557485.3908463656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-3557485.3908463656</v>
      </c>
      <c r="J821" s="455">
        <f t="array" ref="J821">IFERROR(INDEX('Retirement Calculator'!J:J,MATCH('Isaac 401k'!N821,'Retirement Calculator'!A:A,0),0),0)</f>
        <v>7863.2184191855868</v>
      </c>
      <c r="K821" s="455">
        <f t="shared" ca="1" si="79"/>
        <v>-14855.619205273131</v>
      </c>
      <c r="L821" s="455">
        <f t="shared" ca="1" si="80"/>
        <v>-3580204.2284708242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-3580204.2284708242</v>
      </c>
      <c r="J822" s="455">
        <f t="array" ref="J822">IFERROR(INDEX('Retirement Calculator'!J:J,MATCH('Isaac 401k'!N822,'Retirement Calculator'!A:A,0),0),0)</f>
        <v>7863.2184191855868</v>
      </c>
      <c r="K822" s="455">
        <f t="shared" ca="1" si="79"/>
        <v>-14950.281028708372</v>
      </c>
      <c r="L822" s="455">
        <f t="shared" ca="1" si="80"/>
        <v>-3603017.727918718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-3603017.727918718</v>
      </c>
      <c r="J823" s="455">
        <f t="array" ref="J823">IFERROR(INDEX('Retirement Calculator'!J:J,MATCH('Isaac 401k'!N823,'Retirement Calculator'!A:A,0),0),0)</f>
        <v>7863.2184191855868</v>
      </c>
      <c r="K823" s="455">
        <f t="shared" ca="1" si="79"/>
        <v>-15045.33727640793</v>
      </c>
      <c r="L823" s="455">
        <f t="shared" ca="1" si="80"/>
        <v>-3625926.2836143114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-3625926.2836143114</v>
      </c>
      <c r="J824" s="455">
        <f t="array" ref="J824">IFERROR(INDEX('Retirement Calculator'!J:J,MATCH('Isaac 401k'!N824,'Retirement Calculator'!A:A,0),0),0)</f>
        <v>7863.2184191855868</v>
      </c>
      <c r="K824" s="455">
        <f t="shared" ca="1" si="79"/>
        <v>-15140.789591806235</v>
      </c>
      <c r="L824" s="455">
        <f t="shared" ca="1" si="80"/>
        <v>-3648930.2916253028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-3648930.2916253028</v>
      </c>
      <c r="J825" s="455">
        <f t="array" ref="J825">IFERROR(INDEX('Retirement Calculator'!J:J,MATCH('Isaac 401k'!N825,'Retirement Calculator'!A:A,0),0),0)</f>
        <v>7863.2184191855868</v>
      </c>
      <c r="K825" s="455">
        <f t="shared" ca="1" si="79"/>
        <v>-15236.639625185366</v>
      </c>
      <c r="L825" s="455">
        <f t="shared" ca="1" si="80"/>
        <v>-3672030.1496696733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-3672030.1496696733</v>
      </c>
      <c r="J826" s="455">
        <f t="array" ref="J826">IFERROR(INDEX('Retirement Calculator'!J:J,MATCH('Isaac 401k'!N826,'Retirement Calculator'!A:A,0),0),0)</f>
        <v>7863.2184191855868</v>
      </c>
      <c r="K826" s="455">
        <f t="shared" ca="1" si="79"/>
        <v>-15332.889033703577</v>
      </c>
      <c r="L826" s="455">
        <f t="shared" ca="1" si="80"/>
        <v>-3695226.2571225623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-3695226.2571225623</v>
      </c>
      <c r="J827" s="455">
        <f t="array" ref="J827">IFERROR(INDEX('Retirement Calculator'!J:J,MATCH('Isaac 401k'!N827,'Retirement Calculator'!A:A,0),0),0)</f>
        <v>7863.2184191855868</v>
      </c>
      <c r="K827" s="455">
        <f t="shared" ca="1" si="79"/>
        <v>-15429.53948142395</v>
      </c>
      <c r="L827" s="455">
        <f t="shared" ca="1" si="80"/>
        <v>-3718519.0150231714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-3718519.0150231714</v>
      </c>
      <c r="J828" s="455">
        <f t="array" ref="J828">IFERROR(INDEX('Retirement Calculator'!J:J,MATCH('Isaac 401k'!N828,'Retirement Calculator'!A:A,0),0),0)</f>
        <v>7863.2184191855868</v>
      </c>
      <c r="K828" s="455">
        <f t="shared" ca="1" si="79"/>
        <v>-15526.592639343153</v>
      </c>
      <c r="L828" s="455">
        <f t="shared" ca="1" si="80"/>
        <v>-3741908.8260817002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-3741908.8260817002</v>
      </c>
      <c r="J829" s="455">
        <f t="array" ref="J829">IFERROR(INDEX('Retirement Calculator'!J:J,MATCH('Isaac 401k'!N829,'Retirement Calculator'!A:A,0),0),0)</f>
        <v>7863.2184191855868</v>
      </c>
      <c r="K829" s="455">
        <f t="shared" ca="1" si="79"/>
        <v>-15624.050185420356</v>
      </c>
      <c r="L829" s="455">
        <f t="shared" ca="1" si="80"/>
        <v>-3765396.0946863061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-3765396.0946863061</v>
      </c>
      <c r="J830" s="455">
        <f t="array" ref="J830">IFERROR(INDEX('Retirement Calculator'!J:J,MATCH('Isaac 401k'!N830,'Retirement Calculator'!A:A,0),0),0)</f>
        <v>7863.2184191855868</v>
      </c>
      <c r="K830" s="455">
        <f t="shared" ca="1" si="79"/>
        <v>-15721.913804606214</v>
      </c>
      <c r="L830" s="455">
        <f t="shared" ca="1" si="80"/>
        <v>-3788981.2269100975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-3788981.2269100975</v>
      </c>
      <c r="J831" s="455">
        <f t="array" ref="J831">IFERROR(INDEX('Retirement Calculator'!J:J,MATCH('Isaac 401k'!N831,'Retirement Calculator'!A:A,0),0),0)</f>
        <v>7863.2184191855868</v>
      </c>
      <c r="K831" s="455">
        <f t="shared" ca="1" si="79"/>
        <v>-15820.18518887201</v>
      </c>
      <c r="L831" s="455">
        <f t="shared" ca="1" si="80"/>
        <v>-3812664.6305181547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-3812664.6305181547</v>
      </c>
      <c r="J832" s="455">
        <f t="array" ref="J832">IFERROR(INDEX('Retirement Calculator'!J:J,MATCH('Isaac 401k'!N832,'Retirement Calculator'!A:A,0),0),0)</f>
        <v>7863.2184191855868</v>
      </c>
      <c r="K832" s="455">
        <f t="shared" ca="1" si="79"/>
        <v>-15918.866037238919</v>
      </c>
      <c r="L832" s="455">
        <f t="shared" ca="1" si="80"/>
        <v>-3836446.7149745789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-3836446.7149745789</v>
      </c>
      <c r="J833" s="455">
        <f t="array" ref="J833">IFERROR(INDEX('Retirement Calculator'!J:J,MATCH('Isaac 401k'!N833,'Retirement Calculator'!A:A,0),0),0)</f>
        <v>7863.2184191855868</v>
      </c>
      <c r="K833" s="455">
        <f t="shared" ca="1" si="79"/>
        <v>-16017.95805580735</v>
      </c>
      <c r="L833" s="455">
        <f t="shared" ca="1" si="80"/>
        <v>-3860327.8914495716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-3860327.8914495716</v>
      </c>
      <c r="J834" s="455">
        <f t="array" ref="J834">IFERROR(INDEX('Retirement Calculator'!J:J,MATCH('Isaac 401k'!N834,'Retirement Calculator'!A:A,0),0),0)</f>
        <v>7863.2184191855868</v>
      </c>
      <c r="K834" s="455">
        <f t="shared" ca="1" si="79"/>
        <v>-16117.462957786485</v>
      </c>
      <c r="L834" s="455">
        <f t="shared" ca="1" si="80"/>
        <v>-3884308.5728265434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-3884308.5728265434</v>
      </c>
      <c r="J835" s="455">
        <f t="array" ref="J835">IFERROR(INDEX('Retirement Calculator'!J:J,MATCH('Isaac 401k'!N835,'Retirement Calculator'!A:A,0),0),0)</f>
        <v>7863.2184191855868</v>
      </c>
      <c r="K835" s="455">
        <f t="shared" ca="1" si="79"/>
        <v>-16217.382463523867</v>
      </c>
      <c r="L835" s="455">
        <f t="shared" ca="1" si="80"/>
        <v>-3908389.1737092524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-3908389.1737092524</v>
      </c>
      <c r="J836" s="455">
        <f t="array" ref="J836">IFERROR(INDEX('Retirement Calculator'!J:J,MATCH('Isaac 401k'!N836,'Retirement Calculator'!A:A,0),0),0)</f>
        <v>7863.2184191855868</v>
      </c>
      <c r="K836" s="455">
        <f t="shared" ca="1" si="79"/>
        <v>-16317.71830053516</v>
      </c>
      <c r="L836" s="455">
        <f t="shared" ca="1" si="80"/>
        <v>-3932570.1104289731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-3932570.1104289731</v>
      </c>
      <c r="J837" s="455">
        <f t="array" ref="J837">IFERROR(INDEX('Retirement Calculator'!J:J,MATCH('Isaac 401k'!N837,'Retirement Calculator'!A:A,0),0),0)</f>
        <v>7863.2184191855868</v>
      </c>
      <c r="K837" s="455">
        <f t="shared" ca="1" si="79"/>
        <v>-16418.472203533995</v>
      </c>
      <c r="L837" s="455">
        <f t="shared" ca="1" si="80"/>
        <v>-3956851.8010516926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-3956851.8010516926</v>
      </c>
      <c r="J838" s="455">
        <f t="array" ref="J838">IFERROR(INDEX('Retirement Calculator'!J:J,MATCH('Isaac 401k'!N838,'Retirement Calculator'!A:A,0),0),0)</f>
        <v>7863.2184191855868</v>
      </c>
      <c r="K838" s="455">
        <f t="shared" ca="1" si="79"/>
        <v>-16519.645914461995</v>
      </c>
      <c r="L838" s="455">
        <f t="shared" ca="1" si="80"/>
        <v>-3981234.6653853399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-3981234.6653853399</v>
      </c>
      <c r="J839" s="455">
        <f t="array" ref="J839">IFERROR(INDEX('Retirement Calculator'!J:J,MATCH('Isaac 401k'!N839,'Retirement Calculator'!A:A,0),0),0)</f>
        <v>7863.2184191855868</v>
      </c>
      <c r="K839" s="455">
        <f t="shared" ca="1" si="79"/>
        <v>-16621.241182518854</v>
      </c>
      <c r="L839" s="455">
        <f t="shared" ca="1" si="80"/>
        <v>-4005719.1249870439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-4005719.1249870439</v>
      </c>
      <c r="J840" s="455">
        <f t="array" ref="J840">IFERROR(INDEX('Retirement Calculator'!J:J,MATCH('Isaac 401k'!N840,'Retirement Calculator'!A:A,0),0),0)</f>
        <v>7863.2184191855868</v>
      </c>
      <c r="K840" s="455">
        <f t="shared" ca="1" si="79"/>
        <v>-16723.259764192622</v>
      </c>
      <c r="L840" s="455">
        <f t="shared" ca="1" si="80"/>
        <v>-4030305.6031704219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-4030305.6031704219</v>
      </c>
      <c r="J841" s="455">
        <f t="array" ref="J841">IFERROR(INDEX('Retirement Calculator'!J:J,MATCH('Isaac 401k'!N841,'Retirement Calculator'!A:A,0),0),0)</f>
        <v>7863.2184191855868</v>
      </c>
      <c r="K841" s="455">
        <f t="shared" ca="1" si="79"/>
        <v>-16825.70342329003</v>
      </c>
      <c r="L841" s="455">
        <f t="shared" ca="1" si="80"/>
        <v>-4054994.5250128973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-4054994.5250128973</v>
      </c>
      <c r="J842" s="455">
        <f t="array" ref="J842">IFERROR(INDEX('Retirement Calculator'!J:J,MATCH('Isaac 401k'!N842,'Retirement Calculator'!A:A,0),0),0)</f>
        <v>7863.2184191855868</v>
      </c>
      <c r="K842" s="455">
        <f t="shared" ca="1" si="79"/>
        <v>-16928.57393096701</v>
      </c>
      <c r="L842" s="455">
        <f t="shared" ca="1" si="80"/>
        <v>-4079786.3173630498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-4079786.3173630498</v>
      </c>
      <c r="J843" s="455">
        <f t="array" ref="J843">IFERROR(INDEX('Retirement Calculator'!J:J,MATCH('Isaac 401k'!N843,'Retirement Calculator'!A:A,0),0),0)</f>
        <v>7863.2184191855868</v>
      </c>
      <c r="K843" s="455">
        <f t="shared" ca="1" si="79"/>
        <v>-17031.873065759311</v>
      </c>
      <c r="L843" s="455">
        <f t="shared" ca="1" si="80"/>
        <v>-4104681.4088479946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-4104681.4088479946</v>
      </c>
      <c r="J844" s="455">
        <f t="array" ref="J844">IFERROR(INDEX('Retirement Calculator'!J:J,MATCH('Isaac 401k'!N844,'Retirement Calculator'!A:A,0),0),0)</f>
        <v>7863.2184191855868</v>
      </c>
      <c r="K844" s="455">
        <f t="shared" ca="1" si="79"/>
        <v>-17135.60261361325</v>
      </c>
      <c r="L844" s="455">
        <f t="shared" ca="1" si="80"/>
        <v>-4129680.2298807935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-4129680.2298807935</v>
      </c>
      <c r="J845" s="455">
        <f t="array" ref="J845">IFERROR(INDEX('Retirement Calculator'!J:J,MATCH('Isaac 401k'!N845,'Retirement Calculator'!A:A,0),0),0)</f>
        <v>7863.2184191855868</v>
      </c>
      <c r="K845" s="455">
        <f t="shared" ca="1" si="79"/>
        <v>-17239.764367916578</v>
      </c>
      <c r="L845" s="455">
        <f t="shared" ca="1" si="80"/>
        <v>-4154783.2126678955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-4154783.2126678955</v>
      </c>
      <c r="J846" s="455">
        <f t="array" ref="J846">IFERROR(INDEX('Retirement Calculator'!J:J,MATCH('Isaac 401k'!N846,'Retirement Calculator'!A:A,0),0),0)</f>
        <v>7863.2184191855868</v>
      </c>
      <c r="K846" s="455">
        <f t="shared" ca="1" si="79"/>
        <v>-17344.360129529505</v>
      </c>
      <c r="L846" s="455">
        <f t="shared" ca="1" si="80"/>
        <v>-4179990.7912166105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-4179990.7912166105</v>
      </c>
      <c r="J847" s="455">
        <f t="array" ref="J847">IFERROR(INDEX('Retirement Calculator'!J:J,MATCH('Isaac 401k'!N847,'Retirement Calculator'!A:A,0),0),0)</f>
        <v>7863.2184191855868</v>
      </c>
      <c r="K847" s="455">
        <f t="shared" ca="1" si="79"/>
        <v>-17449.391706815815</v>
      </c>
      <c r="L847" s="455">
        <f t="shared" ca="1" si="80"/>
        <v>-4205303.4013426118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-4205303.4013426118</v>
      </c>
      <c r="J848" s="455">
        <f t="array" ref="J848">IFERROR(INDEX('Retirement Calculator'!J:J,MATCH('Isaac 401k'!N848,'Retirement Calculator'!A:A,0),0),0)</f>
        <v>7863.2184191855868</v>
      </c>
      <c r="K848" s="455">
        <f t="shared" ca="1" si="79"/>
        <v>-17554.860915674155</v>
      </c>
      <c r="L848" s="455">
        <f t="shared" ca="1" si="80"/>
        <v>-4230721.4806774715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-4230721.4806774715</v>
      </c>
      <c r="J849" s="455">
        <f t="array" ref="J849">IFERROR(INDEX('Retirement Calculator'!J:J,MATCH('Isaac 401k'!N849,'Retirement Calculator'!A:A,0),0),0)</f>
        <v>7863.2184191855868</v>
      </c>
      <c r="K849" s="455">
        <f t="shared" ca="1" si="79"/>
        <v>-17660.769579569405</v>
      </c>
      <c r="L849" s="455">
        <f t="shared" ca="1" si="80"/>
        <v>-4256245.4686762271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-4256245.4686762271</v>
      </c>
      <c r="J850" s="455">
        <f t="array" ref="J850">IFERROR(INDEX('Retirement Calculator'!J:J,MATCH('Isaac 401k'!N850,'Retirement Calculator'!A:A,0),0),0)</f>
        <v>7863.2184191855868</v>
      </c>
      <c r="K850" s="455">
        <f t="shared" ca="1" si="79"/>
        <v>-17767.119529564221</v>
      </c>
      <c r="L850" s="455">
        <f t="shared" ca="1" si="80"/>
        <v>-4281875.8066249769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-4281875.8066249769</v>
      </c>
      <c r="J851" s="455">
        <f t="array" ref="J851">IFERROR(INDEX('Retirement Calculator'!J:J,MATCH('Isaac 401k'!N851,'Retirement Calculator'!A:A,0),0),0)</f>
        <v>7863.2184191855868</v>
      </c>
      <c r="K851" s="455">
        <f t="shared" ca="1" si="79"/>
        <v>-17873.912604350677</v>
      </c>
      <c r="L851" s="455">
        <f t="shared" ca="1" si="80"/>
        <v>-4307612.9376485134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-4307612.9376485134</v>
      </c>
      <c r="J852" s="455">
        <f t="array" ref="J852">IFERROR(INDEX('Retirement Calculator'!J:J,MATCH('Isaac 401k'!N852,'Retirement Calculator'!A:A,0),0),0)</f>
        <v>7863.2184191855868</v>
      </c>
      <c r="K852" s="455">
        <f t="shared" ca="1" si="79"/>
        <v>-17981.150650282081</v>
      </c>
      <c r="L852" s="455">
        <f t="shared" ca="1" si="80"/>
        <v>-4333457.3067179816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-4333457.3067179816</v>
      </c>
      <c r="J853" s="455">
        <f t="array" ref="J853">IFERROR(INDEX('Retirement Calculator'!J:J,MATCH('Isaac 401k'!N853,'Retirement Calculator'!A:A,0),0),0)</f>
        <v>7863.2184191855868</v>
      </c>
      <c r="K853" s="455">
        <f t="shared" ca="1" si="79"/>
        <v>-18088.835521404864</v>
      </c>
      <c r="L853" s="455">
        <f t="shared" ca="1" si="80"/>
        <v>-4359409.3606585721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-4359409.3606585721</v>
      </c>
      <c r="J854" s="455">
        <f t="array" ref="J854">IFERROR(INDEX('Retirement Calculator'!J:J,MATCH('Isaac 401k'!N854,'Retirement Calculator'!A:A,0),0),0)</f>
        <v>7863.2184191855868</v>
      </c>
      <c r="K854" s="455">
        <f t="shared" ca="1" si="79"/>
        <v>-18196.969079490656</v>
      </c>
      <c r="L854" s="455">
        <f t="shared" ca="1" si="80"/>
        <v>-4385469.5481572486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-4385469.5481572486</v>
      </c>
      <c r="J855" s="455">
        <f t="array" ref="J855">IFERROR(INDEX('Retirement Calculator'!J:J,MATCH('Isaac 401k'!N855,'Retirement Calculator'!A:A,0),0),0)</f>
        <v>7863.2184191855868</v>
      </c>
      <c r="K855" s="455">
        <f t="shared" ca="1" si="79"/>
        <v>-18305.553194068478</v>
      </c>
      <c r="L855" s="455">
        <f t="shared" ca="1" si="80"/>
        <v>-4411638.3197705029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-4411638.3197705029</v>
      </c>
      <c r="J856" s="455">
        <f t="array" ref="J856">IFERROR(INDEX('Retirement Calculator'!J:J,MATCH('Isaac 401k'!N856,'Retirement Calculator'!A:A,0),0),0)</f>
        <v>7863.2184191855868</v>
      </c>
      <c r="K856" s="455">
        <f t="shared" ca="1" si="79"/>
        <v>-18414.589742457036</v>
      </c>
      <c r="L856" s="455">
        <f t="shared" ca="1" si="80"/>
        <v>-4437916.1279321462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-4437916.1279321462</v>
      </c>
      <c r="J857" s="455">
        <f t="array" ref="J857">IFERROR(INDEX('Retirement Calculator'!J:J,MATCH('Isaac 401k'!N857,'Retirement Calculator'!A:A,0),0),0)</f>
        <v>7863.2184191855868</v>
      </c>
      <c r="K857" s="455">
        <f t="shared" ca="1" si="79"/>
        <v>-18524.080609797216</v>
      </c>
      <c r="L857" s="455">
        <f t="shared" ca="1" si="80"/>
        <v>-4464303.4269611295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-4464303.4269611295</v>
      </c>
      <c r="J858" s="455">
        <f t="array" ref="J858">IFERROR(INDEX('Retirement Calculator'!J:J,MATCH('Isaac 401k'!N858,'Retirement Calculator'!A:A,0),0),0)</f>
        <v>7863.2184191855868</v>
      </c>
      <c r="K858" s="455">
        <f t="shared" ca="1" si="79"/>
        <v>-18634.027689084647</v>
      </c>
      <c r="L858" s="455">
        <f t="shared" ca="1" si="80"/>
        <v>-4490800.6730693998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-4490800.6730693998</v>
      </c>
      <c r="J859" s="455">
        <f t="array" ref="J859">IFERROR(INDEX('Retirement Calculator'!J:J,MATCH('Isaac 401k'!N859,'Retirement Calculator'!A:A,0),0),0)</f>
        <v>7863.2184191855868</v>
      </c>
      <c r="K859" s="455">
        <f t="shared" ca="1" si="79"/>
        <v>-18744.43288120244</v>
      </c>
      <c r="L859" s="455">
        <f t="shared" ca="1" si="80"/>
        <v>-4517408.3243697882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-4517408.3243697882</v>
      </c>
      <c r="J860" s="455">
        <f t="array" ref="J860">IFERROR(INDEX('Retirement Calculator'!J:J,MATCH('Isaac 401k'!N860,'Retirement Calculator'!A:A,0),0),0)</f>
        <v>7863.2184191855868</v>
      </c>
      <c r="K860" s="455">
        <f t="shared" ca="1" si="79"/>
        <v>-18855.298094954058</v>
      </c>
      <c r="L860" s="455">
        <f t="shared" ca="1" si="80"/>
        <v>-4544126.8408839284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-4544126.8408839284</v>
      </c>
      <c r="J861" s="455">
        <f t="array" ref="J861">IFERROR(INDEX('Retirement Calculator'!J:J,MATCH('Isaac 401k'!N861,'Retirement Calculator'!A:A,0),0),0)</f>
        <v>7863.2184191855868</v>
      </c>
      <c r="K861" s="455">
        <f t="shared" ca="1" si="79"/>
        <v>-18966.625247096308</v>
      </c>
      <c r="L861" s="455">
        <f t="shared" ca="1" si="80"/>
        <v>-4570956.6845502108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-4570956.6845502108</v>
      </c>
      <c r="J862" s="455">
        <f t="array" ref="J862">IFERROR(INDEX('Retirement Calculator'!J:J,MATCH('Isaac 401k'!N862,'Retirement Calculator'!A:A,0),0),0)</f>
        <v>7863.2184191855868</v>
      </c>
      <c r="K862" s="455">
        <f t="shared" ca="1" si="79"/>
        <v>-19078.416262372484</v>
      </c>
      <c r="L862" s="455">
        <f t="shared" ca="1" si="80"/>
        <v>-4597898.3192317691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-4597898.3192317691</v>
      </c>
      <c r="J863" s="455">
        <f t="array" ref="J863">IFERROR(INDEX('Retirement Calculator'!J:J,MATCH('Isaac 401k'!N863,'Retirement Calculator'!A:A,0),0),0)</f>
        <v>7863.2184191855868</v>
      </c>
      <c r="K863" s="455">
        <f t="shared" ca="1" si="79"/>
        <v>-19190.673073545644</v>
      </c>
      <c r="L863" s="455">
        <f t="shared" ca="1" si="80"/>
        <v>-4624952.2107245009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-4624952.2107245009</v>
      </c>
      <c r="J864" s="455">
        <f t="array" ref="J864">IFERROR(INDEX('Retirement Calculator'!J:J,MATCH('Isaac 401k'!N864,'Retirement Calculator'!A:A,0),0),0)</f>
        <v>7863.2184191855868</v>
      </c>
      <c r="K864" s="455">
        <f t="shared" ca="1" si="79"/>
        <v>-19303.397621432028</v>
      </c>
      <c r="L864" s="455">
        <f t="shared" ca="1" si="80"/>
        <v>-4652118.8267651191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-4652118.8267651191</v>
      </c>
      <c r="J865" s="455">
        <f t="array" ref="J865">IFERROR(INDEX('Retirement Calculator'!J:J,MATCH('Isaac 401k'!N865,'Retirement Calculator'!A:A,0),0),0)</f>
        <v>7863.2184191855868</v>
      </c>
      <c r="K865" s="455">
        <f t="shared" ca="1" si="79"/>
        <v>-19416.591854934602</v>
      </c>
      <c r="L865" s="455">
        <f t="shared" ca="1" si="80"/>
        <v>-4679398.6370392395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-4679398.6370392395</v>
      </c>
      <c r="J866" s="455">
        <f t="array" ref="J866">IFERROR(INDEX('Retirement Calculator'!J:J,MATCH('Isaac 401k'!N866,'Retirement Calculator'!A:A,0),0),0)</f>
        <v>7863.2184191855868</v>
      </c>
      <c r="K866" s="455">
        <f t="shared" ca="1" si="79"/>
        <v>-19530.257731076774</v>
      </c>
      <c r="L866" s="455">
        <f t="shared" ca="1" si="80"/>
        <v>-4706792.1131895017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-4706792.1131895017</v>
      </c>
      <c r="J867" s="455">
        <f t="array" ref="J867">IFERROR(INDEX('Retirement Calculator'!J:J,MATCH('Isaac 401k'!N867,'Retirement Calculator'!A:A,0),0),0)</f>
        <v>7863.2184191855868</v>
      </c>
      <c r="K867" s="455">
        <f t="shared" ca="1" si="79"/>
        <v>-19644.397215036199</v>
      </c>
      <c r="L867" s="455">
        <f t="shared" ca="1" si="80"/>
        <v>-4734299.7288237233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-4734299.7288237233</v>
      </c>
      <c r="J868" s="455">
        <f t="array" ref="J868">IFERROR(INDEX('Retirement Calculator'!J:J,MATCH('Isaac 401k'!N868,'Retirement Calculator'!A:A,0),0),0)</f>
        <v>7863.2184191855868</v>
      </c>
      <c r="K868" s="455">
        <f t="shared" ca="1" si="79"/>
        <v>-19759.012280178787</v>
      </c>
      <c r="L868" s="455">
        <f t="shared" ca="1" si="80"/>
        <v>-4761921.9595230883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-4761921.9595230883</v>
      </c>
      <c r="J869" s="455">
        <f t="array" ref="J869">IFERROR(INDEX('Retirement Calculator'!J:J,MATCH('Isaac 401k'!N869,'Retirement Calculator'!A:A,0),0),0)</f>
        <v>7863.2184191855868</v>
      </c>
      <c r="K869" s="455">
        <f t="shared" ca="1" si="79"/>
        <v>-19874.10490809281</v>
      </c>
      <c r="L869" s="455">
        <f t="shared" ca="1" si="80"/>
        <v>-4789659.282850367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-4789659.282850367</v>
      </c>
      <c r="J870" s="455">
        <f t="array" ref="J870">IFERROR(INDEX('Retirement Calculator'!J:J,MATCH('Isaac 401k'!N870,'Retirement Calculator'!A:A,0),0),0)</f>
        <v>7863.2184191855868</v>
      </c>
      <c r="K870" s="455">
        <f t="shared" ca="1" si="79"/>
        <v>-19989.677088623135</v>
      </c>
      <c r="L870" s="455">
        <f t="shared" ca="1" si="80"/>
        <v>-4817512.1783581758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-4817512.1783581758</v>
      </c>
      <c r="J871" s="455">
        <f t="array" ref="J871">IFERROR(INDEX('Retirement Calculator'!J:J,MATCH('Isaac 401k'!N871,'Retirement Calculator'!A:A,0),0),0)</f>
        <v>7863.2184191855868</v>
      </c>
      <c r="K871" s="455">
        <f t="shared" ca="1" si="79"/>
        <v>-20105.730819905672</v>
      </c>
      <c r="L871" s="455">
        <f t="shared" ca="1" si="80"/>
        <v>-4845481.1275972677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-4845481.1275972677</v>
      </c>
      <c r="J872" s="455">
        <f t="array" ref="J872">IFERROR(INDEX('Retirement Calculator'!J:J,MATCH('Isaac 401k'!N872,'Retirement Calculator'!A:A,0),0),0)</f>
        <v>7863.2184191855868</v>
      </c>
      <c r="K872" s="455">
        <f t="shared" ca="1" si="79"/>
        <v>-20222.268108401891</v>
      </c>
      <c r="L872" s="455">
        <f t="shared" ca="1" si="80"/>
        <v>-4873566.614124855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-4873566.614124855</v>
      </c>
      <c r="J873" s="455">
        <f t="array" ref="J873">IFERROR(INDEX('Retirement Calculator'!J:J,MATCH('Isaac 401k'!N873,'Retirement Calculator'!A:A,0),0),0)</f>
        <v>7863.2184191855868</v>
      </c>
      <c r="K873" s="455">
        <f t="shared" ca="1" si="79"/>
        <v>-20339.290968933503</v>
      </c>
      <c r="L873" s="455">
        <f t="shared" ca="1" si="80"/>
        <v>-4901769.123512974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-4901769.123512974</v>
      </c>
      <c r="J874" s="455">
        <f t="array" ref="J874">IFERROR(INDEX('Retirement Calculator'!J:J,MATCH('Isaac 401k'!N874,'Retirement Calculator'!A:A,0),0),0)</f>
        <v>7863.2184191855868</v>
      </c>
      <c r="K874" s="455">
        <f t="shared" ca="1" si="79"/>
        <v>-20456.801424717334</v>
      </c>
      <c r="L874" s="455">
        <f t="shared" ca="1" si="80"/>
        <v>-4930089.1433568774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-4930089.1433568774</v>
      </c>
      <c r="J875" s="455">
        <f t="array" ref="J875">IFERROR(INDEX('Retirement Calculator'!J:J,MATCH('Isaac 401k'!N875,'Retirement Calculator'!A:A,0),0),0)</f>
        <v>7863.2184191855868</v>
      </c>
      <c r="K875" s="455">
        <f t="shared" ca="1" si="79"/>
        <v>-20574.801507400261</v>
      </c>
      <c r="L875" s="455">
        <f t="shared" ca="1" si="80"/>
        <v>-4958527.1632834636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-4958527.1632834636</v>
      </c>
      <c r="J876" s="455">
        <f t="array" ref="J876">IFERROR(INDEX('Retirement Calculator'!J:J,MATCH('Isaac 401k'!N876,'Retirement Calculator'!A:A,0),0),0)</f>
        <v>7863.2184191855868</v>
      </c>
      <c r="K876" s="455">
        <f t="shared" ca="1" si="79"/>
        <v>-20693.293257094374</v>
      </c>
      <c r="L876" s="455">
        <f t="shared" ca="1" si="80"/>
        <v>-4987083.6749597434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-4987083.6749597434</v>
      </c>
      <c r="J877" s="455">
        <f t="array" ref="J877">IFERROR(INDEX('Retirement Calculator'!J:J,MATCH('Isaac 401k'!N877,'Retirement Calculator'!A:A,0),0),0)</f>
        <v>7863.2184191855868</v>
      </c>
      <c r="K877" s="455">
        <f t="shared" ca="1" si="79"/>
        <v>-20812.278722412204</v>
      </c>
      <c r="L877" s="455">
        <f t="shared" ca="1" si="80"/>
        <v>-5015759.1721013412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-5015759.1721013412</v>
      </c>
      <c r="J878" s="455">
        <f t="array" ref="J878">IFERROR(INDEX('Retirement Calculator'!J:J,MATCH('Isaac 401k'!N878,'Retirement Calculator'!A:A,0),0),0)</f>
        <v>7863.2184191855868</v>
      </c>
      <c r="K878" s="455">
        <f t="shared" ca="1" si="79"/>
        <v>-20931.759960502197</v>
      </c>
      <c r="L878" s="455">
        <f t="shared" ca="1" si="80"/>
        <v>-5044554.1504810294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-5044554.1504810294</v>
      </c>
      <c r="J879" s="455">
        <f t="array" ref="J879">IFERROR(INDEX('Retirement Calculator'!J:J,MATCH('Isaac 401k'!N879,'Retirement Calculator'!A:A,0),0),0)</f>
        <v>7863.2184191855868</v>
      </c>
      <c r="K879" s="455">
        <f t="shared" ca="1" si="79"/>
        <v>-21051.739037084229</v>
      </c>
      <c r="L879" s="455">
        <f t="shared" ca="1" si="80"/>
        <v>-5073469.1079372996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-5073469.1079372996</v>
      </c>
      <c r="J880" s="455">
        <f t="array" ref="J880">IFERROR(INDEX('Retirement Calculator'!J:J,MATCH('Isaac 401k'!N880,'Retirement Calculator'!A:A,0),0),0)</f>
        <v>7863.2184191855868</v>
      </c>
      <c r="K880" s="455">
        <f t="shared" ca="1" si="79"/>
        <v>-21172.218026485356</v>
      </c>
      <c r="L880" s="455">
        <f t="shared" ca="1" si="80"/>
        <v>-5102504.5443829708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-5102504.5443829708</v>
      </c>
      <c r="J881" s="455">
        <f t="array" ref="J881">IFERROR(INDEX('Retirement Calculator'!J:J,MATCH('Isaac 401k'!N881,'Retirement Calculator'!A:A,0),0),0)</f>
        <v>7863.2184191855868</v>
      </c>
      <c r="K881" s="455">
        <f t="shared" ca="1" si="79"/>
        <v>-21293.199011675653</v>
      </c>
      <c r="L881" s="455">
        <f t="shared" ca="1" si="80"/>
        <v>-5131660.9618138326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-5131660.9618138326</v>
      </c>
      <c r="J882" s="455">
        <f t="array" ref="J882">IFERROR(INDEX('Retirement Calculator'!J:J,MATCH('Isaac 401k'!N882,'Retirement Calculator'!A:A,0),0),0)</f>
        <v>7863.2184191855868</v>
      </c>
      <c r="K882" s="455">
        <f t="shared" ca="1" si="79"/>
        <v>-21414.684084304245</v>
      </c>
      <c r="L882" s="455">
        <f t="shared" ca="1" si="80"/>
        <v>-5160938.8643173231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-5160938.8643173231</v>
      </c>
      <c r="J883" s="455">
        <f t="array" ref="J883">IFERROR(INDEX('Retirement Calculator'!J:J,MATCH('Isaac 401k'!N883,'Retirement Calculator'!A:A,0),0),0)</f>
        <v>7863.2184191855868</v>
      </c>
      <c r="K883" s="455">
        <f t="shared" ca="1" si="79"/>
        <v>-21536.675344735453</v>
      </c>
      <c r="L883" s="455">
        <f t="shared" ca="1" si="80"/>
        <v>-5190338.7580812443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-5190338.7580812443</v>
      </c>
      <c r="J884" s="455">
        <f t="array" ref="J884">IFERROR(INDEX('Retirement Calculator'!J:J,MATCH('Isaac 401k'!N884,'Retirement Calculator'!A:A,0),0),0)</f>
        <v>7863.2184191855868</v>
      </c>
      <c r="K884" s="455">
        <f t="shared" ca="1" si="79"/>
        <v>-21659.174902085124</v>
      </c>
      <c r="L884" s="455">
        <f t="shared" ca="1" si="80"/>
        <v>-5219861.1514025154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-5219861.1514025154</v>
      </c>
      <c r="J885" s="455">
        <f t="array" ref="J885">IFERROR(INDEX('Retirement Calculator'!J:J,MATCH('Isaac 401k'!N885,'Retirement Calculator'!A:A,0),0),0)</f>
        <v>7863.2184191855868</v>
      </c>
      <c r="K885" s="455">
        <f t="shared" ca="1" si="79"/>
        <v>-21782.184874257087</v>
      </c>
      <c r="L885" s="455">
        <f t="shared" ca="1" si="80"/>
        <v>-5249506.5546959583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-5249506.5546959583</v>
      </c>
      <c r="J886" s="455">
        <f t="array" ref="J886">IFERROR(INDEX('Retirement Calculator'!J:J,MATCH('Isaac 401k'!N886,'Retirement Calculator'!A:A,0),0),0)</f>
        <v>7863.2184191855868</v>
      </c>
      <c r="K886" s="455">
        <f t="shared" ca="1" si="79"/>
        <v>-21905.707387979768</v>
      </c>
      <c r="L886" s="455">
        <f t="shared" ca="1" si="80"/>
        <v>-5279275.4805031242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-5279275.4805031242</v>
      </c>
      <c r="J887" s="455">
        <f t="array" ref="J887">IFERROR(INDEX('Retirement Calculator'!J:J,MATCH('Isaac 401k'!N887,'Retirement Calculator'!A:A,0),0),0)</f>
        <v>7863.2184191855868</v>
      </c>
      <c r="K887" s="455">
        <f t="shared" ca="1" si="79"/>
        <v>-22029.744578842958</v>
      </c>
      <c r="L887" s="455">
        <f t="shared" ca="1" si="80"/>
        <v>-5309168.443501153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-5309168.443501153</v>
      </c>
      <c r="J888" s="455">
        <f t="array" ref="J888">IFERROR(INDEX('Retirement Calculator'!J:J,MATCH('Isaac 401k'!N888,'Retirement Calculator'!A:A,0),0),0)</f>
        <v>7863.2184191855868</v>
      </c>
      <c r="K888" s="455">
        <f t="shared" ca="1" si="79"/>
        <v>-22154.298591334744</v>
      </c>
      <c r="L888" s="455">
        <f t="shared" ca="1" si="80"/>
        <v>-5339185.9605116732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-5339185.9605116732</v>
      </c>
      <c r="J889" s="455">
        <f t="array" ref="J889">IFERROR(INDEX('Retirement Calculator'!J:J,MATCH('Isaac 401k'!N889,'Retirement Calculator'!A:A,0),0),0)</f>
        <v>7863.2184191855868</v>
      </c>
      <c r="K889" s="455">
        <f t="shared" ca="1" si="79"/>
        <v>-22279.371578878578</v>
      </c>
      <c r="L889" s="455">
        <f t="shared" ca="1" si="80"/>
        <v>-5369328.5505097378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-5369328.5505097378</v>
      </c>
      <c r="J890" s="455">
        <f t="array" ref="J890">IFERROR(INDEX('Retirement Calculator'!J:J,MATCH('Isaac 401k'!N890,'Retirement Calculator'!A:A,0),0),0)</f>
        <v>7863.2184191855868</v>
      </c>
      <c r="K890" s="455">
        <f t="shared" ca="1" si="79"/>
        <v>-22404.965703870515</v>
      </c>
      <c r="L890" s="455">
        <f t="shared" ca="1" si="80"/>
        <v>-5399596.7346327938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-5399596.7346327938</v>
      </c>
      <c r="J891" s="455">
        <f t="array" ref="J891">IFERROR(INDEX('Retirement Calculator'!J:J,MATCH('Isaac 401k'!N891,'Retirement Calculator'!A:A,0),0),0)</f>
        <v>7863.2184191855868</v>
      </c>
      <c r="K891" s="455">
        <f t="shared" ca="1" si="79"/>
        <v>-22531.083137716581</v>
      </c>
      <c r="L891" s="455">
        <f t="shared" ca="1" si="80"/>
        <v>-5429991.0361896958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-5429991.0361896958</v>
      </c>
      <c r="J892" s="455">
        <f t="array" ref="J892">IFERROR(INDEX('Retirement Calculator'!J:J,MATCH('Isaac 401k'!N892,'Retirement Calculator'!A:A,0),0),0)</f>
        <v>7863.2184191855868</v>
      </c>
      <c r="K892" s="455">
        <f t="shared" ca="1" si="79"/>
        <v>-22657.72606087034</v>
      </c>
      <c r="L892" s="455">
        <f t="shared" ca="1" si="80"/>
        <v>-5460511.9806697518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-5460511.9806697518</v>
      </c>
      <c r="J893" s="455">
        <f t="array" ref="J893">IFERROR(INDEX('Retirement Calculator'!J:J,MATCH('Isaac 401k'!N893,'Retirement Calculator'!A:A,0),0),0)</f>
        <v>7863.2184191855868</v>
      </c>
      <c r="K893" s="455">
        <f t="shared" ca="1" si="79"/>
        <v>-22784.896662870575</v>
      </c>
      <c r="L893" s="455">
        <f t="shared" ca="1" si="80"/>
        <v>-5491160.095751808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-5491160.095751808</v>
      </c>
      <c r="J894" s="455">
        <f t="array" ref="J894">IFERROR(INDEX('Retirement Calculator'!J:J,MATCH('Isaac 401k'!N894,'Retirement Calculator'!A:A,0),0),0)</f>
        <v>7863.2184191855868</v>
      </c>
      <c r="K894" s="455">
        <f t="shared" ca="1" si="79"/>
        <v>-22912.597142379142</v>
      </c>
      <c r="L894" s="455">
        <f t="shared" ca="1" si="80"/>
        <v>-5521935.9113133727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-5521935.9113133727</v>
      </c>
      <c r="J895" s="455">
        <f t="array" ref="J895">IFERROR(INDEX('Retirement Calculator'!J:J,MATCH('Isaac 401k'!N895,'Retirement Calculator'!A:A,0),0),0)</f>
        <v>7863.2184191855868</v>
      </c>
      <c r="K895" s="455">
        <f t="shared" ca="1" si="79"/>
        <v>-23040.829707218993</v>
      </c>
      <c r="L895" s="455">
        <f t="shared" ca="1" si="80"/>
        <v>-5552839.9594397778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-5552839.9594397778</v>
      </c>
      <c r="J896" s="455">
        <f t="array" ref="J896">IFERROR(INDEX('Retirement Calculator'!J:J,MATCH('Isaac 401k'!N896,'Retirement Calculator'!A:A,0),0),0)</f>
        <v>7863.2184191855868</v>
      </c>
      <c r="K896" s="455">
        <f t="shared" ca="1" si="79"/>
        <v>-23169.59657441235</v>
      </c>
      <c r="L896" s="455">
        <f t="shared" ca="1" si="80"/>
        <v>-5583872.7744333763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-5583872.7744333763</v>
      </c>
      <c r="J897" s="455">
        <f t="array" ref="J897">IFERROR(INDEX('Retirement Calculator'!J:J,MATCH('Isaac 401k'!N897,'Retirement Calculator'!A:A,0),0),0)</f>
        <v>7863.2184191855868</v>
      </c>
      <c r="K897" s="455">
        <f t="shared" ca="1" si="79"/>
        <v>-23298.899970219009</v>
      </c>
      <c r="L897" s="455">
        <f t="shared" ca="1" si="80"/>
        <v>-5615034.8928227816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-5615034.8928227816</v>
      </c>
      <c r="J898" s="455">
        <f t="array" ref="J898">IFERROR(INDEX('Retirement Calculator'!J:J,MATCH('Isaac 401k'!N898,'Retirement Calculator'!A:A,0),0),0)</f>
        <v>7863.2184191855868</v>
      </c>
      <c r="K898" s="455">
        <f t="shared" ca="1" si="79"/>
        <v>-23428.742130174865</v>
      </c>
      <c r="L898" s="455">
        <f t="shared" ca="1" si="80"/>
        <v>-5646326.8533721427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-5646326.8533721427</v>
      </c>
      <c r="J899" s="455">
        <f t="array" ref="J899">IFERROR(INDEX('Retirement Calculator'!J:J,MATCH('Isaac 401k'!N899,'Retirement Calculator'!A:A,0),0),0)</f>
        <v>7863.2184191855868</v>
      </c>
      <c r="K899" s="455">
        <f t="shared" ca="1" si="79"/>
        <v>-23559.125299130534</v>
      </c>
      <c r="L899" s="455">
        <f t="shared" ca="1" si="80"/>
        <v>-5677749.1970904591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-5677749.1970904591</v>
      </c>
      <c r="J900" s="455">
        <f t="array" ref="J900">IFERROR(INDEX('Retirement Calculator'!J:J,MATCH('Isaac 401k'!N900,'Retirement Calculator'!A:A,0),0),0)</f>
        <v>7863.2184191855868</v>
      </c>
      <c r="K900" s="455">
        <f t="shared" ca="1" si="79"/>
        <v>-23690.051731290187</v>
      </c>
      <c r="L900" s="455">
        <f t="shared" ca="1" si="80"/>
        <v>-5709302.4672409352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-5709302.4672409352</v>
      </c>
      <c r="J901" s="455">
        <f t="array" ref="J901">IFERROR(INDEX('Retirement Calculator'!J:J,MATCH('Isaac 401k'!N901,'Retirement Calculator'!A:A,0),0),0)</f>
        <v>7863.2184191855868</v>
      </c>
      <c r="K901" s="455">
        <f t="shared" ca="1" si="79"/>
        <v>-23821.523690250506</v>
      </c>
      <c r="L901" s="455">
        <f t="shared" ca="1" si="80"/>
        <v>-5740987.2093503717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-5740987.2093503717</v>
      </c>
      <c r="J902" s="455">
        <f t="array" ref="J902">IFERROR(INDEX('Retirement Calculator'!J:J,MATCH('Isaac 401k'!N902,'Retirement Calculator'!A:A,0),0),0)</f>
        <v>7863.2184191855868</v>
      </c>
      <c r="K902" s="455">
        <f t="shared" ca="1" si="79"/>
        <v>-23953.543449039822</v>
      </c>
      <c r="L902" s="455">
        <f t="shared" ca="1" si="80"/>
        <v>-5772803.9712185971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-5772803.9712185971</v>
      </c>
      <c r="J903" s="455">
        <f t="array" ref="J903">IFERROR(INDEX('Retirement Calculator'!J:J,MATCH('Isaac 401k'!N903,'Retirement Calculator'!A:A,0),0),0)</f>
        <v>7863.2184191855868</v>
      </c>
      <c r="K903" s="455">
        <f t="shared" ca="1" si="79"/>
        <v>-24086.113290157427</v>
      </c>
      <c r="L903" s="455">
        <f t="shared" ca="1" si="80"/>
        <v>-5804753.3029279402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-5804753.3029279402</v>
      </c>
      <c r="J904" s="455">
        <f t="array" ref="J904">IFERROR(INDEX('Retirement Calculator'!J:J,MATCH('Isaac 401k'!N904,'Retirement Calculator'!A:A,0),0),0)</f>
        <v>7863.2184191855868</v>
      </c>
      <c r="K904" s="455">
        <f t="shared" ca="1" si="79"/>
        <v>-24219.235505613025</v>
      </c>
      <c r="L904" s="455">
        <f t="shared" ca="1" si="80"/>
        <v>-5836835.7568527386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-5836835.7568527386</v>
      </c>
      <c r="J905" s="455">
        <f t="array" ref="J905">IFERROR(INDEX('Retirement Calculator'!J:J,MATCH('Isaac 401k'!N905,'Retirement Calculator'!A:A,0),0),0)</f>
        <v>7863.2184191855868</v>
      </c>
      <c r="K905" s="455">
        <f t="shared" ca="1" si="79"/>
        <v>-24352.912396966352</v>
      </c>
      <c r="L905" s="455">
        <f t="shared" ca="1" si="80"/>
        <v>-5869051.8876688909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-5869051.8876688909</v>
      </c>
      <c r="J906" s="455">
        <f t="array" ref="J906">IFERROR(INDEX('Retirement Calculator'!J:J,MATCH('Isaac 401k'!N906,'Retirement Calculator'!A:A,0),0),0)</f>
        <v>7863.2184191855868</v>
      </c>
      <c r="K906" s="455">
        <f t="shared" ca="1" si="79"/>
        <v>-24487.146275366988</v>
      </c>
      <c r="L906" s="455">
        <f t="shared" ca="1" si="80"/>
        <v>-5901402.2523634434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-5901402.2523634434</v>
      </c>
      <c r="J907" s="455">
        <f t="array" ref="J907">IFERROR(INDEX('Retirement Calculator'!J:J,MATCH('Isaac 401k'!N907,'Retirement Calculator'!A:A,0),0),0)</f>
        <v>7863.2184191855868</v>
      </c>
      <c r="K907" s="455">
        <f t="shared" ca="1" si="79"/>
        <v>-24621.939461594287</v>
      </c>
      <c r="L907" s="455">
        <f t="shared" ca="1" si="80"/>
        <v>-5933887.4102442237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-5933887.4102442237</v>
      </c>
      <c r="J908" s="455">
        <f t="array" ref="J908">IFERROR(INDEX('Retirement Calculator'!J:J,MATCH('Isaac 401k'!N908,'Retirement Calculator'!A:A,0),0),0)</f>
        <v>7863.2184191855868</v>
      </c>
      <c r="K908" s="455">
        <f t="shared" ca="1" si="79"/>
        <v>-24757.294286097538</v>
      </c>
      <c r="L908" s="455">
        <f t="shared" ca="1" si="80"/>
        <v>-5966507.9229495069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-5966507.9229495069</v>
      </c>
      <c r="J909" s="455">
        <f t="array" ref="J909">IFERROR(INDEX('Retirement Calculator'!J:J,MATCH('Isaac 401k'!N909,'Retirement Calculator'!A:A,0),0),0)</f>
        <v>7863.2184191855868</v>
      </c>
      <c r="K909" s="455">
        <f t="shared" ca="1" si="79"/>
        <v>-24893.21308903622</v>
      </c>
      <c r="L909" s="455">
        <f t="shared" ca="1" si="80"/>
        <v>-5999264.3544577286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-5999264.3544577286</v>
      </c>
      <c r="J910" s="455">
        <f t="array" ref="J910">IFERROR(INDEX('Retirement Calculator'!J:J,MATCH('Isaac 401k'!N910,'Retirement Calculator'!A:A,0),0),0)</f>
        <v>7863.2184191855868</v>
      </c>
      <c r="K910" s="455">
        <f t="shared" ca="1" si="79"/>
        <v>-25029.698220320475</v>
      </c>
      <c r="L910" s="455">
        <f t="shared" ca="1" si="80"/>
        <v>-6032157.2710972345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-6032157.2710972345</v>
      </c>
      <c r="J911" s="455">
        <f t="array" ref="J911">IFERROR(INDEX('Retirement Calculator'!J:J,MATCH('Isaac 401k'!N911,'Retirement Calculator'!A:A,0),0),0)</f>
        <v>7863.2184191855868</v>
      </c>
      <c r="K911" s="455">
        <f t="shared" ca="1" si="79"/>
        <v>-25166.75203965175</v>
      </c>
      <c r="L911" s="455">
        <f t="shared" ca="1" si="80"/>
        <v>-6065187.2415560717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-6065187.2415560717</v>
      </c>
      <c r="J912" s="455">
        <f t="array" ref="J912">IFERROR(INDEX('Retirement Calculator'!J:J,MATCH('Isaac 401k'!N912,'Retirement Calculator'!A:A,0),0),0)</f>
        <v>7863.2184191855868</v>
      </c>
      <c r="K912" s="455">
        <f t="shared" ca="1" si="79"/>
        <v>-25304.376916563571</v>
      </c>
      <c r="L912" s="455">
        <f t="shared" ca="1" si="80"/>
        <v>-6098354.8368918207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-6098354.8368918207</v>
      </c>
      <c r="J913" s="455">
        <f t="array" ref="J913">IFERROR(INDEX('Retirement Calculator'!J:J,MATCH('Isaac 401k'!N913,'Retirement Calculator'!A:A,0),0),0)</f>
        <v>7863.2184191855868</v>
      </c>
      <c r="K913" s="455">
        <f t="shared" ca="1" si="79"/>
        <v>-25442.575230462528</v>
      </c>
      <c r="L913" s="455">
        <f t="shared" ca="1" si="80"/>
        <v>-6131660.630541469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-6131660.630541469</v>
      </c>
      <c r="J914" s="455">
        <f t="array" ref="J914">IFERROR(INDEX('Retirement Calculator'!J:J,MATCH('Isaac 401k'!N914,'Retirement Calculator'!A:A,0),0),0)</f>
        <v>7863.2184191855868</v>
      </c>
      <c r="K914" s="455">
        <f t="shared" ca="1" si="79"/>
        <v>-25581.349370669395</v>
      </c>
      <c r="L914" s="455">
        <f t="shared" ca="1" si="80"/>
        <v>-6165105.1983313244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-6165105.1983313244</v>
      </c>
      <c r="J915" s="455">
        <f t="array" ref="J915">IFERROR(INDEX('Retirement Calculator'!J:J,MATCH('Isaac 401k'!N915,'Retirement Calculator'!A:A,0),0),0)</f>
        <v>7863.2184191855868</v>
      </c>
      <c r="K915" s="455">
        <f t="shared" ca="1" si="79"/>
        <v>-25720.701736460458</v>
      </c>
      <c r="L915" s="455">
        <f t="shared" ca="1" si="80"/>
        <v>-6198689.1184869707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-6198689.1184869707</v>
      </c>
      <c r="J916" s="455">
        <f t="array" ref="J916">IFERROR(INDEX('Retirement Calculator'!J:J,MATCH('Isaac 401k'!N916,'Retirement Calculator'!A:A,0),0),0)</f>
        <v>7863.2184191855868</v>
      </c>
      <c r="K916" s="455">
        <f t="shared" ca="1" si="79"/>
        <v>-25860.634737108987</v>
      </c>
      <c r="L916" s="455">
        <f t="shared" ca="1" si="80"/>
        <v>-6232412.9716432653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-6232412.9716432653</v>
      </c>
      <c r="J917" s="455">
        <f t="array" ref="J917">IFERROR(INDEX('Retirement Calculator'!J:J,MATCH('Isaac 401k'!N917,'Retirement Calculator'!A:A,0),0),0)</f>
        <v>7863.2184191855868</v>
      </c>
      <c r="K917" s="455">
        <f t="shared" ca="1" si="79"/>
        <v>-26001.150791926881</v>
      </c>
      <c r="L917" s="455">
        <f t="shared" ca="1" si="80"/>
        <v>-6266277.3408543784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-6266277.3408543784</v>
      </c>
      <c r="J918" s="455">
        <f t="array" ref="J918">IFERROR(INDEX('Retirement Calculator'!J:J,MATCH('Isaac 401k'!N918,'Retirement Calculator'!A:A,0),0),0)</f>
        <v>7863.2184191855868</v>
      </c>
      <c r="K918" s="455">
        <f t="shared" ca="1" si="79"/>
        <v>-26142.252330306517</v>
      </c>
      <c r="L918" s="455">
        <f t="shared" ca="1" si="80"/>
        <v>-6300282.8116038712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-6300282.8116038712</v>
      </c>
      <c r="J919" s="455">
        <f t="array" ref="J919">IFERROR(INDEX('Retirement Calculator'!J:J,MATCH('Isaac 401k'!N919,'Retirement Calculator'!A:A,0),0),0)</f>
        <v>7863.2184191855868</v>
      </c>
      <c r="K919" s="455">
        <f t="shared" ca="1" si="79"/>
        <v>-26283.941791762736</v>
      </c>
      <c r="L919" s="455">
        <f t="shared" ca="1" si="80"/>
        <v>-6334429.9718148196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-6334429.9718148196</v>
      </c>
      <c r="J920" s="455">
        <f t="array" ref="J920">IFERROR(INDEX('Retirement Calculator'!J:J,MATCH('Isaac 401k'!N920,'Retirement Calculator'!A:A,0),0),0)</f>
        <v>7863.2184191855868</v>
      </c>
      <c r="K920" s="455">
        <f t="shared" ca="1" si="79"/>
        <v>-26426.221625975024</v>
      </c>
      <c r="L920" s="455">
        <f t="shared" ca="1" si="80"/>
        <v>-6368719.4118599808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-6368719.4118599808</v>
      </c>
      <c r="J921" s="455">
        <f t="array" ref="J921">IFERROR(INDEX('Retirement Calculator'!J:J,MATCH('Isaac 401k'!N921,'Retirement Calculator'!A:A,0),0),0)</f>
        <v>7863.2184191855868</v>
      </c>
      <c r="K921" s="455">
        <f t="shared" ca="1" si="79"/>
        <v>-26569.094292829861</v>
      </c>
      <c r="L921" s="455">
        <f t="shared" ca="1" si="80"/>
        <v>-6403151.7245719964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-6403151.7245719964</v>
      </c>
      <c r="J922" s="455">
        <f t="array" ref="J922">IFERROR(INDEX('Retirement Calculator'!J:J,MATCH('Isaac 401k'!N922,'Retirement Calculator'!A:A,0),0),0)</f>
        <v>7863.2184191855868</v>
      </c>
      <c r="K922" s="455">
        <f t="shared" ca="1" si="79"/>
        <v>-26712.56226246326</v>
      </c>
      <c r="L922" s="455">
        <f t="shared" ca="1" si="80"/>
        <v>-6437727.5052536456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-6437727.5052536456</v>
      </c>
      <c r="J923" s="455">
        <f t="array" ref="J923">IFERROR(INDEX('Retirement Calculator'!J:J,MATCH('Isaac 401k'!N923,'Retirement Calculator'!A:A,0),0),0)</f>
        <v>7863.2184191855868</v>
      </c>
      <c r="K923" s="455">
        <f t="shared" ca="1" si="79"/>
        <v>-26856.628015303464</v>
      </c>
      <c r="L923" s="455">
        <f t="shared" ca="1" si="80"/>
        <v>-6472447.3516881345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-6472447.3516881345</v>
      </c>
      <c r="J924" s="455">
        <f t="array" ref="J924">IFERROR(INDEX('Retirement Calculator'!J:J,MATCH('Isaac 401k'!N924,'Retirement Calculator'!A:A,0),0),0)</f>
        <v>7863.2184191855868</v>
      </c>
      <c r="K924" s="455">
        <f t="shared" ca="1" si="79"/>
        <v>-27001.294042113834</v>
      </c>
      <c r="L924" s="455">
        <f t="shared" ca="1" si="80"/>
        <v>-6507311.8641494345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-6507311.8641494345</v>
      </c>
      <c r="J925" s="455">
        <f t="array" ref="J925">IFERROR(INDEX('Retirement Calculator'!J:J,MATCH('Isaac 401k'!N925,'Retirement Calculator'!A:A,0),0),0)</f>
        <v>7863.2184191855868</v>
      </c>
      <c r="K925" s="455">
        <f t="shared" ca="1" si="79"/>
        <v>-27146.562844035918</v>
      </c>
      <c r="L925" s="455">
        <f t="shared" ca="1" si="80"/>
        <v>-6542321.6454126565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-6542321.6454126565</v>
      </c>
      <c r="J926" s="455">
        <f t="array" ref="J926">IFERROR(INDEX('Retirement Calculator'!J:J,MATCH('Isaac 401k'!N926,'Retirement Calculator'!A:A,0),0),0)</f>
        <v>7863.2184191855868</v>
      </c>
      <c r="K926" s="455">
        <f t="shared" ca="1" si="79"/>
        <v>-27292.436932632674</v>
      </c>
      <c r="L926" s="455">
        <f t="shared" ca="1" si="80"/>
        <v>-6577477.300764475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-6577477.300764475</v>
      </c>
      <c r="J927" s="455">
        <f t="array" ref="J927">IFERROR(INDEX('Retirement Calculator'!J:J,MATCH('Isaac 401k'!N927,'Retirement Calculator'!A:A,0),0),0)</f>
        <v>7863.2184191855868</v>
      </c>
      <c r="K927" s="455">
        <f t="shared" ca="1" si="79"/>
        <v>-27438.918829931921</v>
      </c>
      <c r="L927" s="455">
        <f t="shared" ca="1" si="80"/>
        <v>-6612779.4380135927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-6612779.4380135927</v>
      </c>
      <c r="J928" s="455">
        <f t="array" ref="J928">IFERROR(INDEX('Retirement Calculator'!J:J,MATCH('Isaac 401k'!N928,'Retirement Calculator'!A:A,0),0),0)</f>
        <v>7863.2184191855868</v>
      </c>
      <c r="K928" s="455">
        <f t="shared" ca="1" si="79"/>
        <v>-27586.011068469914</v>
      </c>
      <c r="L928" s="455">
        <f t="shared" ca="1" si="80"/>
        <v>-6648228.6675012484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-6648228.6675012484</v>
      </c>
      <c r="J929" s="455">
        <f t="array" ref="J929">IFERROR(INDEX('Retirement Calculator'!J:J,MATCH('Isaac 401k'!N929,'Retirement Calculator'!A:A,0),0),0)</f>
        <v>7863.2184191855868</v>
      </c>
      <c r="K929" s="455">
        <f t="shared" ca="1" si="79"/>
        <v>-27733.716191335141</v>
      </c>
      <c r="L929" s="455">
        <f t="shared" ca="1" si="80"/>
        <v>-6683825.6021117698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-6683825.6021117698</v>
      </c>
      <c r="J930" s="455">
        <f t="array" ref="J930">IFERROR(INDEX('Retirement Calculator'!J:J,MATCH('Isaac 401k'!N930,'Retirement Calculator'!A:A,0),0),0)</f>
        <v>7863.2184191855868</v>
      </c>
      <c r="K930" s="455">
        <f t="shared" ca="1" si="79"/>
        <v>-27882.036752212316</v>
      </c>
      <c r="L930" s="455">
        <f t="shared" ca="1" si="80"/>
        <v>-6719570.8572831675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-6719570.8572831675</v>
      </c>
      <c r="J931" s="455">
        <f t="array" ref="J931">IFERROR(INDEX('Retirement Calculator'!J:J,MATCH('Isaac 401k'!N931,'Retirement Calculator'!A:A,0),0),0)</f>
        <v>7863.2184191855868</v>
      </c>
      <c r="K931" s="455">
        <f t="shared" ca="1" si="79"/>
        <v>-28030.975315426476</v>
      </c>
      <c r="L931" s="455">
        <f t="shared" ca="1" si="80"/>
        <v>-6755465.0510177799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-6755465.0510177799</v>
      </c>
      <c r="J932" s="455">
        <f t="array" ref="J932">IFERROR(INDEX('Retirement Calculator'!J:J,MATCH('Isaac 401k'!N932,'Retirement Calculator'!A:A,0),0),0)</f>
        <v>7863.2184191855868</v>
      </c>
      <c r="K932" s="455">
        <f t="shared" ca="1" si="79"/>
        <v>-28180.534455987356</v>
      </c>
      <c r="L932" s="455">
        <f t="shared" ca="1" si="80"/>
        <v>-6791508.8038929533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-6791508.8038929533</v>
      </c>
      <c r="J933" s="455">
        <f t="array" ref="J933">IFERROR(INDEX('Retirement Calculator'!J:J,MATCH('Isaac 401k'!N933,'Retirement Calculator'!A:A,0),0),0)</f>
        <v>7863.2184191855868</v>
      </c>
      <c r="K933" s="455">
        <f t="shared" ca="1" si="79"/>
        <v>-28330.716759633917</v>
      </c>
      <c r="L933" s="455">
        <f t="shared" ca="1" si="80"/>
        <v>-6827702.7390717734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-6827702.7390717734</v>
      </c>
      <c r="J934" s="455">
        <f t="array" ref="J934">IFERROR(INDEX('Retirement Calculator'!J:J,MATCH('Isaac 401k'!N934,'Retirement Calculator'!A:A,0),0),0)</f>
        <v>7863.2184191855868</v>
      </c>
      <c r="K934" s="455">
        <f t="shared" ca="1" si="79"/>
        <v>-28481.524822878997</v>
      </c>
      <c r="L934" s="455">
        <f t="shared" ca="1" si="80"/>
        <v>-6864047.4823138379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-6864047.4823138379</v>
      </c>
      <c r="J935" s="455">
        <f t="array" ref="J935">IFERROR(INDEX('Retirement Calculator'!J:J,MATCH('Isaac 401k'!N935,'Retirement Calculator'!A:A,0),0),0)</f>
        <v>7863.2184191855868</v>
      </c>
      <c r="K935" s="455">
        <f t="shared" ca="1" si="79"/>
        <v>-28632.961253054262</v>
      </c>
      <c r="L935" s="455">
        <f t="shared" ca="1" si="80"/>
        <v>-6900543.6619860781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-6900543.6619860781</v>
      </c>
      <c r="J936" s="455">
        <f t="array" ref="J936">IFERROR(INDEX('Retirement Calculator'!J:J,MATCH('Isaac 401k'!N936,'Retirement Calculator'!A:A,0),0),0)</f>
        <v>7863.2184191855868</v>
      </c>
      <c r="K936" s="455">
        <f t="shared" ca="1" si="79"/>
        <v>-28785.028668355262</v>
      </c>
      <c r="L936" s="455">
        <f t="shared" ca="1" si="80"/>
        <v>-6937191.9090736192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-6937191.9090736192</v>
      </c>
      <c r="J937" s="455">
        <f t="array" ref="J937">IFERROR(INDEX('Retirement Calculator'!J:J,MATCH('Isaac 401k'!N937,'Retirement Calculator'!A:A,0),0),0)</f>
        <v>7863.2184191855868</v>
      </c>
      <c r="K937" s="455">
        <f t="shared" ca="1" si="79"/>
        <v>-28937.729697886687</v>
      </c>
      <c r="L937" s="455">
        <f t="shared" ca="1" si="80"/>
        <v>-6973992.8571906919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-6973992.8571906919</v>
      </c>
      <c r="J938" s="455">
        <f t="array" ref="J938">IFERROR(INDEX('Retirement Calculator'!J:J,MATCH('Isaac 401k'!N938,'Retirement Calculator'!A:A,0),0),0)</f>
        <v>7863.2184191855868</v>
      </c>
      <c r="K938" s="455">
        <f t="shared" ca="1" si="79"/>
        <v>-29091.066981707823</v>
      </c>
      <c r="L938" s="455">
        <f t="shared" ca="1" si="80"/>
        <v>-7010947.1425915854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-7010947.1425915854</v>
      </c>
      <c r="J939" s="455">
        <f t="array" ref="J939">IFERROR(INDEX('Retirement Calculator'!J:J,MATCH('Isaac 401k'!N939,'Retirement Calculator'!A:A,0),0),0)</f>
        <v>7863.2184191855868</v>
      </c>
      <c r="K939" s="455">
        <f t="shared" ca="1" si="79"/>
        <v>-29245.043170878213</v>
      </c>
      <c r="L939" s="455">
        <f t="shared" ca="1" si="80"/>
        <v>-7048055.4041816499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-7048055.4041816499</v>
      </c>
      <c r="J940" s="455">
        <f t="array" ref="J940">IFERROR(INDEX('Retirement Calculator'!J:J,MATCH('Isaac 401k'!N940,'Retirement Calculator'!A:A,0),0),0)</f>
        <v>7863.2184191855868</v>
      </c>
      <c r="K940" s="455">
        <f t="shared" ca="1" si="79"/>
        <v>-29399.660927503483</v>
      </c>
      <c r="L940" s="455">
        <f t="shared" ca="1" si="80"/>
        <v>-7085318.2835283391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-7085318.2835283391</v>
      </c>
      <c r="J941" s="455">
        <f t="array" ref="J941">IFERROR(INDEX('Retirement Calculator'!J:J,MATCH('Isaac 401k'!N941,'Retirement Calculator'!A:A,0),0),0)</f>
        <v>7863.2184191855868</v>
      </c>
      <c r="K941" s="455">
        <f t="shared" ca="1" si="79"/>
        <v>-29554.922924781349</v>
      </c>
      <c r="L941" s="455">
        <f t="shared" ca="1" si="80"/>
        <v>-7122736.4248723062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-7122736.4248723062</v>
      </c>
      <c r="J942" s="455">
        <f t="array" ref="J942">IFERROR(INDEX('Retirement Calculator'!J:J,MATCH('Isaac 401k'!N942,'Retirement Calculator'!A:A,0),0),0)</f>
        <v>7863.2184191855868</v>
      </c>
      <c r="K942" s="455">
        <f t="shared" ca="1" si="79"/>
        <v>-29710.831847047881</v>
      </c>
      <c r="L942" s="455">
        <f t="shared" ca="1" si="80"/>
        <v>-7160310.4751385394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-7160310.4751385394</v>
      </c>
      <c r="J943" s="455">
        <f t="array" ref="J943">IFERROR(INDEX('Retirement Calculator'!J:J,MATCH('Isaac 401k'!N943,'Retirement Calculator'!A:A,0),0),0)</f>
        <v>7863.2184191855868</v>
      </c>
      <c r="K943" s="455">
        <f t="shared" ca="1" si="79"/>
        <v>-29867.390389823853</v>
      </c>
      <c r="L943" s="455">
        <f t="shared" ca="1" si="80"/>
        <v>-7198041.0839475496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-7198041.0839475496</v>
      </c>
      <c r="J944" s="455">
        <f t="array" ref="J944">IFERROR(INDEX('Retirement Calculator'!J:J,MATCH('Isaac 401k'!N944,'Retirement Calculator'!A:A,0),0),0)</f>
        <v>7863.2184191855868</v>
      </c>
      <c r="K944" s="455">
        <f t="shared" ca="1" si="79"/>
        <v>-30024.601259861396</v>
      </c>
      <c r="L944" s="455">
        <f t="shared" ca="1" si="80"/>
        <v>-7235928.9036265966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-7235928.9036265966</v>
      </c>
      <c r="J945" s="455">
        <f t="array" ref="J945">IFERROR(INDEX('Retirement Calculator'!J:J,MATCH('Isaac 401k'!N945,'Retirement Calculator'!A:A,0),0),0)</f>
        <v>7863.2184191855868</v>
      </c>
      <c r="K945" s="455">
        <f t="shared" ca="1" si="79"/>
        <v>-30182.467175190759</v>
      </c>
      <c r="L945" s="455">
        <f t="shared" ca="1" si="80"/>
        <v>-7273974.5892209727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-7273974.5892209727</v>
      </c>
      <c r="J946" s="455">
        <f t="array" ref="J946">IFERROR(INDEX('Retirement Calculator'!J:J,MATCH('Isaac 401k'!N946,'Retirement Calculator'!A:A,0),0),0)</f>
        <v>7863.2184191855868</v>
      </c>
      <c r="K946" s="455">
        <f t="shared" ca="1" si="79"/>
        <v>-30340.990865167329</v>
      </c>
      <c r="L946" s="455">
        <f t="shared" ca="1" si="80"/>
        <v>-7312178.7985053258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-7312178.7985053258</v>
      </c>
      <c r="J947" s="455">
        <f t="array" ref="J947">IFERROR(INDEX('Retirement Calculator'!J:J,MATCH('Isaac 401k'!N947,'Retirement Calculator'!A:A,0),0),0)</f>
        <v>7863.2184191855868</v>
      </c>
      <c r="K947" s="455">
        <f t="shared" ca="1" si="79"/>
        <v>-30500.175070518799</v>
      </c>
      <c r="L947" s="455">
        <f t="shared" ca="1" si="80"/>
        <v>-7350542.1919950303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-7350542.1919950303</v>
      </c>
      <c r="J948" s="455">
        <f t="array" ref="J948">IFERROR(INDEX('Retirement Calculator'!J:J,MATCH('Isaac 401k'!N948,'Retirement Calculator'!A:A,0),0),0)</f>
        <v>7863.2184191855868</v>
      </c>
      <c r="K948" s="455">
        <f t="shared" ca="1" si="79"/>
        <v>-30660.022543392563</v>
      </c>
      <c r="L948" s="455">
        <f t="shared" ca="1" si="80"/>
        <v>-7389065.4329576083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-7389065.4329576083</v>
      </c>
      <c r="J949" s="455">
        <f t="array" ref="J949">IFERROR(INDEX('Retirement Calculator'!J:J,MATCH('Isaac 401k'!N949,'Retirement Calculator'!A:A,0),0),0)</f>
        <v>7863.2184191855868</v>
      </c>
      <c r="K949" s="455">
        <f t="shared" ca="1" si="79"/>
        <v>-30820.536047403304</v>
      </c>
      <c r="L949" s="455">
        <f t="shared" ca="1" si="80"/>
        <v>-7427749.1874241978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-7427749.1874241978</v>
      </c>
      <c r="J950" s="455">
        <f t="array" ref="J950">IFERROR(INDEX('Retirement Calculator'!J:J,MATCH('Isaac 401k'!N950,'Retirement Calculator'!A:A,0),0),0)</f>
        <v>7863.2184191855868</v>
      </c>
      <c r="K950" s="455">
        <f t="shared" ca="1" si="79"/>
        <v>-30981.718357680766</v>
      </c>
      <c r="L950" s="455">
        <f t="shared" ca="1" si="80"/>
        <v>-7466594.124201064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-7466594.124201064</v>
      </c>
      <c r="J951" s="455">
        <f t="array" ref="J951">IFERROR(INDEX('Retirement Calculator'!J:J,MATCH('Isaac 401k'!N951,'Retirement Calculator'!A:A,0),0),0)</f>
        <v>7863.2184191855868</v>
      </c>
      <c r="K951" s="455">
        <f t="shared" ca="1" si="79"/>
        <v>-31143.57226091771</v>
      </c>
      <c r="L951" s="455">
        <f t="shared" ca="1" si="80"/>
        <v>-7505600.9148811679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-7505600.9148811679</v>
      </c>
      <c r="J952" s="455">
        <f t="array" ref="J952">IFERROR(INDEX('Retirement Calculator'!J:J,MATCH('Isaac 401k'!N952,'Retirement Calculator'!A:A,0),0),0)</f>
        <v>7863.2184191855868</v>
      </c>
      <c r="K952" s="455">
        <f t="shared" ca="1" si="79"/>
        <v>-31306.100555418136</v>
      </c>
      <c r="L952" s="455">
        <f t="shared" ca="1" si="80"/>
        <v>-7544770.2338557718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-7544770.2338557718</v>
      </c>
      <c r="J953" s="455">
        <f t="array" ref="J953">IFERROR(INDEX('Retirement Calculator'!J:J,MATCH('Isaac 401k'!N953,'Retirement Calculator'!A:A,0),0),0)</f>
        <v>7863.2184191855868</v>
      </c>
      <c r="K953" s="455">
        <f t="shared" ca="1" si="79"/>
        <v>-31469.306051145653</v>
      </c>
      <c r="L953" s="455">
        <f t="shared" ca="1" si="80"/>
        <v>-7584102.758326103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-7584102.758326103</v>
      </c>
      <c r="J954" s="455">
        <f t="array" ref="J954">IFERROR(INDEX('Retirement Calculator'!J:J,MATCH('Isaac 401k'!N954,'Retirement Calculator'!A:A,0),0),0)</f>
        <v>7863.2184191855868</v>
      </c>
      <c r="K954" s="455">
        <f t="shared" ca="1" si="79"/>
        <v>-31633.191569772036</v>
      </c>
      <c r="L954" s="455">
        <f t="shared" ca="1" si="80"/>
        <v>-7623599.1683150604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-7623599.1683150604</v>
      </c>
      <c r="J955" s="455">
        <f t="array" ref="J955">IFERROR(INDEX('Retirement Calculator'!J:J,MATCH('Isaac 401k'!N955,'Retirement Calculator'!A:A,0),0),0)</f>
        <v>7863.2184191855868</v>
      </c>
      <c r="K955" s="455">
        <f t="shared" ca="1" si="79"/>
        <v>-31797.759944726022</v>
      </c>
      <c r="L955" s="455">
        <f t="shared" ca="1" si="80"/>
        <v>-7663260.1466789721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-7663260.1466789721</v>
      </c>
      <c r="J956" s="455">
        <f t="array" ref="J956">IFERROR(INDEX('Retirement Calculator'!J:J,MATCH('Isaac 401k'!N956,'Retirement Calculator'!A:A,0),0),0)</f>
        <v>7863.2184191855868</v>
      </c>
      <c r="K956" s="455">
        <f t="shared" ca="1" si="79"/>
        <v>-31963.014021242325</v>
      </c>
      <c r="L956" s="455">
        <f t="shared" ca="1" si="80"/>
        <v>-7703086.3791193999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-7703086.3791193999</v>
      </c>
      <c r="J957" s="455">
        <f t="array" ref="J957">IFERROR(INDEX('Retirement Calculator'!J:J,MATCH('Isaac 401k'!N957,'Retirement Calculator'!A:A,0),0),0)</f>
        <v>7863.2184191855868</v>
      </c>
      <c r="K957" s="455">
        <f t="shared" ca="1" si="79"/>
        <v>-32128.956656410774</v>
      </c>
      <c r="L957" s="455">
        <f t="shared" ca="1" si="80"/>
        <v>-7743078.5541949961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-7743078.5541949961</v>
      </c>
      <c r="J958" s="455">
        <f t="array" ref="J958">IFERROR(INDEX('Retirement Calculator'!J:J,MATCH('Isaac 401k'!N958,'Retirement Calculator'!A:A,0),0),0)</f>
        <v>7863.2184191855868</v>
      </c>
      <c r="K958" s="455">
        <f t="shared" ca="1" si="79"/>
        <v>-32295.590719225758</v>
      </c>
      <c r="L958" s="455">
        <f t="shared" ca="1" si="80"/>
        <v>-7783237.3633334078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-7783237.3633334078</v>
      </c>
      <c r="J959" s="455">
        <f t="array" ref="J959">IFERROR(INDEX('Retirement Calculator'!J:J,MATCH('Isaac 401k'!N959,'Retirement Calculator'!A:A,0),0),0)</f>
        <v>7863.2184191855868</v>
      </c>
      <c r="K959" s="455">
        <f t="shared" ca="1" si="79"/>
        <v>-32462.919090635805</v>
      </c>
      <c r="L959" s="455">
        <f t="shared" ca="1" si="80"/>
        <v>-7823563.5008432297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-7823563.5008432297</v>
      </c>
      <c r="J960" s="455">
        <f t="array" ref="J960">IFERROR(INDEX('Retirement Calculator'!J:J,MATCH('Isaac 401k'!N960,'Retirement Calculator'!A:A,0),0),0)</f>
        <v>7863.2184191855868</v>
      </c>
      <c r="K960" s="455">
        <f t="shared" ca="1" si="79"/>
        <v>-32630.944663593396</v>
      </c>
      <c r="L960" s="455">
        <f t="shared" ca="1" si="80"/>
        <v>-7864057.6639260091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-7864057.6639260091</v>
      </c>
      <c r="J961" s="455">
        <f t="array" ref="J961">IFERROR(INDEX('Retirement Calculator'!J:J,MATCH('Isaac 401k'!N961,'Retirement Calculator'!A:A,0),0),0)</f>
        <v>7863.2184191855868</v>
      </c>
      <c r="K961" s="455">
        <f t="shared" ca="1" si="79"/>
        <v>-32799.670343104975</v>
      </c>
      <c r="L961" s="455">
        <f t="shared" ca="1" si="80"/>
        <v>-7904720.5526882997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-7904720.5526882997</v>
      </c>
      <c r="J962" s="455">
        <f t="array" ref="J962">IFERROR(INDEX('Retirement Calculator'!J:J,MATCH('Isaac 401k'!N962,'Retirement Calculator'!A:A,0),0),0)</f>
        <v>7863.2184191855868</v>
      </c>
      <c r="K962" s="455">
        <f t="shared" ca="1" si="79"/>
        <v>-32969.099046281182</v>
      </c>
      <c r="L962" s="455">
        <f t="shared" ca="1" si="80"/>
        <v>-7945552.8701537671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-7945552.8701537671</v>
      </c>
      <c r="J963" s="455">
        <f t="array" ref="J963">IFERROR(INDEX('Retirement Calculator'!J:J,MATCH('Isaac 401k'!N963,'Retirement Calculator'!A:A,0),0),0)</f>
        <v>7863.2184191855868</v>
      </c>
      <c r="K963" s="455">
        <f t="shared" ca="1" si="79"/>
        <v>-33139.233702387304</v>
      </c>
      <c r="L963" s="455">
        <f t="shared" ca="1" si="80"/>
        <v>-7986555.3222753406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-7986555.3222753406</v>
      </c>
      <c r="J964" s="455">
        <f t="array" ref="J964">IFERROR(INDEX('Retirement Calculator'!J:J,MATCH('Isaac 401k'!N964,'Retirement Calculator'!A:A,0),0),0)</f>
        <v>7863.2184191855868</v>
      </c>
      <c r="K964" s="455">
        <f t="shared" ca="1" si="79"/>
        <v>-33310.077252893861</v>
      </c>
      <c r="L964" s="455">
        <f t="shared" ca="1" si="80"/>
        <v>-8027728.6179474201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-8027728.6179474201</v>
      </c>
      <c r="J965" s="455">
        <f t="array" ref="J965">IFERROR(INDEX('Retirement Calculator'!J:J,MATCH('Isaac 401k'!N965,'Retirement Calculator'!A:A,0),0),0)</f>
        <v>7863.2184191855868</v>
      </c>
      <c r="K965" s="455">
        <f t="shared" ca="1" si="79"/>
        <v>-33481.632651527521</v>
      </c>
      <c r="L965" s="455">
        <f t="shared" ca="1" si="80"/>
        <v>-8069073.4690181334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-8069073.4690181334</v>
      </c>
      <c r="J966" s="455">
        <f t="array" ref="J966">IFERROR(INDEX('Retirement Calculator'!J:J,MATCH('Isaac 401k'!N966,'Retirement Calculator'!A:A,0),0),0)</f>
        <v>7863.2184191855868</v>
      </c>
      <c r="K966" s="455">
        <f t="shared" ca="1" si="79"/>
        <v>-33653.902864322161</v>
      </c>
      <c r="L966" s="455">
        <f t="shared" ca="1" si="80"/>
        <v>-8110590.5903016413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-8110590.5903016413</v>
      </c>
      <c r="J967" s="455">
        <f t="array" ref="J967">IFERROR(INDEX('Retirement Calculator'!J:J,MATCH('Isaac 401k'!N967,'Retirement Calculator'!A:A,0),0),0)</f>
        <v>7863.2184191855868</v>
      </c>
      <c r="K967" s="455">
        <f t="shared" ca="1" si="79"/>
        <v>-33826.890869670118</v>
      </c>
      <c r="L967" s="455">
        <f t="shared" ca="1" si="80"/>
        <v>-8152280.6995904977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-8152280.6995904977</v>
      </c>
      <c r="J968" s="455">
        <f t="array" ref="J968">IFERROR(INDEX('Retirement Calculator'!J:J,MATCH('Isaac 401k'!N968,'Retirement Calculator'!A:A,0),0),0)</f>
        <v>7863.2184191855868</v>
      </c>
      <c r="K968" s="455">
        <f t="shared" ca="1" si="79"/>
        <v>-34000.599658373678</v>
      </c>
      <c r="L968" s="455">
        <f t="shared" ca="1" si="80"/>
        <v>-8194144.5176680572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-8194144.5176680572</v>
      </c>
      <c r="J969" s="455">
        <f t="array" ref="J969">IFERROR(INDEX('Retirement Calculator'!J:J,MATCH('Isaac 401k'!N969,'Retirement Calculator'!A:A,0),0),0)</f>
        <v>7863.2184191855868</v>
      </c>
      <c r="K969" s="455">
        <f t="shared" ca="1" si="79"/>
        <v>-34175.032233696838</v>
      </c>
      <c r="L969" s="455">
        <f t="shared" ca="1" si="80"/>
        <v>-8236182.7683209395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-8236182.7683209395</v>
      </c>
      <c r="J970" s="455">
        <f t="array" ref="J970">IFERROR(INDEX('Retirement Calculator'!J:J,MATCH('Isaac 401k'!N970,'Retirement Calculator'!A:A,0),0),0)</f>
        <v>7863.2184191855868</v>
      </c>
      <c r="K970" s="455">
        <f t="shared" ca="1" si="79"/>
        <v>-34350.191611417191</v>
      </c>
      <c r="L970" s="455">
        <f t="shared" ca="1" si="80"/>
        <v>-8278396.1783515429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-8278396.1783515429</v>
      </c>
      <c r="J971" s="455">
        <f t="array" ref="J971">IFERROR(INDEX('Retirement Calculator'!J:J,MATCH('Isaac 401k'!N971,'Retirement Calculator'!A:A,0),0),0)</f>
        <v>7863.2184191855868</v>
      </c>
      <c r="K971" s="455">
        <f t="shared" ca="1" si="79"/>
        <v>-34526.080819878036</v>
      </c>
      <c r="L971" s="455">
        <f t="shared" ca="1" si="80"/>
        <v>-8320785.4775906065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-8320785.4775906065</v>
      </c>
      <c r="J972" s="455">
        <f t="array" ref="J972">IFERROR(INDEX('Retirement Calculator'!J:J,MATCH('Isaac 401k'!N972,'Retirement Calculator'!A:A,0),0),0)</f>
        <v>7863.2184191855868</v>
      </c>
      <c r="K972" s="455">
        <f t="shared" ca="1" si="79"/>
        <v>-34702.7029000408</v>
      </c>
      <c r="L972" s="455">
        <f t="shared" ca="1" si="80"/>
        <v>-8363351.3989098333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-8363351.3989098333</v>
      </c>
      <c r="J973" s="455">
        <f t="array" ref="J973">IFERROR(INDEX('Retirement Calculator'!J:J,MATCH('Isaac 401k'!N973,'Retirement Calculator'!A:A,0),0),0)</f>
        <v>7863.2184191855868</v>
      </c>
      <c r="K973" s="455">
        <f t="shared" ca="1" si="79"/>
        <v>-34880.060905537583</v>
      </c>
      <c r="L973" s="455">
        <f t="shared" ca="1" si="80"/>
        <v>-8406094.6782345567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-8406094.6782345567</v>
      </c>
      <c r="J974" s="455">
        <f t="array" ref="J974">IFERROR(INDEX('Retirement Calculator'!J:J,MATCH('Isaac 401k'!N974,'Retirement Calculator'!A:A,0),0),0)</f>
        <v>7863.2184191855868</v>
      </c>
      <c r="K974" s="455">
        <f t="shared" ca="1" si="79"/>
        <v>-35058.15790272392</v>
      </c>
      <c r="L974" s="455">
        <f t="shared" ca="1" si="80"/>
        <v>-8449016.0545564648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-8449016.0545564648</v>
      </c>
      <c r="J975" s="455">
        <f t="array" ref="J975">IFERROR(INDEX('Retirement Calculator'!J:J,MATCH('Isaac 401k'!N975,'Retirement Calculator'!A:A,0),0),0)</f>
        <v>7863.2184191855868</v>
      </c>
      <c r="K975" s="455">
        <f t="shared" ca="1" si="79"/>
        <v>-35236.996970731874</v>
      </c>
      <c r="L975" s="455">
        <f t="shared" ca="1" si="80"/>
        <v>-8492116.2699463814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-8492116.2699463814</v>
      </c>
      <c r="J976" s="455">
        <f t="array" ref="J976">IFERROR(INDEX('Retirement Calculator'!J:J,MATCH('Isaac 401k'!N976,'Retirement Calculator'!A:A,0),0),0)</f>
        <v>7863.2184191855868</v>
      </c>
      <c r="K976" s="455">
        <f t="shared" ca="1" si="79"/>
        <v>-35416.581201523193</v>
      </c>
      <c r="L976" s="455">
        <f t="shared" ca="1" si="80"/>
        <v>-8535396.0695670899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-8535396.0695670899</v>
      </c>
      <c r="J977" s="455">
        <f t="array" ref="J977">IFERROR(INDEX('Retirement Calculator'!J:J,MATCH('Isaac 401k'!N977,'Retirement Calculator'!A:A,0),0),0)</f>
        <v>7863.2184191855868</v>
      </c>
      <c r="K977" s="455">
        <f t="shared" ca="1" si="79"/>
        <v>-35596.913699942808</v>
      </c>
      <c r="L977" s="455">
        <f t="shared" ca="1" si="80"/>
        <v>-8578856.2016862184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-8578856.2016862184</v>
      </c>
      <c r="J978" s="455">
        <f t="array" ref="J978">IFERROR(INDEX('Retirement Calculator'!J:J,MATCH('Isaac 401k'!N978,'Retirement Calculator'!A:A,0),0),0)</f>
        <v>7863.2184191855868</v>
      </c>
      <c r="K978" s="455">
        <f t="shared" ca="1" si="79"/>
        <v>-35777.997583772514</v>
      </c>
      <c r="L978" s="455">
        <f t="shared" ca="1" si="80"/>
        <v>-8622497.4176891763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-8622497.4176891763</v>
      </c>
      <c r="J979" s="455">
        <f t="array" ref="J979">IFERROR(INDEX('Retirement Calculator'!J:J,MATCH('Isaac 401k'!N979,'Retirement Calculator'!A:A,0),0),0)</f>
        <v>7863.2184191855868</v>
      </c>
      <c r="K979" s="455">
        <f t="shared" ca="1" si="79"/>
        <v>-35959.83598378484</v>
      </c>
      <c r="L979" s="455">
        <f t="shared" ca="1" si="80"/>
        <v>-8666320.4720921461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-8666320.4720921461</v>
      </c>
      <c r="J980" s="455">
        <f t="array" ref="J980">IFERROR(INDEX('Retirement Calculator'!J:J,MATCH('Isaac 401k'!N980,'Retirement Calculator'!A:A,0),0),0)</f>
        <v>7863.2184191855868</v>
      </c>
      <c r="K980" s="455">
        <f t="shared" ca="1" si="79"/>
        <v>-36142.432043797213</v>
      </c>
      <c r="L980" s="455">
        <f t="shared" ca="1" si="80"/>
        <v>-8710326.1225551274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-8710326.1225551274</v>
      </c>
      <c r="J981" s="455">
        <f t="array" ref="J981">IFERROR(INDEX('Retirement Calculator'!J:J,MATCH('Isaac 401k'!N981,'Retirement Calculator'!A:A,0),0),0)</f>
        <v>7863.2184191855868</v>
      </c>
      <c r="K981" s="455">
        <f t="shared" ca="1" si="79"/>
        <v>-36325.7889207263</v>
      </c>
      <c r="L981" s="455">
        <f t="shared" ca="1" si="80"/>
        <v>-8754515.1298950389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-8754515.1298950389</v>
      </c>
      <c r="J982" s="455">
        <f t="array" ref="J982">IFERROR(INDEX('Retirement Calculator'!J:J,MATCH('Isaac 401k'!N982,'Retirement Calculator'!A:A,0),0),0)</f>
        <v>7863.2184191855868</v>
      </c>
      <c r="K982" s="455">
        <f t="shared" ca="1" si="79"/>
        <v>-36509.909784642601</v>
      </c>
      <c r="L982" s="455">
        <f t="shared" ca="1" si="80"/>
        <v>-8798888.2580988668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-8798888.2580988668</v>
      </c>
      <c r="J983" s="455">
        <f t="array" ref="J983">IFERROR(INDEX('Retirement Calculator'!J:J,MATCH('Isaac 401k'!N983,'Retirement Calculator'!A:A,0),0),0)</f>
        <v>7863.2184191855868</v>
      </c>
      <c r="K983" s="455">
        <f t="shared" ca="1" si="79"/>
        <v>-36694.797818825216</v>
      </c>
      <c r="L983" s="455">
        <f t="shared" ca="1" si="80"/>
        <v>-8843446.2743368763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-8843446.2743368763</v>
      </c>
      <c r="J984" s="455">
        <f t="array" ref="J984">IFERROR(INDEX('Retirement Calculator'!J:J,MATCH('Isaac 401k'!N984,'Retirement Calculator'!A:A,0),0),0)</f>
        <v>7863.2184191855868</v>
      </c>
      <c r="K984" s="455">
        <f t="shared" ca="1" si="79"/>
        <v>-36880.456219816922</v>
      </c>
      <c r="L984" s="455">
        <f t="shared" ca="1" si="80"/>
        <v>-8888189.9489758778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-8888189.9489758778</v>
      </c>
      <c r="J985" s="455">
        <f t="array" ref="J985">IFERROR(INDEX('Retirement Calculator'!J:J,MATCH('Isaac 401k'!N985,'Retirement Calculator'!A:A,0),0),0)</f>
        <v>7863.2184191855868</v>
      </c>
      <c r="K985" s="455">
        <f t="shared" ca="1" si="79"/>
        <v>-37066.888197479428</v>
      </c>
      <c r="L985" s="455">
        <f t="shared" ca="1" si="80"/>
        <v>-8933120.0555925425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-8933120.0555925425</v>
      </c>
      <c r="J986" s="455">
        <f t="array" ref="J986">IFERROR(INDEX('Retirement Calculator'!J:J,MATCH('Isaac 401k'!N986,'Retirement Calculator'!A:A,0),0),0)</f>
        <v>7863.2184191855868</v>
      </c>
      <c r="K986" s="455">
        <f t="shared" ca="1" si="79"/>
        <v>-37254.096975048866</v>
      </c>
      <c r="L986" s="455">
        <f t="shared" ca="1" si="80"/>
        <v>-8978237.3709867764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-8978237.3709867764</v>
      </c>
      <c r="J987" s="455">
        <f t="array" ref="J987">IFERROR(INDEX('Retirement Calculator'!J:J,MATCH('Isaac 401k'!N987,'Retirement Calculator'!A:A,0),0),0)</f>
        <v>7863.2184191855868</v>
      </c>
      <c r="K987" s="455">
        <f t="shared" ca="1" si="79"/>
        <v>-37442.085789191508</v>
      </c>
      <c r="L987" s="455">
        <f t="shared" ca="1" si="80"/>
        <v>-9023542.6751951519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-9023542.6751951519</v>
      </c>
      <c r="J988" s="455">
        <f t="array" ref="J988">IFERROR(INDEX('Retirement Calculator'!J:J,MATCH('Isaac 401k'!N988,'Retirement Calculator'!A:A,0),0),0)</f>
        <v>7863.2184191855868</v>
      </c>
      <c r="K988" s="455">
        <f t="shared" ca="1" si="79"/>
        <v>-37630.857890059735</v>
      </c>
      <c r="L988" s="455">
        <f t="shared" ca="1" si="80"/>
        <v>-9069036.751504397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-9069036.751504397</v>
      </c>
      <c r="J989" s="455">
        <f t="array" ref="J989">IFERROR(INDEX('Retirement Calculator'!J:J,MATCH('Isaac 401k'!N989,'Retirement Calculator'!A:A,0),0),0)</f>
        <v>7863.2184191855868</v>
      </c>
      <c r="K989" s="455">
        <f t="shared" ca="1" si="79"/>
        <v>-37820.416541348255</v>
      </c>
      <c r="L989" s="455">
        <f t="shared" ca="1" si="80"/>
        <v>-9114720.3864649311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-9114720.3864649311</v>
      </c>
      <c r="J990" s="455">
        <f t="array" ref="J990">IFERROR(INDEX('Retirement Calculator'!J:J,MATCH('Isaac 401k'!N990,'Retirement Calculator'!A:A,0),0),0)</f>
        <v>7863.2184191855868</v>
      </c>
      <c r="K990" s="455">
        <f t="shared" ca="1" si="79"/>
        <v>-38010.765020350482</v>
      </c>
      <c r="L990" s="455">
        <f t="shared" ca="1" si="80"/>
        <v>-9160594.369904466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-9160594.369904466</v>
      </c>
      <c r="J991" s="455">
        <f t="array" ref="J991">IFERROR(INDEX('Retirement Calculator'!J:J,MATCH('Isaac 401k'!N991,'Retirement Calculator'!A:A,0),0),0)</f>
        <v>7863.2184191855868</v>
      </c>
      <c r="K991" s="455">
        <f t="shared" ca="1" si="79"/>
        <v>-38201.906618015215</v>
      </c>
      <c r="L991" s="455">
        <f t="shared" ca="1" si="80"/>
        <v>-9206659.4949416667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-9206659.4949416667</v>
      </c>
      <c r="J992" s="455">
        <f t="array" ref="J992">IFERROR(INDEX('Retirement Calculator'!J:J,MATCH('Isaac 401k'!N992,'Retirement Calculator'!A:A,0),0),0)</f>
        <v>7863.2184191855868</v>
      </c>
      <c r="K992" s="455">
        <f t="shared" ca="1" si="79"/>
        <v>-38393.844639003546</v>
      </c>
      <c r="L992" s="455">
        <f t="shared" ca="1" si="80"/>
        <v>-9252916.5579998549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-9252916.5579998549</v>
      </c>
      <c r="J993" s="455">
        <f t="array" ref="J993">IFERROR(INDEX('Retirement Calculator'!J:J,MATCH('Isaac 401k'!N993,'Retirement Calculator'!A:A,0),0),0)</f>
        <v>7863.2184191855868</v>
      </c>
      <c r="K993" s="455">
        <f t="shared" ca="1" si="79"/>
        <v>-38586.582401745996</v>
      </c>
      <c r="L993" s="455">
        <f t="shared" ca="1" si="80"/>
        <v>-9299366.3588207867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-9299366.3588207867</v>
      </c>
      <c r="J994" s="455">
        <f t="array" ref="J994">IFERROR(INDEX('Retirement Calculator'!J:J,MATCH('Isaac 401k'!N994,'Retirement Calculator'!A:A,0),0),0)</f>
        <v>7863.2184191855868</v>
      </c>
      <c r="K994" s="455">
        <f t="shared" ca="1" si="79"/>
        <v>-38780.12323849988</v>
      </c>
      <c r="L994" s="455">
        <f t="shared" ca="1" si="80"/>
        <v>-9346009.7004784718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-9346009.7004784718</v>
      </c>
      <c r="J995" s="455">
        <f t="array" ref="J995">IFERROR(INDEX('Retirement Calculator'!J:J,MATCH('Isaac 401k'!N995,'Retirement Calculator'!A:A,0),0),0)</f>
        <v>7863.2184191855868</v>
      </c>
      <c r="K995" s="455">
        <f t="shared" ca="1" si="79"/>
        <v>-38974.470495406902</v>
      </c>
      <c r="L995" s="455">
        <f t="shared" ca="1" si="80"/>
        <v>-9392847.3893930633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-9392847.3893930633</v>
      </c>
      <c r="J996" s="455">
        <f t="array" ref="J996">IFERROR(INDEX('Retirement Calculator'!J:J,MATCH('Isaac 401k'!N996,'Retirement Calculator'!A:A,0),0),0)</f>
        <v>7863.2184191855868</v>
      </c>
      <c r="K996" s="455">
        <f t="shared" ca="1" si="79"/>
        <v>-39169.627532551036</v>
      </c>
      <c r="L996" s="455">
        <f t="shared" ca="1" si="80"/>
        <v>-9439880.2353447992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-9439880.2353447992</v>
      </c>
      <c r="J997" s="455">
        <f t="array" ref="J997">IFERROR(INDEX('Retirement Calculator'!J:J,MATCH('Isaac 401k'!N997,'Retirement Calculator'!A:A,0),0),0)</f>
        <v>7863.2184191855868</v>
      </c>
      <c r="K997" s="455">
        <f t="shared" ca="1" si="79"/>
        <v>-39365.597724016603</v>
      </c>
      <c r="L997" s="455">
        <f t="shared" ca="1" si="80"/>
        <v>-9487109.0514880009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-9487109.0514880009</v>
      </c>
      <c r="J998" s="455">
        <f t="array" ref="J998">IFERROR(INDEX('Retirement Calculator'!J:J,MATCH('Isaac 401k'!N998,'Retirement Calculator'!A:A,0),0),0)</f>
        <v>7863.2184191855868</v>
      </c>
      <c r="K998" s="455">
        <f t="shared" ca="1" si="79"/>
        <v>-39562.384457946609</v>
      </c>
      <c r="L998" s="455">
        <f t="shared" ca="1" si="80"/>
        <v>-9534534.6543651316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-9534534.6543651316</v>
      </c>
      <c r="J999" s="455">
        <f t="array" ref="J999">IFERROR(INDEX('Retirement Calculator'!J:J,MATCH('Isaac 401k'!N999,'Retirement Calculator'!A:A,0),0),0)</f>
        <v>7863.2184191855868</v>
      </c>
      <c r="K999" s="455">
        <f t="shared" ca="1" si="79"/>
        <v>-39759.991136601318</v>
      </c>
      <c r="L999" s="455">
        <f t="shared" ca="1" si="80"/>
        <v>-9582157.8639209177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-9582157.8639209177</v>
      </c>
      <c r="J1000" s="455">
        <f t="array" ref="J1000">IFERROR(INDEX('Retirement Calculator'!J:J,MATCH('Isaac 401k'!N1000,'Retirement Calculator'!A:A,0),0),0)</f>
        <v>7863.2184191855868</v>
      </c>
      <c r="K1000" s="455">
        <f t="shared" ca="1" si="79"/>
        <v>-39958.42117641709</v>
      </c>
      <c r="L1000" s="455">
        <f t="shared" ca="1" si="80"/>
        <v>-9629979.5035165194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-9629979.5035165194</v>
      </c>
      <c r="J1001" s="455">
        <f t="array" ref="J1001">IFERROR(INDEX('Retirement Calculator'!J:J,MATCH('Isaac 401k'!N1001,'Retirement Calculator'!A:A,0),0),0)</f>
        <v>7863.2184191855868</v>
      </c>
      <c r="K1001" s="455">
        <f t="shared" ca="1" si="79"/>
        <v>-40157.678008065435</v>
      </c>
      <c r="L1001" s="455">
        <f t="shared" ca="1" si="80"/>
        <v>-9678000.399943769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-9678000.399943769</v>
      </c>
      <c r="J1002" s="455">
        <f t="array" ref="J1002">IFERROR(INDEX('Retirement Calculator'!J:J,MATCH('Isaac 401k'!N1002,'Retirement Calculator'!A:A,0),0),0)</f>
        <v>7863.2184191855868</v>
      </c>
      <c r="K1002" s="455">
        <f t="shared" ca="1" si="79"/>
        <v>-40357.765076512311</v>
      </c>
      <c r="L1002" s="455">
        <f t="shared" ca="1" si="80"/>
        <v>-9726221.3834394664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-9726221.3834394664</v>
      </c>
      <c r="J1003" s="455">
        <f t="array" ref="J1003">IFERROR(INDEX('Retirement Calculator'!J:J,MATCH('Isaac 401k'!N1003,'Retirement Calculator'!A:A,0),0),0)</f>
        <v>7863.2184191855868</v>
      </c>
      <c r="K1003" s="455">
        <f t="shared" ca="1" si="79"/>
        <v>-40558.685841077713</v>
      </c>
      <c r="L1003" s="455">
        <f t="shared" ca="1" si="80"/>
        <v>-9774643.2876997292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>
        <f>G1003+1</f>
        <v>84</v>
      </c>
      <c r="H1004" s="470">
        <v>997</v>
      </c>
      <c r="I1004" s="455">
        <f t="shared" ca="1" si="81"/>
        <v>-9774643.2876997292</v>
      </c>
      <c r="J1004" s="455">
        <f t="array" ref="J1004">IFERROR(INDEX('Retirement Calculator'!J:J,MATCH('Isaac 401k'!N1004,'Retirement Calculator'!A:A,0),0),0)</f>
        <v>7863.2184191855868</v>
      </c>
      <c r="K1004" s="455">
        <f t="shared" ca="1" si="79"/>
        <v>-40760.443775495478</v>
      </c>
      <c r="L1004" s="455">
        <f t="shared" ca="1" si="80"/>
        <v>-9823266.9498944096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>
        <f t="shared" ref="G1005:G1015" si="103">G1004</f>
        <v>84</v>
      </c>
      <c r="H1005" s="470">
        <v>998</v>
      </c>
      <c r="I1005" s="455">
        <f t="shared" ca="1" si="81"/>
        <v>-9823266.9498944096</v>
      </c>
      <c r="J1005" s="455">
        <f t="array" ref="J1005">IFERROR(INDEX('Retirement Calculator'!J:J,MATCH('Isaac 401k'!N1005,'Retirement Calculator'!A:A,0),0),0)</f>
        <v>7863.2184191855868</v>
      </c>
      <c r="K1005" s="455">
        <f t="shared" ca="1" si="79"/>
        <v>-40963.042367973307</v>
      </c>
      <c r="L1005" s="455">
        <f t="shared" ca="1" si="80"/>
        <v>-9872093.210681567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>
        <f t="shared" si="103"/>
        <v>84</v>
      </c>
      <c r="H1006" s="470">
        <v>999</v>
      </c>
      <c r="I1006" s="455">
        <f t="shared" ca="1" si="81"/>
        <v>-9872093.210681567</v>
      </c>
      <c r="J1006" s="455">
        <f t="array" ref="J1006">IFERROR(INDEX('Retirement Calculator'!J:J,MATCH('Isaac 401k'!N1006,'Retirement Calculator'!A:A,0),0),0)</f>
        <v>7863.2184191855868</v>
      </c>
      <c r="K1006" s="455">
        <f t="shared" ca="1" si="79"/>
        <v>-41166.485121253136</v>
      </c>
      <c r="L1006" s="455">
        <f t="shared" ca="1" si="80"/>
        <v>-9921122.9142220058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>
        <f t="shared" si="103"/>
        <v>84</v>
      </c>
      <c r="H1007" s="470">
        <v>1000</v>
      </c>
      <c r="I1007" s="455">
        <f t="shared" ca="1" si="81"/>
        <v>-9921122.9142220058</v>
      </c>
      <c r="J1007" s="455">
        <f t="array" ref="J1007">IFERROR(INDEX('Retirement Calculator'!J:J,MATCH('Isaac 401k'!N1007,'Retirement Calculator'!A:A,0),0),0)</f>
        <v>7863.2184191855868</v>
      </c>
      <c r="K1007" s="455">
        <f t="shared" ca="1" si="79"/>
        <v>-41370.775552671628</v>
      </c>
      <c r="L1007" s="455">
        <f t="shared" ca="1" si="80"/>
        <v>-9970356.9081938621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>
        <f t="shared" si="103"/>
        <v>84</v>
      </c>
      <c r="H1008" s="470">
        <v>1001</v>
      </c>
      <c r="I1008" s="455">
        <f t="shared" ca="1" si="81"/>
        <v>-9970356.9081938621</v>
      </c>
      <c r="J1008" s="455">
        <f t="array" ref="J1008">IFERROR(INDEX('Retirement Calculator'!J:J,MATCH('Isaac 401k'!N1008,'Retirement Calculator'!A:A,0),0),0)</f>
        <v>7863.2184191855868</v>
      </c>
      <c r="K1008" s="455">
        <f t="shared" ca="1" si="79"/>
        <v>-41575.917194221031</v>
      </c>
      <c r="L1008" s="455">
        <f t="shared" ca="1" si="80"/>
        <v>-10019796.043807268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>
        <f t="shared" si="103"/>
        <v>84</v>
      </c>
      <c r="H1009" s="470">
        <v>1002</v>
      </c>
      <c r="I1009" s="455">
        <f t="shared" ca="1" si="81"/>
        <v>-10019796.043807268</v>
      </c>
      <c r="J1009" s="455">
        <f t="array" ref="J1009">IFERROR(INDEX('Retirement Calculator'!J:J,MATCH('Isaac 401k'!N1009,'Retirement Calculator'!A:A,0),0),0)</f>
        <v>7863.2184191855868</v>
      </c>
      <c r="K1009" s="455">
        <f t="shared" ca="1" si="79"/>
        <v>-41781.913592610217</v>
      </c>
      <c r="L1009" s="455">
        <f t="shared" ca="1" si="80"/>
        <v>-10069441.175819064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>
        <f t="shared" si="103"/>
        <v>84</v>
      </c>
      <c r="H1010" s="470">
        <v>1003</v>
      </c>
      <c r="I1010" s="455">
        <f t="shared" ca="1" si="81"/>
        <v>-10069441.175819064</v>
      </c>
      <c r="J1010" s="455">
        <f t="array" ref="J1010">IFERROR(INDEX('Retirement Calculator'!J:J,MATCH('Isaac 401k'!N1010,'Retirement Calculator'!A:A,0),0),0)</f>
        <v>7863.2184191855868</v>
      </c>
      <c r="K1010" s="455">
        <f t="shared" ca="1" si="79"/>
        <v>-41988.768309326035</v>
      </c>
      <c r="L1010" s="455">
        <f t="shared" ca="1" si="80"/>
        <v>-10119293.162547575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>
        <f t="shared" si="103"/>
        <v>84</v>
      </c>
      <c r="H1011" s="470">
        <v>1004</v>
      </c>
      <c r="I1011" s="455">
        <f t="shared" ca="1" si="81"/>
        <v>-10119293.162547575</v>
      </c>
      <c r="J1011" s="455">
        <f t="array" ref="J1011">IFERROR(INDEX('Retirement Calculator'!J:J,MATCH('Isaac 401k'!N1011,'Retirement Calculator'!A:A,0),0),0)</f>
        <v>7863.2184191855868</v>
      </c>
      <c r="K1011" s="455">
        <f t="shared" ca="1" si="79"/>
        <v>-42196.484920694835</v>
      </c>
      <c r="L1011" s="455">
        <f t="shared" ca="1" si="80"/>
        <v>-10169352.865887456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>
        <f t="shared" si="103"/>
        <v>84</v>
      </c>
      <c r="H1012" s="470">
        <v>1005</v>
      </c>
      <c r="I1012" s="455">
        <f t="shared" ca="1" si="81"/>
        <v>-10169352.865887456</v>
      </c>
      <c r="J1012" s="455">
        <f t="array" ref="J1012">IFERROR(INDEX('Retirement Calculator'!J:J,MATCH('Isaac 401k'!N1012,'Retirement Calculator'!A:A,0),0),0)</f>
        <v>7863.2184191855868</v>
      </c>
      <c r="K1012" s="455">
        <f t="shared" ca="1" si="79"/>
        <v>-42405.067017944333</v>
      </c>
      <c r="L1012" s="455">
        <f t="shared" ca="1" si="80"/>
        <v>-10219621.151324585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>
        <f t="shared" si="103"/>
        <v>84</v>
      </c>
      <c r="H1013" s="470">
        <v>1006</v>
      </c>
      <c r="I1013" s="455">
        <f t="shared" ca="1" si="81"/>
        <v>-10219621.151324585</v>
      </c>
      <c r="J1013" s="455">
        <f t="array" ref="J1013">IFERROR(INDEX('Retirement Calculator'!J:J,MATCH('Isaac 401k'!N1013,'Retirement Calculator'!A:A,0),0),0)</f>
        <v>7863.2184191855868</v>
      </c>
      <c r="K1013" s="455">
        <f t="shared" ca="1" si="79"/>
        <v>-42614.518207265704</v>
      </c>
      <c r="L1013" s="455">
        <f t="shared" ca="1" si="80"/>
        <v>-10270098.887951035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>
        <f t="shared" si="103"/>
        <v>84</v>
      </c>
      <c r="H1014" s="470">
        <v>1007</v>
      </c>
      <c r="I1014" s="455">
        <f t="shared" ca="1" si="81"/>
        <v>-10270098.887951035</v>
      </c>
      <c r="J1014" s="455">
        <f t="array" ref="J1014">IFERROR(INDEX('Retirement Calculator'!J:J,MATCH('Isaac 401k'!N1014,'Retirement Calculator'!A:A,0),0),0)</f>
        <v>7863.2184191855868</v>
      </c>
      <c r="K1014" s="455">
        <f t="shared" ca="1" si="79"/>
        <v>-42824.842109875914</v>
      </c>
      <c r="L1014" s="455">
        <f t="shared" ca="1" si="80"/>
        <v>-10320786.948480096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>
        <f t="shared" si="103"/>
        <v>84</v>
      </c>
      <c r="H1015" s="470">
        <v>1008</v>
      </c>
      <c r="I1015" s="455">
        <f t="shared" ca="1" si="81"/>
        <v>-10320786.948480096</v>
      </c>
      <c r="J1015" s="455">
        <f t="array" ref="J1015">IFERROR(INDEX('Retirement Calculator'!J:J,MATCH('Isaac 401k'!N1015,'Retirement Calculator'!A:A,0),0),0)</f>
        <v>7863.2184191855868</v>
      </c>
      <c r="K1015" s="455">
        <f t="shared" ca="1" si="79"/>
        <v>-43036.042362080334</v>
      </c>
      <c r="L1015" s="455">
        <f t="shared" ca="1" si="80"/>
        <v>-10371686.209261362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>
        <f>G1015+1</f>
        <v>85</v>
      </c>
      <c r="H1016" s="470">
        <v>1009</v>
      </c>
      <c r="I1016" s="455">
        <f t="shared" ca="1" si="81"/>
        <v>-10371686.209261362</v>
      </c>
      <c r="J1016" s="455">
        <f t="array" ref="J1016">IFERROR(INDEX('Retirement Calculator'!J:J,MATCH('Isaac 401k'!N1016,'Retirement Calculator'!A:A,0),0),0)</f>
        <v>7863.2184191855868</v>
      </c>
      <c r="K1016" s="455">
        <f t="shared" ca="1" si="79"/>
        <v>-43248.122615335611</v>
      </c>
      <c r="L1016" s="455">
        <f t="shared" ca="1" si="80"/>
        <v>-10422797.550295882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>
        <f t="shared" ref="G1017:G1027" si="104">G1016</f>
        <v>85</v>
      </c>
      <c r="H1017" s="470">
        <v>1010</v>
      </c>
      <c r="I1017" s="455">
        <f t="shared" ca="1" si="81"/>
        <v>-10422797.550295882</v>
      </c>
      <c r="J1017" s="455">
        <f t="array" ref="J1017">IFERROR(INDEX('Retirement Calculator'!J:J,MATCH('Isaac 401k'!N1017,'Retirement Calculator'!A:A,0),0),0)</f>
        <v>7863.2184191855868</v>
      </c>
      <c r="K1017" s="455">
        <f t="shared" ca="1" si="79"/>
        <v>-43461.086536312781</v>
      </c>
      <c r="L1017" s="455">
        <f t="shared" ca="1" si="80"/>
        <v>-10474121.855251379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>
        <f t="shared" si="104"/>
        <v>85</v>
      </c>
      <c r="H1018" s="470">
        <v>1011</v>
      </c>
      <c r="I1018" s="455">
        <f t="shared" ca="1" si="81"/>
        <v>-10474121.855251379</v>
      </c>
      <c r="J1018" s="455">
        <f t="array" ref="J1018">IFERROR(INDEX('Retirement Calculator'!J:J,MATCH('Isaac 401k'!N1018,'Retirement Calculator'!A:A,0),0),0)</f>
        <v>7863.2184191855868</v>
      </c>
      <c r="K1018" s="455">
        <f t="shared" ca="1" si="79"/>
        <v>-43674.937806960683</v>
      </c>
      <c r="L1018" s="455">
        <f t="shared" ca="1" si="80"/>
        <v>-10525660.011477524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>
        <f t="shared" si="104"/>
        <v>85</v>
      </c>
      <c r="H1019" s="470">
        <v>1012</v>
      </c>
      <c r="I1019" s="455">
        <f t="shared" ca="1" si="81"/>
        <v>-10525660.011477524</v>
      </c>
      <c r="J1019" s="455">
        <f t="array" ref="J1019">IFERROR(INDEX('Retirement Calculator'!J:J,MATCH('Isaac 401k'!N1019,'Retirement Calculator'!A:A,0),0),0)</f>
        <v>7863.2184191855868</v>
      </c>
      <c r="K1019" s="455">
        <f t="shared" ca="1" si="79"/>
        <v>-43889.680124569619</v>
      </c>
      <c r="L1019" s="455">
        <f t="shared" ca="1" si="80"/>
        <v>-10577412.910021279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>
        <f t="shared" si="104"/>
        <v>85</v>
      </c>
      <c r="H1020" s="470">
        <v>1013</v>
      </c>
      <c r="I1020" s="455">
        <f t="shared" ca="1" si="81"/>
        <v>-10577412.910021279</v>
      </c>
      <c r="J1020" s="455">
        <f t="array" ref="J1020">IFERROR(INDEX('Retirement Calculator'!J:J,MATCH('Isaac 401k'!N1020,'Retirement Calculator'!A:A,0),0),0)</f>
        <v>7863.2184191855868</v>
      </c>
      <c r="K1020" s="455">
        <f t="shared" ca="1" si="79"/>
        <v>-44105.317201835263</v>
      </c>
      <c r="L1020" s="455">
        <f t="shared" ca="1" si="80"/>
        <v>-10629381.4456423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>
        <f t="shared" si="104"/>
        <v>85</v>
      </c>
      <c r="H1021" s="470">
        <v>1014</v>
      </c>
      <c r="I1021" s="455">
        <f t="shared" ca="1" si="81"/>
        <v>-10629381.4456423</v>
      </c>
      <c r="J1021" s="455">
        <f t="array" ref="J1021">IFERROR(INDEX('Retirement Calculator'!J:J,MATCH('Isaac 401k'!N1021,'Retirement Calculator'!A:A,0),0),0)</f>
        <v>7863.2184191855868</v>
      </c>
      <c r="K1021" s="455">
        <f t="shared" ca="1" si="79"/>
        <v>-44321.85276692285</v>
      </c>
      <c r="L1021" s="455">
        <f t="shared" ca="1" si="80"/>
        <v>-10681566.516828408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>
        <f t="shared" si="104"/>
        <v>85</v>
      </c>
      <c r="H1022" s="470">
        <v>1015</v>
      </c>
      <c r="I1022" s="455">
        <f t="shared" ca="1" si="81"/>
        <v>-10681566.516828408</v>
      </c>
      <c r="J1022" s="455">
        <f t="array" ref="J1022">IFERROR(INDEX('Retirement Calculator'!J:J,MATCH('Isaac 401k'!N1022,'Retirement Calculator'!A:A,0),0),0)</f>
        <v>7863.2184191855868</v>
      </c>
      <c r="K1022" s="455">
        <f t="shared" ca="1" si="79"/>
        <v>-44539.290563531642</v>
      </c>
      <c r="L1022" s="455">
        <f t="shared" ca="1" si="80"/>
        <v>-10733969.025811125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>
        <f t="shared" si="104"/>
        <v>85</v>
      </c>
      <c r="H1023" s="470">
        <v>1016</v>
      </c>
      <c r="I1023" s="455">
        <f t="shared" ca="1" si="81"/>
        <v>-10733969.025811125</v>
      </c>
      <c r="J1023" s="455">
        <f t="array" ref="J1023">IFERROR(INDEX('Retirement Calculator'!J:J,MATCH('Isaac 401k'!N1023,'Retirement Calculator'!A:A,0),0),0)</f>
        <v>7863.2184191855868</v>
      </c>
      <c r="K1023" s="455">
        <f t="shared" ca="1" si="79"/>
        <v>-44757.634350959619</v>
      </c>
      <c r="L1023" s="455">
        <f t="shared" ca="1" si="80"/>
        <v>-10786589.878581269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>
        <f t="shared" si="104"/>
        <v>85</v>
      </c>
      <c r="H1024" s="470">
        <v>1017</v>
      </c>
      <c r="I1024" s="455">
        <f t="shared" ca="1" si="81"/>
        <v>-10786589.878581269</v>
      </c>
      <c r="J1024" s="455">
        <f t="array" ref="J1024">IFERROR(INDEX('Retirement Calculator'!J:J,MATCH('Isaac 401k'!N1024,'Retirement Calculator'!A:A,0),0),0)</f>
        <v>7863.2184191855868</v>
      </c>
      <c r="K1024" s="455">
        <f t="shared" ca="1" si="79"/>
        <v>-44976.887904168558</v>
      </c>
      <c r="L1024" s="455">
        <f t="shared" ca="1" si="80"/>
        <v>-10839429.984904623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>
        <f t="shared" si="104"/>
        <v>85</v>
      </c>
      <c r="H1025" s="470">
        <v>1018</v>
      </c>
      <c r="I1025" s="455">
        <f t="shared" ca="1" si="81"/>
        <v>-10839429.984904623</v>
      </c>
      <c r="J1025" s="455">
        <f t="array" ref="J1025">IFERROR(INDEX('Retirement Calculator'!J:J,MATCH('Isaac 401k'!N1025,'Retirement Calculator'!A:A,0),0),0)</f>
        <v>7863.2184191855868</v>
      </c>
      <c r="K1025" s="455">
        <f t="shared" ca="1" si="79"/>
        <v>-45197.055013849196</v>
      </c>
      <c r="L1025" s="455">
        <f t="shared" ca="1" si="80"/>
        <v>-10892490.258337656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>
        <f t="shared" si="104"/>
        <v>85</v>
      </c>
      <c r="H1026" s="470">
        <v>1019</v>
      </c>
      <c r="I1026" s="455">
        <f t="shared" ca="1" si="81"/>
        <v>-10892490.258337656</v>
      </c>
      <c r="J1026" s="455">
        <f t="array" ref="J1026">IFERROR(INDEX('Retirement Calculator'!J:J,MATCH('Isaac 401k'!N1026,'Retirement Calculator'!A:A,0),0),0)</f>
        <v>7863.2184191855868</v>
      </c>
      <c r="K1026" s="455">
        <f t="shared" ca="1" si="79"/>
        <v>-45418.139486486834</v>
      </c>
      <c r="L1026" s="455">
        <f t="shared" ca="1" si="80"/>
        <v>-10945771.616243327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>
        <f t="shared" si="104"/>
        <v>85</v>
      </c>
      <c r="H1027" s="470">
        <v>1020</v>
      </c>
      <c r="I1027" s="455">
        <f t="shared" ca="1" si="81"/>
        <v>-10945771.616243327</v>
      </c>
      <c r="J1027" s="455">
        <f t="array" ref="J1027">IFERROR(INDEX('Retirement Calculator'!J:J,MATCH('Isaac 401k'!N1027,'Retirement Calculator'!A:A,0),0),0)</f>
        <v>7863.2184191855868</v>
      </c>
      <c r="K1027" s="455">
        <f t="shared" ca="1" si="79"/>
        <v>-45640.14514442713</v>
      </c>
      <c r="L1027" s="455">
        <f t="shared" ca="1" si="80"/>
        <v>-10999274.979806939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>
        <f>G1027+1</f>
        <v>86</v>
      </c>
      <c r="H1028" s="470">
        <v>1021</v>
      </c>
      <c r="I1028" s="455">
        <f t="shared" ca="1" si="81"/>
        <v>-10999274.979806939</v>
      </c>
      <c r="J1028" s="455">
        <f t="array" ref="J1028">IFERROR(INDEX('Retirement Calculator'!J:J,MATCH('Isaac 401k'!N1028,'Retirement Calculator'!A:A,0),0),0)</f>
        <v>7863.2184191855868</v>
      </c>
      <c r="K1028" s="455">
        <f t="shared" ref="K1028:K1282" ca="1" si="105">IPMT(M1028/12,1,12,-I1028+J1028,,0)</f>
        <v>-45863.075825942185</v>
      </c>
      <c r="L1028" s="455">
        <f t="shared" ref="L1028:L1282" ca="1" si="106">I1028-J1028+K1028</f>
        <v>-11053001.274052067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>
        <f t="shared" ref="G1029:G1039" si="107">G1028</f>
        <v>86</v>
      </c>
      <c r="H1029" s="470">
        <v>1022</v>
      </c>
      <c r="I1029" s="455">
        <f t="shared" ref="I1029:I1283" ca="1" si="108">L1028</f>
        <v>-11053001.274052067</v>
      </c>
      <c r="J1029" s="455">
        <f t="array" ref="J1029">IFERROR(INDEX('Retirement Calculator'!J:J,MATCH('Isaac 401k'!N1029,'Retirement Calculator'!A:A,0),0),0)</f>
        <v>7863.2184191855868</v>
      </c>
      <c r="K1029" s="455">
        <f t="shared" ca="1" si="105"/>
        <v>-46086.935385296878</v>
      </c>
      <c r="L1029" s="455">
        <f t="shared" ca="1" si="106"/>
        <v>-11106951.427856548</v>
      </c>
      <c r="M1029" s="471">
        <f t="shared" ref="M1029:M1283" si="109">M1028</f>
        <v>0.05</v>
      </c>
      <c r="N1029" s="475">
        <f t="shared" ref="N1029:N1283" si="110">EDATE(N1028,1)</f>
        <v>82363</v>
      </c>
    </row>
    <row r="1030" spans="7:14" ht="11.25" customHeight="1" x14ac:dyDescent="0.3">
      <c r="G1030" s="470">
        <f t="shared" si="107"/>
        <v>86</v>
      </c>
      <c r="H1030" s="470">
        <v>1023</v>
      </c>
      <c r="I1030" s="455">
        <f t="shared" ca="1" si="108"/>
        <v>-11106951.427856548</v>
      </c>
      <c r="J1030" s="455">
        <f t="array" ref="J1030">IFERROR(INDEX('Retirement Calculator'!J:J,MATCH('Isaac 401k'!N1030,'Retirement Calculator'!A:A,0),0),0)</f>
        <v>7863.2184191855868</v>
      </c>
      <c r="K1030" s="455">
        <f t="shared" ca="1" si="105"/>
        <v>-46311.727692815555</v>
      </c>
      <c r="L1030" s="455">
        <f t="shared" ca="1" si="106"/>
        <v>-11161126.373968549</v>
      </c>
      <c r="M1030" s="471">
        <f t="shared" si="109"/>
        <v>0.05</v>
      </c>
      <c r="N1030" s="475">
        <f t="shared" si="110"/>
        <v>82394</v>
      </c>
    </row>
    <row r="1031" spans="7:14" ht="11.25" customHeight="1" x14ac:dyDescent="0.3">
      <c r="G1031" s="470">
        <f t="shared" si="107"/>
        <v>86</v>
      </c>
      <c r="H1031" s="470">
        <v>1024</v>
      </c>
      <c r="I1031" s="455">
        <f t="shared" ca="1" si="108"/>
        <v>-11161126.373968549</v>
      </c>
      <c r="J1031" s="455">
        <f t="array" ref="J1031">IFERROR(INDEX('Retirement Calculator'!J:J,MATCH('Isaac 401k'!N1031,'Retirement Calculator'!A:A,0),0),0)</f>
        <v>7863.2184191855868</v>
      </c>
      <c r="K1031" s="455">
        <f t="shared" ca="1" si="105"/>
        <v>-46537.456634948889</v>
      </c>
      <c r="L1031" s="455">
        <f t="shared" ca="1" si="106"/>
        <v>-11215527.049022682</v>
      </c>
      <c r="M1031" s="471">
        <f t="shared" si="109"/>
        <v>0.05</v>
      </c>
      <c r="N1031" s="475">
        <f t="shared" si="110"/>
        <v>82425</v>
      </c>
    </row>
    <row r="1032" spans="7:14" ht="11.25" customHeight="1" x14ac:dyDescent="0.3">
      <c r="G1032" s="470">
        <f t="shared" si="107"/>
        <v>86</v>
      </c>
      <c r="H1032" s="470">
        <v>1025</v>
      </c>
      <c r="I1032" s="455">
        <f t="shared" ca="1" si="108"/>
        <v>-11215527.049022682</v>
      </c>
      <c r="J1032" s="455">
        <f t="array" ref="J1032">IFERROR(INDEX('Retirement Calculator'!J:J,MATCH('Isaac 401k'!N1032,'Retirement Calculator'!A:A,0),0),0)</f>
        <v>7863.2184191855868</v>
      </c>
      <c r="K1032" s="455">
        <f t="shared" ca="1" si="105"/>
        <v>-46764.12611434111</v>
      </c>
      <c r="L1032" s="455">
        <f t="shared" ca="1" si="106"/>
        <v>-11270154.393556207</v>
      </c>
      <c r="M1032" s="471">
        <f t="shared" si="109"/>
        <v>0.05</v>
      </c>
      <c r="N1032" s="475">
        <f t="shared" si="110"/>
        <v>82455</v>
      </c>
    </row>
    <row r="1033" spans="7:14" ht="11.25" customHeight="1" x14ac:dyDescent="0.3">
      <c r="G1033" s="470">
        <f t="shared" si="107"/>
        <v>86</v>
      </c>
      <c r="H1033" s="470">
        <v>1026</v>
      </c>
      <c r="I1033" s="455">
        <f t="shared" ca="1" si="108"/>
        <v>-11270154.393556207</v>
      </c>
      <c r="J1033" s="455">
        <f t="array" ref="J1033">IFERROR(INDEX('Retirement Calculator'!J:J,MATCH('Isaac 401k'!N1033,'Retirement Calculator'!A:A,0),0),0)</f>
        <v>7863.2184191855868</v>
      </c>
      <c r="K1033" s="455">
        <f t="shared" ca="1" si="105"/>
        <v>-46991.740049897468</v>
      </c>
      <c r="L1033" s="455">
        <f t="shared" ca="1" si="106"/>
        <v>-11325009.352025289</v>
      </c>
      <c r="M1033" s="471">
        <f t="shared" si="109"/>
        <v>0.05</v>
      </c>
      <c r="N1033" s="475">
        <f t="shared" si="110"/>
        <v>82486</v>
      </c>
    </row>
    <row r="1034" spans="7:14" ht="11.25" customHeight="1" x14ac:dyDescent="0.3">
      <c r="G1034" s="470">
        <f t="shared" si="107"/>
        <v>86</v>
      </c>
      <c r="H1034" s="470">
        <v>1027</v>
      </c>
      <c r="I1034" s="455">
        <f t="shared" ca="1" si="108"/>
        <v>-11325009.352025289</v>
      </c>
      <c r="J1034" s="455">
        <f t="array" ref="J1034">IFERROR(INDEX('Retirement Calculator'!J:J,MATCH('Isaac 401k'!N1034,'Retirement Calculator'!A:A,0),0),0)</f>
        <v>7863.2184191855868</v>
      </c>
      <c r="K1034" s="455">
        <f t="shared" ca="1" si="105"/>
        <v>-47220.302376851978</v>
      </c>
      <c r="L1034" s="455">
        <f t="shared" ca="1" si="106"/>
        <v>-11380092.872821325</v>
      </c>
      <c r="M1034" s="471">
        <f t="shared" si="109"/>
        <v>0.05</v>
      </c>
      <c r="N1034" s="475">
        <f t="shared" si="110"/>
        <v>82516</v>
      </c>
    </row>
    <row r="1035" spans="7:14" ht="11.25" customHeight="1" x14ac:dyDescent="0.3">
      <c r="G1035" s="470">
        <f t="shared" si="107"/>
        <v>86</v>
      </c>
      <c r="H1035" s="470">
        <v>1028</v>
      </c>
      <c r="I1035" s="455">
        <f t="shared" ca="1" si="108"/>
        <v>-11380092.872821325</v>
      </c>
      <c r="J1035" s="455">
        <f t="array" ref="J1035">IFERROR(INDEX('Retirement Calculator'!J:J,MATCH('Isaac 401k'!N1035,'Retirement Calculator'!A:A,0),0),0)</f>
        <v>7863.2184191855868</v>
      </c>
      <c r="K1035" s="455">
        <f t="shared" ca="1" si="105"/>
        <v>-47449.817046835458</v>
      </c>
      <c r="L1035" s="455">
        <f t="shared" ca="1" si="106"/>
        <v>-11435405.908287346</v>
      </c>
      <c r="M1035" s="471">
        <f t="shared" si="109"/>
        <v>0.05</v>
      </c>
      <c r="N1035" s="475">
        <f t="shared" si="110"/>
        <v>82547</v>
      </c>
    </row>
    <row r="1036" spans="7:14" ht="11.25" customHeight="1" x14ac:dyDescent="0.3">
      <c r="G1036" s="470">
        <f t="shared" si="107"/>
        <v>86</v>
      </c>
      <c r="H1036" s="470">
        <v>1029</v>
      </c>
      <c r="I1036" s="455">
        <f t="shared" ca="1" si="108"/>
        <v>-11435405.908287346</v>
      </c>
      <c r="J1036" s="455">
        <f t="array" ref="J1036">IFERROR(INDEX('Retirement Calculator'!J:J,MATCH('Isaac 401k'!N1036,'Retirement Calculator'!A:A,0),0),0)</f>
        <v>7863.2184191855868</v>
      </c>
      <c r="K1036" s="455">
        <f t="shared" ca="1" si="105"/>
        <v>-47680.288027943883</v>
      </c>
      <c r="L1036" s="455">
        <f t="shared" ca="1" si="106"/>
        <v>-11490949.414734475</v>
      </c>
      <c r="M1036" s="471">
        <f t="shared" si="109"/>
        <v>0.05</v>
      </c>
      <c r="N1036" s="475">
        <f t="shared" si="110"/>
        <v>82578</v>
      </c>
    </row>
    <row r="1037" spans="7:14" ht="11.25" customHeight="1" x14ac:dyDescent="0.3">
      <c r="G1037" s="470">
        <f t="shared" si="107"/>
        <v>86</v>
      </c>
      <c r="H1037" s="470">
        <v>1030</v>
      </c>
      <c r="I1037" s="455">
        <f t="shared" ca="1" si="108"/>
        <v>-11490949.414734475</v>
      </c>
      <c r="J1037" s="455">
        <f t="array" ref="J1037">IFERROR(INDEX('Retirement Calculator'!J:J,MATCH('Isaac 401k'!N1037,'Retirement Calculator'!A:A,0),0),0)</f>
        <v>7863.2184191855868</v>
      </c>
      <c r="K1037" s="455">
        <f t="shared" ca="1" si="105"/>
        <v>-47911.719304806917</v>
      </c>
      <c r="L1037" s="455">
        <f t="shared" ca="1" si="106"/>
        <v>-11546724.352458468</v>
      </c>
      <c r="M1037" s="471">
        <f t="shared" si="109"/>
        <v>0.05</v>
      </c>
      <c r="N1037" s="475">
        <f t="shared" si="110"/>
        <v>82606</v>
      </c>
    </row>
    <row r="1038" spans="7:14" ht="11.25" customHeight="1" x14ac:dyDescent="0.3">
      <c r="G1038" s="470">
        <f t="shared" si="107"/>
        <v>86</v>
      </c>
      <c r="H1038" s="470">
        <v>1031</v>
      </c>
      <c r="I1038" s="455">
        <f t="shared" ca="1" si="108"/>
        <v>-11546724.352458468</v>
      </c>
      <c r="J1038" s="455">
        <f t="array" ref="J1038">IFERROR(INDEX('Retirement Calculator'!J:J,MATCH('Isaac 401k'!N1038,'Retirement Calculator'!A:A,0),0),0)</f>
        <v>7863.2184191855868</v>
      </c>
      <c r="K1038" s="455">
        <f t="shared" ca="1" si="105"/>
        <v>-48144.114878656888</v>
      </c>
      <c r="L1038" s="455">
        <f t="shared" ca="1" si="106"/>
        <v>-11602731.685756309</v>
      </c>
      <c r="M1038" s="471">
        <f t="shared" si="109"/>
        <v>0.05</v>
      </c>
      <c r="N1038" s="475">
        <f t="shared" si="110"/>
        <v>82637</v>
      </c>
    </row>
    <row r="1039" spans="7:14" ht="11.25" customHeight="1" x14ac:dyDescent="0.3">
      <c r="G1039" s="470">
        <f t="shared" si="107"/>
        <v>86</v>
      </c>
      <c r="H1039" s="470">
        <v>1032</v>
      </c>
      <c r="I1039" s="455">
        <f t="shared" ca="1" si="108"/>
        <v>-11602731.685756309</v>
      </c>
      <c r="J1039" s="455">
        <f t="array" ref="J1039">IFERROR(INDEX('Retirement Calculator'!J:J,MATCH('Isaac 401k'!N1039,'Retirement Calculator'!A:A,0),0),0)</f>
        <v>7863.2184191855868</v>
      </c>
      <c r="K1039" s="455">
        <f t="shared" ca="1" si="105"/>
        <v>-48377.478767397894</v>
      </c>
      <c r="L1039" s="455">
        <f t="shared" ca="1" si="106"/>
        <v>-11658972.382942893</v>
      </c>
      <c r="M1039" s="471">
        <f t="shared" si="109"/>
        <v>0.05</v>
      </c>
      <c r="N1039" s="475">
        <f t="shared" si="110"/>
        <v>82667</v>
      </c>
    </row>
    <row r="1040" spans="7:14" ht="11.25" customHeight="1" x14ac:dyDescent="0.3">
      <c r="G1040" s="470">
        <f>G1039+1</f>
        <v>87</v>
      </c>
      <c r="H1040" s="470">
        <v>1033</v>
      </c>
      <c r="I1040" s="455">
        <f t="shared" ca="1" si="108"/>
        <v>-11658972.382942893</v>
      </c>
      <c r="J1040" s="455">
        <f t="array" ref="J1040">IFERROR(INDEX('Retirement Calculator'!J:J,MATCH('Isaac 401k'!N1040,'Retirement Calculator'!A:A,0),0),0)</f>
        <v>7863.2184191855868</v>
      </c>
      <c r="K1040" s="455">
        <f t="shared" ca="1" si="105"/>
        <v>-48611.815005675322</v>
      </c>
      <c r="L1040" s="455">
        <f t="shared" ca="1" si="106"/>
        <v>-11715447.416367752</v>
      </c>
      <c r="M1040" s="471">
        <f t="shared" si="109"/>
        <v>0.05</v>
      </c>
      <c r="N1040" s="475">
        <f t="shared" si="110"/>
        <v>82698</v>
      </c>
    </row>
    <row r="1041" spans="7:14" ht="11.25" customHeight="1" x14ac:dyDescent="0.3">
      <c r="G1041" s="470">
        <f t="shared" ref="G1041:G1051" si="111">G1040</f>
        <v>87</v>
      </c>
      <c r="H1041" s="470">
        <v>1034</v>
      </c>
      <c r="I1041" s="455">
        <f t="shared" ca="1" si="108"/>
        <v>-11715447.416367752</v>
      </c>
      <c r="J1041" s="455">
        <f t="array" ref="J1041">IFERROR(INDEX('Retirement Calculator'!J:J,MATCH('Isaac 401k'!N1041,'Retirement Calculator'!A:A,0),0),0)</f>
        <v>7863.2184191855868</v>
      </c>
      <c r="K1041" s="455">
        <f t="shared" ca="1" si="105"/>
        <v>-48847.127644945569</v>
      </c>
      <c r="L1041" s="455">
        <f t="shared" ca="1" si="106"/>
        <v>-11772157.762431882</v>
      </c>
      <c r="M1041" s="471">
        <f t="shared" si="109"/>
        <v>0.05</v>
      </c>
      <c r="N1041" s="475">
        <f t="shared" si="110"/>
        <v>82728</v>
      </c>
    </row>
    <row r="1042" spans="7:14" ht="11.25" customHeight="1" x14ac:dyDescent="0.3">
      <c r="G1042" s="470">
        <f t="shared" si="111"/>
        <v>87</v>
      </c>
      <c r="H1042" s="470">
        <v>1035</v>
      </c>
      <c r="I1042" s="455">
        <f t="shared" ca="1" si="108"/>
        <v>-11772157.762431882</v>
      </c>
      <c r="J1042" s="455">
        <f t="array" ref="J1042">IFERROR(INDEX('Retirement Calculator'!J:J,MATCH('Isaac 401k'!N1042,'Retirement Calculator'!A:A,0),0),0)</f>
        <v>7863.2184191855868</v>
      </c>
      <c r="K1042" s="455">
        <f t="shared" ca="1" si="105"/>
        <v>-49083.42075354611</v>
      </c>
      <c r="L1042" s="455">
        <f t="shared" ca="1" si="106"/>
        <v>-11829104.401604613</v>
      </c>
      <c r="M1042" s="471">
        <f t="shared" si="109"/>
        <v>0.05</v>
      </c>
      <c r="N1042" s="475">
        <f t="shared" si="110"/>
        <v>82759</v>
      </c>
    </row>
    <row r="1043" spans="7:14" ht="11.25" customHeight="1" x14ac:dyDescent="0.3">
      <c r="G1043" s="470">
        <f t="shared" si="111"/>
        <v>87</v>
      </c>
      <c r="H1043" s="470">
        <v>1036</v>
      </c>
      <c r="I1043" s="455">
        <f t="shared" ca="1" si="108"/>
        <v>-11829104.401604613</v>
      </c>
      <c r="J1043" s="455">
        <f t="array" ref="J1043">IFERROR(INDEX('Retirement Calculator'!J:J,MATCH('Isaac 401k'!N1043,'Retirement Calculator'!A:A,0),0),0)</f>
        <v>7863.2184191855868</v>
      </c>
      <c r="K1043" s="455">
        <f t="shared" ca="1" si="105"/>
        <v>-49320.698416765823</v>
      </c>
      <c r="L1043" s="455">
        <f t="shared" ca="1" si="106"/>
        <v>-11886288.318440564</v>
      </c>
      <c r="M1043" s="471">
        <f t="shared" si="109"/>
        <v>0.05</v>
      </c>
      <c r="N1043" s="475">
        <f t="shared" si="110"/>
        <v>82790</v>
      </c>
    </row>
    <row r="1044" spans="7:14" ht="11.25" customHeight="1" x14ac:dyDescent="0.3">
      <c r="G1044" s="470">
        <f t="shared" si="111"/>
        <v>87</v>
      </c>
      <c r="H1044" s="470">
        <v>1037</v>
      </c>
      <c r="I1044" s="455">
        <f t="shared" ca="1" si="108"/>
        <v>-11886288.318440564</v>
      </c>
      <c r="J1044" s="455">
        <f t="array" ref="J1044">IFERROR(INDEX('Retirement Calculator'!J:J,MATCH('Isaac 401k'!N1044,'Retirement Calculator'!A:A,0),0),0)</f>
        <v>7863.2184191855868</v>
      </c>
      <c r="K1044" s="455">
        <f t="shared" ca="1" si="105"/>
        <v>-49558.964736915623</v>
      </c>
      <c r="L1044" s="455">
        <f t="shared" ca="1" si="106"/>
        <v>-11943710.501596665</v>
      </c>
      <c r="M1044" s="471">
        <f t="shared" si="109"/>
        <v>0.05</v>
      </c>
      <c r="N1044" s="475">
        <f t="shared" si="110"/>
        <v>82820</v>
      </c>
    </row>
    <row r="1045" spans="7:14" ht="11.25" customHeight="1" x14ac:dyDescent="0.3">
      <c r="G1045" s="470">
        <f t="shared" si="111"/>
        <v>87</v>
      </c>
      <c r="H1045" s="470">
        <v>1038</v>
      </c>
      <c r="I1045" s="455">
        <f t="shared" ca="1" si="108"/>
        <v>-11943710.501596665</v>
      </c>
      <c r="J1045" s="455">
        <f t="array" ref="J1045">IFERROR(INDEX('Retirement Calculator'!J:J,MATCH('Isaac 401k'!N1045,'Retirement Calculator'!A:A,0),0),0)</f>
        <v>7863.2184191855868</v>
      </c>
      <c r="K1045" s="455">
        <f t="shared" ca="1" si="105"/>
        <v>-49798.223833399374</v>
      </c>
      <c r="L1045" s="455">
        <f t="shared" ca="1" si="106"/>
        <v>-12001371.943849249</v>
      </c>
      <c r="M1045" s="471">
        <f t="shared" si="109"/>
        <v>0.05</v>
      </c>
      <c r="N1045" s="475">
        <f t="shared" si="110"/>
        <v>82851</v>
      </c>
    </row>
    <row r="1046" spans="7:14" ht="11.25" customHeight="1" x14ac:dyDescent="0.3">
      <c r="G1046" s="470">
        <f t="shared" si="111"/>
        <v>87</v>
      </c>
      <c r="H1046" s="470">
        <v>1039</v>
      </c>
      <c r="I1046" s="455">
        <f t="shared" ca="1" si="108"/>
        <v>-12001371.943849249</v>
      </c>
      <c r="J1046" s="455">
        <f t="array" ref="J1046">IFERROR(INDEX('Retirement Calculator'!J:J,MATCH('Isaac 401k'!N1046,'Retirement Calculator'!A:A,0),0),0)</f>
        <v>7863.2184191855868</v>
      </c>
      <c r="K1046" s="455">
        <f t="shared" ca="1" si="105"/>
        <v>-50038.479842785142</v>
      </c>
      <c r="L1046" s="455">
        <f t="shared" ca="1" si="106"/>
        <v>-12059273.642111219</v>
      </c>
      <c r="M1046" s="471">
        <f t="shared" si="109"/>
        <v>0.05</v>
      </c>
      <c r="N1046" s="475">
        <f t="shared" si="110"/>
        <v>82881</v>
      </c>
    </row>
    <row r="1047" spans="7:14" ht="11.25" customHeight="1" x14ac:dyDescent="0.3">
      <c r="G1047" s="470">
        <f t="shared" si="111"/>
        <v>87</v>
      </c>
      <c r="H1047" s="470">
        <v>1040</v>
      </c>
      <c r="I1047" s="455">
        <f t="shared" ca="1" si="108"/>
        <v>-12059273.642111219</v>
      </c>
      <c r="J1047" s="455">
        <f t="array" ref="J1047">IFERROR(INDEX('Retirement Calculator'!J:J,MATCH('Isaac 401k'!N1047,'Retirement Calculator'!A:A,0),0),0)</f>
        <v>7863.2184191855868</v>
      </c>
      <c r="K1047" s="455">
        <f t="shared" ca="1" si="105"/>
        <v>-50279.736918876682</v>
      </c>
      <c r="L1047" s="455">
        <f t="shared" ca="1" si="106"/>
        <v>-12117416.59744928</v>
      </c>
      <c r="M1047" s="471">
        <f t="shared" si="109"/>
        <v>0.05</v>
      </c>
      <c r="N1047" s="475">
        <f t="shared" si="110"/>
        <v>82912</v>
      </c>
    </row>
    <row r="1048" spans="7:14" ht="11.25" customHeight="1" x14ac:dyDescent="0.3">
      <c r="G1048" s="470">
        <f t="shared" si="111"/>
        <v>87</v>
      </c>
      <c r="H1048" s="470">
        <v>1041</v>
      </c>
      <c r="I1048" s="455">
        <f t="shared" ca="1" si="108"/>
        <v>-12117416.59744928</v>
      </c>
      <c r="J1048" s="455">
        <f t="array" ref="J1048">IFERROR(INDEX('Retirement Calculator'!J:J,MATCH('Isaac 401k'!N1048,'Retirement Calculator'!A:A,0),0),0)</f>
        <v>7863.2184191855868</v>
      </c>
      <c r="K1048" s="455">
        <f t="shared" ca="1" si="105"/>
        <v>-50521.999232785274</v>
      </c>
      <c r="L1048" s="455">
        <f t="shared" ca="1" si="106"/>
        <v>-12175801.815101251</v>
      </c>
      <c r="M1048" s="471">
        <f t="shared" si="109"/>
        <v>0.05</v>
      </c>
      <c r="N1048" s="475">
        <f t="shared" si="110"/>
        <v>82943</v>
      </c>
    </row>
    <row r="1049" spans="7:14" ht="11.25" customHeight="1" x14ac:dyDescent="0.3">
      <c r="G1049" s="470">
        <f t="shared" si="111"/>
        <v>87</v>
      </c>
      <c r="H1049" s="470">
        <v>1042</v>
      </c>
      <c r="I1049" s="455">
        <f t="shared" ca="1" si="108"/>
        <v>-12175801.815101251</v>
      </c>
      <c r="J1049" s="455">
        <f t="array" ref="J1049">IFERROR(INDEX('Retirement Calculator'!J:J,MATCH('Isaac 401k'!N1049,'Retirement Calculator'!A:A,0),0),0)</f>
        <v>7863.2184191855868</v>
      </c>
      <c r="K1049" s="455">
        <f t="shared" ca="1" si="105"/>
        <v>-50765.270973001818</v>
      </c>
      <c r="L1049" s="455">
        <f t="shared" ca="1" si="106"/>
        <v>-12234430.304493438</v>
      </c>
      <c r="M1049" s="471">
        <f t="shared" si="109"/>
        <v>0.05</v>
      </c>
      <c r="N1049" s="475">
        <f t="shared" si="110"/>
        <v>82971</v>
      </c>
    </row>
    <row r="1050" spans="7:14" ht="11.25" customHeight="1" x14ac:dyDescent="0.3">
      <c r="G1050" s="470">
        <f t="shared" si="111"/>
        <v>87</v>
      </c>
      <c r="H1050" s="470">
        <v>1043</v>
      </c>
      <c r="I1050" s="455">
        <f t="shared" ca="1" si="108"/>
        <v>-12234430.304493438</v>
      </c>
      <c r="J1050" s="455">
        <f t="array" ref="J1050">IFERROR(INDEX('Retirement Calculator'!J:J,MATCH('Isaac 401k'!N1050,'Retirement Calculator'!A:A,0),0),0)</f>
        <v>7863.2184191855868</v>
      </c>
      <c r="K1050" s="455">
        <f t="shared" ca="1" si="105"/>
        <v>-51009.55634546926</v>
      </c>
      <c r="L1050" s="455">
        <f t="shared" ca="1" si="106"/>
        <v>-12293303.079258092</v>
      </c>
      <c r="M1050" s="471">
        <f t="shared" si="109"/>
        <v>0.05</v>
      </c>
      <c r="N1050" s="475">
        <f t="shared" si="110"/>
        <v>83002</v>
      </c>
    </row>
    <row r="1051" spans="7:14" ht="11.25" customHeight="1" x14ac:dyDescent="0.3">
      <c r="G1051" s="470">
        <f t="shared" si="111"/>
        <v>87</v>
      </c>
      <c r="H1051" s="470">
        <v>1044</v>
      </c>
      <c r="I1051" s="455">
        <f t="shared" ca="1" si="108"/>
        <v>-12293303.079258092</v>
      </c>
      <c r="J1051" s="455">
        <f t="array" ref="J1051">IFERROR(INDEX('Retirement Calculator'!J:J,MATCH('Isaac 401k'!N1051,'Retirement Calculator'!A:A,0),0),0)</f>
        <v>7863.2184191855868</v>
      </c>
      <c r="K1051" s="455">
        <f t="shared" ca="1" si="105"/>
        <v>-51254.859573655318</v>
      </c>
      <c r="L1051" s="455">
        <f t="shared" ca="1" si="106"/>
        <v>-12352421.157250931</v>
      </c>
      <c r="M1051" s="471">
        <f t="shared" si="109"/>
        <v>0.05</v>
      </c>
      <c r="N1051" s="475">
        <f t="shared" si="110"/>
        <v>83032</v>
      </c>
    </row>
    <row r="1052" spans="7:14" ht="11.25" customHeight="1" x14ac:dyDescent="0.3">
      <c r="G1052" s="470">
        <f>G1051+1</f>
        <v>88</v>
      </c>
      <c r="H1052" s="470">
        <v>1045</v>
      </c>
      <c r="I1052" s="455">
        <f t="shared" ca="1" si="108"/>
        <v>-12352421.157250931</v>
      </c>
      <c r="J1052" s="455">
        <f t="array" ref="J1052">IFERROR(INDEX('Retirement Calculator'!J:J,MATCH('Isaac 401k'!N1052,'Retirement Calculator'!A:A,0),0),0)</f>
        <v>7863.2184191855868</v>
      </c>
      <c r="K1052" s="455">
        <f t="shared" ca="1" si="105"/>
        <v>-51501.184898625484</v>
      </c>
      <c r="L1052" s="455">
        <f t="shared" ca="1" si="106"/>
        <v>-12411785.560568742</v>
      </c>
      <c r="M1052" s="471">
        <f t="shared" si="109"/>
        <v>0.05</v>
      </c>
      <c r="N1052" s="475">
        <f t="shared" si="110"/>
        <v>83063</v>
      </c>
    </row>
    <row r="1053" spans="7:14" ht="11.25" customHeight="1" x14ac:dyDescent="0.3">
      <c r="G1053" s="470">
        <f t="shared" ref="G1053:G1063" si="112">G1052</f>
        <v>88</v>
      </c>
      <c r="H1053" s="470">
        <v>1046</v>
      </c>
      <c r="I1053" s="455">
        <f t="shared" ca="1" si="108"/>
        <v>-12411785.560568742</v>
      </c>
      <c r="J1053" s="455">
        <f t="array" ref="J1053">IFERROR(INDEX('Retirement Calculator'!J:J,MATCH('Isaac 401k'!N1053,'Retirement Calculator'!A:A,0),0),0)</f>
        <v>7863.2184191855868</v>
      </c>
      <c r="K1053" s="455">
        <f t="shared" ca="1" si="105"/>
        <v>-51748.536579116364</v>
      </c>
      <c r="L1053" s="455">
        <f t="shared" ca="1" si="106"/>
        <v>-12471397.315567045</v>
      </c>
      <c r="M1053" s="471">
        <f t="shared" si="109"/>
        <v>0.05</v>
      </c>
      <c r="N1053" s="475">
        <f t="shared" si="110"/>
        <v>83093</v>
      </c>
    </row>
    <row r="1054" spans="7:14" ht="11.25" customHeight="1" x14ac:dyDescent="0.3">
      <c r="G1054" s="470">
        <f t="shared" si="112"/>
        <v>88</v>
      </c>
      <c r="H1054" s="470">
        <v>1047</v>
      </c>
      <c r="I1054" s="455">
        <f t="shared" ca="1" si="108"/>
        <v>-12471397.315567045</v>
      </c>
      <c r="J1054" s="455">
        <f t="array" ref="J1054">IFERROR(INDEX('Retirement Calculator'!J:J,MATCH('Isaac 401k'!N1054,'Retirement Calculator'!A:A,0),0),0)</f>
        <v>7863.2184191855868</v>
      </c>
      <c r="K1054" s="455">
        <f t="shared" ca="1" si="105"/>
        <v>-51996.91889160929</v>
      </c>
      <c r="L1054" s="455">
        <f t="shared" ca="1" si="106"/>
        <v>-12531257.452877838</v>
      </c>
      <c r="M1054" s="471">
        <f t="shared" si="109"/>
        <v>0.05</v>
      </c>
      <c r="N1054" s="475">
        <f t="shared" si="110"/>
        <v>83124</v>
      </c>
    </row>
    <row r="1055" spans="7:14" ht="11.25" customHeight="1" x14ac:dyDescent="0.3">
      <c r="G1055" s="470">
        <f t="shared" si="112"/>
        <v>88</v>
      </c>
      <c r="H1055" s="470">
        <v>1048</v>
      </c>
      <c r="I1055" s="455">
        <f t="shared" ca="1" si="108"/>
        <v>-12531257.452877838</v>
      </c>
      <c r="J1055" s="455">
        <f t="array" ref="J1055">IFERROR(INDEX('Retirement Calculator'!J:J,MATCH('Isaac 401k'!N1055,'Retirement Calculator'!A:A,0),0),0)</f>
        <v>7863.2184191855868</v>
      </c>
      <c r="K1055" s="455">
        <f t="shared" ca="1" si="105"/>
        <v>-52246.336130404263</v>
      </c>
      <c r="L1055" s="455">
        <f t="shared" ca="1" si="106"/>
        <v>-12591367.007427428</v>
      </c>
      <c r="M1055" s="471">
        <f t="shared" si="109"/>
        <v>0.05</v>
      </c>
      <c r="N1055" s="475">
        <f t="shared" si="110"/>
        <v>83155</v>
      </c>
    </row>
    <row r="1056" spans="7:14" ht="11.25" customHeight="1" x14ac:dyDescent="0.3">
      <c r="G1056" s="470">
        <f t="shared" si="112"/>
        <v>88</v>
      </c>
      <c r="H1056" s="470">
        <v>1049</v>
      </c>
      <c r="I1056" s="455">
        <f t="shared" ca="1" si="108"/>
        <v>-12591367.007427428</v>
      </c>
      <c r="J1056" s="455">
        <f t="array" ref="J1056">IFERROR(INDEX('Retirement Calculator'!J:J,MATCH('Isaac 401k'!N1056,'Retirement Calculator'!A:A,0),0),0)</f>
        <v>7863.2184191855868</v>
      </c>
      <c r="K1056" s="455">
        <f t="shared" ca="1" si="105"/>
        <v>-52496.792607694217</v>
      </c>
      <c r="L1056" s="455">
        <f t="shared" ca="1" si="106"/>
        <v>-12651727.018454308</v>
      </c>
      <c r="M1056" s="471">
        <f t="shared" si="109"/>
        <v>0.05</v>
      </c>
      <c r="N1056" s="475">
        <f t="shared" si="110"/>
        <v>83185</v>
      </c>
    </row>
    <row r="1057" spans="7:14" ht="11.25" customHeight="1" x14ac:dyDescent="0.3">
      <c r="G1057" s="470">
        <f t="shared" si="112"/>
        <v>88</v>
      </c>
      <c r="H1057" s="470">
        <v>1050</v>
      </c>
      <c r="I1057" s="455">
        <f t="shared" ca="1" si="108"/>
        <v>-12651727.018454308</v>
      </c>
      <c r="J1057" s="455">
        <f t="array" ref="J1057">IFERROR(INDEX('Retirement Calculator'!J:J,MATCH('Isaac 401k'!N1057,'Retirement Calculator'!A:A,0),0),0)</f>
        <v>7863.2184191855868</v>
      </c>
      <c r="K1057" s="455">
        <f t="shared" ca="1" si="105"/>
        <v>-52748.292653639553</v>
      </c>
      <c r="L1057" s="455">
        <f t="shared" ca="1" si="106"/>
        <v>-12712338.529527131</v>
      </c>
      <c r="M1057" s="471">
        <f t="shared" si="109"/>
        <v>0.05</v>
      </c>
      <c r="N1057" s="475">
        <f t="shared" si="110"/>
        <v>83216</v>
      </c>
    </row>
    <row r="1058" spans="7:14" ht="11.25" customHeight="1" x14ac:dyDescent="0.3">
      <c r="G1058" s="470">
        <f t="shared" si="112"/>
        <v>88</v>
      </c>
      <c r="H1058" s="470">
        <v>1051</v>
      </c>
      <c r="I1058" s="455">
        <f t="shared" ca="1" si="108"/>
        <v>-12712338.529527131</v>
      </c>
      <c r="J1058" s="455">
        <f t="array" ref="J1058">IFERROR(INDEX('Retirement Calculator'!J:J,MATCH('Isaac 401k'!N1058,'Retirement Calculator'!A:A,0),0),0)</f>
        <v>7863.2184191855868</v>
      </c>
      <c r="K1058" s="455">
        <f t="shared" ca="1" si="105"/>
        <v>-53000.840616442983</v>
      </c>
      <c r="L1058" s="455">
        <f t="shared" ca="1" si="106"/>
        <v>-12773202.588562759</v>
      </c>
      <c r="M1058" s="471">
        <f t="shared" si="109"/>
        <v>0.05</v>
      </c>
      <c r="N1058" s="475">
        <f t="shared" si="110"/>
        <v>83246</v>
      </c>
    </row>
    <row r="1059" spans="7:14" ht="11.25" customHeight="1" x14ac:dyDescent="0.3">
      <c r="G1059" s="470">
        <f t="shared" si="112"/>
        <v>88</v>
      </c>
      <c r="H1059" s="470">
        <v>1052</v>
      </c>
      <c r="I1059" s="455">
        <f t="shared" ca="1" si="108"/>
        <v>-12773202.588562759</v>
      </c>
      <c r="J1059" s="455">
        <f t="array" ref="J1059">IFERROR(INDEX('Retirement Calculator'!J:J,MATCH('Isaac 401k'!N1059,'Retirement Calculator'!A:A,0),0),0)</f>
        <v>7863.2184191855868</v>
      </c>
      <c r="K1059" s="455">
        <f t="shared" ca="1" si="105"/>
        <v>-53254.440862424766</v>
      </c>
      <c r="L1059" s="455">
        <f t="shared" ca="1" si="106"/>
        <v>-12834320.247844368</v>
      </c>
      <c r="M1059" s="471">
        <f t="shared" si="109"/>
        <v>0.05</v>
      </c>
      <c r="N1059" s="475">
        <f t="shared" si="110"/>
        <v>83277</v>
      </c>
    </row>
    <row r="1060" spans="7:14" ht="11.25" customHeight="1" x14ac:dyDescent="0.3">
      <c r="G1060" s="470">
        <f t="shared" si="112"/>
        <v>88</v>
      </c>
      <c r="H1060" s="470">
        <v>1053</v>
      </c>
      <c r="I1060" s="455">
        <f t="shared" ca="1" si="108"/>
        <v>-12834320.247844368</v>
      </c>
      <c r="J1060" s="455">
        <f t="array" ref="J1060">IFERROR(INDEX('Retirement Calculator'!J:J,MATCH('Isaac 401k'!N1060,'Retirement Calculator'!A:A,0),0),0)</f>
        <v>7863.2184191855868</v>
      </c>
      <c r="K1060" s="455">
        <f t="shared" ca="1" si="105"/>
        <v>-53509.09777609814</v>
      </c>
      <c r="L1060" s="455">
        <f t="shared" ca="1" si="106"/>
        <v>-12895692.564039651</v>
      </c>
      <c r="M1060" s="471">
        <f t="shared" si="109"/>
        <v>0.05</v>
      </c>
      <c r="N1060" s="475">
        <f t="shared" si="110"/>
        <v>83308</v>
      </c>
    </row>
    <row r="1061" spans="7:14" ht="11.25" customHeight="1" x14ac:dyDescent="0.3">
      <c r="G1061" s="470">
        <f t="shared" si="112"/>
        <v>88</v>
      </c>
      <c r="H1061" s="470">
        <v>1054</v>
      </c>
      <c r="I1061" s="455">
        <f t="shared" ca="1" si="108"/>
        <v>-12895692.564039651</v>
      </c>
      <c r="J1061" s="455">
        <f t="array" ref="J1061">IFERROR(INDEX('Retirement Calculator'!J:J,MATCH('Isaac 401k'!N1061,'Retirement Calculator'!A:A,0),0),0)</f>
        <v>7863.2184191855868</v>
      </c>
      <c r="K1061" s="455">
        <f t="shared" ca="1" si="105"/>
        <v>-53764.815760245147</v>
      </c>
      <c r="L1061" s="455">
        <f t="shared" ca="1" si="106"/>
        <v>-12957320.598219082</v>
      </c>
      <c r="M1061" s="471">
        <f t="shared" si="109"/>
        <v>0.05</v>
      </c>
      <c r="N1061" s="475">
        <f t="shared" si="110"/>
        <v>83337</v>
      </c>
    </row>
    <row r="1062" spans="7:14" ht="11.25" customHeight="1" x14ac:dyDescent="0.3">
      <c r="G1062" s="470">
        <f t="shared" si="112"/>
        <v>88</v>
      </c>
      <c r="H1062" s="470">
        <v>1055</v>
      </c>
      <c r="I1062" s="455">
        <f t="shared" ca="1" si="108"/>
        <v>-12957320.598219082</v>
      </c>
      <c r="J1062" s="455">
        <f t="array" ref="J1062">IFERROR(INDEX('Retirement Calculator'!J:J,MATCH('Isaac 401k'!N1062,'Retirement Calculator'!A:A,0),0),0)</f>
        <v>7863.2184191855868</v>
      </c>
      <c r="K1062" s="455">
        <f t="shared" ca="1" si="105"/>
        <v>-54021.599235992777</v>
      </c>
      <c r="L1062" s="455">
        <f t="shared" ca="1" si="106"/>
        <v>-13019205.41587426</v>
      </c>
      <c r="M1062" s="471">
        <f t="shared" si="109"/>
        <v>0.05</v>
      </c>
      <c r="N1062" s="475">
        <f t="shared" si="110"/>
        <v>83368</v>
      </c>
    </row>
    <row r="1063" spans="7:14" ht="11.25" customHeight="1" x14ac:dyDescent="0.3">
      <c r="G1063" s="470">
        <f t="shared" si="112"/>
        <v>88</v>
      </c>
      <c r="H1063" s="470">
        <v>1056</v>
      </c>
      <c r="I1063" s="455">
        <f t="shared" ca="1" si="108"/>
        <v>-13019205.41587426</v>
      </c>
      <c r="J1063" s="455">
        <f t="array" ref="J1063">IFERROR(INDEX('Retirement Calculator'!J:J,MATCH('Isaac 401k'!N1063,'Retirement Calculator'!A:A,0),0),0)</f>
        <v>7863.2184191855868</v>
      </c>
      <c r="K1063" s="455">
        <f t="shared" ca="1" si="105"/>
        <v>-54279.452642889351</v>
      </c>
      <c r="L1063" s="455">
        <f t="shared" ca="1" si="106"/>
        <v>-13081348.086936334</v>
      </c>
      <c r="M1063" s="471">
        <f t="shared" si="109"/>
        <v>0.05</v>
      </c>
      <c r="N1063" s="475">
        <f t="shared" si="110"/>
        <v>83398</v>
      </c>
    </row>
    <row r="1064" spans="7:14" ht="11.25" customHeight="1" x14ac:dyDescent="0.3">
      <c r="G1064" s="470">
        <f>G1063+1</f>
        <v>89</v>
      </c>
      <c r="H1064" s="470">
        <v>1057</v>
      </c>
      <c r="I1064" s="455">
        <f t="shared" ca="1" si="108"/>
        <v>-13081348.086936334</v>
      </c>
      <c r="J1064" s="455">
        <f t="array" ref="J1064">IFERROR(INDEX('Retirement Calculator'!J:J,MATCH('Isaac 401k'!N1064,'Retirement Calculator'!A:A,0),0),0)</f>
        <v>7863.2184191855868</v>
      </c>
      <c r="K1064" s="455">
        <f t="shared" ca="1" si="105"/>
        <v>-54538.380438981323</v>
      </c>
      <c r="L1064" s="455">
        <f t="shared" ca="1" si="106"/>
        <v>-13143749.685794501</v>
      </c>
      <c r="M1064" s="471">
        <f t="shared" si="109"/>
        <v>0.05</v>
      </c>
      <c r="N1064" s="475">
        <f t="shared" si="110"/>
        <v>83429</v>
      </c>
    </row>
    <row r="1065" spans="7:14" ht="11.25" customHeight="1" x14ac:dyDescent="0.3">
      <c r="G1065" s="470">
        <f t="shared" ref="G1065:G1075" si="113">G1064</f>
        <v>89</v>
      </c>
      <c r="H1065" s="470">
        <v>1058</v>
      </c>
      <c r="I1065" s="455">
        <f t="shared" ca="1" si="108"/>
        <v>-13143749.685794501</v>
      </c>
      <c r="J1065" s="455">
        <f t="array" ref="J1065">IFERROR(INDEX('Retirement Calculator'!J:J,MATCH('Isaac 401k'!N1065,'Retirement Calculator'!A:A,0),0),0)</f>
        <v>7863.2184191855868</v>
      </c>
      <c r="K1065" s="455">
        <f t="shared" ca="1" si="105"/>
        <v>-54798.387100890359</v>
      </c>
      <c r="L1065" s="455">
        <f t="shared" ca="1" si="106"/>
        <v>-13206411.291314576</v>
      </c>
      <c r="M1065" s="471">
        <f t="shared" si="109"/>
        <v>0.05</v>
      </c>
      <c r="N1065" s="475">
        <f t="shared" si="110"/>
        <v>83459</v>
      </c>
    </row>
    <row r="1066" spans="7:14" ht="11.25" customHeight="1" x14ac:dyDescent="0.3">
      <c r="G1066" s="470">
        <f t="shared" si="113"/>
        <v>89</v>
      </c>
      <c r="H1066" s="470">
        <v>1059</v>
      </c>
      <c r="I1066" s="455">
        <f t="shared" ca="1" si="108"/>
        <v>-13206411.291314576</v>
      </c>
      <c r="J1066" s="455">
        <f t="array" ref="J1066">IFERROR(INDEX('Retirement Calculator'!J:J,MATCH('Isaac 401k'!N1066,'Retirement Calculator'!A:A,0),0),0)</f>
        <v>7863.2184191855868</v>
      </c>
      <c r="K1066" s="455">
        <f t="shared" ca="1" si="105"/>
        <v>-55059.477123890669</v>
      </c>
      <c r="L1066" s="455">
        <f t="shared" ca="1" si="106"/>
        <v>-13269333.986857651</v>
      </c>
      <c r="M1066" s="471">
        <f t="shared" si="109"/>
        <v>0.05</v>
      </c>
      <c r="N1066" s="475">
        <f t="shared" si="110"/>
        <v>83490</v>
      </c>
    </row>
    <row r="1067" spans="7:14" ht="11.25" customHeight="1" x14ac:dyDescent="0.3">
      <c r="G1067" s="470">
        <f t="shared" si="113"/>
        <v>89</v>
      </c>
      <c r="H1067" s="470">
        <v>1060</v>
      </c>
      <c r="I1067" s="455">
        <f t="shared" ca="1" si="108"/>
        <v>-13269333.986857651</v>
      </c>
      <c r="J1067" s="455">
        <f t="array" ref="J1067">IFERROR(INDEX('Retirement Calculator'!J:J,MATCH('Isaac 401k'!N1067,'Retirement Calculator'!A:A,0),0),0)</f>
        <v>7863.2184191855868</v>
      </c>
      <c r="K1067" s="455">
        <f t="shared" ca="1" si="105"/>
        <v>-55321.655021986822</v>
      </c>
      <c r="L1067" s="455">
        <f t="shared" ca="1" si="106"/>
        <v>-13332518.860298822</v>
      </c>
      <c r="M1067" s="471">
        <f t="shared" si="109"/>
        <v>0.05</v>
      </c>
      <c r="N1067" s="475">
        <f t="shared" si="110"/>
        <v>83521</v>
      </c>
    </row>
    <row r="1068" spans="7:14" ht="11.25" customHeight="1" x14ac:dyDescent="0.3">
      <c r="G1068" s="470">
        <f t="shared" si="113"/>
        <v>89</v>
      </c>
      <c r="H1068" s="470">
        <v>1061</v>
      </c>
      <c r="I1068" s="455">
        <f t="shared" ca="1" si="108"/>
        <v>-13332518.860298822</v>
      </c>
      <c r="J1068" s="455">
        <f t="array" ref="J1068">IFERROR(INDEX('Retirement Calculator'!J:J,MATCH('Isaac 401k'!N1068,'Retirement Calculator'!A:A,0),0),0)</f>
        <v>7863.2184191855868</v>
      </c>
      <c r="K1068" s="455">
        <f t="shared" ca="1" si="105"/>
        <v>-55584.925327991703</v>
      </c>
      <c r="L1068" s="455">
        <f t="shared" ca="1" si="106"/>
        <v>-13395967.004045999</v>
      </c>
      <c r="M1068" s="471">
        <f t="shared" si="109"/>
        <v>0.05</v>
      </c>
      <c r="N1068" s="475">
        <f t="shared" si="110"/>
        <v>83551</v>
      </c>
    </row>
    <row r="1069" spans="7:14" ht="11.25" customHeight="1" x14ac:dyDescent="0.3">
      <c r="G1069" s="470">
        <f t="shared" si="113"/>
        <v>89</v>
      </c>
      <c r="H1069" s="470">
        <v>1062</v>
      </c>
      <c r="I1069" s="455">
        <f t="shared" ca="1" si="108"/>
        <v>-13395967.004045999</v>
      </c>
      <c r="J1069" s="455">
        <f t="array" ref="J1069">IFERROR(INDEX('Retirement Calculator'!J:J,MATCH('Isaac 401k'!N1069,'Retirement Calculator'!A:A,0),0),0)</f>
        <v>7863.2184191855868</v>
      </c>
      <c r="K1069" s="455">
        <f t="shared" ca="1" si="105"/>
        <v>-55849.292593604929</v>
      </c>
      <c r="L1069" s="455">
        <f t="shared" ca="1" si="106"/>
        <v>-13459679.515058789</v>
      </c>
      <c r="M1069" s="471">
        <f t="shared" si="109"/>
        <v>0.05</v>
      </c>
      <c r="N1069" s="475">
        <f t="shared" si="110"/>
        <v>83582</v>
      </c>
    </row>
    <row r="1070" spans="7:14" ht="11.25" customHeight="1" x14ac:dyDescent="0.3">
      <c r="G1070" s="470">
        <f t="shared" si="113"/>
        <v>89</v>
      </c>
      <c r="H1070" s="470">
        <v>1063</v>
      </c>
      <c r="I1070" s="455">
        <f t="shared" ca="1" si="108"/>
        <v>-13459679.515058789</v>
      </c>
      <c r="J1070" s="455">
        <f t="array" ref="J1070">IFERROR(INDEX('Retirement Calculator'!J:J,MATCH('Isaac 401k'!N1070,'Retirement Calculator'!A:A,0),0),0)</f>
        <v>7863.2184191855868</v>
      </c>
      <c r="K1070" s="455">
        <f t="shared" ca="1" si="105"/>
        <v>-56114.761389491556</v>
      </c>
      <c r="L1070" s="455">
        <f t="shared" ca="1" si="106"/>
        <v>-13523657.494867466</v>
      </c>
      <c r="M1070" s="471">
        <f t="shared" si="109"/>
        <v>0.05</v>
      </c>
      <c r="N1070" s="475">
        <f t="shared" si="110"/>
        <v>83612</v>
      </c>
    </row>
    <row r="1071" spans="7:14" ht="11.25" customHeight="1" x14ac:dyDescent="0.3">
      <c r="G1071" s="470">
        <f t="shared" si="113"/>
        <v>89</v>
      </c>
      <c r="H1071" s="470">
        <v>1064</v>
      </c>
      <c r="I1071" s="455">
        <f t="shared" ca="1" si="108"/>
        <v>-13523657.494867466</v>
      </c>
      <c r="J1071" s="455">
        <f t="array" ref="J1071">IFERROR(INDEX('Retirement Calculator'!J:J,MATCH('Isaac 401k'!N1071,'Retirement Calculator'!A:A,0),0),0)</f>
        <v>7863.2184191855868</v>
      </c>
      <c r="K1071" s="455">
        <f t="shared" ca="1" si="105"/>
        <v>-56381.336305361045</v>
      </c>
      <c r="L1071" s="455">
        <f t="shared" ca="1" si="106"/>
        <v>-13587902.049592013</v>
      </c>
      <c r="M1071" s="471">
        <f t="shared" si="109"/>
        <v>0.05</v>
      </c>
      <c r="N1071" s="475">
        <f t="shared" si="110"/>
        <v>83643</v>
      </c>
    </row>
    <row r="1072" spans="7:14" ht="11.25" customHeight="1" x14ac:dyDescent="0.3">
      <c r="G1072" s="470">
        <f t="shared" si="113"/>
        <v>89</v>
      </c>
      <c r="H1072" s="470">
        <v>1065</v>
      </c>
      <c r="I1072" s="455">
        <f t="shared" ca="1" si="108"/>
        <v>-13587902.049592013</v>
      </c>
      <c r="J1072" s="455">
        <f t="array" ref="J1072">IFERROR(INDEX('Retirement Calculator'!J:J,MATCH('Isaac 401k'!N1072,'Retirement Calculator'!A:A,0),0),0)</f>
        <v>7863.2184191855868</v>
      </c>
      <c r="K1072" s="455">
        <f t="shared" ca="1" si="105"/>
        <v>-56649.021950046656</v>
      </c>
      <c r="L1072" s="455">
        <f t="shared" ca="1" si="106"/>
        <v>-13652414.289961245</v>
      </c>
      <c r="M1072" s="471">
        <f t="shared" si="109"/>
        <v>0.05</v>
      </c>
      <c r="N1072" s="475">
        <f t="shared" si="110"/>
        <v>83674</v>
      </c>
    </row>
    <row r="1073" spans="7:14" ht="11.25" customHeight="1" x14ac:dyDescent="0.3">
      <c r="G1073" s="470">
        <f t="shared" si="113"/>
        <v>89</v>
      </c>
      <c r="H1073" s="470">
        <v>1066</v>
      </c>
      <c r="I1073" s="455">
        <f t="shared" ca="1" si="108"/>
        <v>-13652414.289961245</v>
      </c>
      <c r="J1073" s="455">
        <f t="array" ref="J1073">IFERROR(INDEX('Retirement Calculator'!J:J,MATCH('Isaac 401k'!N1073,'Retirement Calculator'!A:A,0),0),0)</f>
        <v>7863.2184191855868</v>
      </c>
      <c r="K1073" s="455">
        <f t="shared" ca="1" si="105"/>
        <v>-56917.82295158512</v>
      </c>
      <c r="L1073" s="455">
        <f t="shared" ca="1" si="106"/>
        <v>-13717195.331332015</v>
      </c>
      <c r="M1073" s="471">
        <f t="shared" si="109"/>
        <v>0.05</v>
      </c>
      <c r="N1073" s="475">
        <f t="shared" si="110"/>
        <v>83702</v>
      </c>
    </row>
    <row r="1074" spans="7:14" ht="11.25" customHeight="1" x14ac:dyDescent="0.3">
      <c r="G1074" s="470">
        <f t="shared" si="113"/>
        <v>89</v>
      </c>
      <c r="H1074" s="470">
        <v>1067</v>
      </c>
      <c r="I1074" s="455">
        <f t="shared" ca="1" si="108"/>
        <v>-13717195.331332015</v>
      </c>
      <c r="J1074" s="455">
        <f t="array" ref="J1074">IFERROR(INDEX('Retirement Calculator'!J:J,MATCH('Isaac 401k'!N1074,'Retirement Calculator'!A:A,0),0),0)</f>
        <v>7863.2184191855868</v>
      </c>
      <c r="K1074" s="455">
        <f t="shared" ca="1" si="105"/>
        <v>-57187.743957296676</v>
      </c>
      <c r="L1074" s="455">
        <f t="shared" ca="1" si="106"/>
        <v>-13782246.293708496</v>
      </c>
      <c r="M1074" s="471">
        <f t="shared" si="109"/>
        <v>0.05</v>
      </c>
      <c r="N1074" s="475">
        <f t="shared" si="110"/>
        <v>83733</v>
      </c>
    </row>
    <row r="1075" spans="7:14" ht="11.25" customHeight="1" x14ac:dyDescent="0.3">
      <c r="G1075" s="470">
        <f t="shared" si="113"/>
        <v>89</v>
      </c>
      <c r="H1075" s="470">
        <v>1068</v>
      </c>
      <c r="I1075" s="455">
        <f t="shared" ca="1" si="108"/>
        <v>-13782246.293708496</v>
      </c>
      <c r="J1075" s="455">
        <f t="array" ref="J1075">IFERROR(INDEX('Retirement Calculator'!J:J,MATCH('Isaac 401k'!N1075,'Retirement Calculator'!A:A,0),0),0)</f>
        <v>7863.2184191855868</v>
      </c>
      <c r="K1075" s="455">
        <f t="shared" ca="1" si="105"/>
        <v>-57458.789633865337</v>
      </c>
      <c r="L1075" s="455">
        <f t="shared" ca="1" si="106"/>
        <v>-13847568.301761545</v>
      </c>
      <c r="M1075" s="471">
        <f t="shared" si="109"/>
        <v>0.05</v>
      </c>
      <c r="N1075" s="475">
        <f t="shared" si="110"/>
        <v>83763</v>
      </c>
    </row>
    <row r="1076" spans="7:14" ht="11.25" customHeight="1" x14ac:dyDescent="0.3">
      <c r="G1076" s="470">
        <f>G1075+1</f>
        <v>90</v>
      </c>
      <c r="H1076" s="470">
        <v>1069</v>
      </c>
      <c r="I1076" s="455">
        <f t="shared" ca="1" si="108"/>
        <v>-13847568.301761545</v>
      </c>
      <c r="J1076" s="455">
        <f t="array" ref="J1076">IFERROR(INDEX('Retirement Calculator'!J:J,MATCH('Isaac 401k'!N1076,'Retirement Calculator'!A:A,0),0),0)</f>
        <v>7863.2184191855868</v>
      </c>
      <c r="K1076" s="455">
        <f t="shared" ca="1" si="105"/>
        <v>-57730.964667419714</v>
      </c>
      <c r="L1076" s="455">
        <f t="shared" ca="1" si="106"/>
        <v>-13913162.484848149</v>
      </c>
      <c r="M1076" s="471">
        <f t="shared" si="109"/>
        <v>0.05</v>
      </c>
      <c r="N1076" s="475">
        <f t="shared" si="110"/>
        <v>83794</v>
      </c>
    </row>
    <row r="1077" spans="7:14" ht="11.25" customHeight="1" x14ac:dyDescent="0.3">
      <c r="G1077" s="470">
        <f t="shared" ref="G1077:G1087" si="114">G1076</f>
        <v>90</v>
      </c>
      <c r="H1077" s="470">
        <v>1070</v>
      </c>
      <c r="I1077" s="455">
        <f t="shared" ca="1" si="108"/>
        <v>-13913162.484848149</v>
      </c>
      <c r="J1077" s="455">
        <f t="array" ref="J1077">IFERROR(INDEX('Retirement Calculator'!J:J,MATCH('Isaac 401k'!N1077,'Retirement Calculator'!A:A,0),0),0)</f>
        <v>7863.2184191855868</v>
      </c>
      <c r="K1077" s="455">
        <f t="shared" ca="1" si="105"/>
        <v>-58004.273763613885</v>
      </c>
      <c r="L1077" s="455">
        <f t="shared" ca="1" si="106"/>
        <v>-13979029.977030948</v>
      </c>
      <c r="M1077" s="471">
        <f t="shared" si="109"/>
        <v>0.05</v>
      </c>
      <c r="N1077" s="475">
        <f t="shared" si="110"/>
        <v>83824</v>
      </c>
    </row>
    <row r="1078" spans="7:14" ht="11.25" customHeight="1" x14ac:dyDescent="0.3">
      <c r="G1078" s="470">
        <f t="shared" si="114"/>
        <v>90</v>
      </c>
      <c r="H1078" s="470">
        <v>1071</v>
      </c>
      <c r="I1078" s="455">
        <f t="shared" ca="1" si="108"/>
        <v>-13979029.977030948</v>
      </c>
      <c r="J1078" s="455">
        <f t="array" ref="J1078">IFERROR(INDEX('Retirement Calculator'!J:J,MATCH('Isaac 401k'!N1078,'Retirement Calculator'!A:A,0),0),0)</f>
        <v>7863.2184191855868</v>
      </c>
      <c r="K1078" s="455">
        <f t="shared" ca="1" si="105"/>
        <v>-58278.721647708888</v>
      </c>
      <c r="L1078" s="455">
        <f t="shared" ca="1" si="106"/>
        <v>-14045171.917097842</v>
      </c>
      <c r="M1078" s="471">
        <f t="shared" si="109"/>
        <v>0.05</v>
      </c>
      <c r="N1078" s="475">
        <f t="shared" si="110"/>
        <v>83855</v>
      </c>
    </row>
    <row r="1079" spans="7:14" ht="11.25" customHeight="1" x14ac:dyDescent="0.3">
      <c r="G1079" s="470">
        <f t="shared" si="114"/>
        <v>90</v>
      </c>
      <c r="H1079" s="470">
        <v>1072</v>
      </c>
      <c r="I1079" s="455">
        <f t="shared" ca="1" si="108"/>
        <v>-14045171.917097842</v>
      </c>
      <c r="J1079" s="455">
        <f t="array" ref="J1079">IFERROR(INDEX('Retirement Calculator'!J:J,MATCH('Isaac 401k'!N1079,'Retirement Calculator'!A:A,0),0),0)</f>
        <v>7863.2184191855868</v>
      </c>
      <c r="K1079" s="455">
        <f t="shared" ca="1" si="105"/>
        <v>-58554.313064654278</v>
      </c>
      <c r="L1079" s="455">
        <f t="shared" ca="1" si="106"/>
        <v>-14111589.448581681</v>
      </c>
      <c r="M1079" s="471">
        <f t="shared" si="109"/>
        <v>0.05</v>
      </c>
      <c r="N1079" s="475">
        <f t="shared" si="110"/>
        <v>83886</v>
      </c>
    </row>
    <row r="1080" spans="7:14" ht="11.25" customHeight="1" x14ac:dyDescent="0.3">
      <c r="G1080" s="470">
        <f t="shared" si="114"/>
        <v>90</v>
      </c>
      <c r="H1080" s="470">
        <v>1073</v>
      </c>
      <c r="I1080" s="455">
        <f t="shared" ca="1" si="108"/>
        <v>-14111589.448581681</v>
      </c>
      <c r="J1080" s="455">
        <f t="array" ref="J1080">IFERROR(INDEX('Retirement Calculator'!J:J,MATCH('Isaac 401k'!N1080,'Retirement Calculator'!A:A,0),0),0)</f>
        <v>7863.2184191855868</v>
      </c>
      <c r="K1080" s="455">
        <f t="shared" ca="1" si="105"/>
        <v>-58831.05277917027</v>
      </c>
      <c r="L1080" s="455">
        <f t="shared" ca="1" si="106"/>
        <v>-14178283.719780035</v>
      </c>
      <c r="M1080" s="471">
        <f t="shared" si="109"/>
        <v>0.05</v>
      </c>
      <c r="N1080" s="475">
        <f t="shared" si="110"/>
        <v>83916</v>
      </c>
    </row>
    <row r="1081" spans="7:14" ht="11.25" customHeight="1" x14ac:dyDescent="0.3">
      <c r="G1081" s="470">
        <f t="shared" si="114"/>
        <v>90</v>
      </c>
      <c r="H1081" s="470">
        <v>1074</v>
      </c>
      <c r="I1081" s="455">
        <f t="shared" ca="1" si="108"/>
        <v>-14178283.719780035</v>
      </c>
      <c r="J1081" s="455">
        <f t="array" ref="J1081">IFERROR(INDEX('Retirement Calculator'!J:J,MATCH('Isaac 401k'!N1081,'Retirement Calculator'!A:A,0),0),0)</f>
        <v>7863.2184191855868</v>
      </c>
      <c r="K1081" s="455">
        <f t="shared" ca="1" si="105"/>
        <v>-59108.945575830076</v>
      </c>
      <c r="L1081" s="455">
        <f t="shared" ca="1" si="106"/>
        <v>-14245255.88377505</v>
      </c>
      <c r="M1081" s="471">
        <f t="shared" si="109"/>
        <v>0.05</v>
      </c>
      <c r="N1081" s="475">
        <f t="shared" si="110"/>
        <v>83947</v>
      </c>
    </row>
    <row r="1082" spans="7:14" ht="11.25" customHeight="1" x14ac:dyDescent="0.3">
      <c r="G1082" s="470">
        <f t="shared" si="114"/>
        <v>90</v>
      </c>
      <c r="H1082" s="470">
        <v>1075</v>
      </c>
      <c r="I1082" s="455">
        <f t="shared" ca="1" si="108"/>
        <v>-14245255.88377505</v>
      </c>
      <c r="J1082" s="455">
        <f t="array" ref="J1082">IFERROR(INDEX('Retirement Calculator'!J:J,MATCH('Isaac 401k'!N1082,'Retirement Calculator'!A:A,0),0),0)</f>
        <v>7863.2184191855868</v>
      </c>
      <c r="K1082" s="455">
        <f t="shared" ca="1" si="105"/>
        <v>-59387.996259142645</v>
      </c>
      <c r="L1082" s="455">
        <f t="shared" ca="1" si="106"/>
        <v>-14312507.098453376</v>
      </c>
      <c r="M1082" s="471">
        <f t="shared" si="109"/>
        <v>0.05</v>
      </c>
      <c r="N1082" s="475">
        <f t="shared" si="110"/>
        <v>83977</v>
      </c>
    </row>
    <row r="1083" spans="7:14" ht="11.25" customHeight="1" x14ac:dyDescent="0.3">
      <c r="G1083" s="470">
        <f t="shared" si="114"/>
        <v>90</v>
      </c>
      <c r="H1083" s="470">
        <v>1076</v>
      </c>
      <c r="I1083" s="455">
        <f t="shared" ca="1" si="108"/>
        <v>-14312507.098453376</v>
      </c>
      <c r="J1083" s="455">
        <f t="array" ref="J1083">IFERROR(INDEX('Retirement Calculator'!J:J,MATCH('Isaac 401k'!N1083,'Retirement Calculator'!A:A,0),0),0)</f>
        <v>7863.2184191855868</v>
      </c>
      <c r="K1083" s="455">
        <f t="shared" ca="1" si="105"/>
        <v>-59668.209653635669</v>
      </c>
      <c r="L1083" s="455">
        <f t="shared" ca="1" si="106"/>
        <v>-14380038.526526198</v>
      </c>
      <c r="M1083" s="471">
        <f t="shared" si="109"/>
        <v>0.05</v>
      </c>
      <c r="N1083" s="475">
        <f t="shared" si="110"/>
        <v>84008</v>
      </c>
    </row>
    <row r="1084" spans="7:14" ht="11.25" customHeight="1" x14ac:dyDescent="0.3">
      <c r="G1084" s="470">
        <f t="shared" si="114"/>
        <v>90</v>
      </c>
      <c r="H1084" s="470">
        <v>1077</v>
      </c>
      <c r="I1084" s="455">
        <f t="shared" ca="1" si="108"/>
        <v>-14380038.526526198</v>
      </c>
      <c r="J1084" s="455">
        <f t="array" ref="J1084">IFERROR(INDEX('Retirement Calculator'!J:J,MATCH('Isaac 401k'!N1084,'Retirement Calculator'!A:A,0),0),0)</f>
        <v>7863.2184191855868</v>
      </c>
      <c r="K1084" s="455">
        <f t="shared" ca="1" si="105"/>
        <v>-59949.59060393909</v>
      </c>
      <c r="L1084" s="455">
        <f t="shared" ca="1" si="106"/>
        <v>-14447851.335549321</v>
      </c>
      <c r="M1084" s="471">
        <f t="shared" si="109"/>
        <v>0.05</v>
      </c>
      <c r="N1084" s="475">
        <f t="shared" si="110"/>
        <v>84039</v>
      </c>
    </row>
    <row r="1085" spans="7:14" ht="11.25" customHeight="1" x14ac:dyDescent="0.3">
      <c r="G1085" s="470">
        <f t="shared" si="114"/>
        <v>90</v>
      </c>
      <c r="H1085" s="470">
        <v>1078</v>
      </c>
      <c r="I1085" s="455">
        <f t="shared" ca="1" si="108"/>
        <v>-14447851.335549321</v>
      </c>
      <c r="J1085" s="455">
        <f t="array" ref="J1085">IFERROR(INDEX('Retirement Calculator'!J:J,MATCH('Isaac 401k'!N1085,'Retirement Calculator'!A:A,0),0),0)</f>
        <v>7863.2184191855868</v>
      </c>
      <c r="K1085" s="455">
        <f t="shared" ca="1" si="105"/>
        <v>-60232.143974868777</v>
      </c>
      <c r="L1085" s="455">
        <f t="shared" ca="1" si="106"/>
        <v>-14515946.697943375</v>
      </c>
      <c r="M1085" s="471">
        <f t="shared" si="109"/>
        <v>0.05</v>
      </c>
      <c r="N1085" s="475">
        <f t="shared" si="110"/>
        <v>84067</v>
      </c>
    </row>
    <row r="1086" spans="7:14" ht="11.25" customHeight="1" x14ac:dyDescent="0.3">
      <c r="G1086" s="470">
        <f t="shared" si="114"/>
        <v>90</v>
      </c>
      <c r="H1086" s="470">
        <v>1079</v>
      </c>
      <c r="I1086" s="455">
        <f t="shared" ca="1" si="108"/>
        <v>-14515946.697943375</v>
      </c>
      <c r="J1086" s="455">
        <f t="array" ref="J1086">IFERROR(INDEX('Retirement Calculator'!J:J,MATCH('Isaac 401k'!N1086,'Retirement Calculator'!A:A,0),0),0)</f>
        <v>7863.2184191855868</v>
      </c>
      <c r="K1086" s="455">
        <f t="shared" ca="1" si="105"/>
        <v>-60515.874651510661</v>
      </c>
      <c r="L1086" s="455">
        <f t="shared" ca="1" si="106"/>
        <v>-14584325.79101407</v>
      </c>
      <c r="M1086" s="471">
        <f t="shared" si="109"/>
        <v>0.05</v>
      </c>
      <c r="N1086" s="475">
        <f t="shared" si="110"/>
        <v>84098</v>
      </c>
    </row>
    <row r="1087" spans="7:14" ht="11.25" customHeight="1" x14ac:dyDescent="0.3">
      <c r="G1087" s="470">
        <f t="shared" si="114"/>
        <v>90</v>
      </c>
      <c r="H1087" s="470">
        <v>1080</v>
      </c>
      <c r="I1087" s="455">
        <f t="shared" ca="1" si="108"/>
        <v>-14584325.79101407</v>
      </c>
      <c r="J1087" s="455">
        <f t="array" ref="J1087">IFERROR(INDEX('Retirement Calculator'!J:J,MATCH('Isaac 401k'!N1087,'Retirement Calculator'!A:A,0),0),0)</f>
        <v>7863.2184191855868</v>
      </c>
      <c r="K1087" s="455">
        <f t="shared" ca="1" si="105"/>
        <v>-60800.787539305224</v>
      </c>
      <c r="L1087" s="455">
        <f t="shared" ca="1" si="106"/>
        <v>-14652989.79697256</v>
      </c>
      <c r="M1087" s="471">
        <f t="shared" si="109"/>
        <v>0.05</v>
      </c>
      <c r="N1087" s="475">
        <f t="shared" si="110"/>
        <v>84128</v>
      </c>
    </row>
    <row r="1088" spans="7:14" ht="11.25" customHeight="1" x14ac:dyDescent="0.3">
      <c r="G1088" s="470">
        <f>G1087+1</f>
        <v>91</v>
      </c>
      <c r="H1088" s="470">
        <v>1081</v>
      </c>
      <c r="I1088" s="455">
        <f t="shared" ca="1" si="108"/>
        <v>-14652989.79697256</v>
      </c>
      <c r="J1088" s="455">
        <f t="array" ref="J1088">IFERROR(INDEX('Retirement Calculator'!J:J,MATCH('Isaac 401k'!N1088,'Retirement Calculator'!A:A,0),0),0)</f>
        <v>7863.2184191855868</v>
      </c>
      <c r="K1088" s="455">
        <f t="shared" ca="1" si="105"/>
        <v>-61086.887564132259</v>
      </c>
      <c r="L1088" s="455">
        <f t="shared" ca="1" si="106"/>
        <v>-14721939.902955877</v>
      </c>
      <c r="M1088" s="471">
        <f t="shared" si="109"/>
        <v>0.05</v>
      </c>
      <c r="N1088" s="475">
        <f t="shared" si="110"/>
        <v>84159</v>
      </c>
    </row>
    <row r="1089" spans="7:14" ht="11.25" customHeight="1" x14ac:dyDescent="0.3">
      <c r="G1089" s="470">
        <f t="shared" ref="G1089:G1099" si="115">G1088</f>
        <v>91</v>
      </c>
      <c r="H1089" s="470">
        <v>1082</v>
      </c>
      <c r="I1089" s="455">
        <f t="shared" ca="1" si="108"/>
        <v>-14721939.902955877</v>
      </c>
      <c r="J1089" s="455">
        <f t="array" ref="J1089">IFERROR(INDEX('Retirement Calculator'!J:J,MATCH('Isaac 401k'!N1089,'Retirement Calculator'!A:A,0),0),0)</f>
        <v>7863.2184191855868</v>
      </c>
      <c r="K1089" s="455">
        <f t="shared" ca="1" si="105"/>
        <v>-61374.179672396094</v>
      </c>
      <c r="L1089" s="455">
        <f t="shared" ca="1" si="106"/>
        <v>-14791177.301047457</v>
      </c>
      <c r="M1089" s="471">
        <f t="shared" si="109"/>
        <v>0.05</v>
      </c>
      <c r="N1089" s="475">
        <f t="shared" si="110"/>
        <v>84189</v>
      </c>
    </row>
    <row r="1090" spans="7:14" ht="11.25" customHeight="1" x14ac:dyDescent="0.3">
      <c r="G1090" s="470">
        <f t="shared" si="115"/>
        <v>91</v>
      </c>
      <c r="H1090" s="470">
        <v>1083</v>
      </c>
      <c r="I1090" s="455">
        <f t="shared" ca="1" si="108"/>
        <v>-14791177.301047457</v>
      </c>
      <c r="J1090" s="455">
        <f t="array" ref="J1090">IFERROR(INDEX('Retirement Calculator'!J:J,MATCH('Isaac 401k'!N1090,'Retirement Calculator'!A:A,0),0),0)</f>
        <v>7863.2184191855868</v>
      </c>
      <c r="K1090" s="455">
        <f t="shared" ca="1" si="105"/>
        <v>-61662.668831111019</v>
      </c>
      <c r="L1090" s="455">
        <f t="shared" ca="1" si="106"/>
        <v>-14860703.188297754</v>
      </c>
      <c r="M1090" s="471">
        <f t="shared" si="109"/>
        <v>0.05</v>
      </c>
      <c r="N1090" s="475">
        <f t="shared" si="110"/>
        <v>84220</v>
      </c>
    </row>
    <row r="1091" spans="7:14" ht="11.25" customHeight="1" x14ac:dyDescent="0.3">
      <c r="G1091" s="470">
        <f t="shared" si="115"/>
        <v>91</v>
      </c>
      <c r="H1091" s="470">
        <v>1084</v>
      </c>
      <c r="I1091" s="455">
        <f t="shared" ca="1" si="108"/>
        <v>-14860703.188297754</v>
      </c>
      <c r="J1091" s="455">
        <f t="array" ref="J1091">IFERROR(INDEX('Retirement Calculator'!J:J,MATCH('Isaac 401k'!N1091,'Retirement Calculator'!A:A,0),0),0)</f>
        <v>7863.2184191855868</v>
      </c>
      <c r="K1091" s="455">
        <f t="shared" ca="1" si="105"/>
        <v>-61952.360027987248</v>
      </c>
      <c r="L1091" s="455">
        <f t="shared" ca="1" si="106"/>
        <v>-14930518.766744927</v>
      </c>
      <c r="M1091" s="471">
        <f t="shared" si="109"/>
        <v>0.05</v>
      </c>
      <c r="N1091" s="475">
        <f t="shared" si="110"/>
        <v>84251</v>
      </c>
    </row>
    <row r="1092" spans="7:14" ht="11.25" customHeight="1" x14ac:dyDescent="0.3">
      <c r="G1092" s="470">
        <f t="shared" si="115"/>
        <v>91</v>
      </c>
      <c r="H1092" s="470">
        <v>1085</v>
      </c>
      <c r="I1092" s="455">
        <f t="shared" ca="1" si="108"/>
        <v>-14930518.766744927</v>
      </c>
      <c r="J1092" s="455">
        <f t="array" ref="J1092">IFERROR(INDEX('Retirement Calculator'!J:J,MATCH('Isaac 401k'!N1092,'Retirement Calculator'!A:A,0),0),0)</f>
        <v>7863.2184191855868</v>
      </c>
      <c r="K1092" s="455">
        <f t="shared" ca="1" si="105"/>
        <v>-62243.25827151713</v>
      </c>
      <c r="L1092" s="455">
        <f t="shared" ca="1" si="106"/>
        <v>-15000625.243435629</v>
      </c>
      <c r="M1092" s="471">
        <f t="shared" si="109"/>
        <v>0.05</v>
      </c>
      <c r="N1092" s="475">
        <f t="shared" si="110"/>
        <v>84281</v>
      </c>
    </row>
    <row r="1093" spans="7:14" ht="11.25" customHeight="1" x14ac:dyDescent="0.3">
      <c r="G1093" s="470">
        <f t="shared" si="115"/>
        <v>91</v>
      </c>
      <c r="H1093" s="470">
        <v>1086</v>
      </c>
      <c r="I1093" s="455">
        <f t="shared" ca="1" si="108"/>
        <v>-15000625.243435629</v>
      </c>
      <c r="J1093" s="455">
        <f t="array" ref="J1093">IFERROR(INDEX('Retirement Calculator'!J:J,MATCH('Isaac 401k'!N1093,'Retirement Calculator'!A:A,0),0),0)</f>
        <v>7863.2184191855868</v>
      </c>
      <c r="K1093" s="455">
        <f t="shared" ca="1" si="105"/>
        <v>-62535.368591061713</v>
      </c>
      <c r="L1093" s="455">
        <f t="shared" ca="1" si="106"/>
        <v>-15071023.830445874</v>
      </c>
      <c r="M1093" s="471">
        <f t="shared" si="109"/>
        <v>0.05</v>
      </c>
      <c r="N1093" s="475">
        <f t="shared" si="110"/>
        <v>84312</v>
      </c>
    </row>
    <row r="1094" spans="7:14" ht="11.25" customHeight="1" x14ac:dyDescent="0.3">
      <c r="G1094" s="470">
        <f t="shared" si="115"/>
        <v>91</v>
      </c>
      <c r="H1094" s="470">
        <v>1087</v>
      </c>
      <c r="I1094" s="455">
        <f t="shared" ca="1" si="108"/>
        <v>-15071023.830445874</v>
      </c>
      <c r="J1094" s="455">
        <f t="array" ref="J1094">IFERROR(INDEX('Retirement Calculator'!J:J,MATCH('Isaac 401k'!N1094,'Retirement Calculator'!A:A,0),0),0)</f>
        <v>7863.2184191855868</v>
      </c>
      <c r="K1094" s="455">
        <f t="shared" ca="1" si="105"/>
        <v>-62828.696036937741</v>
      </c>
      <c r="L1094" s="455">
        <f t="shared" ca="1" si="106"/>
        <v>-15141715.744901998</v>
      </c>
      <c r="M1094" s="471">
        <f t="shared" si="109"/>
        <v>0.05</v>
      </c>
      <c r="N1094" s="475">
        <f t="shared" si="110"/>
        <v>84342</v>
      </c>
    </row>
    <row r="1095" spans="7:14" ht="11.25" customHeight="1" x14ac:dyDescent="0.3">
      <c r="G1095" s="470">
        <f t="shared" si="115"/>
        <v>91</v>
      </c>
      <c r="H1095" s="470">
        <v>1088</v>
      </c>
      <c r="I1095" s="455">
        <f t="shared" ca="1" si="108"/>
        <v>-15141715.744901998</v>
      </c>
      <c r="J1095" s="455">
        <f t="array" ref="J1095">IFERROR(INDEX('Retirement Calculator'!J:J,MATCH('Isaac 401k'!N1095,'Retirement Calculator'!A:A,0),0),0)</f>
        <v>7863.2184191855868</v>
      </c>
      <c r="K1095" s="455">
        <f t="shared" ca="1" si="105"/>
        <v>-63123.24568050493</v>
      </c>
      <c r="L1095" s="455">
        <f t="shared" ca="1" si="106"/>
        <v>-15212702.209001688</v>
      </c>
      <c r="M1095" s="471">
        <f t="shared" si="109"/>
        <v>0.05</v>
      </c>
      <c r="N1095" s="475">
        <f t="shared" si="110"/>
        <v>84373</v>
      </c>
    </row>
    <row r="1096" spans="7:14" ht="11.25" customHeight="1" x14ac:dyDescent="0.3">
      <c r="G1096" s="470">
        <f t="shared" si="115"/>
        <v>91</v>
      </c>
      <c r="H1096" s="470">
        <v>1089</v>
      </c>
      <c r="I1096" s="455">
        <f t="shared" ca="1" si="108"/>
        <v>-15212702.209001688</v>
      </c>
      <c r="J1096" s="455">
        <f t="array" ref="J1096">IFERROR(INDEX('Retirement Calculator'!J:J,MATCH('Isaac 401k'!N1096,'Retirement Calculator'!A:A,0),0),0)</f>
        <v>7863.2184191855868</v>
      </c>
      <c r="K1096" s="455">
        <f t="shared" ca="1" si="105"/>
        <v>-63419.022614253634</v>
      </c>
      <c r="L1096" s="455">
        <f t="shared" ca="1" si="106"/>
        <v>-15283984.450035127</v>
      </c>
      <c r="M1096" s="471">
        <f t="shared" si="109"/>
        <v>0.05</v>
      </c>
      <c r="N1096" s="475">
        <f t="shared" si="110"/>
        <v>84404</v>
      </c>
    </row>
    <row r="1097" spans="7:14" ht="11.25" customHeight="1" x14ac:dyDescent="0.3">
      <c r="G1097" s="470">
        <f t="shared" si="115"/>
        <v>91</v>
      </c>
      <c r="H1097" s="470">
        <v>1090</v>
      </c>
      <c r="I1097" s="455">
        <f t="shared" ca="1" si="108"/>
        <v>-15283984.450035127</v>
      </c>
      <c r="J1097" s="455">
        <f t="array" ref="J1097">IFERROR(INDEX('Retirement Calculator'!J:J,MATCH('Isaac 401k'!N1097,'Retirement Calculator'!A:A,0),0),0)</f>
        <v>7863.2184191855868</v>
      </c>
      <c r="K1097" s="455">
        <f t="shared" ca="1" si="105"/>
        <v>-63716.031951892968</v>
      </c>
      <c r="L1097" s="455">
        <f t="shared" ca="1" si="106"/>
        <v>-15355563.700406205</v>
      </c>
      <c r="M1097" s="471">
        <f t="shared" si="109"/>
        <v>0.05</v>
      </c>
      <c r="N1097" s="475">
        <f t="shared" si="110"/>
        <v>84432</v>
      </c>
    </row>
    <row r="1098" spans="7:14" ht="11.25" customHeight="1" x14ac:dyDescent="0.3">
      <c r="G1098" s="470">
        <f t="shared" si="115"/>
        <v>91</v>
      </c>
      <c r="H1098" s="470">
        <v>1091</v>
      </c>
      <c r="I1098" s="455">
        <f t="shared" ca="1" si="108"/>
        <v>-15355563.700406205</v>
      </c>
      <c r="J1098" s="455">
        <f t="array" ref="J1098">IFERROR(INDEX('Retirement Calculator'!J:J,MATCH('Isaac 401k'!N1098,'Retirement Calculator'!A:A,0),0),0)</f>
        <v>7863.2184191855868</v>
      </c>
      <c r="K1098" s="455">
        <f t="shared" ca="1" si="105"/>
        <v>-64014.278828439121</v>
      </c>
      <c r="L1098" s="455">
        <f t="shared" ca="1" si="106"/>
        <v>-15427441.197653828</v>
      </c>
      <c r="M1098" s="471">
        <f t="shared" si="109"/>
        <v>0.05</v>
      </c>
      <c r="N1098" s="475">
        <f t="shared" si="110"/>
        <v>84463</v>
      </c>
    </row>
    <row r="1099" spans="7:14" ht="11.25" customHeight="1" x14ac:dyDescent="0.3">
      <c r="G1099" s="470">
        <f t="shared" si="115"/>
        <v>91</v>
      </c>
      <c r="H1099" s="470">
        <v>1092</v>
      </c>
      <c r="I1099" s="455">
        <f t="shared" ca="1" si="108"/>
        <v>-15427441.197653828</v>
      </c>
      <c r="J1099" s="455">
        <f t="array" ref="J1099">IFERROR(INDEX('Retirement Calculator'!J:J,MATCH('Isaac 401k'!N1099,'Retirement Calculator'!A:A,0),0),0)</f>
        <v>7863.2184191855868</v>
      </c>
      <c r="K1099" s="455">
        <f t="shared" ca="1" si="105"/>
        <v>-64313.76840030423</v>
      </c>
      <c r="L1099" s="455">
        <f t="shared" ca="1" si="106"/>
        <v>-15499618.184473317</v>
      </c>
      <c r="M1099" s="471">
        <f t="shared" si="109"/>
        <v>0.05</v>
      </c>
      <c r="N1099" s="475">
        <f t="shared" si="110"/>
        <v>84493</v>
      </c>
    </row>
    <row r="1100" spans="7:14" ht="11.25" customHeight="1" x14ac:dyDescent="0.3">
      <c r="G1100" s="470">
        <f>G1099+1</f>
        <v>92</v>
      </c>
      <c r="H1100" s="470">
        <v>1093</v>
      </c>
      <c r="I1100" s="455">
        <f t="shared" ca="1" si="108"/>
        <v>-15499618.184473317</v>
      </c>
      <c r="J1100" s="455">
        <f t="array" ref="J1100">IFERROR(INDEX('Retirement Calculator'!J:J,MATCH('Isaac 401k'!N1100,'Retirement Calculator'!A:A,0),0),0)</f>
        <v>7863.2184191855868</v>
      </c>
      <c r="K1100" s="455">
        <f t="shared" ca="1" si="105"/>
        <v>-64614.505845385422</v>
      </c>
      <c r="L1100" s="455">
        <f t="shared" ca="1" si="106"/>
        <v>-15572095.908737887</v>
      </c>
      <c r="M1100" s="471">
        <f t="shared" si="109"/>
        <v>0.05</v>
      </c>
      <c r="N1100" s="475">
        <f t="shared" si="110"/>
        <v>84524</v>
      </c>
    </row>
    <row r="1101" spans="7:14" ht="11.25" customHeight="1" x14ac:dyDescent="0.3">
      <c r="G1101" s="470">
        <f t="shared" ref="G1101:G1111" si="116">G1100</f>
        <v>92</v>
      </c>
      <c r="H1101" s="470">
        <v>1094</v>
      </c>
      <c r="I1101" s="455">
        <f t="shared" ca="1" si="108"/>
        <v>-15572095.908737887</v>
      </c>
      <c r="J1101" s="455">
        <f t="array" ref="J1101">IFERROR(INDEX('Retirement Calculator'!J:J,MATCH('Isaac 401k'!N1101,'Retirement Calculator'!A:A,0),0),0)</f>
        <v>7863.2184191855868</v>
      </c>
      <c r="K1101" s="455">
        <f t="shared" ca="1" si="105"/>
        <v>-64916.496363154467</v>
      </c>
      <c r="L1101" s="455">
        <f t="shared" ca="1" si="106"/>
        <v>-15644875.623520225</v>
      </c>
      <c r="M1101" s="471">
        <f t="shared" si="109"/>
        <v>0.05</v>
      </c>
      <c r="N1101" s="475">
        <f t="shared" si="110"/>
        <v>84554</v>
      </c>
    </row>
    <row r="1102" spans="7:14" ht="11.25" customHeight="1" x14ac:dyDescent="0.3">
      <c r="G1102" s="470">
        <f t="shared" si="116"/>
        <v>92</v>
      </c>
      <c r="H1102" s="470">
        <v>1095</v>
      </c>
      <c r="I1102" s="455">
        <f t="shared" ca="1" si="108"/>
        <v>-15644875.623520225</v>
      </c>
      <c r="J1102" s="455">
        <f t="array" ref="J1102">IFERROR(INDEX('Retirement Calculator'!J:J,MATCH('Isaac 401k'!N1102,'Retirement Calculator'!A:A,0),0),0)</f>
        <v>7863.2184191855868</v>
      </c>
      <c r="K1102" s="455">
        <f t="shared" ca="1" si="105"/>
        <v>-65219.745174747542</v>
      </c>
      <c r="L1102" s="455">
        <f t="shared" ca="1" si="106"/>
        <v>-15717958.587114157</v>
      </c>
      <c r="M1102" s="471">
        <f t="shared" si="109"/>
        <v>0.05</v>
      </c>
      <c r="N1102" s="475">
        <f t="shared" si="110"/>
        <v>84585</v>
      </c>
    </row>
    <row r="1103" spans="7:14" ht="11.25" customHeight="1" x14ac:dyDescent="0.3">
      <c r="G1103" s="470">
        <f t="shared" si="116"/>
        <v>92</v>
      </c>
      <c r="H1103" s="470">
        <v>1096</v>
      </c>
      <c r="I1103" s="455">
        <f t="shared" ca="1" si="108"/>
        <v>-15717958.587114157</v>
      </c>
      <c r="J1103" s="455">
        <f t="array" ref="J1103">IFERROR(INDEX('Retirement Calculator'!J:J,MATCH('Isaac 401k'!N1103,'Retirement Calculator'!A:A,0),0),0)</f>
        <v>7863.2184191855868</v>
      </c>
      <c r="K1103" s="455">
        <f t="shared" ca="1" si="105"/>
        <v>-65524.257523055589</v>
      </c>
      <c r="L1103" s="455">
        <f t="shared" ca="1" si="106"/>
        <v>-15791346.063056398</v>
      </c>
      <c r="M1103" s="471">
        <f t="shared" si="109"/>
        <v>0.05</v>
      </c>
      <c r="N1103" s="475">
        <f t="shared" si="110"/>
        <v>84616</v>
      </c>
    </row>
    <row r="1104" spans="7:14" ht="11.25" customHeight="1" x14ac:dyDescent="0.3">
      <c r="G1104" s="470">
        <f t="shared" si="116"/>
        <v>92</v>
      </c>
      <c r="H1104" s="470">
        <v>1097</v>
      </c>
      <c r="I1104" s="455">
        <f t="shared" ca="1" si="108"/>
        <v>-15791346.063056398</v>
      </c>
      <c r="J1104" s="455">
        <f t="array" ref="J1104">IFERROR(INDEX('Retirement Calculator'!J:J,MATCH('Isaac 401k'!N1104,'Retirement Calculator'!A:A,0),0),0)</f>
        <v>7863.2184191855868</v>
      </c>
      <c r="K1104" s="455">
        <f t="shared" ca="1" si="105"/>
        <v>-65830.038672814917</v>
      </c>
      <c r="L1104" s="455">
        <f t="shared" ca="1" si="106"/>
        <v>-15865039.320148397</v>
      </c>
      <c r="M1104" s="471">
        <f t="shared" si="109"/>
        <v>0.05</v>
      </c>
      <c r="N1104" s="475">
        <f t="shared" si="110"/>
        <v>84646</v>
      </c>
    </row>
    <row r="1105" spans="7:14" ht="11.25" customHeight="1" x14ac:dyDescent="0.3">
      <c r="G1105" s="470">
        <f t="shared" si="116"/>
        <v>92</v>
      </c>
      <c r="H1105" s="470">
        <v>1098</v>
      </c>
      <c r="I1105" s="455">
        <f t="shared" ca="1" si="108"/>
        <v>-15865039.320148397</v>
      </c>
      <c r="J1105" s="455">
        <f t="array" ref="J1105">IFERROR(INDEX('Retirement Calculator'!J:J,MATCH('Isaac 401k'!N1105,'Retirement Calculator'!A:A,0),0),0)</f>
        <v>7863.2184191855868</v>
      </c>
      <c r="K1105" s="455">
        <f t="shared" ca="1" si="105"/>
        <v>-66137.093910698255</v>
      </c>
      <c r="L1105" s="455">
        <f t="shared" ca="1" si="106"/>
        <v>-15939039.63247828</v>
      </c>
      <c r="M1105" s="471">
        <f t="shared" si="109"/>
        <v>0.05</v>
      </c>
      <c r="N1105" s="475">
        <f t="shared" si="110"/>
        <v>84677</v>
      </c>
    </row>
    <row r="1106" spans="7:14" ht="11.25" customHeight="1" x14ac:dyDescent="0.3">
      <c r="G1106" s="470">
        <f t="shared" si="116"/>
        <v>92</v>
      </c>
      <c r="H1106" s="470">
        <v>1099</v>
      </c>
      <c r="I1106" s="455">
        <f t="shared" ca="1" si="108"/>
        <v>-15939039.63247828</v>
      </c>
      <c r="J1106" s="455">
        <f t="array" ref="J1106">IFERROR(INDEX('Retirement Calculator'!J:J,MATCH('Isaac 401k'!N1106,'Retirement Calculator'!A:A,0),0),0)</f>
        <v>7863.2184191855868</v>
      </c>
      <c r="K1106" s="455">
        <f t="shared" ca="1" si="105"/>
        <v>-66445.428545406103</v>
      </c>
      <c r="L1106" s="455">
        <f t="shared" ca="1" si="106"/>
        <v>-16013348.279442871</v>
      </c>
      <c r="M1106" s="471">
        <f t="shared" si="109"/>
        <v>0.05</v>
      </c>
      <c r="N1106" s="475">
        <f t="shared" si="110"/>
        <v>84707</v>
      </c>
    </row>
    <row r="1107" spans="7:14" ht="11.25" customHeight="1" x14ac:dyDescent="0.3">
      <c r="G1107" s="470">
        <f t="shared" si="116"/>
        <v>92</v>
      </c>
      <c r="H1107" s="470">
        <v>1100</v>
      </c>
      <c r="I1107" s="455">
        <f t="shared" ca="1" si="108"/>
        <v>-16013348.279442871</v>
      </c>
      <c r="J1107" s="455">
        <f t="array" ref="J1107">IFERROR(INDEX('Retirement Calculator'!J:J,MATCH('Isaac 401k'!N1107,'Retirement Calculator'!A:A,0),0),0)</f>
        <v>7863.2184191855868</v>
      </c>
      <c r="K1107" s="455">
        <f t="shared" ca="1" si="105"/>
        <v>-66755.047907758562</v>
      </c>
      <c r="L1107" s="455">
        <f t="shared" ca="1" si="106"/>
        <v>-16087966.545769814</v>
      </c>
      <c r="M1107" s="471">
        <f t="shared" si="109"/>
        <v>0.05</v>
      </c>
      <c r="N1107" s="475">
        <f t="shared" si="110"/>
        <v>84738</v>
      </c>
    </row>
    <row r="1108" spans="7:14" ht="11.25" customHeight="1" x14ac:dyDescent="0.3">
      <c r="G1108" s="470">
        <f t="shared" si="116"/>
        <v>92</v>
      </c>
      <c r="H1108" s="470">
        <v>1101</v>
      </c>
      <c r="I1108" s="455">
        <f t="shared" ca="1" si="108"/>
        <v>-16087966.545769814</v>
      </c>
      <c r="J1108" s="455">
        <f t="array" ref="J1108">IFERROR(INDEX('Retirement Calculator'!J:J,MATCH('Isaac 401k'!N1108,'Retirement Calculator'!A:A,0),0),0)</f>
        <v>7863.2184191855868</v>
      </c>
      <c r="K1108" s="455">
        <f t="shared" ca="1" si="105"/>
        <v>-67065.957350787503</v>
      </c>
      <c r="L1108" s="455">
        <f t="shared" ca="1" si="106"/>
        <v>-16162895.721539786</v>
      </c>
      <c r="M1108" s="471">
        <f t="shared" si="109"/>
        <v>0.05</v>
      </c>
      <c r="N1108" s="475">
        <f t="shared" si="110"/>
        <v>84769</v>
      </c>
    </row>
    <row r="1109" spans="7:14" ht="11.25" customHeight="1" x14ac:dyDescent="0.3">
      <c r="G1109" s="470">
        <f t="shared" si="116"/>
        <v>92</v>
      </c>
      <c r="H1109" s="470">
        <v>1102</v>
      </c>
      <c r="I1109" s="455">
        <f t="shared" ca="1" si="108"/>
        <v>-16162895.721539786</v>
      </c>
      <c r="J1109" s="455">
        <f t="array" ref="J1109">IFERROR(INDEX('Retirement Calculator'!J:J,MATCH('Isaac 401k'!N1109,'Retirement Calculator'!A:A,0),0),0)</f>
        <v>7863.2184191855868</v>
      </c>
      <c r="K1109" s="455">
        <f t="shared" ca="1" si="105"/>
        <v>-67378.162249829038</v>
      </c>
      <c r="L1109" s="455">
        <f t="shared" ca="1" si="106"/>
        <v>-16238137.102208801</v>
      </c>
      <c r="M1109" s="471">
        <f t="shared" si="109"/>
        <v>0.05</v>
      </c>
      <c r="N1109" s="475">
        <f t="shared" si="110"/>
        <v>84798</v>
      </c>
    </row>
    <row r="1110" spans="7:14" ht="11.25" customHeight="1" x14ac:dyDescent="0.3">
      <c r="G1110" s="470">
        <f t="shared" si="116"/>
        <v>92</v>
      </c>
      <c r="H1110" s="470">
        <v>1103</v>
      </c>
      <c r="I1110" s="455">
        <f t="shared" ca="1" si="108"/>
        <v>-16238137.102208801</v>
      </c>
      <c r="J1110" s="455">
        <f t="array" ref="J1110">IFERROR(INDEX('Retirement Calculator'!J:J,MATCH('Isaac 401k'!N1110,'Retirement Calculator'!A:A,0),0),0)</f>
        <v>7863.2184191855868</v>
      </c>
      <c r="K1110" s="455">
        <f t="shared" ca="1" si="105"/>
        <v>-67691.6680026166</v>
      </c>
      <c r="L1110" s="455">
        <f t="shared" ca="1" si="106"/>
        <v>-16313691.988630602</v>
      </c>
      <c r="M1110" s="471">
        <f t="shared" si="109"/>
        <v>0.05</v>
      </c>
      <c r="N1110" s="475">
        <f t="shared" si="110"/>
        <v>84829</v>
      </c>
    </row>
    <row r="1111" spans="7:14" ht="11.25" customHeight="1" x14ac:dyDescent="0.3">
      <c r="G1111" s="470">
        <f t="shared" si="116"/>
        <v>92</v>
      </c>
      <c r="H1111" s="470">
        <v>1104</v>
      </c>
      <c r="I1111" s="455">
        <f t="shared" ca="1" si="108"/>
        <v>-16313691.988630602</v>
      </c>
      <c r="J1111" s="455">
        <f t="array" ref="J1111">IFERROR(INDEX('Retirement Calculator'!J:J,MATCH('Isaac 401k'!N1111,'Retirement Calculator'!A:A,0),0),0)</f>
        <v>7863.2184191855868</v>
      </c>
      <c r="K1111" s="455">
        <f t="shared" ca="1" si="105"/>
        <v>-68006.480029374114</v>
      </c>
      <c r="L1111" s="455">
        <f t="shared" ca="1" si="106"/>
        <v>-16389561.687079161</v>
      </c>
      <c r="M1111" s="471">
        <f t="shared" si="109"/>
        <v>0.05</v>
      </c>
      <c r="N1111" s="475">
        <f t="shared" si="110"/>
        <v>84859</v>
      </c>
    </row>
    <row r="1112" spans="7:14" ht="11.25" customHeight="1" x14ac:dyDescent="0.3">
      <c r="G1112" s="470">
        <f>G1111+1</f>
        <v>93</v>
      </c>
      <c r="H1112" s="470">
        <v>1105</v>
      </c>
      <c r="I1112" s="455">
        <f t="shared" ca="1" si="108"/>
        <v>-16389561.687079161</v>
      </c>
      <c r="J1112" s="455">
        <f t="array" ref="J1112">IFERROR(INDEX('Retirement Calculator'!J:J,MATCH('Isaac 401k'!N1112,'Retirement Calculator'!A:A,0),0),0)</f>
        <v>7863.2184191855868</v>
      </c>
      <c r="K1112" s="455">
        <f t="shared" ca="1" si="105"/>
        <v>-68322.603772909788</v>
      </c>
      <c r="L1112" s="455">
        <f t="shared" ca="1" si="106"/>
        <v>-16465747.509271257</v>
      </c>
      <c r="M1112" s="471">
        <f t="shared" si="109"/>
        <v>0.05</v>
      </c>
      <c r="N1112" s="475">
        <f t="shared" si="110"/>
        <v>84890</v>
      </c>
    </row>
    <row r="1113" spans="7:14" ht="11.25" customHeight="1" x14ac:dyDescent="0.3">
      <c r="G1113" s="470">
        <f t="shared" ref="G1113:G1123" si="117">G1112</f>
        <v>93</v>
      </c>
      <c r="H1113" s="470">
        <v>1106</v>
      </c>
      <c r="I1113" s="455">
        <f t="shared" ca="1" si="108"/>
        <v>-16465747.509271257</v>
      </c>
      <c r="J1113" s="455">
        <f t="array" ref="J1113">IFERROR(INDEX('Retirement Calculator'!J:J,MATCH('Isaac 401k'!N1113,'Retirement Calculator'!A:A,0),0),0)</f>
        <v>7863.2184191855868</v>
      </c>
      <c r="K1113" s="455">
        <f t="shared" ca="1" si="105"/>
        <v>-68640.044698710175</v>
      </c>
      <c r="L1113" s="455">
        <f t="shared" ca="1" si="106"/>
        <v>-16542250.772389151</v>
      </c>
      <c r="M1113" s="471">
        <f t="shared" si="109"/>
        <v>0.05</v>
      </c>
      <c r="N1113" s="475">
        <f t="shared" si="110"/>
        <v>84920</v>
      </c>
    </row>
    <row r="1114" spans="7:14" ht="11.25" customHeight="1" x14ac:dyDescent="0.3">
      <c r="G1114" s="470">
        <f t="shared" si="117"/>
        <v>93</v>
      </c>
      <c r="H1114" s="470">
        <v>1107</v>
      </c>
      <c r="I1114" s="455">
        <f t="shared" ca="1" si="108"/>
        <v>-16542250.772389151</v>
      </c>
      <c r="J1114" s="455">
        <f t="array" ref="J1114">IFERROR(INDEX('Retirement Calculator'!J:J,MATCH('Isaac 401k'!N1114,'Retirement Calculator'!A:A,0),0),0)</f>
        <v>7863.2184191855868</v>
      </c>
      <c r="K1114" s="455">
        <f t="shared" ca="1" si="105"/>
        <v>-68958.808295034731</v>
      </c>
      <c r="L1114" s="455">
        <f t="shared" ca="1" si="106"/>
        <v>-16619072.79910337</v>
      </c>
      <c r="M1114" s="471">
        <f t="shared" si="109"/>
        <v>0.05</v>
      </c>
      <c r="N1114" s="475">
        <f t="shared" si="110"/>
        <v>84951</v>
      </c>
    </row>
    <row r="1115" spans="7:14" ht="11.25" customHeight="1" x14ac:dyDescent="0.3">
      <c r="G1115" s="470">
        <f t="shared" si="117"/>
        <v>93</v>
      </c>
      <c r="H1115" s="470">
        <v>1108</v>
      </c>
      <c r="I1115" s="455">
        <f t="shared" ca="1" si="108"/>
        <v>-16619072.79910337</v>
      </c>
      <c r="J1115" s="455">
        <f t="array" ref="J1115">IFERROR(INDEX('Retirement Calculator'!J:J,MATCH('Isaac 401k'!N1115,'Retirement Calculator'!A:A,0),0),0)</f>
        <v>7863.2184191855868</v>
      </c>
      <c r="K1115" s="455">
        <f t="shared" ca="1" si="105"/>
        <v>-69278.900073010649</v>
      </c>
      <c r="L1115" s="455">
        <f t="shared" ca="1" si="106"/>
        <v>-16696214.917595565</v>
      </c>
      <c r="M1115" s="471">
        <f t="shared" si="109"/>
        <v>0.05</v>
      </c>
      <c r="N1115" s="475">
        <f t="shared" si="110"/>
        <v>84982</v>
      </c>
    </row>
    <row r="1116" spans="7:14" ht="11.25" customHeight="1" x14ac:dyDescent="0.3">
      <c r="G1116" s="470">
        <f t="shared" si="117"/>
        <v>93</v>
      </c>
      <c r="H1116" s="470">
        <v>1109</v>
      </c>
      <c r="I1116" s="455">
        <f t="shared" ca="1" si="108"/>
        <v>-16696214.917595565</v>
      </c>
      <c r="J1116" s="455">
        <f t="array" ref="J1116">IFERROR(INDEX('Retirement Calculator'!J:J,MATCH('Isaac 401k'!N1116,'Retirement Calculator'!A:A,0),0),0)</f>
        <v>7863.2184191855868</v>
      </c>
      <c r="K1116" s="455">
        <f t="shared" ca="1" si="105"/>
        <v>-69600.325566728119</v>
      </c>
      <c r="L1116" s="455">
        <f t="shared" ca="1" si="106"/>
        <v>-16773678.461581478</v>
      </c>
      <c r="M1116" s="471">
        <f t="shared" si="109"/>
        <v>0.05</v>
      </c>
      <c r="N1116" s="475">
        <f t="shared" si="110"/>
        <v>85012</v>
      </c>
    </row>
    <row r="1117" spans="7:14" ht="11.25" customHeight="1" x14ac:dyDescent="0.3">
      <c r="G1117" s="470">
        <f t="shared" si="117"/>
        <v>93</v>
      </c>
      <c r="H1117" s="470">
        <v>1110</v>
      </c>
      <c r="I1117" s="455">
        <f t="shared" ca="1" si="108"/>
        <v>-16773678.461581478</v>
      </c>
      <c r="J1117" s="455">
        <f t="array" ref="J1117">IFERROR(INDEX('Retirement Calculator'!J:J,MATCH('Isaac 401k'!N1117,'Retirement Calculator'!A:A,0),0),0)</f>
        <v>7863.2184191855868</v>
      </c>
      <c r="K1117" s="455">
        <f t="shared" ca="1" si="105"/>
        <v>-69923.090333336091</v>
      </c>
      <c r="L1117" s="455">
        <f t="shared" ca="1" si="106"/>
        <v>-16851464.770333998</v>
      </c>
      <c r="M1117" s="471">
        <f t="shared" si="109"/>
        <v>0.05</v>
      </c>
      <c r="N1117" s="475">
        <f t="shared" si="110"/>
        <v>85043</v>
      </c>
    </row>
    <row r="1118" spans="7:14" ht="11.25" customHeight="1" x14ac:dyDescent="0.3">
      <c r="G1118" s="470">
        <f t="shared" si="117"/>
        <v>93</v>
      </c>
      <c r="H1118" s="470">
        <v>1111</v>
      </c>
      <c r="I1118" s="455">
        <f t="shared" ca="1" si="108"/>
        <v>-16851464.770333998</v>
      </c>
      <c r="J1118" s="455">
        <f t="array" ref="J1118">IFERROR(INDEX('Retirement Calculator'!J:J,MATCH('Isaac 401k'!N1118,'Retirement Calculator'!A:A,0),0),0)</f>
        <v>7863.2184191855868</v>
      </c>
      <c r="K1118" s="455">
        <f t="shared" ca="1" si="105"/>
        <v>-70247.199953138275</v>
      </c>
      <c r="L1118" s="455">
        <f t="shared" ca="1" si="106"/>
        <v>-16929575.188706324</v>
      </c>
      <c r="M1118" s="471">
        <f t="shared" si="109"/>
        <v>0.05</v>
      </c>
      <c r="N1118" s="475">
        <f t="shared" si="110"/>
        <v>85073</v>
      </c>
    </row>
    <row r="1119" spans="7:14" ht="11.25" customHeight="1" x14ac:dyDescent="0.3">
      <c r="G1119" s="470">
        <f t="shared" si="117"/>
        <v>93</v>
      </c>
      <c r="H1119" s="470">
        <v>1112</v>
      </c>
      <c r="I1119" s="455">
        <f t="shared" ca="1" si="108"/>
        <v>-16929575.188706324</v>
      </c>
      <c r="J1119" s="455">
        <f t="array" ref="J1119">IFERROR(INDEX('Retirement Calculator'!J:J,MATCH('Isaac 401k'!N1119,'Retirement Calculator'!A:A,0),0),0)</f>
        <v>7863.2184191855868</v>
      </c>
      <c r="K1119" s="455">
        <f t="shared" ca="1" si="105"/>
        <v>-70572.660029689621</v>
      </c>
      <c r="L1119" s="455">
        <f t="shared" ca="1" si="106"/>
        <v>-17008011.067155201</v>
      </c>
      <c r="M1119" s="471">
        <f t="shared" si="109"/>
        <v>0.05</v>
      </c>
      <c r="N1119" s="475">
        <f t="shared" si="110"/>
        <v>85104</v>
      </c>
    </row>
    <row r="1120" spans="7:14" ht="11.25" customHeight="1" x14ac:dyDescent="0.3">
      <c r="G1120" s="470">
        <f t="shared" si="117"/>
        <v>93</v>
      </c>
      <c r="H1120" s="470">
        <v>1113</v>
      </c>
      <c r="I1120" s="455">
        <f t="shared" ca="1" si="108"/>
        <v>-17008011.067155201</v>
      </c>
      <c r="J1120" s="455">
        <f t="array" ref="J1120">IFERROR(INDEX('Retirement Calculator'!J:J,MATCH('Isaac 401k'!N1120,'Retirement Calculator'!A:A,0),0),0)</f>
        <v>7863.2184191855868</v>
      </c>
      <c r="K1120" s="455">
        <f t="shared" ca="1" si="105"/>
        <v>-70899.476189893277</v>
      </c>
      <c r="L1120" s="455">
        <f t="shared" ca="1" si="106"/>
        <v>-17086773.76176428</v>
      </c>
      <c r="M1120" s="471">
        <f t="shared" si="109"/>
        <v>0.05</v>
      </c>
      <c r="N1120" s="475">
        <f t="shared" si="110"/>
        <v>85135</v>
      </c>
    </row>
    <row r="1121" spans="7:14" ht="11.25" customHeight="1" x14ac:dyDescent="0.3">
      <c r="G1121" s="470">
        <f t="shared" si="117"/>
        <v>93</v>
      </c>
      <c r="H1121" s="470">
        <v>1114</v>
      </c>
      <c r="I1121" s="455">
        <f t="shared" ca="1" si="108"/>
        <v>-17086773.76176428</v>
      </c>
      <c r="J1121" s="455">
        <f t="array" ref="J1121">IFERROR(INDEX('Retirement Calculator'!J:J,MATCH('Isaac 401k'!N1121,'Retirement Calculator'!A:A,0),0),0)</f>
        <v>7863.2184191855868</v>
      </c>
      <c r="K1121" s="455">
        <f t="shared" ca="1" si="105"/>
        <v>-71227.654084097783</v>
      </c>
      <c r="L1121" s="455">
        <f t="shared" ca="1" si="106"/>
        <v>-17165864.634267565</v>
      </c>
      <c r="M1121" s="471">
        <f t="shared" si="109"/>
        <v>0.05</v>
      </c>
      <c r="N1121" s="475">
        <f t="shared" si="110"/>
        <v>85163</v>
      </c>
    </row>
    <row r="1122" spans="7:14" ht="11.25" customHeight="1" x14ac:dyDescent="0.3">
      <c r="G1122" s="470">
        <f t="shared" si="117"/>
        <v>93</v>
      </c>
      <c r="H1122" s="470">
        <v>1115</v>
      </c>
      <c r="I1122" s="455">
        <f t="shared" ca="1" si="108"/>
        <v>-17165864.634267565</v>
      </c>
      <c r="J1122" s="455">
        <f t="array" ref="J1122">IFERROR(INDEX('Retirement Calculator'!J:J,MATCH('Isaac 401k'!N1122,'Retirement Calculator'!A:A,0),0),0)</f>
        <v>7863.2184191855868</v>
      </c>
      <c r="K1122" s="455">
        <f t="shared" ca="1" si="105"/>
        <v>-71557.199386194799</v>
      </c>
      <c r="L1122" s="455">
        <f t="shared" ca="1" si="106"/>
        <v>-17245285.052072946</v>
      </c>
      <c r="M1122" s="471">
        <f t="shared" si="109"/>
        <v>0.05</v>
      </c>
      <c r="N1122" s="475">
        <f t="shared" si="110"/>
        <v>85194</v>
      </c>
    </row>
    <row r="1123" spans="7:14" ht="11.25" customHeight="1" x14ac:dyDescent="0.3">
      <c r="G1123" s="470">
        <f t="shared" si="117"/>
        <v>93</v>
      </c>
      <c r="H1123" s="470">
        <v>1116</v>
      </c>
      <c r="I1123" s="455">
        <f t="shared" ca="1" si="108"/>
        <v>-17245285.052072946</v>
      </c>
      <c r="J1123" s="455">
        <f t="array" ref="J1123">IFERROR(INDEX('Retirement Calculator'!J:J,MATCH('Isaac 401k'!N1123,'Retirement Calculator'!A:A,0),0),0)</f>
        <v>7863.2184191855868</v>
      </c>
      <c r="K1123" s="455">
        <f t="shared" ca="1" si="105"/>
        <v>-71888.117793717218</v>
      </c>
      <c r="L1123" s="455">
        <f t="shared" ca="1" si="106"/>
        <v>-17325036.388285849</v>
      </c>
      <c r="M1123" s="471">
        <f t="shared" si="109"/>
        <v>0.05</v>
      </c>
      <c r="N1123" s="475">
        <f t="shared" si="110"/>
        <v>85224</v>
      </c>
    </row>
    <row r="1124" spans="7:14" ht="11.25" customHeight="1" x14ac:dyDescent="0.3">
      <c r="G1124" s="470">
        <f>G1123+1</f>
        <v>94</v>
      </c>
      <c r="H1124" s="470">
        <v>1117</v>
      </c>
      <c r="I1124" s="455">
        <f t="shared" ca="1" si="108"/>
        <v>-17325036.388285849</v>
      </c>
      <c r="J1124" s="455">
        <f t="array" ref="J1124">IFERROR(INDEX('Retirement Calculator'!J:J,MATCH('Isaac 401k'!N1124,'Retirement Calculator'!A:A,0),0),0)</f>
        <v>7863.2184191855868</v>
      </c>
      <c r="K1124" s="455">
        <f t="shared" ca="1" si="105"/>
        <v>-72220.415027937648</v>
      </c>
      <c r="L1124" s="455">
        <f t="shared" ca="1" si="106"/>
        <v>-17405120.021732975</v>
      </c>
      <c r="M1124" s="471">
        <f t="shared" si="109"/>
        <v>0.05</v>
      </c>
      <c r="N1124" s="475">
        <f t="shared" si="110"/>
        <v>85255</v>
      </c>
    </row>
    <row r="1125" spans="7:14" ht="11.25" customHeight="1" x14ac:dyDescent="0.3">
      <c r="G1125" s="470">
        <f t="shared" ref="G1125:G1135" si="118">G1124</f>
        <v>94</v>
      </c>
      <c r="H1125" s="470">
        <v>1118</v>
      </c>
      <c r="I1125" s="455">
        <f t="shared" ca="1" si="108"/>
        <v>-17405120.021732975</v>
      </c>
      <c r="J1125" s="455">
        <f t="array" ref="J1125">IFERROR(INDEX('Retirement Calculator'!J:J,MATCH('Isaac 401k'!N1125,'Retirement Calculator'!A:A,0),0),0)</f>
        <v>7863.2184191855868</v>
      </c>
      <c r="K1125" s="455">
        <f t="shared" ca="1" si="105"/>
        <v>-72554.096833967342</v>
      </c>
      <c r="L1125" s="455">
        <f t="shared" ca="1" si="106"/>
        <v>-17485537.336986128</v>
      </c>
      <c r="M1125" s="471">
        <f t="shared" si="109"/>
        <v>0.05</v>
      </c>
      <c r="N1125" s="475">
        <f t="shared" si="110"/>
        <v>85285</v>
      </c>
    </row>
    <row r="1126" spans="7:14" ht="11.25" customHeight="1" x14ac:dyDescent="0.3">
      <c r="G1126" s="470">
        <f t="shared" si="118"/>
        <v>94</v>
      </c>
      <c r="H1126" s="470">
        <v>1119</v>
      </c>
      <c r="I1126" s="455">
        <f t="shared" ca="1" si="108"/>
        <v>-17485537.336986128</v>
      </c>
      <c r="J1126" s="455">
        <f t="array" ref="J1126">IFERROR(INDEX('Retirement Calculator'!J:J,MATCH('Isaac 401k'!N1126,'Retirement Calculator'!A:A,0),0),0)</f>
        <v>7863.2184191855868</v>
      </c>
      <c r="K1126" s="455">
        <f t="shared" ca="1" si="105"/>
        <v>-72889.16898085548</v>
      </c>
      <c r="L1126" s="455">
        <f t="shared" ca="1" si="106"/>
        <v>-17566289.724386171</v>
      </c>
      <c r="M1126" s="471">
        <f t="shared" si="109"/>
        <v>0.05</v>
      </c>
      <c r="N1126" s="475">
        <f t="shared" si="110"/>
        <v>85316</v>
      </c>
    </row>
    <row r="1127" spans="7:14" ht="11.25" customHeight="1" x14ac:dyDescent="0.3">
      <c r="G1127" s="470">
        <f t="shared" si="118"/>
        <v>94</v>
      </c>
      <c r="H1127" s="470">
        <v>1120</v>
      </c>
      <c r="I1127" s="455">
        <f t="shared" ca="1" si="108"/>
        <v>-17566289.724386171</v>
      </c>
      <c r="J1127" s="455">
        <f t="array" ref="J1127">IFERROR(INDEX('Retirement Calculator'!J:J,MATCH('Isaac 401k'!N1127,'Retirement Calculator'!A:A,0),0),0)</f>
        <v>7863.2184191855868</v>
      </c>
      <c r="K1127" s="455">
        <f t="shared" ca="1" si="105"/>
        <v>-73225.637261688986</v>
      </c>
      <c r="L1127" s="455">
        <f t="shared" ca="1" si="106"/>
        <v>-17647378.580067046</v>
      </c>
      <c r="M1127" s="471">
        <f t="shared" si="109"/>
        <v>0.05</v>
      </c>
      <c r="N1127" s="475">
        <f t="shared" si="110"/>
        <v>85347</v>
      </c>
    </row>
    <row r="1128" spans="7:14" ht="11.25" customHeight="1" x14ac:dyDescent="0.3">
      <c r="G1128" s="470">
        <f t="shared" si="118"/>
        <v>94</v>
      </c>
      <c r="H1128" s="470">
        <v>1121</v>
      </c>
      <c r="I1128" s="455">
        <f t="shared" ca="1" si="108"/>
        <v>-17647378.580067046</v>
      </c>
      <c r="J1128" s="455">
        <f t="array" ref="J1128">IFERROR(INDEX('Retirement Calculator'!J:J,MATCH('Isaac 401k'!N1128,'Retirement Calculator'!A:A,0),0),0)</f>
        <v>7863.2184191855868</v>
      </c>
      <c r="K1128" s="455">
        <f t="shared" ca="1" si="105"/>
        <v>-73563.507493692639</v>
      </c>
      <c r="L1128" s="455">
        <f t="shared" ca="1" si="106"/>
        <v>-17728805.305979926</v>
      </c>
      <c r="M1128" s="471">
        <f t="shared" si="109"/>
        <v>0.05</v>
      </c>
      <c r="N1128" s="475">
        <f t="shared" si="110"/>
        <v>85377</v>
      </c>
    </row>
    <row r="1129" spans="7:14" ht="11.25" customHeight="1" x14ac:dyDescent="0.3">
      <c r="G1129" s="470">
        <f t="shared" si="118"/>
        <v>94</v>
      </c>
      <c r="H1129" s="470">
        <v>1122</v>
      </c>
      <c r="I1129" s="455">
        <f t="shared" ca="1" si="108"/>
        <v>-17728805.305979926</v>
      </c>
      <c r="J1129" s="455">
        <f t="array" ref="J1129">IFERROR(INDEX('Retirement Calculator'!J:J,MATCH('Isaac 401k'!N1129,'Retirement Calculator'!A:A,0),0),0)</f>
        <v>7863.2184191855868</v>
      </c>
      <c r="K1129" s="455">
        <f t="shared" ca="1" si="105"/>
        <v>-73902.785518329634</v>
      </c>
      <c r="L1129" s="455">
        <f t="shared" ca="1" si="106"/>
        <v>-17810571.309917443</v>
      </c>
      <c r="M1129" s="471">
        <f t="shared" si="109"/>
        <v>0.05</v>
      </c>
      <c r="N1129" s="475">
        <f t="shared" si="110"/>
        <v>85408</v>
      </c>
    </row>
    <row r="1130" spans="7:14" ht="11.25" customHeight="1" x14ac:dyDescent="0.3">
      <c r="G1130" s="470">
        <f t="shared" si="118"/>
        <v>94</v>
      </c>
      <c r="H1130" s="470">
        <v>1123</v>
      </c>
      <c r="I1130" s="455">
        <f t="shared" ca="1" si="108"/>
        <v>-17810571.309917443</v>
      </c>
      <c r="J1130" s="455">
        <f t="array" ref="J1130">IFERROR(INDEX('Retirement Calculator'!J:J,MATCH('Isaac 401k'!N1130,'Retirement Calculator'!A:A,0),0),0)</f>
        <v>7863.2184191855868</v>
      </c>
      <c r="K1130" s="455">
        <f t="shared" ca="1" si="105"/>
        <v>-74243.477201402624</v>
      </c>
      <c r="L1130" s="455">
        <f t="shared" ca="1" si="106"/>
        <v>-17892678.005538031</v>
      </c>
      <c r="M1130" s="471">
        <f t="shared" si="109"/>
        <v>0.05</v>
      </c>
      <c r="N1130" s="475">
        <f t="shared" si="110"/>
        <v>85438</v>
      </c>
    </row>
    <row r="1131" spans="7:14" ht="11.25" customHeight="1" x14ac:dyDescent="0.3">
      <c r="G1131" s="470">
        <f t="shared" si="118"/>
        <v>94</v>
      </c>
      <c r="H1131" s="470">
        <v>1124</v>
      </c>
      <c r="I1131" s="455">
        <f t="shared" ca="1" si="108"/>
        <v>-17892678.005538031</v>
      </c>
      <c r="J1131" s="455">
        <f t="array" ref="J1131">IFERROR(INDEX('Retirement Calculator'!J:J,MATCH('Isaac 401k'!N1131,'Retirement Calculator'!A:A,0),0),0)</f>
        <v>7863.2184191855868</v>
      </c>
      <c r="K1131" s="455">
        <f t="shared" ca="1" si="105"/>
        <v>-74585.588433155077</v>
      </c>
      <c r="L1131" s="455">
        <f t="shared" ca="1" si="106"/>
        <v>-17975126.812390372</v>
      </c>
      <c r="M1131" s="471">
        <f t="shared" si="109"/>
        <v>0.05</v>
      </c>
      <c r="N1131" s="475">
        <f t="shared" si="110"/>
        <v>85469</v>
      </c>
    </row>
    <row r="1132" spans="7:14" ht="11.25" customHeight="1" x14ac:dyDescent="0.3">
      <c r="G1132" s="470">
        <f t="shared" si="118"/>
        <v>94</v>
      </c>
      <c r="H1132" s="470">
        <v>1125</v>
      </c>
      <c r="I1132" s="455">
        <f t="shared" ca="1" si="108"/>
        <v>-17975126.812390372</v>
      </c>
      <c r="J1132" s="455">
        <f t="array" ref="J1132">IFERROR(INDEX('Retirement Calculator'!J:J,MATCH('Isaac 401k'!N1132,'Retirement Calculator'!A:A,0),0),0)</f>
        <v>7863.2184191855868</v>
      </c>
      <c r="K1132" s="455">
        <f t="shared" ca="1" si="105"/>
        <v>-74929.125128373154</v>
      </c>
      <c r="L1132" s="455">
        <f t="shared" ca="1" si="106"/>
        <v>-18057919.155937932</v>
      </c>
      <c r="M1132" s="471">
        <f t="shared" si="109"/>
        <v>0.05</v>
      </c>
      <c r="N1132" s="475">
        <f t="shared" si="110"/>
        <v>85500</v>
      </c>
    </row>
    <row r="1133" spans="7:14" ht="11.25" customHeight="1" x14ac:dyDescent="0.3">
      <c r="G1133" s="470">
        <f t="shared" si="118"/>
        <v>94</v>
      </c>
      <c r="H1133" s="470">
        <v>1126</v>
      </c>
      <c r="I1133" s="455">
        <f t="shared" ca="1" si="108"/>
        <v>-18057919.155937932</v>
      </c>
      <c r="J1133" s="455">
        <f t="array" ref="J1133">IFERROR(INDEX('Retirement Calculator'!J:J,MATCH('Isaac 401k'!N1133,'Retirement Calculator'!A:A,0),0),0)</f>
        <v>7863.2184191855868</v>
      </c>
      <c r="K1133" s="455">
        <f t="shared" ca="1" si="105"/>
        <v>-75274.093226487996</v>
      </c>
      <c r="L1133" s="455">
        <f t="shared" ca="1" si="106"/>
        <v>-18141056.467583608</v>
      </c>
      <c r="M1133" s="471">
        <f t="shared" si="109"/>
        <v>0.05</v>
      </c>
      <c r="N1133" s="475">
        <f t="shared" si="110"/>
        <v>85528</v>
      </c>
    </row>
    <row r="1134" spans="7:14" ht="11.25" customHeight="1" x14ac:dyDescent="0.3">
      <c r="G1134" s="470">
        <f t="shared" si="118"/>
        <v>94</v>
      </c>
      <c r="H1134" s="470">
        <v>1127</v>
      </c>
      <c r="I1134" s="455">
        <f t="shared" ca="1" si="108"/>
        <v>-18141056.467583608</v>
      </c>
      <c r="J1134" s="455">
        <f t="array" ref="J1134">IFERROR(INDEX('Retirement Calculator'!J:J,MATCH('Isaac 401k'!N1134,'Retirement Calculator'!A:A,0),0),0)</f>
        <v>7863.2184191855868</v>
      </c>
      <c r="K1134" s="455">
        <f t="shared" ca="1" si="105"/>
        <v>-75620.498691678309</v>
      </c>
      <c r="L1134" s="455">
        <f t="shared" ca="1" si="106"/>
        <v>-18224540.184694473</v>
      </c>
      <c r="M1134" s="471">
        <f t="shared" si="109"/>
        <v>0.05</v>
      </c>
      <c r="N1134" s="475">
        <f t="shared" si="110"/>
        <v>85559</v>
      </c>
    </row>
    <row r="1135" spans="7:14" ht="11.25" customHeight="1" x14ac:dyDescent="0.3">
      <c r="G1135" s="470">
        <f t="shared" si="118"/>
        <v>94</v>
      </c>
      <c r="H1135" s="470">
        <v>1128</v>
      </c>
      <c r="I1135" s="455">
        <f t="shared" ca="1" si="108"/>
        <v>-18224540.184694473</v>
      </c>
      <c r="J1135" s="455">
        <f t="array" ref="J1135">IFERROR(INDEX('Retirement Calculator'!J:J,MATCH('Isaac 401k'!N1135,'Retirement Calculator'!A:A,0),0),0)</f>
        <v>7863.2184191855868</v>
      </c>
      <c r="K1135" s="455">
        <f t="shared" ca="1" si="105"/>
        <v>-75968.347512973574</v>
      </c>
      <c r="L1135" s="455">
        <f t="shared" ca="1" si="106"/>
        <v>-18308371.750626635</v>
      </c>
      <c r="M1135" s="471">
        <f t="shared" si="109"/>
        <v>0.05</v>
      </c>
      <c r="N1135" s="475">
        <f t="shared" si="110"/>
        <v>85589</v>
      </c>
    </row>
    <row r="1136" spans="7:14" ht="11.25" customHeight="1" x14ac:dyDescent="0.3">
      <c r="G1136" s="470">
        <f>G1135+1</f>
        <v>95</v>
      </c>
      <c r="H1136" s="470">
        <v>1129</v>
      </c>
      <c r="I1136" s="455">
        <f t="shared" ca="1" si="108"/>
        <v>-18308371.750626635</v>
      </c>
      <c r="J1136" s="455">
        <f t="array" ref="J1136">IFERROR(INDEX('Retirement Calculator'!J:J,MATCH('Isaac 401k'!N1136,'Retirement Calculator'!A:A,0),0),0)</f>
        <v>7863.2184191855868</v>
      </c>
      <c r="K1136" s="455">
        <f t="shared" ca="1" si="105"/>
        <v>-76317.645704357594</v>
      </c>
      <c r="L1136" s="455">
        <f t="shared" ca="1" si="106"/>
        <v>-18392552.61475018</v>
      </c>
      <c r="M1136" s="471">
        <f t="shared" si="109"/>
        <v>0.05</v>
      </c>
      <c r="N1136" s="475">
        <f t="shared" si="110"/>
        <v>85620</v>
      </c>
    </row>
    <row r="1137" spans="7:14" ht="11.25" customHeight="1" x14ac:dyDescent="0.3">
      <c r="G1137" s="470">
        <f t="shared" ref="G1137:G1147" si="119">G1136</f>
        <v>95</v>
      </c>
      <c r="H1137" s="470">
        <v>1130</v>
      </c>
      <c r="I1137" s="455">
        <f t="shared" ca="1" si="108"/>
        <v>-18392552.61475018</v>
      </c>
      <c r="J1137" s="455">
        <f t="array" ref="J1137">IFERROR(INDEX('Retirement Calculator'!J:J,MATCH('Isaac 401k'!N1137,'Retirement Calculator'!A:A,0),0),0)</f>
        <v>7863.2184191855868</v>
      </c>
      <c r="K1137" s="455">
        <f t="shared" ca="1" si="105"/>
        <v>-76668.399304872364</v>
      </c>
      <c r="L1137" s="455">
        <f t="shared" ca="1" si="106"/>
        <v>-18477084.232474238</v>
      </c>
      <c r="M1137" s="471">
        <f t="shared" si="109"/>
        <v>0.05</v>
      </c>
      <c r="N1137" s="475">
        <f t="shared" si="110"/>
        <v>85650</v>
      </c>
    </row>
    <row r="1138" spans="7:14" ht="11.25" customHeight="1" x14ac:dyDescent="0.3">
      <c r="G1138" s="470">
        <f t="shared" si="119"/>
        <v>95</v>
      </c>
      <c r="H1138" s="470">
        <v>1131</v>
      </c>
      <c r="I1138" s="455">
        <f t="shared" ca="1" si="108"/>
        <v>-18477084.232474238</v>
      </c>
      <c r="J1138" s="455">
        <f t="array" ref="J1138">IFERROR(INDEX('Retirement Calculator'!J:J,MATCH('Isaac 401k'!N1138,'Retirement Calculator'!A:A,0),0),0)</f>
        <v>7863.2184191855868</v>
      </c>
      <c r="K1138" s="455">
        <f t="shared" ca="1" si="105"/>
        <v>-77020.614378722603</v>
      </c>
      <c r="L1138" s="455">
        <f t="shared" ca="1" si="106"/>
        <v>-18561968.065272149</v>
      </c>
      <c r="M1138" s="471">
        <f t="shared" si="109"/>
        <v>0.05</v>
      </c>
      <c r="N1138" s="475">
        <f t="shared" si="110"/>
        <v>85681</v>
      </c>
    </row>
    <row r="1139" spans="7:14" ht="11.25" customHeight="1" x14ac:dyDescent="0.3">
      <c r="G1139" s="470">
        <f t="shared" si="119"/>
        <v>95</v>
      </c>
      <c r="H1139" s="470">
        <v>1132</v>
      </c>
      <c r="I1139" s="455">
        <f t="shared" ca="1" si="108"/>
        <v>-18561968.065272149</v>
      </c>
      <c r="J1139" s="455">
        <f t="array" ref="J1139">IFERROR(INDEX('Retirement Calculator'!J:J,MATCH('Isaac 401k'!N1139,'Retirement Calculator'!A:A,0),0),0)</f>
        <v>7863.2184191855868</v>
      </c>
      <c r="K1139" s="455">
        <f t="shared" ca="1" si="105"/>
        <v>-77374.297015380565</v>
      </c>
      <c r="L1139" s="455">
        <f t="shared" ca="1" si="106"/>
        <v>-18647205.580706716</v>
      </c>
      <c r="M1139" s="471">
        <f t="shared" si="109"/>
        <v>0.05</v>
      </c>
      <c r="N1139" s="475">
        <f t="shared" si="110"/>
        <v>85712</v>
      </c>
    </row>
    <row r="1140" spans="7:14" ht="11.25" customHeight="1" x14ac:dyDescent="0.3">
      <c r="G1140" s="470">
        <f t="shared" si="119"/>
        <v>95</v>
      </c>
      <c r="H1140" s="470">
        <v>1133</v>
      </c>
      <c r="I1140" s="455">
        <f t="shared" ca="1" si="108"/>
        <v>-18647205.580706716</v>
      </c>
      <c r="J1140" s="455">
        <f t="array" ref="J1140">IFERROR(INDEX('Retirement Calculator'!J:J,MATCH('Isaac 401k'!N1140,'Retirement Calculator'!A:A,0),0),0)</f>
        <v>7863.2184191855868</v>
      </c>
      <c r="K1140" s="455">
        <f t="shared" ca="1" si="105"/>
        <v>-77729.453329691256</v>
      </c>
      <c r="L1140" s="455">
        <f t="shared" ca="1" si="106"/>
        <v>-18732798.252455592</v>
      </c>
      <c r="M1140" s="471">
        <f t="shared" si="109"/>
        <v>0.05</v>
      </c>
      <c r="N1140" s="475">
        <f t="shared" si="110"/>
        <v>85742</v>
      </c>
    </row>
    <row r="1141" spans="7:14" ht="11.25" customHeight="1" x14ac:dyDescent="0.3">
      <c r="G1141" s="470">
        <f t="shared" si="119"/>
        <v>95</v>
      </c>
      <c r="H1141" s="470">
        <v>1134</v>
      </c>
      <c r="I1141" s="455">
        <f t="shared" ca="1" si="108"/>
        <v>-18732798.252455592</v>
      </c>
      <c r="J1141" s="455">
        <f t="array" ref="J1141">IFERROR(INDEX('Retirement Calculator'!J:J,MATCH('Isaac 401k'!N1141,'Retirement Calculator'!A:A,0),0),0)</f>
        <v>7863.2184191855868</v>
      </c>
      <c r="K1141" s="455">
        <f t="shared" ca="1" si="105"/>
        <v>-78086.089461978248</v>
      </c>
      <c r="L1141" s="455">
        <f t="shared" ca="1" si="106"/>
        <v>-18818747.560336757</v>
      </c>
      <c r="M1141" s="471">
        <f t="shared" si="109"/>
        <v>0.05</v>
      </c>
      <c r="N1141" s="475">
        <f t="shared" si="110"/>
        <v>85773</v>
      </c>
    </row>
    <row r="1142" spans="7:14" ht="11.25" customHeight="1" x14ac:dyDescent="0.3">
      <c r="G1142" s="470">
        <f t="shared" si="119"/>
        <v>95</v>
      </c>
      <c r="H1142" s="470">
        <v>1135</v>
      </c>
      <c r="I1142" s="455">
        <f t="shared" ca="1" si="108"/>
        <v>-18818747.560336757</v>
      </c>
      <c r="J1142" s="455">
        <f t="array" ref="J1142">IFERROR(INDEX('Retirement Calculator'!J:J,MATCH('Isaac 401k'!N1142,'Retirement Calculator'!A:A,0),0),0)</f>
        <v>7863.2184191855868</v>
      </c>
      <c r="K1142" s="455">
        <f t="shared" ca="1" si="105"/>
        <v>-78444.211578149771</v>
      </c>
      <c r="L1142" s="455">
        <f t="shared" ca="1" si="106"/>
        <v>-18905054.990334094</v>
      </c>
      <c r="M1142" s="471">
        <f t="shared" si="109"/>
        <v>0.05</v>
      </c>
      <c r="N1142" s="475">
        <f t="shared" si="110"/>
        <v>85803</v>
      </c>
    </row>
    <row r="1143" spans="7:14" ht="11.25" customHeight="1" x14ac:dyDescent="0.3">
      <c r="G1143" s="470">
        <f t="shared" si="119"/>
        <v>95</v>
      </c>
      <c r="H1143" s="470">
        <v>1136</v>
      </c>
      <c r="I1143" s="455">
        <f t="shared" ca="1" si="108"/>
        <v>-18905054.990334094</v>
      </c>
      <c r="J1143" s="455">
        <f t="array" ref="J1143">IFERROR(INDEX('Retirement Calculator'!J:J,MATCH('Isaac 401k'!N1143,'Retirement Calculator'!A:A,0),0),0)</f>
        <v>7863.2184191855868</v>
      </c>
      <c r="K1143" s="455">
        <f t="shared" ca="1" si="105"/>
        <v>-78803.82586980534</v>
      </c>
      <c r="L1143" s="455">
        <f t="shared" ca="1" si="106"/>
        <v>-18991722.034623086</v>
      </c>
      <c r="M1143" s="471">
        <f t="shared" si="109"/>
        <v>0.05</v>
      </c>
      <c r="N1143" s="475">
        <f t="shared" si="110"/>
        <v>85834</v>
      </c>
    </row>
    <row r="1144" spans="7:14" ht="11.25" customHeight="1" x14ac:dyDescent="0.3">
      <c r="G1144" s="470">
        <f t="shared" si="119"/>
        <v>95</v>
      </c>
      <c r="H1144" s="470">
        <v>1137</v>
      </c>
      <c r="I1144" s="455">
        <f t="shared" ca="1" si="108"/>
        <v>-18991722.034623086</v>
      </c>
      <c r="J1144" s="455">
        <f t="array" ref="J1144">IFERROR(INDEX('Retirement Calculator'!J:J,MATCH('Isaac 401k'!N1144,'Retirement Calculator'!A:A,0),0),0)</f>
        <v>7863.2184191855868</v>
      </c>
      <c r="K1144" s="455">
        <f t="shared" ca="1" si="105"/>
        <v>-79164.938554342807</v>
      </c>
      <c r="L1144" s="455">
        <f t="shared" ca="1" si="106"/>
        <v>-19078750.191596616</v>
      </c>
      <c r="M1144" s="471">
        <f t="shared" si="109"/>
        <v>0.05</v>
      </c>
      <c r="N1144" s="475">
        <f t="shared" si="110"/>
        <v>85865</v>
      </c>
    </row>
    <row r="1145" spans="7:14" ht="11.25" customHeight="1" x14ac:dyDescent="0.3">
      <c r="G1145" s="470">
        <f t="shared" si="119"/>
        <v>95</v>
      </c>
      <c r="H1145" s="470">
        <v>1138</v>
      </c>
      <c r="I1145" s="455">
        <f t="shared" ca="1" si="108"/>
        <v>-19078750.191596616</v>
      </c>
      <c r="J1145" s="455">
        <f t="array" ref="J1145">IFERROR(INDEX('Retirement Calculator'!J:J,MATCH('Isaac 401k'!N1145,'Retirement Calculator'!A:A,0),0),0)</f>
        <v>7863.2184191855868</v>
      </c>
      <c r="K1145" s="455">
        <f t="shared" ca="1" si="105"/>
        <v>-79527.555875065838</v>
      </c>
      <c r="L1145" s="455">
        <f t="shared" ca="1" si="106"/>
        <v>-19166140.965890869</v>
      </c>
      <c r="M1145" s="471">
        <f t="shared" si="109"/>
        <v>0.05</v>
      </c>
      <c r="N1145" s="475">
        <f t="shared" si="110"/>
        <v>85893</v>
      </c>
    </row>
    <row r="1146" spans="7:14" ht="11.25" customHeight="1" x14ac:dyDescent="0.3">
      <c r="G1146" s="470">
        <f t="shared" si="119"/>
        <v>95</v>
      </c>
      <c r="H1146" s="470">
        <v>1139</v>
      </c>
      <c r="I1146" s="455">
        <f t="shared" ca="1" si="108"/>
        <v>-19166140.965890869</v>
      </c>
      <c r="J1146" s="455">
        <f t="array" ref="J1146">IFERROR(INDEX('Retirement Calculator'!J:J,MATCH('Isaac 401k'!N1146,'Retirement Calculator'!A:A,0),0),0)</f>
        <v>7863.2184191855868</v>
      </c>
      <c r="K1146" s="455">
        <f t="shared" ca="1" si="105"/>
        <v>-79891.684101291903</v>
      </c>
      <c r="L1146" s="455">
        <f t="shared" ca="1" si="106"/>
        <v>-19253895.868411347</v>
      </c>
      <c r="M1146" s="471">
        <f t="shared" si="109"/>
        <v>0.05</v>
      </c>
      <c r="N1146" s="475">
        <f t="shared" si="110"/>
        <v>85924</v>
      </c>
    </row>
    <row r="1147" spans="7:14" ht="11.25" customHeight="1" x14ac:dyDescent="0.3">
      <c r="G1147" s="470">
        <f t="shared" si="119"/>
        <v>95</v>
      </c>
      <c r="H1147" s="470">
        <v>1140</v>
      </c>
      <c r="I1147" s="455">
        <f t="shared" ca="1" si="108"/>
        <v>-19253895.868411347</v>
      </c>
      <c r="J1147" s="455">
        <f t="array" ref="J1147">IFERROR(INDEX('Retirement Calculator'!J:J,MATCH('Isaac 401k'!N1147,'Retirement Calculator'!A:A,0),0),0)</f>
        <v>7863.2184191855868</v>
      </c>
      <c r="K1147" s="455">
        <f t="shared" ca="1" si="105"/>
        <v>-80257.329528460556</v>
      </c>
      <c r="L1147" s="455">
        <f t="shared" ca="1" si="106"/>
        <v>-19342016.416358996</v>
      </c>
      <c r="M1147" s="471">
        <f t="shared" si="109"/>
        <v>0.05</v>
      </c>
      <c r="N1147" s="475">
        <f t="shared" si="110"/>
        <v>85954</v>
      </c>
    </row>
    <row r="1148" spans="7:14" ht="11.25" customHeight="1" x14ac:dyDescent="0.3">
      <c r="G1148" s="470">
        <f>G1147+1</f>
        <v>96</v>
      </c>
      <c r="H1148" s="470">
        <v>1141</v>
      </c>
      <c r="I1148" s="455">
        <f t="shared" ca="1" si="108"/>
        <v>-19342016.416358996</v>
      </c>
      <c r="J1148" s="455">
        <f t="array" ref="J1148">IFERROR(INDEX('Retirement Calculator'!J:J,MATCH('Isaac 401k'!N1148,'Retirement Calculator'!A:A,0),0),0)</f>
        <v>7863.2184191855868</v>
      </c>
      <c r="K1148" s="455">
        <f t="shared" ca="1" si="105"/>
        <v>-80624.498478242429</v>
      </c>
      <c r="L1148" s="455">
        <f t="shared" ca="1" si="106"/>
        <v>-19430504.133256424</v>
      </c>
      <c r="M1148" s="471">
        <f t="shared" si="109"/>
        <v>0.05</v>
      </c>
      <c r="N1148" s="475">
        <f t="shared" si="110"/>
        <v>85985</v>
      </c>
    </row>
    <row r="1149" spans="7:14" ht="11.25" customHeight="1" x14ac:dyDescent="0.3">
      <c r="G1149" s="470">
        <f t="shared" ref="G1149:G1159" si="120">G1148</f>
        <v>96</v>
      </c>
      <c r="H1149" s="470">
        <v>1142</v>
      </c>
      <c r="I1149" s="455">
        <f t="shared" ca="1" si="108"/>
        <v>-19430504.133256424</v>
      </c>
      <c r="J1149" s="455">
        <f t="array" ref="J1149">IFERROR(INDEX('Retirement Calculator'!J:J,MATCH('Isaac 401k'!N1149,'Retirement Calculator'!A:A,0),0),0)</f>
        <v>7863.2184191855868</v>
      </c>
      <c r="K1149" s="455">
        <f t="shared" ca="1" si="105"/>
        <v>-80993.197298648374</v>
      </c>
      <c r="L1149" s="455">
        <f t="shared" ca="1" si="106"/>
        <v>-19519360.548974261</v>
      </c>
      <c r="M1149" s="471">
        <f t="shared" si="109"/>
        <v>0.05</v>
      </c>
      <c r="N1149" s="475">
        <f t="shared" si="110"/>
        <v>86015</v>
      </c>
    </row>
    <row r="1150" spans="7:14" ht="11.25" customHeight="1" x14ac:dyDescent="0.3">
      <c r="G1150" s="470">
        <f t="shared" si="120"/>
        <v>96</v>
      </c>
      <c r="H1150" s="470">
        <v>1143</v>
      </c>
      <c r="I1150" s="455">
        <f t="shared" ca="1" si="108"/>
        <v>-19519360.548974261</v>
      </c>
      <c r="J1150" s="455">
        <f t="array" ref="J1150">IFERROR(INDEX('Retirement Calculator'!J:J,MATCH('Isaac 401k'!N1150,'Retirement Calculator'!A:A,0),0),0)</f>
        <v>7863.2184191855868</v>
      </c>
      <c r="K1150" s="455">
        <f t="shared" ca="1" si="105"/>
        <v>-81363.432364139357</v>
      </c>
      <c r="L1150" s="455">
        <f t="shared" ca="1" si="106"/>
        <v>-19608587.199757587</v>
      </c>
      <c r="M1150" s="471">
        <f t="shared" si="109"/>
        <v>0.05</v>
      </c>
      <c r="N1150" s="475">
        <f t="shared" si="110"/>
        <v>86046</v>
      </c>
    </row>
    <row r="1151" spans="7:14" ht="11.25" customHeight="1" x14ac:dyDescent="0.3">
      <c r="G1151" s="470">
        <f t="shared" si="120"/>
        <v>96</v>
      </c>
      <c r="H1151" s="470">
        <v>1144</v>
      </c>
      <c r="I1151" s="455">
        <f t="shared" ca="1" si="108"/>
        <v>-19608587.199757587</v>
      </c>
      <c r="J1151" s="455">
        <f t="array" ref="J1151">IFERROR(INDEX('Retirement Calculator'!J:J,MATCH('Isaac 401k'!N1151,'Retirement Calculator'!A:A,0),0),0)</f>
        <v>7863.2184191855868</v>
      </c>
      <c r="K1151" s="455">
        <f t="shared" ca="1" si="105"/>
        <v>-81735.210075736555</v>
      </c>
      <c r="L1151" s="455">
        <f t="shared" ca="1" si="106"/>
        <v>-19698185.62825251</v>
      </c>
      <c r="M1151" s="471">
        <f t="shared" si="109"/>
        <v>0.05</v>
      </c>
      <c r="N1151" s="475">
        <f t="shared" si="110"/>
        <v>86077</v>
      </c>
    </row>
    <row r="1152" spans="7:14" ht="11.25" customHeight="1" x14ac:dyDescent="0.3">
      <c r="G1152" s="470">
        <f t="shared" si="120"/>
        <v>96</v>
      </c>
      <c r="H1152" s="470">
        <v>1145</v>
      </c>
      <c r="I1152" s="455">
        <f t="shared" ca="1" si="108"/>
        <v>-19698185.62825251</v>
      </c>
      <c r="J1152" s="455">
        <f t="array" ref="J1152">IFERROR(INDEX('Retirement Calculator'!J:J,MATCH('Isaac 401k'!N1152,'Retirement Calculator'!A:A,0),0),0)</f>
        <v>7863.2184191855868</v>
      </c>
      <c r="K1152" s="455">
        <f t="shared" ca="1" si="105"/>
        <v>-82108.536861132074</v>
      </c>
      <c r="L1152" s="455">
        <f t="shared" ca="1" si="106"/>
        <v>-19788157.38353283</v>
      </c>
      <c r="M1152" s="471">
        <f t="shared" si="109"/>
        <v>0.05</v>
      </c>
      <c r="N1152" s="475">
        <f t="shared" si="110"/>
        <v>86107</v>
      </c>
    </row>
    <row r="1153" spans="7:14" ht="11.25" customHeight="1" x14ac:dyDescent="0.3">
      <c r="G1153" s="470">
        <f t="shared" si="120"/>
        <v>96</v>
      </c>
      <c r="H1153" s="470">
        <v>1146</v>
      </c>
      <c r="I1153" s="455">
        <f t="shared" ca="1" si="108"/>
        <v>-19788157.38353283</v>
      </c>
      <c r="J1153" s="455">
        <f t="array" ref="J1153">IFERROR(INDEX('Retirement Calculator'!J:J,MATCH('Isaac 401k'!N1153,'Retirement Calculator'!A:A,0),0),0)</f>
        <v>7863.2184191855868</v>
      </c>
      <c r="K1153" s="455">
        <f t="shared" ca="1" si="105"/>
        <v>-82483.419174800074</v>
      </c>
      <c r="L1153" s="455">
        <f t="shared" ca="1" si="106"/>
        <v>-19878504.021126818</v>
      </c>
      <c r="M1153" s="471">
        <f t="shared" si="109"/>
        <v>0.05</v>
      </c>
      <c r="N1153" s="475">
        <f t="shared" si="110"/>
        <v>86138</v>
      </c>
    </row>
    <row r="1154" spans="7:14" ht="11.25" customHeight="1" x14ac:dyDescent="0.3">
      <c r="G1154" s="470">
        <f t="shared" si="120"/>
        <v>96</v>
      </c>
      <c r="H1154" s="470">
        <v>1147</v>
      </c>
      <c r="I1154" s="455">
        <f t="shared" ca="1" si="108"/>
        <v>-19878504.021126818</v>
      </c>
      <c r="J1154" s="455">
        <f t="array" ref="J1154">IFERROR(INDEX('Retirement Calculator'!J:J,MATCH('Isaac 401k'!N1154,'Retirement Calculator'!A:A,0),0),0)</f>
        <v>7863.2184191855868</v>
      </c>
      <c r="K1154" s="455">
        <f t="shared" ca="1" si="105"/>
        <v>-82859.863498108345</v>
      </c>
      <c r="L1154" s="455">
        <f t="shared" ca="1" si="106"/>
        <v>-19969227.103044111</v>
      </c>
      <c r="M1154" s="471">
        <f t="shared" si="109"/>
        <v>0.05</v>
      </c>
      <c r="N1154" s="475">
        <f t="shared" si="110"/>
        <v>86168</v>
      </c>
    </row>
    <row r="1155" spans="7:14" ht="11.25" customHeight="1" x14ac:dyDescent="0.3">
      <c r="G1155" s="470">
        <f t="shared" si="120"/>
        <v>96</v>
      </c>
      <c r="H1155" s="470">
        <v>1148</v>
      </c>
      <c r="I1155" s="455">
        <f t="shared" ca="1" si="108"/>
        <v>-19969227.103044111</v>
      </c>
      <c r="J1155" s="455">
        <f t="array" ref="J1155">IFERROR(INDEX('Retirement Calculator'!J:J,MATCH('Isaac 401k'!N1155,'Retirement Calculator'!A:A,0),0),0)</f>
        <v>7863.2184191855868</v>
      </c>
      <c r="K1155" s="455">
        <f t="shared" ca="1" si="105"/>
        <v>-83237.876339430411</v>
      </c>
      <c r="L1155" s="455">
        <f t="shared" ca="1" si="106"/>
        <v>-20060328.19780273</v>
      </c>
      <c r="M1155" s="471">
        <f t="shared" si="109"/>
        <v>0.05</v>
      </c>
      <c r="N1155" s="475">
        <f t="shared" si="110"/>
        <v>86199</v>
      </c>
    </row>
    <row r="1156" spans="7:14" ht="11.25" customHeight="1" x14ac:dyDescent="0.3">
      <c r="G1156" s="470">
        <f t="shared" si="120"/>
        <v>96</v>
      </c>
      <c r="H1156" s="470">
        <v>1149</v>
      </c>
      <c r="I1156" s="455">
        <f t="shared" ca="1" si="108"/>
        <v>-20060328.19780273</v>
      </c>
      <c r="J1156" s="455">
        <f t="array" ref="J1156">IFERROR(INDEX('Retirement Calculator'!J:J,MATCH('Isaac 401k'!N1156,'Retirement Calculator'!A:A,0),0),0)</f>
        <v>7863.2184191855868</v>
      </c>
      <c r="K1156" s="455">
        <f t="shared" ca="1" si="105"/>
        <v>-83617.46423425799</v>
      </c>
      <c r="L1156" s="455">
        <f t="shared" ca="1" si="106"/>
        <v>-20151808.880456176</v>
      </c>
      <c r="M1156" s="471">
        <f t="shared" si="109"/>
        <v>0.05</v>
      </c>
      <c r="N1156" s="475">
        <f t="shared" si="110"/>
        <v>86230</v>
      </c>
    </row>
    <row r="1157" spans="7:14" ht="11.25" customHeight="1" x14ac:dyDescent="0.3">
      <c r="G1157" s="470">
        <f t="shared" si="120"/>
        <v>96</v>
      </c>
      <c r="H1157" s="470">
        <v>1150</v>
      </c>
      <c r="I1157" s="455">
        <f t="shared" ca="1" si="108"/>
        <v>-20151808.880456176</v>
      </c>
      <c r="J1157" s="455">
        <f t="array" ref="J1157">IFERROR(INDEX('Retirement Calculator'!J:J,MATCH('Isaac 401k'!N1157,'Retirement Calculator'!A:A,0),0),0)</f>
        <v>7863.2184191855868</v>
      </c>
      <c r="K1157" s="455">
        <f t="shared" ca="1" si="105"/>
        <v>-83998.633745314015</v>
      </c>
      <c r="L1157" s="455">
        <f t="shared" ca="1" si="106"/>
        <v>-20243670.732620675</v>
      </c>
      <c r="M1157" s="471">
        <f t="shared" si="109"/>
        <v>0.05</v>
      </c>
      <c r="N1157" s="475">
        <f t="shared" si="110"/>
        <v>86259</v>
      </c>
    </row>
    <row r="1158" spans="7:14" ht="11.25" customHeight="1" x14ac:dyDescent="0.3">
      <c r="G1158" s="470">
        <f t="shared" si="120"/>
        <v>96</v>
      </c>
      <c r="H1158" s="470">
        <v>1151</v>
      </c>
      <c r="I1158" s="455">
        <f t="shared" ca="1" si="108"/>
        <v>-20243670.732620675</v>
      </c>
      <c r="J1158" s="455">
        <f t="array" ref="J1158">IFERROR(INDEX('Retirement Calculator'!J:J,MATCH('Isaac 401k'!N1158,'Retirement Calculator'!A:A,0),0),0)</f>
        <v>7863.2184191855868</v>
      </c>
      <c r="K1158" s="455">
        <f t="shared" ca="1" si="105"/>
        <v>-84381.391462666084</v>
      </c>
      <c r="L1158" s="455">
        <f t="shared" ca="1" si="106"/>
        <v>-20335915.342502527</v>
      </c>
      <c r="M1158" s="471">
        <f t="shared" si="109"/>
        <v>0.05</v>
      </c>
      <c r="N1158" s="475">
        <f t="shared" si="110"/>
        <v>86290</v>
      </c>
    </row>
    <row r="1159" spans="7:14" ht="11.25" customHeight="1" x14ac:dyDescent="0.3">
      <c r="G1159" s="470">
        <f t="shared" si="120"/>
        <v>96</v>
      </c>
      <c r="H1159" s="470">
        <v>1152</v>
      </c>
      <c r="I1159" s="455">
        <f t="shared" ca="1" si="108"/>
        <v>-20335915.342502527</v>
      </c>
      <c r="J1159" s="455">
        <f t="array" ref="J1159">IFERROR(INDEX('Retirement Calculator'!J:J,MATCH('Isaac 401k'!N1159,'Retirement Calculator'!A:A,0),0),0)</f>
        <v>7863.2184191855868</v>
      </c>
      <c r="K1159" s="455">
        <f t="shared" ca="1" si="105"/>
        <v>-84765.744003840475</v>
      </c>
      <c r="L1159" s="455">
        <f t="shared" ca="1" si="106"/>
        <v>-20428544.304925554</v>
      </c>
      <c r="M1159" s="471">
        <f t="shared" si="109"/>
        <v>0.05</v>
      </c>
      <c r="N1159" s="475">
        <f t="shared" si="110"/>
        <v>86320</v>
      </c>
    </row>
    <row r="1160" spans="7:14" ht="11.25" customHeight="1" x14ac:dyDescent="0.3">
      <c r="G1160" s="470">
        <f>G1159+1</f>
        <v>97</v>
      </c>
      <c r="H1160" s="470">
        <v>1153</v>
      </c>
      <c r="I1160" s="455">
        <f t="shared" ca="1" si="108"/>
        <v>-20428544.304925554</v>
      </c>
      <c r="J1160" s="455">
        <f t="array" ref="J1160">IFERROR(INDEX('Retirement Calculator'!J:J,MATCH('Isaac 401k'!N1160,'Retirement Calculator'!A:A,0),0),0)</f>
        <v>7863.2184191855868</v>
      </c>
      <c r="K1160" s="455">
        <f t="shared" ca="1" si="105"/>
        <v>-85151.698013936417</v>
      </c>
      <c r="L1160" s="455">
        <f t="shared" ca="1" si="106"/>
        <v>-20521559.221358676</v>
      </c>
      <c r="M1160" s="471">
        <f t="shared" si="109"/>
        <v>0.05</v>
      </c>
      <c r="N1160" s="475">
        <f t="shared" si="110"/>
        <v>86351</v>
      </c>
    </row>
    <row r="1161" spans="7:14" ht="11.25" customHeight="1" x14ac:dyDescent="0.3">
      <c r="G1161" s="470">
        <f t="shared" ref="G1161:G1171" si="121">G1160</f>
        <v>97</v>
      </c>
      <c r="H1161" s="470">
        <v>1154</v>
      </c>
      <c r="I1161" s="455">
        <f t="shared" ca="1" si="108"/>
        <v>-20521559.221358676</v>
      </c>
      <c r="J1161" s="455">
        <f t="array" ref="J1161">IFERROR(INDEX('Retirement Calculator'!J:J,MATCH('Isaac 401k'!N1161,'Retirement Calculator'!A:A,0),0),0)</f>
        <v>7863.2184191855868</v>
      </c>
      <c r="K1161" s="455">
        <f t="shared" ca="1" si="105"/>
        <v>-85539.260165741085</v>
      </c>
      <c r="L1161" s="455">
        <f t="shared" ca="1" si="106"/>
        <v>-20614961.699943602</v>
      </c>
      <c r="M1161" s="471">
        <f t="shared" si="109"/>
        <v>0.05</v>
      </c>
      <c r="N1161" s="475">
        <f t="shared" si="110"/>
        <v>86381</v>
      </c>
    </row>
    <row r="1162" spans="7:14" ht="11.25" customHeight="1" x14ac:dyDescent="0.3">
      <c r="G1162" s="470">
        <f t="shared" si="121"/>
        <v>97</v>
      </c>
      <c r="H1162" s="470">
        <v>1155</v>
      </c>
      <c r="I1162" s="455">
        <f t="shared" ca="1" si="108"/>
        <v>-20614961.699943602</v>
      </c>
      <c r="J1162" s="455">
        <f t="array" ref="J1162">IFERROR(INDEX('Retirement Calculator'!J:J,MATCH('Isaac 401k'!N1162,'Retirement Calculator'!A:A,0),0),0)</f>
        <v>7863.2184191855868</v>
      </c>
      <c r="K1162" s="455">
        <f t="shared" ca="1" si="105"/>
        <v>-85928.437159844951</v>
      </c>
      <c r="L1162" s="455">
        <f t="shared" ca="1" si="106"/>
        <v>-20708753.355522633</v>
      </c>
      <c r="M1162" s="471">
        <f t="shared" si="109"/>
        <v>0.05</v>
      </c>
      <c r="N1162" s="475">
        <f t="shared" si="110"/>
        <v>86412</v>
      </c>
    </row>
    <row r="1163" spans="7:14" ht="11.25" customHeight="1" x14ac:dyDescent="0.3">
      <c r="G1163" s="470">
        <f t="shared" si="121"/>
        <v>97</v>
      </c>
      <c r="H1163" s="470">
        <v>1156</v>
      </c>
      <c r="I1163" s="455">
        <f t="shared" ca="1" si="108"/>
        <v>-20708753.355522633</v>
      </c>
      <c r="J1163" s="455">
        <f t="array" ref="J1163">IFERROR(INDEX('Retirement Calculator'!J:J,MATCH('Isaac 401k'!N1163,'Retirement Calculator'!A:A,0),0),0)</f>
        <v>7863.2184191855868</v>
      </c>
      <c r="K1163" s="455">
        <f t="shared" ca="1" si="105"/>
        <v>-86319.235724757586</v>
      </c>
      <c r="L1163" s="455">
        <f t="shared" ca="1" si="106"/>
        <v>-20802935.809666578</v>
      </c>
      <c r="M1163" s="471">
        <f t="shared" si="109"/>
        <v>0.05</v>
      </c>
      <c r="N1163" s="475">
        <f t="shared" si="110"/>
        <v>86443</v>
      </c>
    </row>
    <row r="1164" spans="7:14" ht="11.25" customHeight="1" x14ac:dyDescent="0.3">
      <c r="G1164" s="470">
        <f t="shared" si="121"/>
        <v>97</v>
      </c>
      <c r="H1164" s="470">
        <v>1157</v>
      </c>
      <c r="I1164" s="455">
        <f t="shared" ca="1" si="108"/>
        <v>-20802935.809666578</v>
      </c>
      <c r="J1164" s="455">
        <f t="array" ref="J1164">IFERROR(INDEX('Retirement Calculator'!J:J,MATCH('Isaac 401k'!N1164,'Retirement Calculator'!A:A,0),0),0)</f>
        <v>7863.2184191855868</v>
      </c>
      <c r="K1164" s="455">
        <f t="shared" ca="1" si="105"/>
        <v>-86711.66261702402</v>
      </c>
      <c r="L1164" s="455">
        <f t="shared" ca="1" si="106"/>
        <v>-20897510.690702789</v>
      </c>
      <c r="M1164" s="471">
        <f t="shared" si="109"/>
        <v>0.05</v>
      </c>
      <c r="N1164" s="475">
        <f t="shared" si="110"/>
        <v>86473</v>
      </c>
    </row>
    <row r="1165" spans="7:14" ht="11.25" customHeight="1" x14ac:dyDescent="0.3">
      <c r="G1165" s="470">
        <f t="shared" si="121"/>
        <v>97</v>
      </c>
      <c r="H1165" s="470">
        <v>1158</v>
      </c>
      <c r="I1165" s="455">
        <f t="shared" ca="1" si="108"/>
        <v>-20897510.690702789</v>
      </c>
      <c r="J1165" s="455">
        <f t="array" ref="J1165">IFERROR(INDEX('Retirement Calculator'!J:J,MATCH('Isaac 401k'!N1165,'Retirement Calculator'!A:A,0),0),0)</f>
        <v>7863.2184191855868</v>
      </c>
      <c r="K1165" s="455">
        <f t="shared" ca="1" si="105"/>
        <v>-87105.724621341564</v>
      </c>
      <c r="L1165" s="455">
        <f t="shared" ca="1" si="106"/>
        <v>-20992479.633743316</v>
      </c>
      <c r="M1165" s="471">
        <f t="shared" si="109"/>
        <v>0.05</v>
      </c>
      <c r="N1165" s="475">
        <f t="shared" si="110"/>
        <v>86504</v>
      </c>
    </row>
    <row r="1166" spans="7:14" ht="11.25" customHeight="1" x14ac:dyDescent="0.3">
      <c r="G1166" s="470">
        <f t="shared" si="121"/>
        <v>97</v>
      </c>
      <c r="H1166" s="470">
        <v>1159</v>
      </c>
      <c r="I1166" s="455">
        <f t="shared" ca="1" si="108"/>
        <v>-20992479.633743316</v>
      </c>
      <c r="J1166" s="455">
        <f t="array" ref="J1166">IFERROR(INDEX('Retirement Calculator'!J:J,MATCH('Isaac 401k'!N1166,'Retirement Calculator'!A:A,0),0),0)</f>
        <v>7863.2184191855868</v>
      </c>
      <c r="K1166" s="455">
        <f t="shared" ca="1" si="105"/>
        <v>-87501.428550677098</v>
      </c>
      <c r="L1166" s="455">
        <f t="shared" ca="1" si="106"/>
        <v>-21087844.280713178</v>
      </c>
      <c r="M1166" s="471">
        <f t="shared" si="109"/>
        <v>0.05</v>
      </c>
      <c r="N1166" s="475">
        <f t="shared" si="110"/>
        <v>86534</v>
      </c>
    </row>
    <row r="1167" spans="7:14" ht="11.25" customHeight="1" x14ac:dyDescent="0.3">
      <c r="G1167" s="470">
        <f t="shared" si="121"/>
        <v>97</v>
      </c>
      <c r="H1167" s="470">
        <v>1160</v>
      </c>
      <c r="I1167" s="455">
        <f t="shared" ca="1" si="108"/>
        <v>-21087844.280713178</v>
      </c>
      <c r="J1167" s="455">
        <f t="array" ref="J1167">IFERROR(INDEX('Retirement Calculator'!J:J,MATCH('Isaac 401k'!N1167,'Retirement Calculator'!A:A,0),0),0)</f>
        <v>7863.2184191855868</v>
      </c>
      <c r="K1167" s="455">
        <f t="shared" ca="1" si="105"/>
        <v>-87898.781246384853</v>
      </c>
      <c r="L1167" s="455">
        <f t="shared" ca="1" si="106"/>
        <v>-21183606.280378751</v>
      </c>
      <c r="M1167" s="471">
        <f t="shared" si="109"/>
        <v>0.05</v>
      </c>
      <c r="N1167" s="475">
        <f t="shared" si="110"/>
        <v>86565</v>
      </c>
    </row>
    <row r="1168" spans="7:14" ht="11.25" customHeight="1" x14ac:dyDescent="0.3">
      <c r="G1168" s="470">
        <f t="shared" si="121"/>
        <v>97</v>
      </c>
      <c r="H1168" s="470">
        <v>1161</v>
      </c>
      <c r="I1168" s="455">
        <f t="shared" ca="1" si="108"/>
        <v>-21183606.280378751</v>
      </c>
      <c r="J1168" s="455">
        <f t="array" ref="J1168">IFERROR(INDEX('Retirement Calculator'!J:J,MATCH('Isaac 401k'!N1168,'Retirement Calculator'!A:A,0),0),0)</f>
        <v>7863.2184191855868</v>
      </c>
      <c r="K1168" s="455">
        <f t="shared" ca="1" si="105"/>
        <v>-88297.789578324737</v>
      </c>
      <c r="L1168" s="455">
        <f t="shared" ca="1" si="106"/>
        <v>-21279767.288376264</v>
      </c>
      <c r="M1168" s="471">
        <f t="shared" si="109"/>
        <v>0.05</v>
      </c>
      <c r="N1168" s="475">
        <f t="shared" si="110"/>
        <v>86596</v>
      </c>
    </row>
    <row r="1169" spans="7:14" ht="11.25" customHeight="1" x14ac:dyDescent="0.3">
      <c r="G1169" s="470">
        <f t="shared" si="121"/>
        <v>97</v>
      </c>
      <c r="H1169" s="470">
        <v>1162</v>
      </c>
      <c r="I1169" s="455">
        <f t="shared" ca="1" si="108"/>
        <v>-21279767.288376264</v>
      </c>
      <c r="J1169" s="455">
        <f t="array" ref="J1169">IFERROR(INDEX('Retirement Calculator'!J:J,MATCH('Isaac 401k'!N1169,'Retirement Calculator'!A:A,0),0),0)</f>
        <v>0</v>
      </c>
      <c r="K1169" s="455">
        <f t="shared" ca="1" si="105"/>
        <v>-88665.697034901095</v>
      </c>
      <c r="L1169" s="455">
        <f t="shared" ca="1" si="106"/>
        <v>-21368432.985411167</v>
      </c>
      <c r="M1169" s="471">
        <f t="shared" si="109"/>
        <v>0.05</v>
      </c>
      <c r="N1169" s="475">
        <f t="shared" si="110"/>
        <v>86624</v>
      </c>
    </row>
    <row r="1170" spans="7:14" ht="11.25" customHeight="1" x14ac:dyDescent="0.3">
      <c r="G1170" s="470">
        <f t="shared" si="121"/>
        <v>97</v>
      </c>
      <c r="H1170" s="470">
        <v>1163</v>
      </c>
      <c r="I1170" s="455">
        <f t="shared" ca="1" si="108"/>
        <v>-21368432.985411167</v>
      </c>
      <c r="J1170" s="455">
        <f t="array" ref="J1170">IFERROR(INDEX('Retirement Calculator'!J:J,MATCH('Isaac 401k'!N1170,'Retirement Calculator'!A:A,0),0),0)</f>
        <v>0</v>
      </c>
      <c r="K1170" s="455">
        <f t="shared" ca="1" si="105"/>
        <v>-89035.137439213198</v>
      </c>
      <c r="L1170" s="455">
        <f t="shared" ca="1" si="106"/>
        <v>-21457468.122850381</v>
      </c>
      <c r="M1170" s="471">
        <f t="shared" si="109"/>
        <v>0.05</v>
      </c>
      <c r="N1170" s="475">
        <f t="shared" si="110"/>
        <v>86655</v>
      </c>
    </row>
    <row r="1171" spans="7:14" ht="11.25" customHeight="1" x14ac:dyDescent="0.3">
      <c r="G1171" s="470">
        <f t="shared" si="121"/>
        <v>97</v>
      </c>
      <c r="H1171" s="470">
        <v>1164</v>
      </c>
      <c r="I1171" s="455">
        <f t="shared" ca="1" si="108"/>
        <v>-21457468.122850381</v>
      </c>
      <c r="J1171" s="455">
        <f t="array" ref="J1171">IFERROR(INDEX('Retirement Calculator'!J:J,MATCH('Isaac 401k'!N1171,'Retirement Calculator'!A:A,0),0),0)</f>
        <v>0</v>
      </c>
      <c r="K1171" s="455">
        <f t="shared" ca="1" si="105"/>
        <v>-89406.117178543253</v>
      </c>
      <c r="L1171" s="455">
        <f t="shared" ca="1" si="106"/>
        <v>-21546874.240028925</v>
      </c>
      <c r="M1171" s="471">
        <f t="shared" si="109"/>
        <v>0.05</v>
      </c>
      <c r="N1171" s="475">
        <f t="shared" si="110"/>
        <v>86685</v>
      </c>
    </row>
    <row r="1172" spans="7:14" ht="11.25" customHeight="1" x14ac:dyDescent="0.3">
      <c r="G1172" s="470">
        <f>G1171+1</f>
        <v>98</v>
      </c>
      <c r="H1172" s="470">
        <v>1165</v>
      </c>
      <c r="I1172" s="455">
        <f t="shared" ca="1" si="108"/>
        <v>-21546874.240028925</v>
      </c>
      <c r="J1172" s="455">
        <f t="array" ref="J1172">IFERROR(INDEX('Retirement Calculator'!J:J,MATCH('Isaac 401k'!N1172,'Retirement Calculator'!A:A,0),0),0)</f>
        <v>0</v>
      </c>
      <c r="K1172" s="455">
        <f t="shared" ca="1" si="105"/>
        <v>-89778.642666787186</v>
      </c>
      <c r="L1172" s="455">
        <f t="shared" ca="1" si="106"/>
        <v>-21636652.882695712</v>
      </c>
      <c r="M1172" s="471">
        <f t="shared" si="109"/>
        <v>0.05</v>
      </c>
      <c r="N1172" s="475">
        <f t="shared" si="110"/>
        <v>86716</v>
      </c>
    </row>
    <row r="1173" spans="7:14" ht="11.25" customHeight="1" x14ac:dyDescent="0.3">
      <c r="G1173" s="470">
        <f t="shared" ref="G1173:G1183" si="122">G1172</f>
        <v>98</v>
      </c>
      <c r="H1173" s="470">
        <v>1166</v>
      </c>
      <c r="I1173" s="455">
        <f t="shared" ca="1" si="108"/>
        <v>-21636652.882695712</v>
      </c>
      <c r="J1173" s="455">
        <f t="array" ref="J1173">IFERROR(INDEX('Retirement Calculator'!J:J,MATCH('Isaac 401k'!N1173,'Retirement Calculator'!A:A,0),0),0)</f>
        <v>0</v>
      </c>
      <c r="K1173" s="455">
        <f t="shared" ca="1" si="105"/>
        <v>-90152.72034456546</v>
      </c>
      <c r="L1173" s="455">
        <f t="shared" ca="1" si="106"/>
        <v>-21726805.603040278</v>
      </c>
      <c r="M1173" s="471">
        <f t="shared" si="109"/>
        <v>0.05</v>
      </c>
      <c r="N1173" s="475">
        <f t="shared" si="110"/>
        <v>86746</v>
      </c>
    </row>
    <row r="1174" spans="7:14" ht="11.25" customHeight="1" x14ac:dyDescent="0.3">
      <c r="G1174" s="470">
        <f t="shared" si="122"/>
        <v>98</v>
      </c>
      <c r="H1174" s="470">
        <v>1167</v>
      </c>
      <c r="I1174" s="455">
        <f t="shared" ca="1" si="108"/>
        <v>-21726805.603040278</v>
      </c>
      <c r="J1174" s="455">
        <f t="array" ref="J1174">IFERROR(INDEX('Retirement Calculator'!J:J,MATCH('Isaac 401k'!N1174,'Retirement Calculator'!A:A,0),0),0)</f>
        <v>0</v>
      </c>
      <c r="K1174" s="455">
        <f t="shared" ca="1" si="105"/>
        <v>-90528.356679334494</v>
      </c>
      <c r="L1174" s="455">
        <f t="shared" ca="1" si="106"/>
        <v>-21817333.959719613</v>
      </c>
      <c r="M1174" s="471">
        <f t="shared" si="109"/>
        <v>0.05</v>
      </c>
      <c r="N1174" s="475">
        <f t="shared" si="110"/>
        <v>86777</v>
      </c>
    </row>
    <row r="1175" spans="7:14" ht="11.25" customHeight="1" x14ac:dyDescent="0.3">
      <c r="G1175" s="470">
        <f t="shared" si="122"/>
        <v>98</v>
      </c>
      <c r="H1175" s="470">
        <v>1168</v>
      </c>
      <c r="I1175" s="455">
        <f t="shared" ca="1" si="108"/>
        <v>-21817333.959719613</v>
      </c>
      <c r="J1175" s="455">
        <f t="array" ref="J1175">IFERROR(INDEX('Retirement Calculator'!J:J,MATCH('Isaac 401k'!N1175,'Retirement Calculator'!A:A,0),0),0)</f>
        <v>0</v>
      </c>
      <c r="K1175" s="455">
        <f t="shared" ca="1" si="105"/>
        <v>-90905.558165498383</v>
      </c>
      <c r="L1175" s="455">
        <f t="shared" ca="1" si="106"/>
        <v>-21908239.517885111</v>
      </c>
      <c r="M1175" s="471">
        <f t="shared" si="109"/>
        <v>0.05</v>
      </c>
      <c r="N1175" s="475">
        <f t="shared" si="110"/>
        <v>86808</v>
      </c>
    </row>
    <row r="1176" spans="7:14" ht="11.25" customHeight="1" x14ac:dyDescent="0.3">
      <c r="G1176" s="470">
        <f t="shared" si="122"/>
        <v>98</v>
      </c>
      <c r="H1176" s="470">
        <v>1169</v>
      </c>
      <c r="I1176" s="455">
        <f t="shared" ca="1" si="108"/>
        <v>-21908239.517885111</v>
      </c>
      <c r="J1176" s="455">
        <f t="array" ref="J1176">IFERROR(INDEX('Retirement Calculator'!J:J,MATCH('Isaac 401k'!N1176,'Retirement Calculator'!A:A,0),0),0)</f>
        <v>0</v>
      </c>
      <c r="K1176" s="455">
        <f t="shared" ca="1" si="105"/>
        <v>-91284.331324521292</v>
      </c>
      <c r="L1176" s="455">
        <f t="shared" ca="1" si="106"/>
        <v>-21999523.849209633</v>
      </c>
      <c r="M1176" s="471">
        <f t="shared" si="109"/>
        <v>0.05</v>
      </c>
      <c r="N1176" s="475">
        <f t="shared" si="110"/>
        <v>86838</v>
      </c>
    </row>
    <row r="1177" spans="7:14" ht="11.25" customHeight="1" x14ac:dyDescent="0.3">
      <c r="G1177" s="470">
        <f t="shared" si="122"/>
        <v>98</v>
      </c>
      <c r="H1177" s="470">
        <v>1170</v>
      </c>
      <c r="I1177" s="455">
        <f t="shared" ca="1" si="108"/>
        <v>-21999523.849209633</v>
      </c>
      <c r="J1177" s="455">
        <f t="array" ref="J1177">IFERROR(INDEX('Retirement Calculator'!J:J,MATCH('Isaac 401k'!N1177,'Retirement Calculator'!A:A,0),0),0)</f>
        <v>0</v>
      </c>
      <c r="K1177" s="455">
        <f t="shared" ca="1" si="105"/>
        <v>-91664.682705040133</v>
      </c>
      <c r="L1177" s="455">
        <f t="shared" ca="1" si="106"/>
        <v>-22091188.531914674</v>
      </c>
      <c r="M1177" s="471">
        <f t="shared" si="109"/>
        <v>0.05</v>
      </c>
      <c r="N1177" s="475">
        <f t="shared" si="110"/>
        <v>86869</v>
      </c>
    </row>
    <row r="1178" spans="7:14" ht="11.25" customHeight="1" x14ac:dyDescent="0.3">
      <c r="G1178" s="470">
        <f t="shared" si="122"/>
        <v>98</v>
      </c>
      <c r="H1178" s="470">
        <v>1171</v>
      </c>
      <c r="I1178" s="455">
        <f t="shared" ca="1" si="108"/>
        <v>-22091188.531914674</v>
      </c>
      <c r="J1178" s="455">
        <f t="array" ref="J1178">IFERROR(INDEX('Retirement Calculator'!J:J,MATCH('Isaac 401k'!N1178,'Retirement Calculator'!A:A,0),0),0)</f>
        <v>0</v>
      </c>
      <c r="K1178" s="455">
        <f t="shared" ca="1" si="105"/>
        <v>-92046.618882977811</v>
      </c>
      <c r="L1178" s="455">
        <f t="shared" ca="1" si="106"/>
        <v>-22183235.15079765</v>
      </c>
      <c r="M1178" s="471">
        <f t="shared" si="109"/>
        <v>0.05</v>
      </c>
      <c r="N1178" s="475">
        <f t="shared" si="110"/>
        <v>86899</v>
      </c>
    </row>
    <row r="1179" spans="7:14" ht="11.25" customHeight="1" x14ac:dyDescent="0.3">
      <c r="G1179" s="470">
        <f t="shared" si="122"/>
        <v>98</v>
      </c>
      <c r="H1179" s="470">
        <v>1172</v>
      </c>
      <c r="I1179" s="455">
        <f t="shared" ca="1" si="108"/>
        <v>-22183235.15079765</v>
      </c>
      <c r="J1179" s="455">
        <f t="array" ref="J1179">IFERROR(INDEX('Retirement Calculator'!J:J,MATCH('Isaac 401k'!N1179,'Retirement Calculator'!A:A,0),0),0)</f>
        <v>0</v>
      </c>
      <c r="K1179" s="455">
        <f t="shared" ca="1" si="105"/>
        <v>-92430.14646165687</v>
      </c>
      <c r="L1179" s="455">
        <f t="shared" ca="1" si="106"/>
        <v>-22275665.297259308</v>
      </c>
      <c r="M1179" s="471">
        <f t="shared" si="109"/>
        <v>0.05</v>
      </c>
      <c r="N1179" s="475">
        <f t="shared" si="110"/>
        <v>86930</v>
      </c>
    </row>
    <row r="1180" spans="7:14" ht="11.25" customHeight="1" x14ac:dyDescent="0.3">
      <c r="G1180" s="470">
        <f t="shared" si="122"/>
        <v>98</v>
      </c>
      <c r="H1180" s="470">
        <v>1173</v>
      </c>
      <c r="I1180" s="455">
        <f t="shared" ca="1" si="108"/>
        <v>-22275665.297259308</v>
      </c>
      <c r="J1180" s="455">
        <f t="array" ref="J1180">IFERROR(INDEX('Retirement Calculator'!J:J,MATCH('Isaac 401k'!N1180,'Retirement Calculator'!A:A,0),0),0)</f>
        <v>0</v>
      </c>
      <c r="K1180" s="455">
        <f t="shared" ca="1" si="105"/>
        <v>-92815.272071913787</v>
      </c>
      <c r="L1180" s="455">
        <f t="shared" ca="1" si="106"/>
        <v>-22368480.569331221</v>
      </c>
      <c r="M1180" s="471">
        <f t="shared" si="109"/>
        <v>0.05</v>
      </c>
      <c r="N1180" s="475">
        <f t="shared" si="110"/>
        <v>86961</v>
      </c>
    </row>
    <row r="1181" spans="7:14" ht="11.25" customHeight="1" x14ac:dyDescent="0.3">
      <c r="G1181" s="470">
        <f t="shared" si="122"/>
        <v>98</v>
      </c>
      <c r="H1181" s="470">
        <v>1174</v>
      </c>
      <c r="I1181" s="455">
        <f t="shared" ca="1" si="108"/>
        <v>-22368480.569331221</v>
      </c>
      <c r="J1181" s="455">
        <f t="array" ref="J1181">IFERROR(INDEX('Retirement Calculator'!J:J,MATCH('Isaac 401k'!N1181,'Retirement Calculator'!A:A,0),0),0)</f>
        <v>0</v>
      </c>
      <c r="K1181" s="455">
        <f t="shared" ca="1" si="105"/>
        <v>-93202.002372213421</v>
      </c>
      <c r="L1181" s="455">
        <f t="shared" ca="1" si="106"/>
        <v>-22461682.571703434</v>
      </c>
      <c r="M1181" s="471">
        <f t="shared" si="109"/>
        <v>0.05</v>
      </c>
      <c r="N1181" s="475">
        <f t="shared" si="110"/>
        <v>86989</v>
      </c>
    </row>
    <row r="1182" spans="7:14" ht="11.25" customHeight="1" x14ac:dyDescent="0.3">
      <c r="G1182" s="470">
        <f t="shared" si="122"/>
        <v>98</v>
      </c>
      <c r="H1182" s="470">
        <v>1175</v>
      </c>
      <c r="I1182" s="455">
        <f t="shared" ca="1" si="108"/>
        <v>-22461682.571703434</v>
      </c>
      <c r="J1182" s="455">
        <f t="array" ref="J1182">IFERROR(INDEX('Retirement Calculator'!J:J,MATCH('Isaac 401k'!N1182,'Retirement Calculator'!A:A,0),0),0)</f>
        <v>0</v>
      </c>
      <c r="K1182" s="455">
        <f t="shared" ca="1" si="105"/>
        <v>-93590.344048764309</v>
      </c>
      <c r="L1182" s="455">
        <f t="shared" ca="1" si="106"/>
        <v>-22555272.915752199</v>
      </c>
      <c r="M1182" s="471">
        <f t="shared" si="109"/>
        <v>0.05</v>
      </c>
      <c r="N1182" s="475">
        <f t="shared" si="110"/>
        <v>87020</v>
      </c>
    </row>
    <row r="1183" spans="7:14" ht="11.25" customHeight="1" x14ac:dyDescent="0.3">
      <c r="G1183" s="470">
        <f t="shared" si="122"/>
        <v>98</v>
      </c>
      <c r="H1183" s="470">
        <v>1176</v>
      </c>
      <c r="I1183" s="455">
        <f t="shared" ca="1" si="108"/>
        <v>-22555272.915752199</v>
      </c>
      <c r="J1183" s="455">
        <f t="array" ref="J1183">IFERROR(INDEX('Retirement Calculator'!J:J,MATCH('Isaac 401k'!N1183,'Retirement Calculator'!A:A,0),0),0)</f>
        <v>0</v>
      </c>
      <c r="K1183" s="455">
        <f t="shared" ca="1" si="105"/>
        <v>-93980.303815634164</v>
      </c>
      <c r="L1183" s="455">
        <f t="shared" ca="1" si="106"/>
        <v>-22649253.219567832</v>
      </c>
      <c r="M1183" s="471">
        <f t="shared" si="109"/>
        <v>0.05</v>
      </c>
      <c r="N1183" s="475">
        <f t="shared" si="110"/>
        <v>87050</v>
      </c>
    </row>
    <row r="1184" spans="7:14" ht="11.25" customHeight="1" x14ac:dyDescent="0.3">
      <c r="G1184" s="470">
        <f>G1183+1</f>
        <v>99</v>
      </c>
      <c r="H1184" s="470">
        <v>1177</v>
      </c>
      <c r="I1184" s="455">
        <f t="shared" ca="1" si="108"/>
        <v>-22649253.219567832</v>
      </c>
      <c r="J1184" s="455">
        <f t="array" ref="J1184">IFERROR(INDEX('Retirement Calculator'!J:J,MATCH('Isaac 401k'!N1184,'Retirement Calculator'!A:A,0),0),0)</f>
        <v>0</v>
      </c>
      <c r="K1184" s="455">
        <f t="shared" ca="1" si="105"/>
        <v>-94371.888414865971</v>
      </c>
      <c r="L1184" s="455">
        <f t="shared" ca="1" si="106"/>
        <v>-22743625.107982699</v>
      </c>
      <c r="M1184" s="471">
        <f t="shared" si="109"/>
        <v>0.05</v>
      </c>
      <c r="N1184" s="475">
        <f t="shared" si="110"/>
        <v>87081</v>
      </c>
    </row>
    <row r="1185" spans="7:14" ht="11.25" customHeight="1" x14ac:dyDescent="0.3">
      <c r="G1185" s="470">
        <f t="shared" ref="G1185:G1195" si="123">G1184</f>
        <v>99</v>
      </c>
      <c r="H1185" s="470">
        <v>1178</v>
      </c>
      <c r="I1185" s="455">
        <f t="shared" ca="1" si="108"/>
        <v>-22743625.107982699</v>
      </c>
      <c r="J1185" s="455">
        <f t="array" ref="J1185">IFERROR(INDEX('Retirement Calculator'!J:J,MATCH('Isaac 401k'!N1185,'Retirement Calculator'!A:A,0),0),0)</f>
        <v>0</v>
      </c>
      <c r="K1185" s="455">
        <f t="shared" ca="1" si="105"/>
        <v>-94765.104616594574</v>
      </c>
      <c r="L1185" s="455">
        <f t="shared" ca="1" si="106"/>
        <v>-22838390.212599292</v>
      </c>
      <c r="M1185" s="471">
        <f t="shared" si="109"/>
        <v>0.05</v>
      </c>
      <c r="N1185" s="475">
        <f t="shared" si="110"/>
        <v>87111</v>
      </c>
    </row>
    <row r="1186" spans="7:14" ht="11.25" customHeight="1" x14ac:dyDescent="0.3">
      <c r="G1186" s="470">
        <f t="shared" si="123"/>
        <v>99</v>
      </c>
      <c r="H1186" s="470">
        <v>1179</v>
      </c>
      <c r="I1186" s="455">
        <f t="shared" ca="1" si="108"/>
        <v>-22838390.212599292</v>
      </c>
      <c r="J1186" s="455">
        <f t="array" ref="J1186">IFERROR(INDEX('Retirement Calculator'!J:J,MATCH('Isaac 401k'!N1186,'Retirement Calculator'!A:A,0),0),0)</f>
        <v>0</v>
      </c>
      <c r="K1186" s="455">
        <f t="shared" ca="1" si="105"/>
        <v>-95159.95921916372</v>
      </c>
      <c r="L1186" s="455">
        <f t="shared" ca="1" si="106"/>
        <v>-22933550.171818458</v>
      </c>
      <c r="M1186" s="471">
        <f t="shared" si="109"/>
        <v>0.05</v>
      </c>
      <c r="N1186" s="475">
        <f t="shared" si="110"/>
        <v>87142</v>
      </c>
    </row>
    <row r="1187" spans="7:14" ht="11.25" customHeight="1" x14ac:dyDescent="0.3">
      <c r="G1187" s="470">
        <f t="shared" si="123"/>
        <v>99</v>
      </c>
      <c r="H1187" s="470">
        <v>1180</v>
      </c>
      <c r="I1187" s="455">
        <f t="shared" ca="1" si="108"/>
        <v>-22933550.171818458</v>
      </c>
      <c r="J1187" s="455">
        <f t="array" ref="J1187">IFERROR(INDEX('Retirement Calculator'!J:J,MATCH('Isaac 401k'!N1187,'Retirement Calculator'!A:A,0),0),0)</f>
        <v>0</v>
      </c>
      <c r="K1187" s="455">
        <f t="shared" ca="1" si="105"/>
        <v>-95556.459049243567</v>
      </c>
      <c r="L1187" s="455">
        <f t="shared" ca="1" si="106"/>
        <v>-23029106.630867701</v>
      </c>
      <c r="M1187" s="471">
        <f t="shared" si="109"/>
        <v>0.05</v>
      </c>
      <c r="N1187" s="475">
        <f t="shared" si="110"/>
        <v>87173</v>
      </c>
    </row>
    <row r="1188" spans="7:14" ht="11.25" customHeight="1" x14ac:dyDescent="0.3">
      <c r="G1188" s="470">
        <f t="shared" si="123"/>
        <v>99</v>
      </c>
      <c r="H1188" s="470">
        <v>1181</v>
      </c>
      <c r="I1188" s="455">
        <f t="shared" ca="1" si="108"/>
        <v>-23029106.630867701</v>
      </c>
      <c r="J1188" s="455">
        <f t="array" ref="J1188">IFERROR(INDEX('Retirement Calculator'!J:J,MATCH('Isaac 401k'!N1188,'Retirement Calculator'!A:A,0),0),0)</f>
        <v>0</v>
      </c>
      <c r="K1188" s="455">
        <f t="shared" ca="1" si="105"/>
        <v>-95954.610961948754</v>
      </c>
      <c r="L1188" s="455">
        <f t="shared" ca="1" si="106"/>
        <v>-23125061.241829649</v>
      </c>
      <c r="M1188" s="471">
        <f t="shared" si="109"/>
        <v>0.05</v>
      </c>
      <c r="N1188" s="475">
        <f t="shared" si="110"/>
        <v>87203</v>
      </c>
    </row>
    <row r="1189" spans="7:14" ht="11.25" customHeight="1" x14ac:dyDescent="0.3">
      <c r="G1189" s="470">
        <f t="shared" si="123"/>
        <v>99</v>
      </c>
      <c r="H1189" s="470">
        <v>1182</v>
      </c>
      <c r="I1189" s="455">
        <f t="shared" ca="1" si="108"/>
        <v>-23125061.241829649</v>
      </c>
      <c r="J1189" s="455">
        <f t="array" ref="J1189">IFERROR(INDEX('Retirement Calculator'!J:J,MATCH('Isaac 401k'!N1189,'Retirement Calculator'!A:A,0),0),0)</f>
        <v>0</v>
      </c>
      <c r="K1189" s="455">
        <f t="shared" ca="1" si="105"/>
        <v>-96354.421840956871</v>
      </c>
      <c r="L1189" s="455">
        <f t="shared" ca="1" si="106"/>
        <v>-23221415.663670607</v>
      </c>
      <c r="M1189" s="471">
        <f t="shared" si="109"/>
        <v>0.05</v>
      </c>
      <c r="N1189" s="475">
        <f t="shared" si="110"/>
        <v>87234</v>
      </c>
    </row>
    <row r="1190" spans="7:14" ht="11.25" customHeight="1" x14ac:dyDescent="0.3">
      <c r="G1190" s="470">
        <f t="shared" si="123"/>
        <v>99</v>
      </c>
      <c r="H1190" s="470">
        <v>1183</v>
      </c>
      <c r="I1190" s="455">
        <f t="shared" ca="1" si="108"/>
        <v>-23221415.663670607</v>
      </c>
      <c r="J1190" s="455">
        <f t="array" ref="J1190">IFERROR(INDEX('Retirement Calculator'!J:J,MATCH('Isaac 401k'!N1190,'Retirement Calculator'!A:A,0),0),0)</f>
        <v>0</v>
      </c>
      <c r="K1190" s="455">
        <f t="shared" ca="1" si="105"/>
        <v>-96755.898598627522</v>
      </c>
      <c r="L1190" s="455">
        <f t="shared" ca="1" si="106"/>
        <v>-23318171.562269233</v>
      </c>
      <c r="M1190" s="471">
        <f t="shared" si="109"/>
        <v>0.05</v>
      </c>
      <c r="N1190" s="475">
        <f t="shared" si="110"/>
        <v>87264</v>
      </c>
    </row>
    <row r="1191" spans="7:14" ht="11.25" customHeight="1" x14ac:dyDescent="0.3">
      <c r="G1191" s="470">
        <f t="shared" si="123"/>
        <v>99</v>
      </c>
      <c r="H1191" s="470">
        <v>1184</v>
      </c>
      <c r="I1191" s="455">
        <f t="shared" ca="1" si="108"/>
        <v>-23318171.562269233</v>
      </c>
      <c r="J1191" s="455">
        <f t="array" ref="J1191">IFERROR(INDEX('Retirement Calculator'!J:J,MATCH('Isaac 401k'!N1191,'Retirement Calculator'!A:A,0),0),0)</f>
        <v>0</v>
      </c>
      <c r="K1191" s="455">
        <f t="shared" ca="1" si="105"/>
        <v>-97159.048176121811</v>
      </c>
      <c r="L1191" s="455">
        <f t="shared" ca="1" si="106"/>
        <v>-23415330.610445354</v>
      </c>
      <c r="M1191" s="471">
        <f t="shared" si="109"/>
        <v>0.05</v>
      </c>
      <c r="N1191" s="475">
        <f t="shared" si="110"/>
        <v>87295</v>
      </c>
    </row>
    <row r="1192" spans="7:14" ht="11.25" customHeight="1" x14ac:dyDescent="0.3">
      <c r="G1192" s="470">
        <f t="shared" si="123"/>
        <v>99</v>
      </c>
      <c r="H1192" s="470">
        <v>1185</v>
      </c>
      <c r="I1192" s="455">
        <f t="shared" ca="1" si="108"/>
        <v>-23415330.610445354</v>
      </c>
      <c r="J1192" s="455">
        <f t="array" ref="J1192">IFERROR(INDEX('Retirement Calculator'!J:J,MATCH('Isaac 401k'!N1192,'Retirement Calculator'!A:A,0),0),0)</f>
        <v>0</v>
      </c>
      <c r="K1192" s="455">
        <f t="shared" ca="1" si="105"/>
        <v>-97563.877543522307</v>
      </c>
      <c r="L1192" s="455">
        <f t="shared" ca="1" si="106"/>
        <v>-23512894.487988878</v>
      </c>
      <c r="M1192" s="471">
        <f t="shared" si="109"/>
        <v>0.05</v>
      </c>
      <c r="N1192" s="475">
        <f t="shared" si="110"/>
        <v>87326</v>
      </c>
    </row>
    <row r="1193" spans="7:14" ht="11.25" customHeight="1" x14ac:dyDescent="0.3">
      <c r="G1193" s="470">
        <f t="shared" si="123"/>
        <v>99</v>
      </c>
      <c r="H1193" s="470">
        <v>1186</v>
      </c>
      <c r="I1193" s="455">
        <f t="shared" ca="1" si="108"/>
        <v>-23512894.487988878</v>
      </c>
      <c r="J1193" s="455">
        <f t="array" ref="J1193">IFERROR(INDEX('Retirement Calculator'!J:J,MATCH('Isaac 401k'!N1193,'Retirement Calculator'!A:A,0),0),0)</f>
        <v>0</v>
      </c>
      <c r="K1193" s="455">
        <f t="shared" ca="1" si="105"/>
        <v>-97970.393699953653</v>
      </c>
      <c r="L1193" s="455">
        <f t="shared" ca="1" si="106"/>
        <v>-23610864.881688833</v>
      </c>
      <c r="M1193" s="471">
        <f t="shared" si="109"/>
        <v>0.05</v>
      </c>
      <c r="N1193" s="475">
        <f t="shared" si="110"/>
        <v>87354</v>
      </c>
    </row>
    <row r="1194" spans="7:14" ht="11.25" customHeight="1" x14ac:dyDescent="0.3">
      <c r="G1194" s="470">
        <f t="shared" si="123"/>
        <v>99</v>
      </c>
      <c r="H1194" s="470">
        <v>1187</v>
      </c>
      <c r="I1194" s="455">
        <f t="shared" ca="1" si="108"/>
        <v>-23610864.881688833</v>
      </c>
      <c r="J1194" s="455">
        <f t="array" ref="J1194">IFERROR(INDEX('Retirement Calculator'!J:J,MATCH('Isaac 401k'!N1194,'Retirement Calculator'!A:A,0),0),0)</f>
        <v>0</v>
      </c>
      <c r="K1194" s="455">
        <f t="shared" ca="1" si="105"/>
        <v>-98378.603673703474</v>
      </c>
      <c r="L1194" s="455">
        <f t="shared" ca="1" si="106"/>
        <v>-23709243.485362537</v>
      </c>
      <c r="M1194" s="471">
        <f t="shared" si="109"/>
        <v>0.05</v>
      </c>
      <c r="N1194" s="475">
        <f t="shared" si="110"/>
        <v>87385</v>
      </c>
    </row>
    <row r="1195" spans="7:14" ht="11.25" customHeight="1" x14ac:dyDescent="0.3">
      <c r="G1195" s="470">
        <f t="shared" si="123"/>
        <v>99</v>
      </c>
      <c r="H1195" s="470">
        <v>1188</v>
      </c>
      <c r="I1195" s="455">
        <f t="shared" ca="1" si="108"/>
        <v>-23709243.485362537</v>
      </c>
      <c r="J1195" s="455">
        <f t="array" ref="J1195">IFERROR(INDEX('Retirement Calculator'!J:J,MATCH('Isaac 401k'!N1195,'Retirement Calculator'!A:A,0),0),0)</f>
        <v>0</v>
      </c>
      <c r="K1195" s="455">
        <f t="shared" ca="1" si="105"/>
        <v>-98788.514522343903</v>
      </c>
      <c r="L1195" s="455">
        <f t="shared" ca="1" si="106"/>
        <v>-23808031.999884881</v>
      </c>
      <c r="M1195" s="471">
        <f t="shared" si="109"/>
        <v>0.05</v>
      </c>
      <c r="N1195" s="475">
        <f t="shared" si="110"/>
        <v>87415</v>
      </c>
    </row>
    <row r="1196" spans="7:14" ht="11.25" customHeight="1" x14ac:dyDescent="0.3">
      <c r="G1196" s="470">
        <f>G1195+1</f>
        <v>100</v>
      </c>
      <c r="H1196" s="470">
        <v>1189</v>
      </c>
      <c r="I1196" s="455">
        <f t="shared" ca="1" si="108"/>
        <v>-23808031.999884881</v>
      </c>
      <c r="J1196" s="455">
        <f t="array" ref="J1196">IFERROR(INDEX('Retirement Calculator'!J:J,MATCH('Isaac 401k'!N1196,'Retirement Calculator'!A:A,0),0),0)</f>
        <v>0</v>
      </c>
      <c r="K1196" s="455">
        <f t="shared" ca="1" si="105"/>
        <v>-99200.133332853671</v>
      </c>
      <c r="L1196" s="455">
        <f t="shared" ca="1" si="106"/>
        <v>-23907232.133217733</v>
      </c>
      <c r="M1196" s="471">
        <f t="shared" si="109"/>
        <v>0.05</v>
      </c>
      <c r="N1196" s="475">
        <f t="shared" si="110"/>
        <v>87446</v>
      </c>
    </row>
    <row r="1197" spans="7:14" ht="11.25" customHeight="1" x14ac:dyDescent="0.3">
      <c r="G1197" s="470">
        <f t="shared" ref="G1197:G1207" si="124">G1196</f>
        <v>100</v>
      </c>
      <c r="H1197" s="470">
        <v>1190</v>
      </c>
      <c r="I1197" s="455">
        <f t="shared" ca="1" si="108"/>
        <v>-23907232.133217733</v>
      </c>
      <c r="J1197" s="455">
        <f t="array" ref="J1197">IFERROR(INDEX('Retirement Calculator'!J:J,MATCH('Isaac 401k'!N1197,'Retirement Calculator'!A:A,0),0),0)</f>
        <v>0</v>
      </c>
      <c r="K1197" s="455">
        <f t="shared" ca="1" si="105"/>
        <v>-99613.46722174056</v>
      </c>
      <c r="L1197" s="455">
        <f t="shared" ca="1" si="106"/>
        <v>-24006845.600439474</v>
      </c>
      <c r="M1197" s="471">
        <f t="shared" si="109"/>
        <v>0.05</v>
      </c>
      <c r="N1197" s="475">
        <f t="shared" si="110"/>
        <v>87476</v>
      </c>
    </row>
    <row r="1198" spans="7:14" ht="11.25" customHeight="1" x14ac:dyDescent="0.3">
      <c r="G1198" s="470">
        <f t="shared" si="124"/>
        <v>100</v>
      </c>
      <c r="H1198" s="470">
        <v>1191</v>
      </c>
      <c r="I1198" s="455">
        <f t="shared" ca="1" si="108"/>
        <v>-24006845.600439474</v>
      </c>
      <c r="J1198" s="455">
        <f t="array" ref="J1198">IFERROR(INDEX('Retirement Calculator'!J:J,MATCH('Isaac 401k'!N1198,'Retirement Calculator'!A:A,0),0),0)</f>
        <v>0</v>
      </c>
      <c r="K1198" s="455">
        <f t="shared" ca="1" si="105"/>
        <v>-100028.52333516447</v>
      </c>
      <c r="L1198" s="455">
        <f t="shared" ca="1" si="106"/>
        <v>-24106874.12377464</v>
      </c>
      <c r="M1198" s="471">
        <f t="shared" si="109"/>
        <v>0.05</v>
      </c>
      <c r="N1198" s="475">
        <f t="shared" si="110"/>
        <v>87507</v>
      </c>
    </row>
    <row r="1199" spans="7:14" ht="11.25" customHeight="1" x14ac:dyDescent="0.3">
      <c r="G1199" s="470">
        <f t="shared" si="124"/>
        <v>100</v>
      </c>
      <c r="H1199" s="470">
        <v>1192</v>
      </c>
      <c r="I1199" s="455">
        <f t="shared" ca="1" si="108"/>
        <v>-24106874.12377464</v>
      </c>
      <c r="J1199" s="455">
        <f t="array" ref="J1199">IFERROR(INDEX('Retirement Calculator'!J:J,MATCH('Isaac 401k'!N1199,'Retirement Calculator'!A:A,0),0),0)</f>
        <v>0</v>
      </c>
      <c r="K1199" s="455">
        <f t="shared" ca="1" si="105"/>
        <v>-100445.308849061</v>
      </c>
      <c r="L1199" s="455">
        <f t="shared" ca="1" si="106"/>
        <v>-24207319.432623703</v>
      </c>
      <c r="M1199" s="471">
        <f t="shared" si="109"/>
        <v>0.05</v>
      </c>
      <c r="N1199" s="475">
        <f t="shared" si="110"/>
        <v>87538</v>
      </c>
    </row>
    <row r="1200" spans="7:14" ht="11.25" customHeight="1" x14ac:dyDescent="0.3">
      <c r="G1200" s="470">
        <f t="shared" si="124"/>
        <v>100</v>
      </c>
      <c r="H1200" s="470">
        <v>1193</v>
      </c>
      <c r="I1200" s="455">
        <f t="shared" ca="1" si="108"/>
        <v>-24207319.432623703</v>
      </c>
      <c r="J1200" s="455">
        <f t="array" ref="J1200">IFERROR(INDEX('Retirement Calculator'!J:J,MATCH('Isaac 401k'!N1200,'Retirement Calculator'!A:A,0),0),0)</f>
        <v>0</v>
      </c>
      <c r="K1200" s="455">
        <f t="shared" ca="1" si="105"/>
        <v>-100863.83096926543</v>
      </c>
      <c r="L1200" s="455">
        <f t="shared" ca="1" si="106"/>
        <v>-24308183.26359297</v>
      </c>
      <c r="M1200" s="471">
        <f t="shared" si="109"/>
        <v>0.05</v>
      </c>
      <c r="N1200" s="475">
        <f t="shared" si="110"/>
        <v>87568</v>
      </c>
    </row>
    <row r="1201" spans="7:14" ht="11.25" customHeight="1" x14ac:dyDescent="0.3">
      <c r="G1201" s="470">
        <f t="shared" si="124"/>
        <v>100</v>
      </c>
      <c r="H1201" s="470">
        <v>1194</v>
      </c>
      <c r="I1201" s="455">
        <f t="shared" ca="1" si="108"/>
        <v>-24308183.26359297</v>
      </c>
      <c r="J1201" s="455">
        <f t="array" ref="J1201">IFERROR(INDEX('Retirement Calculator'!J:J,MATCH('Isaac 401k'!N1201,'Retirement Calculator'!A:A,0),0),0)</f>
        <v>0</v>
      </c>
      <c r="K1201" s="455">
        <f t="shared" ca="1" si="105"/>
        <v>-101284.09693163737</v>
      </c>
      <c r="L1201" s="455">
        <f t="shared" ca="1" si="106"/>
        <v>-24409467.360524606</v>
      </c>
      <c r="M1201" s="471">
        <f t="shared" si="109"/>
        <v>0.05</v>
      </c>
      <c r="N1201" s="475">
        <f t="shared" si="110"/>
        <v>87599</v>
      </c>
    </row>
    <row r="1202" spans="7:14" ht="11.25" customHeight="1" x14ac:dyDescent="0.3">
      <c r="G1202" s="470">
        <f t="shared" si="124"/>
        <v>100</v>
      </c>
      <c r="H1202" s="470">
        <v>1195</v>
      </c>
      <c r="I1202" s="455">
        <f t="shared" ca="1" si="108"/>
        <v>-24409467.360524606</v>
      </c>
      <c r="J1202" s="455">
        <f t="array" ref="J1202">IFERROR(INDEX('Retirement Calculator'!J:J,MATCH('Isaac 401k'!N1202,'Retirement Calculator'!A:A,0),0),0)</f>
        <v>0</v>
      </c>
      <c r="K1202" s="455">
        <f t="shared" ca="1" si="105"/>
        <v>-101706.11400218586</v>
      </c>
      <c r="L1202" s="455">
        <f t="shared" ca="1" si="106"/>
        <v>-24511173.474526793</v>
      </c>
      <c r="M1202" s="471">
        <f t="shared" si="109"/>
        <v>0.05</v>
      </c>
      <c r="N1202" s="475">
        <f t="shared" si="110"/>
        <v>87629</v>
      </c>
    </row>
    <row r="1203" spans="7:14" ht="11.25" customHeight="1" x14ac:dyDescent="0.3">
      <c r="G1203" s="470">
        <f t="shared" si="124"/>
        <v>100</v>
      </c>
      <c r="H1203" s="470">
        <v>1196</v>
      </c>
      <c r="I1203" s="455">
        <f t="shared" ca="1" si="108"/>
        <v>-24511173.474526793</v>
      </c>
      <c r="J1203" s="455">
        <f t="array" ref="J1203">IFERROR(INDEX('Retirement Calculator'!J:J,MATCH('Isaac 401k'!N1203,'Retirement Calculator'!A:A,0),0),0)</f>
        <v>0</v>
      </c>
      <c r="K1203" s="455">
        <f t="shared" ca="1" si="105"/>
        <v>-102129.88947719497</v>
      </c>
      <c r="L1203" s="455">
        <f t="shared" ca="1" si="106"/>
        <v>-24613303.364003986</v>
      </c>
      <c r="M1203" s="471">
        <f t="shared" si="109"/>
        <v>0.05</v>
      </c>
      <c r="N1203" s="475">
        <f t="shared" si="110"/>
        <v>87660</v>
      </c>
    </row>
    <row r="1204" spans="7:14" ht="11.25" customHeight="1" x14ac:dyDescent="0.3">
      <c r="G1204" s="470">
        <f t="shared" si="124"/>
        <v>100</v>
      </c>
      <c r="H1204" s="470">
        <v>1197</v>
      </c>
      <c r="I1204" s="455">
        <f t="shared" ca="1" si="108"/>
        <v>-24613303.364003986</v>
      </c>
      <c r="J1204" s="455">
        <f t="array" ref="J1204">IFERROR(INDEX('Retirement Calculator'!J:J,MATCH('Isaac 401k'!N1204,'Retirement Calculator'!A:A,0),0),0)</f>
        <v>0</v>
      </c>
      <c r="K1204" s="455">
        <f t="shared" ca="1" si="105"/>
        <v>-102555.43068334994</v>
      </c>
      <c r="L1204" s="455">
        <f t="shared" ca="1" si="106"/>
        <v>-24715858.794687334</v>
      </c>
      <c r="M1204" s="471">
        <f t="shared" si="109"/>
        <v>0.05</v>
      </c>
      <c r="N1204" s="475">
        <f t="shared" si="110"/>
        <v>87691</v>
      </c>
    </row>
    <row r="1205" spans="7:14" ht="11.25" customHeight="1" x14ac:dyDescent="0.3">
      <c r="G1205" s="470">
        <f t="shared" si="124"/>
        <v>100</v>
      </c>
      <c r="H1205" s="470">
        <v>1198</v>
      </c>
      <c r="I1205" s="455">
        <f t="shared" ca="1" si="108"/>
        <v>-24715858.794687334</v>
      </c>
      <c r="J1205" s="455">
        <f t="array" ref="J1205">IFERROR(INDEX('Retirement Calculator'!J:J,MATCH('Isaac 401k'!N1205,'Retirement Calculator'!A:A,0),0),0)</f>
        <v>0</v>
      </c>
      <c r="K1205" s="455">
        <f t="shared" ca="1" si="105"/>
        <v>-102982.7449778639</v>
      </c>
      <c r="L1205" s="455">
        <f t="shared" ca="1" si="106"/>
        <v>-24818841.5396652</v>
      </c>
      <c r="M1205" s="471">
        <f t="shared" si="109"/>
        <v>0.05</v>
      </c>
      <c r="N1205" s="475">
        <f t="shared" si="110"/>
        <v>87720</v>
      </c>
    </row>
    <row r="1206" spans="7:14" ht="11.25" customHeight="1" x14ac:dyDescent="0.3">
      <c r="G1206" s="470">
        <f t="shared" si="124"/>
        <v>100</v>
      </c>
      <c r="H1206" s="470">
        <v>1199</v>
      </c>
      <c r="I1206" s="455">
        <f t="shared" ca="1" si="108"/>
        <v>-24818841.5396652</v>
      </c>
      <c r="J1206" s="455">
        <f t="array" ref="J1206">IFERROR(INDEX('Retirement Calculator'!J:J,MATCH('Isaac 401k'!N1206,'Retirement Calculator'!A:A,0),0),0)</f>
        <v>0</v>
      </c>
      <c r="K1206" s="455">
        <f t="shared" ca="1" si="105"/>
        <v>-103411.83974860499</v>
      </c>
      <c r="L1206" s="455">
        <f t="shared" ca="1" si="106"/>
        <v>-24922253.379413806</v>
      </c>
      <c r="M1206" s="471">
        <f t="shared" si="109"/>
        <v>0.05</v>
      </c>
      <c r="N1206" s="475">
        <f t="shared" si="110"/>
        <v>87751</v>
      </c>
    </row>
    <row r="1207" spans="7:14" ht="11.25" customHeight="1" x14ac:dyDescent="0.3">
      <c r="G1207" s="470">
        <f t="shared" si="124"/>
        <v>100</v>
      </c>
      <c r="H1207" s="470">
        <v>1200</v>
      </c>
      <c r="I1207" s="455">
        <f t="shared" ca="1" si="108"/>
        <v>-24922253.379413806</v>
      </c>
      <c r="J1207" s="455">
        <f t="array" ref="J1207">IFERROR(INDEX('Retirement Calculator'!J:J,MATCH('Isaac 401k'!N1207,'Retirement Calculator'!A:A,0),0),0)</f>
        <v>0</v>
      </c>
      <c r="K1207" s="455">
        <f t="shared" ca="1" si="105"/>
        <v>-103842.72241422419</v>
      </c>
      <c r="L1207" s="455">
        <f t="shared" ca="1" si="106"/>
        <v>-25026096.101828031</v>
      </c>
      <c r="M1207" s="471">
        <f t="shared" si="109"/>
        <v>0.05</v>
      </c>
      <c r="N1207" s="475">
        <f t="shared" si="110"/>
        <v>87781</v>
      </c>
    </row>
    <row r="1208" spans="7:14" ht="11.25" customHeight="1" x14ac:dyDescent="0.3">
      <c r="G1208" s="470">
        <f>G1207+1</f>
        <v>101</v>
      </c>
      <c r="H1208" s="470">
        <v>1201</v>
      </c>
      <c r="I1208" s="455">
        <f t="shared" ca="1" si="108"/>
        <v>-25026096.101828031</v>
      </c>
      <c r="J1208" s="455">
        <f t="array" ref="J1208">IFERROR(INDEX('Retirement Calculator'!J:J,MATCH('Isaac 401k'!N1208,'Retirement Calculator'!A:A,0),0),0)</f>
        <v>0</v>
      </c>
      <c r="K1208" s="455">
        <f t="shared" ca="1" si="105"/>
        <v>-104275.40042428346</v>
      </c>
      <c r="L1208" s="455">
        <f t="shared" ca="1" si="106"/>
        <v>-25130371.502252314</v>
      </c>
      <c r="M1208" s="471">
        <f t="shared" si="109"/>
        <v>0.05</v>
      </c>
      <c r="N1208" s="475">
        <f t="shared" si="110"/>
        <v>87812</v>
      </c>
    </row>
    <row r="1209" spans="7:14" ht="11.25" customHeight="1" x14ac:dyDescent="0.3">
      <c r="G1209" s="470">
        <f t="shared" ref="G1209:G1219" si="125">G1208</f>
        <v>101</v>
      </c>
      <c r="H1209" s="470">
        <v>1202</v>
      </c>
      <c r="I1209" s="455">
        <f t="shared" ca="1" si="108"/>
        <v>-25130371.502252314</v>
      </c>
      <c r="J1209" s="455">
        <f t="array" ref="J1209">IFERROR(INDEX('Retirement Calculator'!J:J,MATCH('Isaac 401k'!N1209,'Retirement Calculator'!A:A,0),0),0)</f>
        <v>0</v>
      </c>
      <c r="K1209" s="455">
        <f t="shared" ca="1" si="105"/>
        <v>-104709.88125938464</v>
      </c>
      <c r="L1209" s="455">
        <f t="shared" ca="1" si="106"/>
        <v>-25235081.3835117</v>
      </c>
      <c r="M1209" s="471">
        <f t="shared" si="109"/>
        <v>0.05</v>
      </c>
      <c r="N1209" s="475">
        <f t="shared" si="110"/>
        <v>87842</v>
      </c>
    </row>
    <row r="1210" spans="7:14" ht="11.25" customHeight="1" x14ac:dyDescent="0.3">
      <c r="G1210" s="470">
        <f t="shared" si="125"/>
        <v>101</v>
      </c>
      <c r="H1210" s="470">
        <v>1203</v>
      </c>
      <c r="I1210" s="455">
        <f t="shared" ca="1" si="108"/>
        <v>-25235081.3835117</v>
      </c>
      <c r="J1210" s="455">
        <f t="array" ref="J1210">IFERROR(INDEX('Retirement Calculator'!J:J,MATCH('Isaac 401k'!N1210,'Retirement Calculator'!A:A,0),0),0)</f>
        <v>0</v>
      </c>
      <c r="K1210" s="455">
        <f t="shared" ca="1" si="105"/>
        <v>-105146.17243129875</v>
      </c>
      <c r="L1210" s="455">
        <f t="shared" ca="1" si="106"/>
        <v>-25340227.555942997</v>
      </c>
      <c r="M1210" s="471">
        <f t="shared" si="109"/>
        <v>0.05</v>
      </c>
      <c r="N1210" s="475">
        <f t="shared" si="110"/>
        <v>87873</v>
      </c>
    </row>
    <row r="1211" spans="7:14" ht="11.25" customHeight="1" x14ac:dyDescent="0.3">
      <c r="G1211" s="470">
        <f t="shared" si="125"/>
        <v>101</v>
      </c>
      <c r="H1211" s="470">
        <v>1204</v>
      </c>
      <c r="I1211" s="455">
        <f t="shared" ca="1" si="108"/>
        <v>-25340227.555942997</v>
      </c>
      <c r="J1211" s="455">
        <f t="array" ref="J1211">IFERROR(INDEX('Retirement Calculator'!J:J,MATCH('Isaac 401k'!N1211,'Retirement Calculator'!A:A,0),0),0)</f>
        <v>0</v>
      </c>
      <c r="K1211" s="455">
        <f t="shared" ca="1" si="105"/>
        <v>-105584.28148309582</v>
      </c>
      <c r="L1211" s="455">
        <f t="shared" ca="1" si="106"/>
        <v>-25445811.837426092</v>
      </c>
      <c r="M1211" s="471">
        <f t="shared" si="109"/>
        <v>0.05</v>
      </c>
      <c r="N1211" s="475">
        <f t="shared" si="110"/>
        <v>87904</v>
      </c>
    </row>
    <row r="1212" spans="7:14" ht="11.25" customHeight="1" x14ac:dyDescent="0.3">
      <c r="G1212" s="470">
        <f t="shared" si="125"/>
        <v>101</v>
      </c>
      <c r="H1212" s="470">
        <v>1205</v>
      </c>
      <c r="I1212" s="455">
        <f t="shared" ca="1" si="108"/>
        <v>-25445811.837426092</v>
      </c>
      <c r="J1212" s="455">
        <f t="array" ref="J1212">IFERROR(INDEX('Retirement Calculator'!J:J,MATCH('Isaac 401k'!N1212,'Retirement Calculator'!A:A,0),0),0)</f>
        <v>0</v>
      </c>
      <c r="K1212" s="455">
        <f t="shared" ca="1" si="105"/>
        <v>-106024.21598927538</v>
      </c>
      <c r="L1212" s="455">
        <f t="shared" ca="1" si="106"/>
        <v>-25551836.053415369</v>
      </c>
      <c r="M1212" s="471">
        <f t="shared" si="109"/>
        <v>0.05</v>
      </c>
      <c r="N1212" s="475">
        <f t="shared" si="110"/>
        <v>87934</v>
      </c>
    </row>
    <row r="1213" spans="7:14" ht="11.25" customHeight="1" x14ac:dyDescent="0.3">
      <c r="G1213" s="470">
        <f t="shared" si="125"/>
        <v>101</v>
      </c>
      <c r="H1213" s="470">
        <v>1206</v>
      </c>
      <c r="I1213" s="455">
        <f t="shared" ca="1" si="108"/>
        <v>-25551836.053415369</v>
      </c>
      <c r="J1213" s="455">
        <f t="array" ref="J1213">IFERROR(INDEX('Retirement Calculator'!J:J,MATCH('Isaac 401k'!N1213,'Retirement Calculator'!A:A,0),0),0)</f>
        <v>0</v>
      </c>
      <c r="K1213" s="455">
        <f t="shared" ca="1" si="105"/>
        <v>-106465.98355589737</v>
      </c>
      <c r="L1213" s="455">
        <f t="shared" ca="1" si="106"/>
        <v>-25658302.036971267</v>
      </c>
      <c r="M1213" s="471">
        <f t="shared" si="109"/>
        <v>0.05</v>
      </c>
      <c r="N1213" s="475">
        <f t="shared" si="110"/>
        <v>87965</v>
      </c>
    </row>
    <row r="1214" spans="7:14" ht="11.25" customHeight="1" x14ac:dyDescent="0.3">
      <c r="G1214" s="470">
        <f t="shared" si="125"/>
        <v>101</v>
      </c>
      <c r="H1214" s="470">
        <v>1207</v>
      </c>
      <c r="I1214" s="455">
        <f t="shared" ca="1" si="108"/>
        <v>-25658302.036971267</v>
      </c>
      <c r="J1214" s="455">
        <f t="array" ref="J1214">IFERROR(INDEX('Retirement Calculator'!J:J,MATCH('Isaac 401k'!N1214,'Retirement Calculator'!A:A,0),0),0)</f>
        <v>0</v>
      </c>
      <c r="K1214" s="455">
        <f t="shared" ca="1" si="105"/>
        <v>-106909.59182071361</v>
      </c>
      <c r="L1214" s="455">
        <f t="shared" ca="1" si="106"/>
        <v>-25765211.62879198</v>
      </c>
      <c r="M1214" s="471">
        <f t="shared" si="109"/>
        <v>0.05</v>
      </c>
      <c r="N1214" s="475">
        <f t="shared" si="110"/>
        <v>87995</v>
      </c>
    </row>
    <row r="1215" spans="7:14" ht="11.25" customHeight="1" x14ac:dyDescent="0.3">
      <c r="G1215" s="470">
        <f t="shared" si="125"/>
        <v>101</v>
      </c>
      <c r="H1215" s="470">
        <v>1208</v>
      </c>
      <c r="I1215" s="455">
        <f t="shared" ca="1" si="108"/>
        <v>-25765211.62879198</v>
      </c>
      <c r="J1215" s="455">
        <f t="array" ref="J1215">IFERROR(INDEX('Retirement Calculator'!J:J,MATCH('Isaac 401k'!N1215,'Retirement Calculator'!A:A,0),0),0)</f>
        <v>0</v>
      </c>
      <c r="K1215" s="455">
        <f t="shared" ca="1" si="105"/>
        <v>-107355.04845329991</v>
      </c>
      <c r="L1215" s="455">
        <f t="shared" ca="1" si="106"/>
        <v>-25872566.677245282</v>
      </c>
      <c r="M1215" s="471">
        <f t="shared" si="109"/>
        <v>0.05</v>
      </c>
      <c r="N1215" s="475">
        <f t="shared" si="110"/>
        <v>88026</v>
      </c>
    </row>
    <row r="1216" spans="7:14" ht="11.25" customHeight="1" x14ac:dyDescent="0.3">
      <c r="G1216" s="470">
        <f t="shared" si="125"/>
        <v>101</v>
      </c>
      <c r="H1216" s="470">
        <v>1209</v>
      </c>
      <c r="I1216" s="455">
        <f t="shared" ca="1" si="108"/>
        <v>-25872566.677245282</v>
      </c>
      <c r="J1216" s="455">
        <f t="array" ref="J1216">IFERROR(INDEX('Retirement Calculator'!J:J,MATCH('Isaac 401k'!N1216,'Retirement Calculator'!A:A,0),0),0)</f>
        <v>0</v>
      </c>
      <c r="K1216" s="455">
        <f t="shared" ca="1" si="105"/>
        <v>-107802.36115518867</v>
      </c>
      <c r="L1216" s="455">
        <f t="shared" ca="1" si="106"/>
        <v>-25980369.038400471</v>
      </c>
      <c r="M1216" s="471">
        <f t="shared" si="109"/>
        <v>0.05</v>
      </c>
      <c r="N1216" s="475">
        <f t="shared" si="110"/>
        <v>88057</v>
      </c>
    </row>
    <row r="1217" spans="7:14" ht="11.25" customHeight="1" x14ac:dyDescent="0.3">
      <c r="G1217" s="470">
        <f t="shared" si="125"/>
        <v>101</v>
      </c>
      <c r="H1217" s="470">
        <v>1210</v>
      </c>
      <c r="I1217" s="455">
        <f t="shared" ca="1" si="108"/>
        <v>-25980369.038400471</v>
      </c>
      <c r="J1217" s="455">
        <f t="array" ref="J1217">IFERROR(INDEX('Retirement Calculator'!J:J,MATCH('Isaac 401k'!N1217,'Retirement Calculator'!A:A,0),0),0)</f>
        <v>0</v>
      </c>
      <c r="K1217" s="455">
        <f t="shared" ca="1" si="105"/>
        <v>-108251.53766000197</v>
      </c>
      <c r="L1217" s="455">
        <f t="shared" ca="1" si="106"/>
        <v>-26088620.576060474</v>
      </c>
      <c r="M1217" s="471">
        <f t="shared" si="109"/>
        <v>0.05</v>
      </c>
      <c r="N1217" s="475">
        <f t="shared" si="110"/>
        <v>88085</v>
      </c>
    </row>
    <row r="1218" spans="7:14" ht="11.25" customHeight="1" x14ac:dyDescent="0.3">
      <c r="G1218" s="470">
        <f t="shared" si="125"/>
        <v>101</v>
      </c>
      <c r="H1218" s="470">
        <v>1211</v>
      </c>
      <c r="I1218" s="455">
        <f t="shared" ca="1" si="108"/>
        <v>-26088620.576060474</v>
      </c>
      <c r="J1218" s="455">
        <f t="array" ref="J1218">IFERROR(INDEX('Retirement Calculator'!J:J,MATCH('Isaac 401k'!N1218,'Retirement Calculator'!A:A,0),0),0)</f>
        <v>0</v>
      </c>
      <c r="K1218" s="455">
        <f t="shared" ca="1" si="105"/>
        <v>-108702.58573358531</v>
      </c>
      <c r="L1218" s="455">
        <f t="shared" ca="1" si="106"/>
        <v>-26197323.161794059</v>
      </c>
      <c r="M1218" s="471">
        <f t="shared" si="109"/>
        <v>0.05</v>
      </c>
      <c r="N1218" s="475">
        <f t="shared" si="110"/>
        <v>88116</v>
      </c>
    </row>
    <row r="1219" spans="7:14" ht="11.25" customHeight="1" x14ac:dyDescent="0.3">
      <c r="G1219" s="470">
        <f t="shared" si="125"/>
        <v>101</v>
      </c>
      <c r="H1219" s="470">
        <v>1212</v>
      </c>
      <c r="I1219" s="455">
        <f t="shared" ca="1" si="108"/>
        <v>-26197323.161794059</v>
      </c>
      <c r="J1219" s="455">
        <f t="array" ref="J1219">IFERROR(INDEX('Retirement Calculator'!J:J,MATCH('Isaac 401k'!N1219,'Retirement Calculator'!A:A,0),0),0)</f>
        <v>0</v>
      </c>
      <c r="K1219" s="455">
        <f t="shared" ca="1" si="105"/>
        <v>-109155.51317414192</v>
      </c>
      <c r="L1219" s="455">
        <f t="shared" ca="1" si="106"/>
        <v>-26306478.674968202</v>
      </c>
      <c r="M1219" s="471">
        <f t="shared" si="109"/>
        <v>0.05</v>
      </c>
      <c r="N1219" s="475">
        <f t="shared" si="110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8"/>
        <v>-26306478.674968202</v>
      </c>
      <c r="J1220" s="455">
        <f t="array" ref="J1220">IFERROR(INDEX('Retirement Calculator'!J:J,MATCH('Isaac 401k'!N1220,'Retirement Calculator'!A:A,0),0),0)</f>
        <v>0</v>
      </c>
      <c r="K1220" s="455">
        <f t="shared" ca="1" si="105"/>
        <v>-109610.32781236748</v>
      </c>
      <c r="L1220" s="455">
        <f t="shared" ca="1" si="106"/>
        <v>-26416089.002780568</v>
      </c>
      <c r="M1220" s="471">
        <f t="shared" si="109"/>
        <v>0.05</v>
      </c>
      <c r="N1220" s="475">
        <f t="shared" si="110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8"/>
        <v>-26416089.002780568</v>
      </c>
      <c r="J1221" s="455">
        <f t="array" ref="J1221">IFERROR(INDEX('Retirement Calculator'!J:J,MATCH('Isaac 401k'!N1221,'Retirement Calculator'!A:A,0),0),0)</f>
        <v>0</v>
      </c>
      <c r="K1221" s="455">
        <f t="shared" ca="1" si="105"/>
        <v>-110067.03751158569</v>
      </c>
      <c r="L1221" s="455">
        <f t="shared" ca="1" si="106"/>
        <v>-26526156.040292155</v>
      </c>
      <c r="M1221" s="471">
        <f t="shared" si="109"/>
        <v>0.05</v>
      </c>
      <c r="N1221" s="475">
        <f t="shared" si="110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8"/>
        <v>-26526156.040292155</v>
      </c>
      <c r="J1222" s="455">
        <f t="array" ref="J1222">IFERROR(INDEX('Retirement Calculator'!J:J,MATCH('Isaac 401k'!N1222,'Retirement Calculator'!A:A,0),0),0)</f>
        <v>0</v>
      </c>
      <c r="K1222" s="455">
        <f t="shared" ca="1" si="105"/>
        <v>-110525.65016788396</v>
      </c>
      <c r="L1222" s="455">
        <f t="shared" ca="1" si="106"/>
        <v>-26636681.690460037</v>
      </c>
      <c r="M1222" s="471">
        <f t="shared" si="109"/>
        <v>0.05</v>
      </c>
      <c r="N1222" s="475">
        <f t="shared" si="110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8"/>
        <v>-26636681.690460037</v>
      </c>
      <c r="J1223" s="455">
        <f t="array" ref="J1223">IFERROR(INDEX('Retirement Calculator'!J:J,MATCH('Isaac 401k'!N1223,'Retirement Calculator'!A:A,0),0),0)</f>
        <v>0</v>
      </c>
      <c r="K1223" s="455">
        <f t="shared" ca="1" si="105"/>
        <v>-110986.17371025015</v>
      </c>
      <c r="L1223" s="455">
        <f t="shared" ca="1" si="106"/>
        <v>-26747667.864170287</v>
      </c>
      <c r="M1223" s="471">
        <f t="shared" si="109"/>
        <v>0.05</v>
      </c>
      <c r="N1223" s="475">
        <f t="shared" si="110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8"/>
        <v>-26747667.864170287</v>
      </c>
      <c r="J1224" s="455">
        <f t="array" ref="J1224">IFERROR(INDEX('Retirement Calculator'!J:J,MATCH('Isaac 401k'!N1224,'Retirement Calculator'!A:A,0),0),0)</f>
        <v>0</v>
      </c>
      <c r="K1224" s="455">
        <f t="shared" ca="1" si="105"/>
        <v>-111448.61610070952</v>
      </c>
      <c r="L1224" s="455">
        <f t="shared" ca="1" si="106"/>
        <v>-26859116.480270997</v>
      </c>
      <c r="M1224" s="471">
        <f t="shared" si="109"/>
        <v>0.05</v>
      </c>
      <c r="N1224" s="475">
        <f t="shared" si="110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8"/>
        <v>-26859116.480270997</v>
      </c>
      <c r="J1225" s="455">
        <f t="array" ref="J1225">IFERROR(INDEX('Retirement Calculator'!J:J,MATCH('Isaac 401k'!N1225,'Retirement Calculator'!A:A,0),0),0)</f>
        <v>0</v>
      </c>
      <c r="K1225" s="455">
        <f t="shared" ca="1" si="105"/>
        <v>-111912.98533446249</v>
      </c>
      <c r="L1225" s="455">
        <f t="shared" ca="1" si="106"/>
        <v>-26971029.46560546</v>
      </c>
      <c r="M1225" s="471">
        <f t="shared" si="109"/>
        <v>0.05</v>
      </c>
      <c r="N1225" s="475">
        <f t="shared" si="110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8"/>
        <v>-26971029.46560546</v>
      </c>
      <c r="J1226" s="455">
        <f t="array" ref="J1226">IFERROR(INDEX('Retirement Calculator'!J:J,MATCH('Isaac 401k'!N1226,'Retirement Calculator'!A:A,0),0),0)</f>
        <v>0</v>
      </c>
      <c r="K1226" s="455">
        <f t="shared" ca="1" si="105"/>
        <v>-112379.28944002275</v>
      </c>
      <c r="L1226" s="455">
        <f t="shared" ca="1" si="106"/>
        <v>-27083408.755045481</v>
      </c>
      <c r="M1226" s="471">
        <f t="shared" si="109"/>
        <v>0.05</v>
      </c>
      <c r="N1226" s="475">
        <f t="shared" si="110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8"/>
        <v>-27083408.755045481</v>
      </c>
      <c r="J1227" s="455">
        <f t="array" ref="J1227">IFERROR(INDEX('Retirement Calculator'!J:J,MATCH('Isaac 401k'!N1227,'Retirement Calculator'!A:A,0),0),0)</f>
        <v>0</v>
      </c>
      <c r="K1227" s="455">
        <f t="shared" ca="1" si="105"/>
        <v>-112847.53647935617</v>
      </c>
      <c r="L1227" s="455">
        <f t="shared" ca="1" si="106"/>
        <v>-27196256.291524839</v>
      </c>
      <c r="M1227" s="471">
        <f t="shared" si="109"/>
        <v>0.05</v>
      </c>
      <c r="N1227" s="475">
        <f t="shared" si="110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8"/>
        <v>-27196256.291524839</v>
      </c>
      <c r="J1228" s="455">
        <f t="array" ref="J1228">IFERROR(INDEX('Retirement Calculator'!J:J,MATCH('Isaac 401k'!N1228,'Retirement Calculator'!A:A,0),0),0)</f>
        <v>0</v>
      </c>
      <c r="K1228" s="455">
        <f t="shared" ca="1" si="105"/>
        <v>-113317.73454802018</v>
      </c>
      <c r="L1228" s="455">
        <f t="shared" ca="1" si="106"/>
        <v>-27309574.02607286</v>
      </c>
      <c r="M1228" s="471">
        <f t="shared" si="109"/>
        <v>0.05</v>
      </c>
      <c r="N1228" s="475">
        <f t="shared" si="110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8"/>
        <v>-27309574.02607286</v>
      </c>
      <c r="J1229" s="455">
        <f t="array" ref="J1229">IFERROR(INDEX('Retirement Calculator'!J:J,MATCH('Isaac 401k'!N1229,'Retirement Calculator'!A:A,0),0),0)</f>
        <v>0</v>
      </c>
      <c r="K1229" s="455">
        <f t="shared" ca="1" si="105"/>
        <v>-113789.89177530358</v>
      </c>
      <c r="L1229" s="455">
        <f t="shared" ca="1" si="106"/>
        <v>-27423363.917848162</v>
      </c>
      <c r="M1229" s="471">
        <f t="shared" si="109"/>
        <v>0.05</v>
      </c>
      <c r="N1229" s="475">
        <f t="shared" si="110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8"/>
        <v>-27423363.917848162</v>
      </c>
      <c r="J1230" s="455">
        <f t="array" ref="J1230">IFERROR(INDEX('Retirement Calculator'!J:J,MATCH('Isaac 401k'!N1230,'Retirement Calculator'!A:A,0),0),0)</f>
        <v>0</v>
      </c>
      <c r="K1230" s="455">
        <f t="shared" ca="1" si="105"/>
        <v>-114264.01632436735</v>
      </c>
      <c r="L1230" s="455">
        <f t="shared" ca="1" si="106"/>
        <v>-27537627.93417253</v>
      </c>
      <c r="M1230" s="471">
        <f t="shared" si="109"/>
        <v>0.05</v>
      </c>
      <c r="N1230" s="475">
        <f t="shared" si="110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8"/>
        <v>-27537627.93417253</v>
      </c>
      <c r="J1231" s="455">
        <f t="array" ref="J1231">IFERROR(INDEX('Retirement Calculator'!J:J,MATCH('Isaac 401k'!N1231,'Retirement Calculator'!A:A,0),0),0)</f>
        <v>0</v>
      </c>
      <c r="K1231" s="455">
        <f t="shared" ca="1" si="105"/>
        <v>-114740.11639238553</v>
      </c>
      <c r="L1231" s="455">
        <f t="shared" ca="1" si="106"/>
        <v>-27652368.050564915</v>
      </c>
      <c r="M1231" s="471">
        <f t="shared" si="109"/>
        <v>0.05</v>
      </c>
      <c r="N1231" s="475">
        <f t="shared" si="110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8"/>
        <v>-27652368.050564915</v>
      </c>
      <c r="J1232" s="455">
        <f t="array" ref="J1232">IFERROR(INDEX('Retirement Calculator'!J:J,MATCH('Isaac 401k'!N1232,'Retirement Calculator'!A:A,0),0),0)</f>
        <v>0</v>
      </c>
      <c r="K1232" s="455">
        <f t="shared" ca="1" si="105"/>
        <v>-115218.20021068712</v>
      </c>
      <c r="L1232" s="455">
        <f t="shared" ca="1" si="106"/>
        <v>-27767586.250775602</v>
      </c>
      <c r="M1232" s="471">
        <f t="shared" si="109"/>
        <v>0.05</v>
      </c>
      <c r="N1232" s="475">
        <f t="shared" si="110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8"/>
        <v>-27767586.250775602</v>
      </c>
      <c r="J1233" s="455">
        <f t="array" ref="J1233">IFERROR(INDEX('Retirement Calculator'!J:J,MATCH('Isaac 401k'!N1233,'Retirement Calculator'!A:A,0),0),0)</f>
        <v>0</v>
      </c>
      <c r="K1233" s="455">
        <f t="shared" ca="1" si="105"/>
        <v>-115698.27604489836</v>
      </c>
      <c r="L1233" s="455">
        <f t="shared" ca="1" si="106"/>
        <v>-27883284.526820499</v>
      </c>
      <c r="M1233" s="471">
        <f t="shared" si="109"/>
        <v>0.05</v>
      </c>
      <c r="N1233" s="475">
        <f t="shared" si="110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8"/>
        <v>-27883284.526820499</v>
      </c>
      <c r="J1234" s="455">
        <f t="array" ref="J1234">IFERROR(INDEX('Retirement Calculator'!J:J,MATCH('Isaac 401k'!N1234,'Retirement Calculator'!A:A,0),0),0)</f>
        <v>0</v>
      </c>
      <c r="K1234" s="455">
        <f t="shared" ca="1" si="105"/>
        <v>-116180.35219508542</v>
      </c>
      <c r="L1234" s="455">
        <f t="shared" ca="1" si="106"/>
        <v>-27999464.879015584</v>
      </c>
      <c r="M1234" s="471">
        <f t="shared" si="109"/>
        <v>0.05</v>
      </c>
      <c r="N1234" s="475">
        <f t="shared" si="110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8"/>
        <v>-27999464.879015584</v>
      </c>
      <c r="J1235" s="455">
        <f t="array" ref="J1235">IFERROR(INDEX('Retirement Calculator'!J:J,MATCH('Isaac 401k'!N1235,'Retirement Calculator'!A:A,0),0),0)</f>
        <v>0</v>
      </c>
      <c r="K1235" s="455">
        <f t="shared" ca="1" si="105"/>
        <v>-116664.43699589824</v>
      </c>
      <c r="L1235" s="455">
        <f t="shared" ca="1" si="106"/>
        <v>-28116129.316011481</v>
      </c>
      <c r="M1235" s="471">
        <f t="shared" si="109"/>
        <v>0.05</v>
      </c>
      <c r="N1235" s="475">
        <f t="shared" si="110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8"/>
        <v>-28116129.316011481</v>
      </c>
      <c r="J1236" s="455">
        <f t="array" ref="J1236">IFERROR(INDEX('Retirement Calculator'!J:J,MATCH('Isaac 401k'!N1236,'Retirement Calculator'!A:A,0),0),0)</f>
        <v>0</v>
      </c>
      <c r="K1236" s="455">
        <f t="shared" ca="1" si="105"/>
        <v>-117150.5388167145</v>
      </c>
      <c r="L1236" s="455">
        <f t="shared" ca="1" si="106"/>
        <v>-28233279.854828194</v>
      </c>
      <c r="M1236" s="471">
        <f t="shared" si="109"/>
        <v>0.05</v>
      </c>
      <c r="N1236" s="475">
        <f t="shared" si="110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8"/>
        <v>-28233279.854828194</v>
      </c>
      <c r="J1237" s="455">
        <f t="array" ref="J1237">IFERROR(INDEX('Retirement Calculator'!J:J,MATCH('Isaac 401k'!N1237,'Retirement Calculator'!A:A,0),0),0)</f>
        <v>0</v>
      </c>
      <c r="K1237" s="455">
        <f t="shared" ca="1" si="105"/>
        <v>-117638.66606178416</v>
      </c>
      <c r="L1237" s="455">
        <f t="shared" ca="1" si="106"/>
        <v>-28350918.520889979</v>
      </c>
      <c r="M1237" s="471">
        <f t="shared" si="109"/>
        <v>0.05</v>
      </c>
      <c r="N1237" s="475">
        <f t="shared" si="110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8"/>
        <v>-28350918.520889979</v>
      </c>
      <c r="J1238" s="455">
        <f t="array" ref="J1238">IFERROR(INDEX('Retirement Calculator'!J:J,MATCH('Isaac 401k'!N1238,'Retirement Calculator'!A:A,0),0),0)</f>
        <v>0</v>
      </c>
      <c r="K1238" s="455">
        <f t="shared" ca="1" si="105"/>
        <v>-118128.82717037491</v>
      </c>
      <c r="L1238" s="455">
        <f t="shared" ca="1" si="106"/>
        <v>-28469047.348060355</v>
      </c>
      <c r="M1238" s="471">
        <f t="shared" si="109"/>
        <v>0.05</v>
      </c>
      <c r="N1238" s="475">
        <f t="shared" si="110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8"/>
        <v>-28469047.348060355</v>
      </c>
      <c r="J1239" s="455">
        <f t="array" ref="J1239">IFERROR(INDEX('Retirement Calculator'!J:J,MATCH('Isaac 401k'!N1239,'Retirement Calculator'!A:A,0),0),0)</f>
        <v>0</v>
      </c>
      <c r="K1239" s="455">
        <f t="shared" ca="1" si="105"/>
        <v>-118621.03061691816</v>
      </c>
      <c r="L1239" s="455">
        <f t="shared" ca="1" si="106"/>
        <v>-28587668.378677271</v>
      </c>
      <c r="M1239" s="471">
        <f t="shared" si="109"/>
        <v>0.05</v>
      </c>
      <c r="N1239" s="475">
        <f t="shared" si="110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8"/>
        <v>-28587668.378677271</v>
      </c>
      <c r="J1240" s="455">
        <f t="array" ref="J1240">IFERROR(INDEX('Retirement Calculator'!J:J,MATCH('Isaac 401k'!N1240,'Retirement Calculator'!A:A,0),0),0)</f>
        <v>0</v>
      </c>
      <c r="K1240" s="455">
        <f t="shared" ca="1" si="105"/>
        <v>-119115.28491115529</v>
      </c>
      <c r="L1240" s="455">
        <f t="shared" ca="1" si="106"/>
        <v>-28706783.663588427</v>
      </c>
      <c r="M1240" s="471">
        <f t="shared" si="109"/>
        <v>0.05</v>
      </c>
      <c r="N1240" s="475">
        <f t="shared" si="110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8"/>
        <v>-28706783.663588427</v>
      </c>
      <c r="J1241" s="455">
        <f t="array" ref="J1241">IFERROR(INDEX('Retirement Calculator'!J:J,MATCH('Isaac 401k'!N1241,'Retirement Calculator'!A:A,0),0),0)</f>
        <v>0</v>
      </c>
      <c r="K1241" s="455">
        <f t="shared" ca="1" si="105"/>
        <v>-119611.59859828511</v>
      </c>
      <c r="L1241" s="455">
        <f t="shared" ca="1" si="106"/>
        <v>-28826395.262186714</v>
      </c>
      <c r="M1241" s="471">
        <f t="shared" si="109"/>
        <v>0.05</v>
      </c>
      <c r="N1241" s="475">
        <f t="shared" si="110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8"/>
        <v>-28826395.262186714</v>
      </c>
      <c r="J1242" s="455">
        <f t="array" ref="J1242">IFERROR(INDEX('Retirement Calculator'!J:J,MATCH('Isaac 401k'!N1242,'Retirement Calculator'!A:A,0),0),0)</f>
        <v>0</v>
      </c>
      <c r="K1242" s="455">
        <f t="shared" ca="1" si="105"/>
        <v>-120109.98025911131</v>
      </c>
      <c r="L1242" s="455">
        <f t="shared" ca="1" si="106"/>
        <v>-28946505.242445827</v>
      </c>
      <c r="M1242" s="471">
        <f t="shared" si="109"/>
        <v>0.05</v>
      </c>
      <c r="N1242" s="475">
        <f t="shared" si="110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8"/>
        <v>-28946505.242445827</v>
      </c>
      <c r="J1243" s="455">
        <f t="array" ref="J1243">IFERROR(INDEX('Retirement Calculator'!J:J,MATCH('Isaac 401k'!N1243,'Retirement Calculator'!A:A,0),0),0)</f>
        <v>0</v>
      </c>
      <c r="K1243" s="455">
        <f t="shared" ca="1" si="105"/>
        <v>-120610.43851019094</v>
      </c>
      <c r="L1243" s="455">
        <f t="shared" ca="1" si="106"/>
        <v>-29067115.680956017</v>
      </c>
      <c r="M1243" s="471">
        <f t="shared" si="109"/>
        <v>0.05</v>
      </c>
      <c r="N1243" s="475">
        <f t="shared" si="110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8"/>
        <v>-29067115.680956017</v>
      </c>
      <c r="J1244" s="455">
        <f t="array" ref="J1244">IFERROR(INDEX('Retirement Calculator'!J:J,MATCH('Isaac 401k'!N1244,'Retirement Calculator'!A:A,0),0),0)</f>
        <v>0</v>
      </c>
      <c r="K1244" s="455">
        <f t="shared" ca="1" si="105"/>
        <v>-121112.9820039834</v>
      </c>
      <c r="L1244" s="455">
        <f t="shared" ca="1" si="106"/>
        <v>-29188228.66296</v>
      </c>
      <c r="M1244" s="471">
        <f t="shared" si="109"/>
        <v>0.05</v>
      </c>
      <c r="N1244" s="475">
        <f t="shared" si="110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8"/>
        <v>-29188228.66296</v>
      </c>
      <c r="J1245" s="455">
        <f t="array" ref="J1245">IFERROR(INDEX('Retirement Calculator'!J:J,MATCH('Isaac 401k'!N1245,'Retirement Calculator'!A:A,0),0),0)</f>
        <v>0</v>
      </c>
      <c r="K1245" s="455">
        <f t="shared" ca="1" si="105"/>
        <v>-121617.619429</v>
      </c>
      <c r="L1245" s="455">
        <f t="shared" ca="1" si="106"/>
        <v>-29309846.282389</v>
      </c>
      <c r="M1245" s="471">
        <f t="shared" si="109"/>
        <v>0.05</v>
      </c>
      <c r="N1245" s="475">
        <f t="shared" si="110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8"/>
        <v>-29309846.282389</v>
      </c>
      <c r="J1246" s="455">
        <f t="array" ref="J1246">IFERROR(INDEX('Retirement Calculator'!J:J,MATCH('Isaac 401k'!N1246,'Retirement Calculator'!A:A,0),0),0)</f>
        <v>0</v>
      </c>
      <c r="K1246" s="455">
        <f t="shared" ca="1" si="105"/>
        <v>-122124.35950995417</v>
      </c>
      <c r="L1246" s="455">
        <f t="shared" ca="1" si="106"/>
        <v>-29431970.641898952</v>
      </c>
      <c r="M1246" s="471">
        <f t="shared" si="109"/>
        <v>0.05</v>
      </c>
      <c r="N1246" s="475">
        <f t="shared" si="110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8"/>
        <v>-29431970.641898952</v>
      </c>
      <c r="J1247" s="455">
        <f t="array" ref="J1247">IFERROR(INDEX('Retirement Calculator'!J:J,MATCH('Isaac 401k'!N1247,'Retirement Calculator'!A:A,0),0),0)</f>
        <v>0</v>
      </c>
      <c r="K1247" s="455">
        <f t="shared" ca="1" si="105"/>
        <v>-122633.21100791229</v>
      </c>
      <c r="L1247" s="455">
        <f t="shared" ca="1" si="106"/>
        <v>-29554603.852906864</v>
      </c>
      <c r="M1247" s="471">
        <f t="shared" si="109"/>
        <v>0.05</v>
      </c>
      <c r="N1247" s="475">
        <f t="shared" si="110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8"/>
        <v>-29554603.852906864</v>
      </c>
      <c r="J1248" s="455">
        <f t="array" ref="J1248">IFERROR(INDEX('Retirement Calculator'!J:J,MATCH('Isaac 401k'!N1248,'Retirement Calculator'!A:A,0),0),0)</f>
        <v>0</v>
      </c>
      <c r="K1248" s="455">
        <f t="shared" ca="1" si="105"/>
        <v>-123144.18272044527</v>
      </c>
      <c r="L1248" s="455">
        <f t="shared" ca="1" si="106"/>
        <v>-29677748.035627309</v>
      </c>
      <c r="M1248" s="471">
        <f t="shared" si="109"/>
        <v>0.05</v>
      </c>
      <c r="N1248" s="475">
        <f t="shared" si="110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8"/>
        <v>-29677748.035627309</v>
      </c>
      <c r="J1249" s="455">
        <f t="array" ref="J1249">IFERROR(INDEX('Retirement Calculator'!J:J,MATCH('Isaac 401k'!N1249,'Retirement Calculator'!A:A,0),0),0)</f>
        <v>0</v>
      </c>
      <c r="K1249" s="455">
        <f t="shared" ca="1" si="105"/>
        <v>-123657.28348178045</v>
      </c>
      <c r="L1249" s="455">
        <f t="shared" ca="1" si="106"/>
        <v>-29801405.31910909</v>
      </c>
      <c r="M1249" s="471">
        <f t="shared" si="109"/>
        <v>0.05</v>
      </c>
      <c r="N1249" s="475">
        <f t="shared" si="110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8"/>
        <v>-29801405.31910909</v>
      </c>
      <c r="J1250" s="455">
        <f t="array" ref="J1250">IFERROR(INDEX('Retirement Calculator'!J:J,MATCH('Isaac 401k'!N1250,'Retirement Calculator'!A:A,0),0),0)</f>
        <v>0</v>
      </c>
      <c r="K1250" s="455">
        <f t="shared" ca="1" si="105"/>
        <v>-124172.52216295454</v>
      </c>
      <c r="L1250" s="455">
        <f t="shared" ca="1" si="106"/>
        <v>-29925577.841272045</v>
      </c>
      <c r="M1250" s="471">
        <f t="shared" si="109"/>
        <v>0.05</v>
      </c>
      <c r="N1250" s="475">
        <f t="shared" si="110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8"/>
        <v>-29925577.841272045</v>
      </c>
      <c r="J1251" s="455">
        <f t="array" ref="J1251">IFERROR(INDEX('Retirement Calculator'!J:J,MATCH('Isaac 401k'!N1251,'Retirement Calculator'!A:A,0),0),0)</f>
        <v>0</v>
      </c>
      <c r="K1251" s="455">
        <f t="shared" ca="1" si="105"/>
        <v>-124689.90767196685</v>
      </c>
      <c r="L1251" s="455">
        <f t="shared" ca="1" si="106"/>
        <v>-30050267.748944011</v>
      </c>
      <c r="M1251" s="471">
        <f t="shared" si="109"/>
        <v>0.05</v>
      </c>
      <c r="N1251" s="475">
        <f t="shared" si="110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8"/>
        <v>-30050267.748944011</v>
      </c>
      <c r="J1252" s="455">
        <f t="array" ref="J1252">IFERROR(INDEX('Retirement Calculator'!J:J,MATCH('Isaac 401k'!N1252,'Retirement Calculator'!A:A,0),0),0)</f>
        <v>0</v>
      </c>
      <c r="K1252" s="455">
        <f t="shared" ca="1" si="105"/>
        <v>-125209.44895393337</v>
      </c>
      <c r="L1252" s="455">
        <f t="shared" ca="1" si="106"/>
        <v>-30175477.197897945</v>
      </c>
      <c r="M1252" s="471">
        <f t="shared" si="109"/>
        <v>0.05</v>
      </c>
      <c r="N1252" s="475">
        <f t="shared" si="110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8"/>
        <v>-30175477.197897945</v>
      </c>
      <c r="J1253" s="455">
        <f t="array" ref="J1253">IFERROR(INDEX('Retirement Calculator'!J:J,MATCH('Isaac 401k'!N1253,'Retirement Calculator'!A:A,0),0),0)</f>
        <v>0</v>
      </c>
      <c r="K1253" s="455">
        <f t="shared" ca="1" si="105"/>
        <v>-125731.15499124142</v>
      </c>
      <c r="L1253" s="455">
        <f t="shared" ca="1" si="106"/>
        <v>-30301208.352889188</v>
      </c>
      <c r="M1253" s="471">
        <f t="shared" si="109"/>
        <v>0.05</v>
      </c>
      <c r="N1253" s="475">
        <f t="shared" si="110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8"/>
        <v>-30301208.352889188</v>
      </c>
      <c r="J1254" s="455">
        <f t="array" ref="J1254">IFERROR(INDEX('Retirement Calculator'!J:J,MATCH('Isaac 401k'!N1254,'Retirement Calculator'!A:A,0),0),0)</f>
        <v>0</v>
      </c>
      <c r="K1254" s="455">
        <f t="shared" ca="1" si="105"/>
        <v>-126255.03480370494</v>
      </c>
      <c r="L1254" s="455">
        <f t="shared" ca="1" si="106"/>
        <v>-30427463.387692891</v>
      </c>
      <c r="M1254" s="471">
        <f t="shared" si="109"/>
        <v>0.05</v>
      </c>
      <c r="N1254" s="475">
        <f t="shared" si="110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8"/>
        <v>-30427463.387692891</v>
      </c>
      <c r="J1255" s="455">
        <f t="array" ref="J1255">IFERROR(INDEX('Retirement Calculator'!J:J,MATCH('Isaac 401k'!N1255,'Retirement Calculator'!A:A,0),0),0)</f>
        <v>0</v>
      </c>
      <c r="K1255" s="455">
        <f t="shared" ca="1" si="105"/>
        <v>-126781.09744872038</v>
      </c>
      <c r="L1255" s="455">
        <f t="shared" ca="1" si="106"/>
        <v>-30554244.485141613</v>
      </c>
      <c r="M1255" s="471">
        <f t="shared" si="109"/>
        <v>0.05</v>
      </c>
      <c r="N1255" s="475">
        <f t="shared" si="110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8"/>
        <v>-30554244.485141613</v>
      </c>
      <c r="J1256" s="455">
        <f t="array" ref="J1256">IFERROR(INDEX('Retirement Calculator'!J:J,MATCH('Isaac 401k'!N1256,'Retirement Calculator'!A:A,0),0),0)</f>
        <v>0</v>
      </c>
      <c r="K1256" s="455">
        <f t="shared" ca="1" si="105"/>
        <v>-127309.35202142339</v>
      </c>
      <c r="L1256" s="455">
        <f t="shared" ca="1" si="106"/>
        <v>-30681553.837163035</v>
      </c>
      <c r="M1256" s="471">
        <f t="shared" si="109"/>
        <v>0.05</v>
      </c>
      <c r="N1256" s="475">
        <f t="shared" si="110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8"/>
        <v>-30681553.837163035</v>
      </c>
      <c r="J1257" s="455">
        <f t="array" ref="J1257">IFERROR(INDEX('Retirement Calculator'!J:J,MATCH('Isaac 401k'!N1257,'Retirement Calculator'!A:A,0),0),0)</f>
        <v>0</v>
      </c>
      <c r="K1257" s="455">
        <f t="shared" ca="1" si="105"/>
        <v>-127839.80765484598</v>
      </c>
      <c r="L1257" s="455">
        <f t="shared" ca="1" si="106"/>
        <v>-30809393.644817881</v>
      </c>
      <c r="M1257" s="471">
        <f t="shared" si="109"/>
        <v>0.05</v>
      </c>
      <c r="N1257" s="475">
        <f t="shared" si="110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8"/>
        <v>-30809393.644817881</v>
      </c>
      <c r="J1258" s="455">
        <f t="array" ref="J1258">IFERROR(INDEX('Retirement Calculator'!J:J,MATCH('Isaac 401k'!N1258,'Retirement Calculator'!A:A,0),0),0)</f>
        <v>0</v>
      </c>
      <c r="K1258" s="455">
        <f t="shared" ca="1" si="105"/>
        <v>-128372.47352007449</v>
      </c>
      <c r="L1258" s="455">
        <f t="shared" ca="1" si="106"/>
        <v>-30937766.118337955</v>
      </c>
      <c r="M1258" s="471">
        <f t="shared" si="109"/>
        <v>0.05</v>
      </c>
      <c r="N1258" s="475">
        <f t="shared" si="110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8"/>
        <v>-30937766.118337955</v>
      </c>
      <c r="J1259" s="455">
        <f t="array" ref="J1259">IFERROR(INDEX('Retirement Calculator'!J:J,MATCH('Isaac 401k'!N1259,'Retirement Calculator'!A:A,0),0),0)</f>
        <v>0</v>
      </c>
      <c r="K1259" s="455">
        <f t="shared" ca="1" si="105"/>
        <v>-128907.35882640816</v>
      </c>
      <c r="L1259" s="455">
        <f t="shared" ca="1" si="106"/>
        <v>-31066673.477164365</v>
      </c>
      <c r="M1259" s="471">
        <f t="shared" si="109"/>
        <v>0.05</v>
      </c>
      <c r="N1259" s="475">
        <f t="shared" si="110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8"/>
        <v>-31066673.477164365</v>
      </c>
      <c r="J1260" s="455">
        <f t="array" ref="J1260">IFERROR(INDEX('Retirement Calculator'!J:J,MATCH('Isaac 401k'!N1260,'Retirement Calculator'!A:A,0),0),0)</f>
        <v>0</v>
      </c>
      <c r="K1260" s="455">
        <f t="shared" ca="1" si="105"/>
        <v>-129444.47282151817</v>
      </c>
      <c r="L1260" s="455">
        <f t="shared" ca="1" si="106"/>
        <v>-31196117.949985884</v>
      </c>
      <c r="M1260" s="471">
        <f t="shared" si="109"/>
        <v>0.05</v>
      </c>
      <c r="N1260" s="475">
        <f t="shared" si="110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8"/>
        <v>-31196117.949985884</v>
      </c>
      <c r="J1261" s="455">
        <f t="array" ref="J1261">IFERROR(INDEX('Retirement Calculator'!J:J,MATCH('Isaac 401k'!N1261,'Retirement Calculator'!A:A,0),0),0)</f>
        <v>0</v>
      </c>
      <c r="K1261" s="455">
        <f t="shared" ca="1" si="105"/>
        <v>-129983.82479160785</v>
      </c>
      <c r="L1261" s="455">
        <f t="shared" ca="1" si="106"/>
        <v>-31326101.774777491</v>
      </c>
      <c r="M1261" s="471">
        <f t="shared" si="109"/>
        <v>0.05</v>
      </c>
      <c r="N1261" s="475">
        <f t="shared" si="110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8"/>
        <v>-31326101.774777491</v>
      </c>
      <c r="J1262" s="455">
        <f t="array" ref="J1262">IFERROR(INDEX('Retirement Calculator'!J:J,MATCH('Isaac 401k'!N1262,'Retirement Calculator'!A:A,0),0),0)</f>
        <v>0</v>
      </c>
      <c r="K1262" s="455">
        <f t="shared" ca="1" si="105"/>
        <v>-130525.42406157288</v>
      </c>
      <c r="L1262" s="455">
        <f t="shared" ca="1" si="106"/>
        <v>-31456627.198839065</v>
      </c>
      <c r="M1262" s="471">
        <f t="shared" si="109"/>
        <v>0.05</v>
      </c>
      <c r="N1262" s="475">
        <f t="shared" si="110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8"/>
        <v>-31456627.198839065</v>
      </c>
      <c r="J1263" s="455">
        <f t="array" ref="J1263">IFERROR(INDEX('Retirement Calculator'!J:J,MATCH('Isaac 401k'!N1263,'Retirement Calculator'!A:A,0),0),0)</f>
        <v>0</v>
      </c>
      <c r="K1263" s="455">
        <f t="shared" ca="1" si="105"/>
        <v>-131069.27999516277</v>
      </c>
      <c r="L1263" s="455">
        <f t="shared" ca="1" si="106"/>
        <v>-31587696.478834227</v>
      </c>
      <c r="M1263" s="471">
        <f t="shared" si="109"/>
        <v>0.05</v>
      </c>
      <c r="N1263" s="475">
        <f t="shared" si="110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8"/>
        <v>-31587696.478834227</v>
      </c>
      <c r="J1264" s="455">
        <f t="array" ref="J1264">IFERROR(INDEX('Retirement Calculator'!J:J,MATCH('Isaac 401k'!N1264,'Retirement Calculator'!A:A,0),0),0)</f>
        <v>0</v>
      </c>
      <c r="K1264" s="455">
        <f t="shared" ca="1" si="105"/>
        <v>-131615.4019951426</v>
      </c>
      <c r="L1264" s="455">
        <f t="shared" ca="1" si="106"/>
        <v>-31719311.880829368</v>
      </c>
      <c r="M1264" s="471">
        <f t="shared" si="109"/>
        <v>0.05</v>
      </c>
      <c r="N1264" s="475">
        <f t="shared" si="110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8"/>
        <v>-31719311.880829368</v>
      </c>
      <c r="J1265" s="455">
        <f t="array" ref="J1265">IFERROR(INDEX('Retirement Calculator'!J:J,MATCH('Isaac 401k'!N1265,'Retirement Calculator'!A:A,0),0),0)</f>
        <v>0</v>
      </c>
      <c r="K1265" s="455">
        <f t="shared" ca="1" si="105"/>
        <v>-132163.7995034557</v>
      </c>
      <c r="L1265" s="455">
        <f t="shared" ca="1" si="106"/>
        <v>-31851475.680332825</v>
      </c>
      <c r="M1265" s="471">
        <f t="shared" si="109"/>
        <v>0.05</v>
      </c>
      <c r="N1265" s="475">
        <f t="shared" si="110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8"/>
        <v>-31851475.680332825</v>
      </c>
      <c r="J1266" s="455">
        <f t="array" ref="J1266">IFERROR(INDEX('Retirement Calculator'!J:J,MATCH('Isaac 401k'!N1266,'Retirement Calculator'!A:A,0),0),0)</f>
        <v>0</v>
      </c>
      <c r="K1266" s="455">
        <f t="shared" ca="1" si="105"/>
        <v>-132714.48200138676</v>
      </c>
      <c r="L1266" s="455">
        <f t="shared" ca="1" si="106"/>
        <v>-31984190.162334211</v>
      </c>
      <c r="M1266" s="471">
        <f t="shared" si="109"/>
        <v>0.05</v>
      </c>
      <c r="N1266" s="475">
        <f t="shared" si="110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8"/>
        <v>-31984190.162334211</v>
      </c>
      <c r="J1267" s="455">
        <f t="array" ref="J1267">IFERROR(INDEX('Retirement Calculator'!J:J,MATCH('Isaac 401k'!N1267,'Retirement Calculator'!A:A,0),0),0)</f>
        <v>0</v>
      </c>
      <c r="K1267" s="455">
        <f t="shared" ca="1" si="105"/>
        <v>-133267.45900972589</v>
      </c>
      <c r="L1267" s="455">
        <f t="shared" ca="1" si="106"/>
        <v>-32117457.621343937</v>
      </c>
      <c r="M1267" s="471">
        <f t="shared" si="109"/>
        <v>0.05</v>
      </c>
      <c r="N1267" s="475">
        <f t="shared" si="110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8"/>
        <v>-32117457.621343937</v>
      </c>
      <c r="J1268" s="455">
        <f t="array" ref="J1268">IFERROR(INDEX('Retirement Calculator'!J:J,MATCH('Isaac 401k'!N1268,'Retirement Calculator'!A:A,0),0),0)</f>
        <v>0</v>
      </c>
      <c r="K1268" s="455">
        <f t="shared" ca="1" si="105"/>
        <v>-133822.74008893306</v>
      </c>
      <c r="L1268" s="455">
        <f t="shared" ca="1" si="106"/>
        <v>-32251280.361432869</v>
      </c>
      <c r="M1268" s="471">
        <f t="shared" si="109"/>
        <v>0.05</v>
      </c>
      <c r="N1268" s="475">
        <f t="shared" si="110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8"/>
        <v>-32251280.361432869</v>
      </c>
      <c r="J1269" s="455">
        <f t="array" ref="J1269">IFERROR(INDEX('Retirement Calculator'!J:J,MATCH('Isaac 401k'!N1269,'Retirement Calculator'!A:A,0),0),0)</f>
        <v>0</v>
      </c>
      <c r="K1269" s="455">
        <f t="shared" ca="1" si="105"/>
        <v>-134380.33483930363</v>
      </c>
      <c r="L1269" s="455">
        <f t="shared" ca="1" si="106"/>
        <v>-32385660.696272172</v>
      </c>
      <c r="M1269" s="471">
        <f t="shared" si="109"/>
        <v>0.05</v>
      </c>
      <c r="N1269" s="475">
        <f t="shared" si="110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8"/>
        <v>-32385660.696272172</v>
      </c>
      <c r="J1270" s="455">
        <f t="array" ref="J1270">IFERROR(INDEX('Retirement Calculator'!J:J,MATCH('Isaac 401k'!N1270,'Retirement Calculator'!A:A,0),0),0)</f>
        <v>0</v>
      </c>
      <c r="K1270" s="455">
        <f t="shared" ca="1" si="105"/>
        <v>-134940.25290113405</v>
      </c>
      <c r="L1270" s="455">
        <f t="shared" ca="1" si="106"/>
        <v>-32520600.949173305</v>
      </c>
      <c r="M1270" s="471">
        <f t="shared" si="109"/>
        <v>0.05</v>
      </c>
      <c r="N1270" s="475">
        <f t="shared" si="110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8"/>
        <v>-32520600.949173305</v>
      </c>
      <c r="J1271" s="455">
        <f t="array" ref="J1271">IFERROR(INDEX('Retirement Calculator'!J:J,MATCH('Isaac 401k'!N1271,'Retirement Calculator'!A:A,0),0),0)</f>
        <v>0</v>
      </c>
      <c r="K1271" s="455">
        <f t="shared" ca="1" si="105"/>
        <v>-135502.50395488876</v>
      </c>
      <c r="L1271" s="455">
        <f t="shared" ca="1" si="106"/>
        <v>-32656103.453128193</v>
      </c>
      <c r="M1271" s="471">
        <f t="shared" si="109"/>
        <v>0.05</v>
      </c>
      <c r="N1271" s="475">
        <f t="shared" si="110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8"/>
        <v>-32656103.453128193</v>
      </c>
      <c r="J1272" s="455">
        <f t="array" ref="J1272">IFERROR(INDEX('Retirement Calculator'!J:J,MATCH('Isaac 401k'!N1272,'Retirement Calculator'!A:A,0),0),0)</f>
        <v>0</v>
      </c>
      <c r="K1272" s="455">
        <f t="shared" ca="1" si="105"/>
        <v>-136067.09772136746</v>
      </c>
      <c r="L1272" s="455">
        <f t="shared" ca="1" si="106"/>
        <v>-32792170.550849561</v>
      </c>
      <c r="M1272" s="471">
        <f t="shared" si="109"/>
        <v>0.05</v>
      </c>
      <c r="N1272" s="475">
        <f t="shared" si="110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8"/>
        <v>-32792170.550849561</v>
      </c>
      <c r="J1273" s="455">
        <f t="array" ref="J1273">IFERROR(INDEX('Retirement Calculator'!J:J,MATCH('Isaac 401k'!N1273,'Retirement Calculator'!A:A,0),0),0)</f>
        <v>0</v>
      </c>
      <c r="K1273" s="455">
        <f t="shared" ca="1" si="105"/>
        <v>-136634.04396187316</v>
      </c>
      <c r="L1273" s="455">
        <f t="shared" ca="1" si="106"/>
        <v>-32928804.594811432</v>
      </c>
      <c r="M1273" s="471">
        <f t="shared" si="109"/>
        <v>0.05</v>
      </c>
      <c r="N1273" s="475">
        <f t="shared" si="110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8"/>
        <v>-32928804.594811432</v>
      </c>
      <c r="J1274" s="455">
        <f t="array" ref="J1274">IFERROR(INDEX('Retirement Calculator'!J:J,MATCH('Isaac 401k'!N1274,'Retirement Calculator'!A:A,0),0),0)</f>
        <v>0</v>
      </c>
      <c r="K1274" s="455">
        <f t="shared" ca="1" si="105"/>
        <v>-137203.35247838096</v>
      </c>
      <c r="L1274" s="455">
        <f t="shared" ca="1" si="106"/>
        <v>-33066007.947289813</v>
      </c>
      <c r="M1274" s="471">
        <f t="shared" si="109"/>
        <v>0.05</v>
      </c>
      <c r="N1274" s="475">
        <f t="shared" si="110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8"/>
        <v>-33066007.947289813</v>
      </c>
      <c r="J1275" s="455">
        <f t="array" ref="J1275">IFERROR(INDEX('Retirement Calculator'!J:J,MATCH('Isaac 401k'!N1275,'Retirement Calculator'!A:A,0),0),0)</f>
        <v>0</v>
      </c>
      <c r="K1275" s="455">
        <f t="shared" ca="1" si="105"/>
        <v>-137775.03311370756</v>
      </c>
      <c r="L1275" s="455">
        <f t="shared" ca="1" si="106"/>
        <v>-33203782.98040352</v>
      </c>
      <c r="M1275" s="471">
        <f t="shared" si="109"/>
        <v>0.05</v>
      </c>
      <c r="N1275" s="475">
        <f t="shared" si="110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8"/>
        <v>-33203782.98040352</v>
      </c>
      <c r="J1276" s="455">
        <f t="array" ref="J1276">IFERROR(INDEX('Retirement Calculator'!J:J,MATCH('Isaac 401k'!N1276,'Retirement Calculator'!A:A,0),0),0)</f>
        <v>0</v>
      </c>
      <c r="K1276" s="455">
        <f t="shared" ca="1" si="105"/>
        <v>-138349.09575168134</v>
      </c>
      <c r="L1276" s="455">
        <f t="shared" ca="1" si="106"/>
        <v>-33342132.076155201</v>
      </c>
      <c r="M1276" s="471">
        <f t="shared" si="109"/>
        <v>0.05</v>
      </c>
      <c r="N1276" s="475">
        <f t="shared" si="110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8"/>
        <v>-33342132.076155201</v>
      </c>
      <c r="J1277" s="455">
        <f t="array" ref="J1277">IFERROR(INDEX('Retirement Calculator'!J:J,MATCH('Isaac 401k'!N1277,'Retirement Calculator'!A:A,0),0),0)</f>
        <v>0</v>
      </c>
      <c r="K1277" s="455">
        <f t="shared" ca="1" si="105"/>
        <v>-138925.55031731335</v>
      </c>
      <c r="L1277" s="455">
        <f t="shared" ca="1" si="106"/>
        <v>-33481057.626472514</v>
      </c>
      <c r="M1277" s="471">
        <f t="shared" si="109"/>
        <v>0.05</v>
      </c>
      <c r="N1277" s="475">
        <f t="shared" si="110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8"/>
        <v>-33481057.626472514</v>
      </c>
      <c r="J1278" s="455">
        <f t="array" ref="J1278">IFERROR(INDEX('Retirement Calculator'!J:J,MATCH('Isaac 401k'!N1278,'Retirement Calculator'!A:A,0),0),0)</f>
        <v>0</v>
      </c>
      <c r="K1278" s="455">
        <f t="shared" ca="1" si="105"/>
        <v>-139504.4067769688</v>
      </c>
      <c r="L1278" s="455">
        <f t="shared" ca="1" si="106"/>
        <v>-33620562.033249483</v>
      </c>
      <c r="M1278" s="471">
        <f t="shared" si="109"/>
        <v>0.05</v>
      </c>
      <c r="N1278" s="475">
        <f t="shared" si="110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8"/>
        <v>-33620562.033249483</v>
      </c>
      <c r="J1279" s="455">
        <f t="array" ref="J1279">IFERROR(INDEX('Retirement Calculator'!J:J,MATCH('Isaac 401k'!N1279,'Retirement Calculator'!A:A,0),0),0)</f>
        <v>0</v>
      </c>
      <c r="K1279" s="455">
        <f t="shared" ca="1" si="105"/>
        <v>-140085.67513853952</v>
      </c>
      <c r="L1279" s="455">
        <f t="shared" ca="1" si="106"/>
        <v>-33760647.708388023</v>
      </c>
      <c r="M1279" s="471">
        <f t="shared" si="109"/>
        <v>0.05</v>
      </c>
      <c r="N1279" s="475">
        <f t="shared" si="110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8"/>
        <v>-33760647.708388023</v>
      </c>
      <c r="J1280" s="455">
        <f t="array" ref="J1280">IFERROR(INDEX('Retirement Calculator'!J:J,MATCH('Isaac 401k'!N1280,'Retirement Calculator'!A:A,0),0),0)</f>
        <v>0</v>
      </c>
      <c r="K1280" s="455">
        <f t="shared" ca="1" si="105"/>
        <v>-140669.36545161676</v>
      </c>
      <c r="L1280" s="455">
        <f t="shared" ca="1" si="106"/>
        <v>-33901317.073839642</v>
      </c>
      <c r="M1280" s="471">
        <f t="shared" si="109"/>
        <v>0.05</v>
      </c>
      <c r="N1280" s="475">
        <f t="shared" si="110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8"/>
        <v>-33901317.073839642</v>
      </c>
      <c r="J1281" s="455">
        <f t="array" ref="J1281">IFERROR(INDEX('Retirement Calculator'!J:J,MATCH('Isaac 401k'!N1281,'Retirement Calculator'!A:A,0),0),0)</f>
        <v>0</v>
      </c>
      <c r="K1281" s="455">
        <f t="shared" ca="1" si="105"/>
        <v>-141255.48780766517</v>
      </c>
      <c r="L1281" s="455">
        <f t="shared" ca="1" si="106"/>
        <v>-34042572.561647311</v>
      </c>
      <c r="M1281" s="471">
        <f t="shared" si="109"/>
        <v>0.05</v>
      </c>
      <c r="N1281" s="475">
        <f t="shared" si="110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8"/>
        <v>-34042572.561647311</v>
      </c>
      <c r="J1282" s="455">
        <f t="array" ref="J1282">IFERROR(INDEX('Retirement Calculator'!J:J,MATCH('Isaac 401k'!N1282,'Retirement Calculator'!A:A,0),0),0)</f>
        <v>0</v>
      </c>
      <c r="K1282" s="455">
        <f t="shared" ca="1" si="105"/>
        <v>-141844.05234019711</v>
      </c>
      <c r="L1282" s="455">
        <f t="shared" ca="1" si="106"/>
        <v>-34184416.613987505</v>
      </c>
      <c r="M1282" s="471">
        <f t="shared" si="109"/>
        <v>0.05</v>
      </c>
      <c r="N1282" s="475">
        <f t="shared" si="110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8"/>
        <v>-34184416.613987505</v>
      </c>
      <c r="J1283" s="455">
        <f t="array" ref="J1283">IFERROR(INDEX('Retirement Calculator'!J:J,MATCH('Isaac 401k'!N1283,'Retirement Calculator'!A:A,0),0),0)</f>
        <v>0</v>
      </c>
      <c r="K1283" s="455">
        <f t="shared" ref="K1283:K1537" ca="1" si="126">IPMT(M1283/12,1,12,-I1283+J1283,,0)</f>
        <v>-142435.06922494795</v>
      </c>
      <c r="L1283" s="455">
        <f t="shared" ref="L1283:L1537" ca="1" si="127">I1283-J1283+K1283</f>
        <v>-34326851.683212452</v>
      </c>
      <c r="M1283" s="471">
        <f t="shared" si="109"/>
        <v>0.05</v>
      </c>
      <c r="N1283" s="475">
        <f t="shared" si="110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28">L1283</f>
        <v>-34326851.683212452</v>
      </c>
      <c r="J1284" s="455">
        <f t="array" ref="J1284">IFERROR(INDEX('Retirement Calculator'!J:J,MATCH('Isaac 401k'!N1284,'Retirement Calculator'!A:A,0),0),0)</f>
        <v>0</v>
      </c>
      <c r="K1284" s="455">
        <f t="shared" ca="1" si="126"/>
        <v>-143028.54868005187</v>
      </c>
      <c r="L1284" s="455">
        <f t="shared" ca="1" si="127"/>
        <v>-34469880.231892504</v>
      </c>
      <c r="M1284" s="471">
        <f t="shared" ref="M1284:M1538" si="129">M1283</f>
        <v>0.05</v>
      </c>
      <c r="N1284" s="475">
        <f t="shared" ref="N1284:N1538" si="130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28"/>
        <v>-34469880.231892504</v>
      </c>
      <c r="J1285" s="455">
        <f t="array" ref="J1285">IFERROR(INDEX('Retirement Calculator'!J:J,MATCH('Isaac 401k'!N1285,'Retirement Calculator'!A:A,0),0),0)</f>
        <v>0</v>
      </c>
      <c r="K1285" s="455">
        <f t="shared" ca="1" si="126"/>
        <v>-143624.50096621877</v>
      </c>
      <c r="L1285" s="455">
        <f t="shared" ca="1" si="127"/>
        <v>-34613504.732858725</v>
      </c>
      <c r="M1285" s="471">
        <f t="shared" si="129"/>
        <v>0.05</v>
      </c>
      <c r="N1285" s="475">
        <f t="shared" si="130"/>
        <v>90156</v>
      </c>
    </row>
    <row r="1286" spans="7:14" ht="11.25" customHeight="1" x14ac:dyDescent="0.3">
      <c r="G1286" s="470"/>
      <c r="H1286" s="470">
        <v>1279</v>
      </c>
      <c r="I1286" s="455">
        <f t="shared" ca="1" si="128"/>
        <v>-34613504.732858725</v>
      </c>
      <c r="J1286" s="455">
        <f t="array" ref="J1286">IFERROR(INDEX('Retirement Calculator'!J:J,MATCH('Isaac 401k'!N1286,'Retirement Calculator'!A:A,0),0),0)</f>
        <v>0</v>
      </c>
      <c r="K1286" s="455">
        <f t="shared" ca="1" si="126"/>
        <v>-144222.93638691134</v>
      </c>
      <c r="L1286" s="455">
        <f t="shared" ca="1" si="127"/>
        <v>-34757727.669245638</v>
      </c>
      <c r="M1286" s="471">
        <f t="shared" si="129"/>
        <v>0.05</v>
      </c>
      <c r="N1286" s="475">
        <f t="shared" si="130"/>
        <v>90186</v>
      </c>
    </row>
    <row r="1287" spans="7:14" ht="11.25" customHeight="1" x14ac:dyDescent="0.3">
      <c r="G1287" s="470"/>
      <c r="H1287" s="470">
        <v>1280</v>
      </c>
      <c r="I1287" s="455">
        <f t="shared" ca="1" si="128"/>
        <v>-34757727.669245638</v>
      </c>
      <c r="J1287" s="455">
        <f t="array" ref="J1287">IFERROR(INDEX('Retirement Calculator'!J:J,MATCH('Isaac 401k'!N1287,'Retirement Calculator'!A:A,0),0),0)</f>
        <v>0</v>
      </c>
      <c r="K1287" s="455">
        <f t="shared" ca="1" si="126"/>
        <v>-144823.86528852349</v>
      </c>
      <c r="L1287" s="455">
        <f t="shared" ca="1" si="127"/>
        <v>-34902551.534534164</v>
      </c>
      <c r="M1287" s="471">
        <f t="shared" si="129"/>
        <v>0.05</v>
      </c>
      <c r="N1287" s="475">
        <f t="shared" si="130"/>
        <v>90217</v>
      </c>
    </row>
    <row r="1288" spans="7:14" ht="11.25" customHeight="1" x14ac:dyDescent="0.3">
      <c r="G1288" s="470"/>
      <c r="H1288" s="470">
        <v>1281</v>
      </c>
      <c r="I1288" s="455">
        <f t="shared" ca="1" si="128"/>
        <v>-34902551.534534164</v>
      </c>
      <c r="J1288" s="455">
        <f t="array" ref="J1288">IFERROR(INDEX('Retirement Calculator'!J:J,MATCH('Isaac 401k'!N1288,'Retirement Calculator'!A:A,0),0),0)</f>
        <v>0</v>
      </c>
      <c r="K1288" s="455">
        <f t="shared" ca="1" si="126"/>
        <v>-145427.29806055903</v>
      </c>
      <c r="L1288" s="455">
        <f t="shared" ca="1" si="127"/>
        <v>-35047978.832594723</v>
      </c>
      <c r="M1288" s="471">
        <f t="shared" si="129"/>
        <v>0.05</v>
      </c>
      <c r="N1288" s="475">
        <f t="shared" si="130"/>
        <v>90248</v>
      </c>
    </row>
    <row r="1289" spans="7:14" ht="11.25" customHeight="1" x14ac:dyDescent="0.3">
      <c r="G1289" s="470"/>
      <c r="H1289" s="470">
        <v>1282</v>
      </c>
      <c r="I1289" s="455">
        <f t="shared" ca="1" si="128"/>
        <v>-35047978.832594723</v>
      </c>
      <c r="J1289" s="455">
        <f t="array" ref="J1289">IFERROR(INDEX('Retirement Calculator'!J:J,MATCH('Isaac 401k'!N1289,'Retirement Calculator'!A:A,0),0),0)</f>
        <v>0</v>
      </c>
      <c r="K1289" s="455">
        <f t="shared" ca="1" si="126"/>
        <v>-146033.24513581133</v>
      </c>
      <c r="L1289" s="455">
        <f t="shared" ca="1" si="127"/>
        <v>-35194012.077730536</v>
      </c>
      <c r="M1289" s="471">
        <f t="shared" si="129"/>
        <v>0.05</v>
      </c>
      <c r="N1289" s="475">
        <f t="shared" si="130"/>
        <v>90276</v>
      </c>
    </row>
    <row r="1290" spans="7:14" ht="11.25" customHeight="1" x14ac:dyDescent="0.3">
      <c r="G1290" s="470"/>
      <c r="H1290" s="470">
        <v>1283</v>
      </c>
      <c r="I1290" s="455">
        <f t="shared" ca="1" si="128"/>
        <v>-35194012.077730536</v>
      </c>
      <c r="J1290" s="455">
        <f t="array" ref="J1290">IFERROR(INDEX('Retirement Calculator'!J:J,MATCH('Isaac 401k'!N1290,'Retirement Calculator'!A:A,0),0),0)</f>
        <v>0</v>
      </c>
      <c r="K1290" s="455">
        <f t="shared" ca="1" si="126"/>
        <v>-146641.71699054391</v>
      </c>
      <c r="L1290" s="455">
        <f t="shared" ca="1" si="127"/>
        <v>-35340653.794721082</v>
      </c>
      <c r="M1290" s="471">
        <f t="shared" si="129"/>
        <v>0.05</v>
      </c>
      <c r="N1290" s="475">
        <f t="shared" si="130"/>
        <v>90307</v>
      </c>
    </row>
    <row r="1291" spans="7:14" ht="11.25" customHeight="1" x14ac:dyDescent="0.3">
      <c r="G1291" s="470"/>
      <c r="H1291" s="470">
        <v>1284</v>
      </c>
      <c r="I1291" s="455">
        <f t="shared" ca="1" si="128"/>
        <v>-35340653.794721082</v>
      </c>
      <c r="J1291" s="455">
        <f t="array" ref="J1291">IFERROR(INDEX('Retirement Calculator'!J:J,MATCH('Isaac 401k'!N1291,'Retirement Calculator'!A:A,0),0),0)</f>
        <v>0</v>
      </c>
      <c r="K1291" s="455">
        <f t="shared" ca="1" si="126"/>
        <v>-147252.72414467117</v>
      </c>
      <c r="L1291" s="455">
        <f t="shared" ca="1" si="127"/>
        <v>-35487906.518865757</v>
      </c>
      <c r="M1291" s="471">
        <f t="shared" si="129"/>
        <v>0.05</v>
      </c>
      <c r="N1291" s="475">
        <f t="shared" si="130"/>
        <v>90337</v>
      </c>
    </row>
    <row r="1292" spans="7:14" ht="11.25" customHeight="1" x14ac:dyDescent="0.3">
      <c r="G1292" s="470"/>
      <c r="H1292" s="470">
        <v>1285</v>
      </c>
      <c r="I1292" s="455">
        <f t="shared" ca="1" si="128"/>
        <v>-35487906.518865757</v>
      </c>
      <c r="J1292" s="455">
        <f t="array" ref="J1292">IFERROR(INDEX('Retirement Calculator'!J:J,MATCH('Isaac 401k'!N1292,'Retirement Calculator'!A:A,0),0),0)</f>
        <v>0</v>
      </c>
      <c r="K1292" s="455">
        <f t="shared" ca="1" si="126"/>
        <v>-147866.27716194064</v>
      </c>
      <c r="L1292" s="455">
        <f t="shared" ca="1" si="127"/>
        <v>-35635772.796027698</v>
      </c>
      <c r="M1292" s="471">
        <f t="shared" si="129"/>
        <v>0.05</v>
      </c>
      <c r="N1292" s="475">
        <f t="shared" si="130"/>
        <v>90368</v>
      </c>
    </row>
    <row r="1293" spans="7:14" ht="11.25" customHeight="1" x14ac:dyDescent="0.3">
      <c r="G1293" s="470"/>
      <c r="H1293" s="470">
        <v>1286</v>
      </c>
      <c r="I1293" s="455">
        <f t="shared" ca="1" si="128"/>
        <v>-35635772.796027698</v>
      </c>
      <c r="J1293" s="455">
        <f t="array" ref="J1293">IFERROR(INDEX('Retirement Calculator'!J:J,MATCH('Isaac 401k'!N1293,'Retirement Calculator'!A:A,0),0),0)</f>
        <v>0</v>
      </c>
      <c r="K1293" s="455">
        <f t="shared" ca="1" si="126"/>
        <v>-148482.3866501154</v>
      </c>
      <c r="L1293" s="455">
        <f t="shared" ca="1" si="127"/>
        <v>-35784255.182677813</v>
      </c>
      <c r="M1293" s="471">
        <f t="shared" si="129"/>
        <v>0.05</v>
      </c>
      <c r="N1293" s="475">
        <f t="shared" si="130"/>
        <v>90398</v>
      </c>
    </row>
    <row r="1294" spans="7:14" ht="11.25" customHeight="1" x14ac:dyDescent="0.3">
      <c r="G1294" s="470"/>
      <c r="H1294" s="470">
        <v>1287</v>
      </c>
      <c r="I1294" s="455">
        <f t="shared" ca="1" si="128"/>
        <v>-35784255.182677813</v>
      </c>
      <c r="J1294" s="455">
        <f t="array" ref="J1294">IFERROR(INDEX('Retirement Calculator'!J:J,MATCH('Isaac 401k'!N1294,'Retirement Calculator'!A:A,0),0),0)</f>
        <v>0</v>
      </c>
      <c r="K1294" s="455">
        <f t="shared" ca="1" si="126"/>
        <v>-149101.06326115754</v>
      </c>
      <c r="L1294" s="455">
        <f t="shared" ca="1" si="127"/>
        <v>-35933356.245938972</v>
      </c>
      <c r="M1294" s="471">
        <f t="shared" si="129"/>
        <v>0.05</v>
      </c>
      <c r="N1294" s="475">
        <f t="shared" si="130"/>
        <v>90429</v>
      </c>
    </row>
    <row r="1295" spans="7:14" ht="11.25" customHeight="1" x14ac:dyDescent="0.3">
      <c r="G1295" s="470"/>
      <c r="H1295" s="470">
        <v>1288</v>
      </c>
      <c r="I1295" s="455">
        <f t="shared" ca="1" si="128"/>
        <v>-35933356.245938972</v>
      </c>
      <c r="J1295" s="455">
        <f t="array" ref="J1295">IFERROR(INDEX('Retirement Calculator'!J:J,MATCH('Isaac 401k'!N1295,'Retirement Calculator'!A:A,0),0),0)</f>
        <v>0</v>
      </c>
      <c r="K1295" s="455">
        <f t="shared" ca="1" si="126"/>
        <v>-149722.31769141238</v>
      </c>
      <c r="L1295" s="455">
        <f t="shared" ca="1" si="127"/>
        <v>-36083078.563630387</v>
      </c>
      <c r="M1295" s="471">
        <f t="shared" si="129"/>
        <v>0.05</v>
      </c>
      <c r="N1295" s="475">
        <f t="shared" si="130"/>
        <v>90460</v>
      </c>
    </row>
    <row r="1296" spans="7:14" ht="11.25" customHeight="1" x14ac:dyDescent="0.3">
      <c r="G1296" s="470"/>
      <c r="H1296" s="470">
        <v>1289</v>
      </c>
      <c r="I1296" s="455">
        <f t="shared" ca="1" si="128"/>
        <v>-36083078.563630387</v>
      </c>
      <c r="J1296" s="455">
        <f t="array" ref="J1296">IFERROR(INDEX('Retirement Calculator'!J:J,MATCH('Isaac 401k'!N1296,'Retirement Calculator'!A:A,0),0),0)</f>
        <v>0</v>
      </c>
      <c r="K1296" s="455">
        <f t="shared" ca="1" si="126"/>
        <v>-150346.16068179329</v>
      </c>
      <c r="L1296" s="455">
        <f t="shared" ca="1" si="127"/>
        <v>-36233424.724312179</v>
      </c>
      <c r="M1296" s="471">
        <f t="shared" si="129"/>
        <v>0.05</v>
      </c>
      <c r="N1296" s="475">
        <f t="shared" si="130"/>
        <v>90490</v>
      </c>
    </row>
    <row r="1297" spans="7:14" ht="11.25" customHeight="1" x14ac:dyDescent="0.3">
      <c r="G1297" s="470"/>
      <c r="H1297" s="470">
        <v>1290</v>
      </c>
      <c r="I1297" s="455">
        <f t="shared" ca="1" si="128"/>
        <v>-36233424.724312179</v>
      </c>
      <c r="J1297" s="455">
        <f t="array" ref="J1297">IFERROR(INDEX('Retirement Calculator'!J:J,MATCH('Isaac 401k'!N1297,'Retirement Calculator'!A:A,0),0),0)</f>
        <v>0</v>
      </c>
      <c r="K1297" s="455">
        <f t="shared" ca="1" si="126"/>
        <v>-150972.6030179674</v>
      </c>
      <c r="L1297" s="455">
        <f t="shared" ca="1" si="127"/>
        <v>-36384397.32733015</v>
      </c>
      <c r="M1297" s="471">
        <f t="shared" si="129"/>
        <v>0.05</v>
      </c>
      <c r="N1297" s="475">
        <f t="shared" si="130"/>
        <v>90521</v>
      </c>
    </row>
    <row r="1298" spans="7:14" ht="11.25" customHeight="1" x14ac:dyDescent="0.3">
      <c r="G1298" s="470"/>
      <c r="H1298" s="470">
        <v>1291</v>
      </c>
      <c r="I1298" s="455">
        <f t="shared" ca="1" si="128"/>
        <v>-36384397.32733015</v>
      </c>
      <c r="J1298" s="455">
        <f t="array" ref="J1298">IFERROR(INDEX('Retirement Calculator'!J:J,MATCH('Isaac 401k'!N1298,'Retirement Calculator'!A:A,0),0),0)</f>
        <v>0</v>
      </c>
      <c r="K1298" s="455">
        <f t="shared" ca="1" si="126"/>
        <v>-151601.65553054228</v>
      </c>
      <c r="L1298" s="455">
        <f t="shared" ca="1" si="127"/>
        <v>-36535998.982860692</v>
      </c>
      <c r="M1298" s="471">
        <f t="shared" si="129"/>
        <v>0.05</v>
      </c>
      <c r="N1298" s="475">
        <f t="shared" si="130"/>
        <v>90551</v>
      </c>
    </row>
    <row r="1299" spans="7:14" ht="11.25" customHeight="1" x14ac:dyDescent="0.3">
      <c r="G1299" s="470"/>
      <c r="H1299" s="470">
        <v>1292</v>
      </c>
      <c r="I1299" s="455">
        <f t="shared" ca="1" si="128"/>
        <v>-36535998.982860692</v>
      </c>
      <c r="J1299" s="455">
        <f t="array" ref="J1299">IFERROR(INDEX('Retirement Calculator'!J:J,MATCH('Isaac 401k'!N1299,'Retirement Calculator'!A:A,0),0),0)</f>
        <v>0</v>
      </c>
      <c r="K1299" s="455">
        <f t="shared" ca="1" si="126"/>
        <v>-152233.32909525288</v>
      </c>
      <c r="L1299" s="455">
        <f t="shared" ca="1" si="127"/>
        <v>-36688232.311955944</v>
      </c>
      <c r="M1299" s="471">
        <f t="shared" si="129"/>
        <v>0.05</v>
      </c>
      <c r="N1299" s="475">
        <f t="shared" si="130"/>
        <v>90582</v>
      </c>
    </row>
    <row r="1300" spans="7:14" ht="11.25" customHeight="1" x14ac:dyDescent="0.3">
      <c r="G1300" s="470"/>
      <c r="H1300" s="470">
        <v>1293</v>
      </c>
      <c r="I1300" s="455">
        <f t="shared" ca="1" si="128"/>
        <v>-36688232.311955944</v>
      </c>
      <c r="J1300" s="455">
        <f t="array" ref="J1300">IFERROR(INDEX('Retirement Calculator'!J:J,MATCH('Isaac 401k'!N1300,'Retirement Calculator'!A:A,0),0),0)</f>
        <v>0</v>
      </c>
      <c r="K1300" s="455">
        <f t="shared" ca="1" si="126"/>
        <v>-152867.63463314978</v>
      </c>
      <c r="L1300" s="455">
        <f t="shared" ca="1" si="127"/>
        <v>-36841099.94658909</v>
      </c>
      <c r="M1300" s="471">
        <f t="shared" si="129"/>
        <v>0.05</v>
      </c>
      <c r="N1300" s="475">
        <f t="shared" si="130"/>
        <v>90613</v>
      </c>
    </row>
    <row r="1301" spans="7:14" ht="11.25" customHeight="1" x14ac:dyDescent="0.3">
      <c r="G1301" s="470"/>
      <c r="H1301" s="470">
        <v>1294</v>
      </c>
      <c r="I1301" s="455">
        <f t="shared" ca="1" si="128"/>
        <v>-36841099.94658909</v>
      </c>
      <c r="J1301" s="455">
        <f t="array" ref="J1301">IFERROR(INDEX('Retirement Calculator'!J:J,MATCH('Isaac 401k'!N1301,'Retirement Calculator'!A:A,0),0),0)</f>
        <v>0</v>
      </c>
      <c r="K1301" s="455">
        <f t="shared" ca="1" si="126"/>
        <v>-153504.58311078788</v>
      </c>
      <c r="L1301" s="455">
        <f t="shared" ca="1" si="127"/>
        <v>-36994604.529699877</v>
      </c>
      <c r="M1301" s="471">
        <f t="shared" si="129"/>
        <v>0.05</v>
      </c>
      <c r="N1301" s="475">
        <f t="shared" si="130"/>
        <v>90642</v>
      </c>
    </row>
    <row r="1302" spans="7:14" ht="11.25" customHeight="1" x14ac:dyDescent="0.3">
      <c r="G1302" s="470"/>
      <c r="H1302" s="470">
        <v>1295</v>
      </c>
      <c r="I1302" s="455">
        <f t="shared" ca="1" si="128"/>
        <v>-36994604.529699877</v>
      </c>
      <c r="J1302" s="455">
        <f t="array" ref="J1302">IFERROR(INDEX('Retirement Calculator'!J:J,MATCH('Isaac 401k'!N1302,'Retirement Calculator'!A:A,0),0),0)</f>
        <v>0</v>
      </c>
      <c r="K1302" s="455">
        <f t="shared" ca="1" si="126"/>
        <v>-154144.18554041616</v>
      </c>
      <c r="L1302" s="455">
        <f t="shared" ca="1" si="127"/>
        <v>-37148748.715240292</v>
      </c>
      <c r="M1302" s="471">
        <f t="shared" si="129"/>
        <v>0.05</v>
      </c>
      <c r="N1302" s="475">
        <f t="shared" si="130"/>
        <v>90673</v>
      </c>
    </row>
    <row r="1303" spans="7:14" ht="11.25" customHeight="1" x14ac:dyDescent="0.3">
      <c r="G1303" s="470"/>
      <c r="H1303" s="470">
        <v>1296</v>
      </c>
      <c r="I1303" s="455">
        <f t="shared" ca="1" si="128"/>
        <v>-37148748.715240292</v>
      </c>
      <c r="J1303" s="455">
        <f t="array" ref="J1303">IFERROR(INDEX('Retirement Calculator'!J:J,MATCH('Isaac 401k'!N1303,'Retirement Calculator'!A:A,0),0),0)</f>
        <v>0</v>
      </c>
      <c r="K1303" s="455">
        <f t="shared" ca="1" si="126"/>
        <v>-154786.45298016787</v>
      </c>
      <c r="L1303" s="455">
        <f t="shared" ca="1" si="127"/>
        <v>-37303535.16822046</v>
      </c>
      <c r="M1303" s="471">
        <f t="shared" si="129"/>
        <v>0.05</v>
      </c>
      <c r="N1303" s="475">
        <f t="shared" si="130"/>
        <v>90703</v>
      </c>
    </row>
    <row r="1304" spans="7:14" ht="11.25" customHeight="1" x14ac:dyDescent="0.3">
      <c r="G1304" s="470"/>
      <c r="H1304" s="470">
        <v>1297</v>
      </c>
      <c r="I1304" s="455">
        <f t="shared" ca="1" si="128"/>
        <v>-37303535.16822046</v>
      </c>
      <c r="J1304" s="455">
        <f t="array" ref="J1304">IFERROR(INDEX('Retirement Calculator'!J:J,MATCH('Isaac 401k'!N1304,'Retirement Calculator'!A:A,0),0),0)</f>
        <v>0</v>
      </c>
      <c r="K1304" s="455">
        <f t="shared" ca="1" si="126"/>
        <v>-155431.39653425192</v>
      </c>
      <c r="L1304" s="455">
        <f t="shared" ca="1" si="127"/>
        <v>-37458966.56475471</v>
      </c>
      <c r="M1304" s="471">
        <f t="shared" si="129"/>
        <v>0.05</v>
      </c>
      <c r="N1304" s="475">
        <f t="shared" si="130"/>
        <v>90734</v>
      </c>
    </row>
    <row r="1305" spans="7:14" ht="11.25" customHeight="1" x14ac:dyDescent="0.3">
      <c r="G1305" s="470"/>
      <c r="H1305" s="470">
        <v>1298</v>
      </c>
      <c r="I1305" s="455">
        <f t="shared" ca="1" si="128"/>
        <v>-37458966.56475471</v>
      </c>
      <c r="J1305" s="455">
        <f t="array" ref="J1305">IFERROR(INDEX('Retirement Calculator'!J:J,MATCH('Isaac 401k'!N1305,'Retirement Calculator'!A:A,0),0),0)</f>
        <v>0</v>
      </c>
      <c r="K1305" s="455">
        <f t="shared" ca="1" si="126"/>
        <v>-156079.02735314463</v>
      </c>
      <c r="L1305" s="455">
        <f t="shared" ca="1" si="127"/>
        <v>-37615045.592107855</v>
      </c>
      <c r="M1305" s="471">
        <f t="shared" si="129"/>
        <v>0.05</v>
      </c>
      <c r="N1305" s="475">
        <f t="shared" si="130"/>
        <v>90764</v>
      </c>
    </row>
    <row r="1306" spans="7:14" ht="11.25" customHeight="1" x14ac:dyDescent="0.3">
      <c r="G1306" s="470"/>
      <c r="H1306" s="470">
        <v>1299</v>
      </c>
      <c r="I1306" s="455">
        <f t="shared" ca="1" si="128"/>
        <v>-37615045.592107855</v>
      </c>
      <c r="J1306" s="455">
        <f t="array" ref="J1306">IFERROR(INDEX('Retirement Calculator'!J:J,MATCH('Isaac 401k'!N1306,'Retirement Calculator'!A:A,0),0),0)</f>
        <v>0</v>
      </c>
      <c r="K1306" s="455">
        <f t="shared" ca="1" si="126"/>
        <v>-156729.35663378274</v>
      </c>
      <c r="L1306" s="455">
        <f t="shared" ca="1" si="127"/>
        <v>-37771774.948741637</v>
      </c>
      <c r="M1306" s="471">
        <f t="shared" si="129"/>
        <v>0.05</v>
      </c>
      <c r="N1306" s="475">
        <f t="shared" si="130"/>
        <v>90795</v>
      </c>
    </row>
    <row r="1307" spans="7:14" ht="11.25" customHeight="1" x14ac:dyDescent="0.3">
      <c r="G1307" s="470"/>
      <c r="H1307" s="470">
        <v>1300</v>
      </c>
      <c r="I1307" s="455">
        <f t="shared" ca="1" si="128"/>
        <v>-37771774.948741637</v>
      </c>
      <c r="J1307" s="455">
        <f t="array" ref="J1307">IFERROR(INDEX('Retirement Calculator'!J:J,MATCH('Isaac 401k'!N1307,'Retirement Calculator'!A:A,0),0),0)</f>
        <v>0</v>
      </c>
      <c r="K1307" s="455">
        <f t="shared" ca="1" si="126"/>
        <v>-157382.39561975683</v>
      </c>
      <c r="L1307" s="455">
        <f t="shared" ca="1" si="127"/>
        <v>-37929157.344361395</v>
      </c>
      <c r="M1307" s="471">
        <f t="shared" si="129"/>
        <v>0.05</v>
      </c>
      <c r="N1307" s="475">
        <f t="shared" si="130"/>
        <v>90826</v>
      </c>
    </row>
    <row r="1308" spans="7:14" ht="11.25" customHeight="1" x14ac:dyDescent="0.3">
      <c r="G1308" s="470"/>
      <c r="H1308" s="470">
        <v>1301</v>
      </c>
      <c r="I1308" s="455">
        <f t="shared" ca="1" si="128"/>
        <v>-37929157.344361395</v>
      </c>
      <c r="J1308" s="455">
        <f t="array" ref="J1308">IFERROR(INDEX('Retirement Calculator'!J:J,MATCH('Isaac 401k'!N1308,'Retirement Calculator'!A:A,0),0),0)</f>
        <v>0</v>
      </c>
      <c r="K1308" s="455">
        <f t="shared" ca="1" si="126"/>
        <v>-158038.1556015058</v>
      </c>
      <c r="L1308" s="455">
        <f t="shared" ca="1" si="127"/>
        <v>-38087195.499962904</v>
      </c>
      <c r="M1308" s="471">
        <f t="shared" si="129"/>
        <v>0.05</v>
      </c>
      <c r="N1308" s="475">
        <f t="shared" si="130"/>
        <v>90856</v>
      </c>
    </row>
    <row r="1309" spans="7:14" ht="11.25" customHeight="1" x14ac:dyDescent="0.3">
      <c r="G1309" s="470"/>
      <c r="H1309" s="470">
        <v>1302</v>
      </c>
      <c r="I1309" s="455">
        <f t="shared" ca="1" si="128"/>
        <v>-38087195.499962904</v>
      </c>
      <c r="J1309" s="455">
        <f t="array" ref="J1309">IFERROR(INDEX('Retirement Calculator'!J:J,MATCH('Isaac 401k'!N1309,'Retirement Calculator'!A:A,0),0),0)</f>
        <v>0</v>
      </c>
      <c r="K1309" s="455">
        <f t="shared" ca="1" si="126"/>
        <v>-158696.6479165121</v>
      </c>
      <c r="L1309" s="455">
        <f t="shared" ca="1" si="127"/>
        <v>-38245892.147879414</v>
      </c>
      <c r="M1309" s="471">
        <f t="shared" si="129"/>
        <v>0.05</v>
      </c>
      <c r="N1309" s="475">
        <f t="shared" si="130"/>
        <v>90887</v>
      </c>
    </row>
    <row r="1310" spans="7:14" ht="11.25" customHeight="1" x14ac:dyDescent="0.3">
      <c r="G1310" s="470"/>
      <c r="H1310" s="470">
        <v>1303</v>
      </c>
      <c r="I1310" s="455">
        <f t="shared" ca="1" si="128"/>
        <v>-38245892.147879414</v>
      </c>
      <c r="J1310" s="455">
        <f t="array" ref="J1310">IFERROR(INDEX('Retirement Calculator'!J:J,MATCH('Isaac 401k'!N1310,'Retirement Calculator'!A:A,0),0),0)</f>
        <v>0</v>
      </c>
      <c r="K1310" s="455">
        <f t="shared" ca="1" si="126"/>
        <v>-159357.88394949757</v>
      </c>
      <c r="L1310" s="455">
        <f t="shared" ca="1" si="127"/>
        <v>-38405250.03182891</v>
      </c>
      <c r="M1310" s="471">
        <f t="shared" si="129"/>
        <v>0.05</v>
      </c>
      <c r="N1310" s="475">
        <f t="shared" si="130"/>
        <v>90917</v>
      </c>
    </row>
    <row r="1311" spans="7:14" ht="11.25" customHeight="1" x14ac:dyDescent="0.3">
      <c r="G1311" s="470"/>
      <c r="H1311" s="470">
        <v>1304</v>
      </c>
      <c r="I1311" s="455">
        <f t="shared" ca="1" si="128"/>
        <v>-38405250.03182891</v>
      </c>
      <c r="J1311" s="455">
        <f t="array" ref="J1311">IFERROR(INDEX('Retirement Calculator'!J:J,MATCH('Isaac 401k'!N1311,'Retirement Calculator'!A:A,0),0),0)</f>
        <v>0</v>
      </c>
      <c r="K1311" s="455">
        <f t="shared" ca="1" si="126"/>
        <v>-160021.87513262045</v>
      </c>
      <c r="L1311" s="455">
        <f t="shared" ca="1" si="127"/>
        <v>-38565271.90696153</v>
      </c>
      <c r="M1311" s="471">
        <f t="shared" si="129"/>
        <v>0.05</v>
      </c>
      <c r="N1311" s="475">
        <f t="shared" si="130"/>
        <v>90948</v>
      </c>
    </row>
    <row r="1312" spans="7:14" ht="11.25" customHeight="1" x14ac:dyDescent="0.3">
      <c r="G1312" s="470"/>
      <c r="H1312" s="470">
        <v>1305</v>
      </c>
      <c r="I1312" s="455">
        <f t="shared" ca="1" si="128"/>
        <v>-38565271.90696153</v>
      </c>
      <c r="J1312" s="455">
        <f t="array" ref="J1312">IFERROR(INDEX('Retirement Calculator'!J:J,MATCH('Isaac 401k'!N1312,'Retirement Calculator'!A:A,0),0),0)</f>
        <v>0</v>
      </c>
      <c r="K1312" s="455">
        <f t="shared" ca="1" si="126"/>
        <v>-160688.63294567305</v>
      </c>
      <c r="L1312" s="455">
        <f t="shared" ca="1" si="127"/>
        <v>-38725960.539907202</v>
      </c>
      <c r="M1312" s="471">
        <f t="shared" si="129"/>
        <v>0.05</v>
      </c>
      <c r="N1312" s="475">
        <f t="shared" si="130"/>
        <v>90979</v>
      </c>
    </row>
    <row r="1313" spans="7:14" ht="11.25" customHeight="1" x14ac:dyDescent="0.3">
      <c r="G1313" s="470"/>
      <c r="H1313" s="470">
        <v>1306</v>
      </c>
      <c r="I1313" s="455">
        <f t="shared" ca="1" si="128"/>
        <v>-38725960.539907202</v>
      </c>
      <c r="J1313" s="455">
        <f t="array" ref="J1313">IFERROR(INDEX('Retirement Calculator'!J:J,MATCH('Isaac 401k'!N1313,'Retirement Calculator'!A:A,0),0),0)</f>
        <v>0</v>
      </c>
      <c r="K1313" s="455">
        <f t="shared" ca="1" si="126"/>
        <v>-161358.16891628</v>
      </c>
      <c r="L1313" s="455">
        <f t="shared" ca="1" si="127"/>
        <v>-38887318.70882348</v>
      </c>
      <c r="M1313" s="471">
        <f t="shared" si="129"/>
        <v>0.05</v>
      </c>
      <c r="N1313" s="475">
        <f t="shared" si="130"/>
        <v>91007</v>
      </c>
    </row>
    <row r="1314" spans="7:14" ht="11.25" customHeight="1" x14ac:dyDescent="0.3">
      <c r="G1314" s="470"/>
      <c r="H1314" s="470">
        <v>1307</v>
      </c>
      <c r="I1314" s="455">
        <f t="shared" ca="1" si="128"/>
        <v>-38887318.70882348</v>
      </c>
      <c r="J1314" s="455">
        <f t="array" ref="J1314">IFERROR(INDEX('Retirement Calculator'!J:J,MATCH('Isaac 401k'!N1314,'Retirement Calculator'!A:A,0),0),0)</f>
        <v>0</v>
      </c>
      <c r="K1314" s="455">
        <f t="shared" ca="1" si="126"/>
        <v>-162030.49462009783</v>
      </c>
      <c r="L1314" s="455">
        <f t="shared" ca="1" si="127"/>
        <v>-39049349.203443579</v>
      </c>
      <c r="M1314" s="471">
        <f t="shared" si="129"/>
        <v>0.05</v>
      </c>
      <c r="N1314" s="475">
        <f t="shared" si="130"/>
        <v>91038</v>
      </c>
    </row>
    <row r="1315" spans="7:14" ht="11.25" customHeight="1" x14ac:dyDescent="0.3">
      <c r="G1315" s="470"/>
      <c r="H1315" s="470">
        <v>1308</v>
      </c>
      <c r="I1315" s="455">
        <f t="shared" ca="1" si="128"/>
        <v>-39049349.203443579</v>
      </c>
      <c r="J1315" s="455">
        <f t="array" ref="J1315">IFERROR(INDEX('Retirement Calculator'!J:J,MATCH('Isaac 401k'!N1315,'Retirement Calculator'!A:A,0),0),0)</f>
        <v>0</v>
      </c>
      <c r="K1315" s="455">
        <f t="shared" ca="1" si="126"/>
        <v>-162705.62168101492</v>
      </c>
      <c r="L1315" s="455">
        <f t="shared" ca="1" si="127"/>
        <v>-39212054.825124592</v>
      </c>
      <c r="M1315" s="471">
        <f t="shared" si="129"/>
        <v>0.05</v>
      </c>
      <c r="N1315" s="475">
        <f t="shared" si="130"/>
        <v>91068</v>
      </c>
    </row>
    <row r="1316" spans="7:14" ht="11.25" customHeight="1" x14ac:dyDescent="0.3">
      <c r="G1316" s="470"/>
      <c r="H1316" s="470">
        <v>1309</v>
      </c>
      <c r="I1316" s="455">
        <f t="shared" ca="1" si="128"/>
        <v>-39212054.825124592</v>
      </c>
      <c r="J1316" s="455">
        <f t="array" ref="J1316">IFERROR(INDEX('Retirement Calculator'!J:J,MATCH('Isaac 401k'!N1316,'Retirement Calculator'!A:A,0),0),0)</f>
        <v>0</v>
      </c>
      <c r="K1316" s="455">
        <f t="shared" ca="1" si="126"/>
        <v>-163383.56177135246</v>
      </c>
      <c r="L1316" s="455">
        <f t="shared" ca="1" si="127"/>
        <v>-39375438.386895947</v>
      </c>
      <c r="M1316" s="471">
        <f t="shared" si="129"/>
        <v>0.05</v>
      </c>
      <c r="N1316" s="475">
        <f t="shared" si="130"/>
        <v>91099</v>
      </c>
    </row>
    <row r="1317" spans="7:14" ht="11.25" customHeight="1" x14ac:dyDescent="0.3">
      <c r="G1317" s="470"/>
      <c r="H1317" s="470">
        <v>1310</v>
      </c>
      <c r="I1317" s="455">
        <f t="shared" ca="1" si="128"/>
        <v>-39375438.386895947</v>
      </c>
      <c r="J1317" s="455">
        <f t="array" ref="J1317">IFERROR(INDEX('Retirement Calculator'!J:J,MATCH('Isaac 401k'!N1317,'Retirement Calculator'!A:A,0),0),0)</f>
        <v>0</v>
      </c>
      <c r="K1317" s="455">
        <f t="shared" ca="1" si="126"/>
        <v>-164064.32661206645</v>
      </c>
      <c r="L1317" s="455">
        <f t="shared" ca="1" si="127"/>
        <v>-39539502.71350801</v>
      </c>
      <c r="M1317" s="471">
        <f t="shared" si="129"/>
        <v>0.05</v>
      </c>
      <c r="N1317" s="475">
        <f t="shared" si="130"/>
        <v>91129</v>
      </c>
    </row>
    <row r="1318" spans="7:14" ht="11.25" customHeight="1" x14ac:dyDescent="0.3">
      <c r="G1318" s="470"/>
      <c r="H1318" s="470">
        <v>1311</v>
      </c>
      <c r="I1318" s="455">
        <f t="shared" ca="1" si="128"/>
        <v>-39539502.71350801</v>
      </c>
      <c r="J1318" s="455">
        <f t="array" ref="J1318">IFERROR(INDEX('Retirement Calculator'!J:J,MATCH('Isaac 401k'!N1318,'Retirement Calculator'!A:A,0),0),0)</f>
        <v>0</v>
      </c>
      <c r="K1318" s="455">
        <f t="shared" ca="1" si="126"/>
        <v>-164747.92797295004</v>
      </c>
      <c r="L1318" s="455">
        <f t="shared" ca="1" si="127"/>
        <v>-39704250.64148096</v>
      </c>
      <c r="M1318" s="471">
        <f t="shared" si="129"/>
        <v>0.05</v>
      </c>
      <c r="N1318" s="475">
        <f t="shared" si="130"/>
        <v>91160</v>
      </c>
    </row>
    <row r="1319" spans="7:14" ht="11.25" customHeight="1" x14ac:dyDescent="0.3">
      <c r="G1319" s="470"/>
      <c r="H1319" s="470">
        <v>1312</v>
      </c>
      <c r="I1319" s="455">
        <f t="shared" ca="1" si="128"/>
        <v>-39704250.64148096</v>
      </c>
      <c r="J1319" s="455">
        <f t="array" ref="J1319">IFERROR(INDEX('Retirement Calculator'!J:J,MATCH('Isaac 401k'!N1319,'Retirement Calculator'!A:A,0),0),0)</f>
        <v>0</v>
      </c>
      <c r="K1319" s="455">
        <f t="shared" ca="1" si="126"/>
        <v>-165434.37767283732</v>
      </c>
      <c r="L1319" s="455">
        <f t="shared" ca="1" si="127"/>
        <v>-39869685.019153796</v>
      </c>
      <c r="M1319" s="471">
        <f t="shared" si="129"/>
        <v>0.05</v>
      </c>
      <c r="N1319" s="475">
        <f t="shared" si="130"/>
        <v>91191</v>
      </c>
    </row>
    <row r="1320" spans="7:14" ht="11.25" customHeight="1" x14ac:dyDescent="0.3">
      <c r="G1320" s="470"/>
      <c r="H1320" s="470">
        <v>1313</v>
      </c>
      <c r="I1320" s="455">
        <f t="shared" ca="1" si="128"/>
        <v>-39869685.019153796</v>
      </c>
      <c r="J1320" s="455">
        <f t="array" ref="J1320">IFERROR(INDEX('Retirement Calculator'!J:J,MATCH('Isaac 401k'!N1320,'Retirement Calculator'!A:A,0),0),0)</f>
        <v>0</v>
      </c>
      <c r="K1320" s="455">
        <f t="shared" ca="1" si="126"/>
        <v>-166123.68757980748</v>
      </c>
      <c r="L1320" s="455">
        <f t="shared" ca="1" si="127"/>
        <v>-40035808.706733607</v>
      </c>
      <c r="M1320" s="471">
        <f t="shared" si="129"/>
        <v>0.05</v>
      </c>
      <c r="N1320" s="475">
        <f t="shared" si="130"/>
        <v>91221</v>
      </c>
    </row>
    <row r="1321" spans="7:14" ht="11.25" customHeight="1" x14ac:dyDescent="0.3">
      <c r="G1321" s="470"/>
      <c r="H1321" s="470">
        <v>1314</v>
      </c>
      <c r="I1321" s="455">
        <f t="shared" ca="1" si="128"/>
        <v>-40035808.706733607</v>
      </c>
      <c r="J1321" s="455">
        <f t="array" ref="J1321">IFERROR(INDEX('Retirement Calculator'!J:J,MATCH('Isaac 401k'!N1321,'Retirement Calculator'!A:A,0),0),0)</f>
        <v>0</v>
      </c>
      <c r="K1321" s="455">
        <f t="shared" ca="1" si="126"/>
        <v>-166815.86961139002</v>
      </c>
      <c r="L1321" s="455">
        <f t="shared" ca="1" si="127"/>
        <v>-40202624.576344997</v>
      </c>
      <c r="M1321" s="471">
        <f t="shared" si="129"/>
        <v>0.05</v>
      </c>
      <c r="N1321" s="475">
        <f t="shared" si="130"/>
        <v>91252</v>
      </c>
    </row>
    <row r="1322" spans="7:14" ht="11.25" customHeight="1" x14ac:dyDescent="0.3">
      <c r="G1322" s="470"/>
      <c r="H1322" s="470">
        <v>1315</v>
      </c>
      <c r="I1322" s="455">
        <f t="shared" ca="1" si="128"/>
        <v>-40202624.576344997</v>
      </c>
      <c r="J1322" s="455">
        <f t="array" ref="J1322">IFERROR(INDEX('Retirement Calculator'!J:J,MATCH('Isaac 401k'!N1322,'Retirement Calculator'!A:A,0),0),0)</f>
        <v>0</v>
      </c>
      <c r="K1322" s="455">
        <f t="shared" ca="1" si="126"/>
        <v>-167510.93573477081</v>
      </c>
      <c r="L1322" s="455">
        <f t="shared" ca="1" si="127"/>
        <v>-40370135.512079768</v>
      </c>
      <c r="M1322" s="471">
        <f t="shared" si="129"/>
        <v>0.05</v>
      </c>
      <c r="N1322" s="475">
        <f t="shared" si="130"/>
        <v>91282</v>
      </c>
    </row>
    <row r="1323" spans="7:14" ht="11.25" customHeight="1" x14ac:dyDescent="0.3">
      <c r="G1323" s="470"/>
      <c r="H1323" s="470">
        <v>1316</v>
      </c>
      <c r="I1323" s="455">
        <f t="shared" ca="1" si="128"/>
        <v>-40370135.512079768</v>
      </c>
      <c r="J1323" s="455">
        <f t="array" ref="J1323">IFERROR(INDEX('Retirement Calculator'!J:J,MATCH('Isaac 401k'!N1323,'Retirement Calculator'!A:A,0),0),0)</f>
        <v>0</v>
      </c>
      <c r="K1323" s="455">
        <f t="shared" ca="1" si="126"/>
        <v>-168208.89796699904</v>
      </c>
      <c r="L1323" s="455">
        <f t="shared" ca="1" si="127"/>
        <v>-40538344.410046764</v>
      </c>
      <c r="M1323" s="471">
        <f t="shared" si="129"/>
        <v>0.05</v>
      </c>
      <c r="N1323" s="475">
        <f t="shared" si="130"/>
        <v>91313</v>
      </c>
    </row>
    <row r="1324" spans="7:14" ht="11.25" customHeight="1" x14ac:dyDescent="0.3">
      <c r="G1324" s="470"/>
      <c r="H1324" s="470">
        <v>1317</v>
      </c>
      <c r="I1324" s="455">
        <f t="shared" ca="1" si="128"/>
        <v>-40538344.410046764</v>
      </c>
      <c r="J1324" s="455">
        <f t="array" ref="J1324">IFERROR(INDEX('Retirement Calculator'!J:J,MATCH('Isaac 401k'!N1324,'Retirement Calculator'!A:A,0),0),0)</f>
        <v>0</v>
      </c>
      <c r="K1324" s="455">
        <f t="shared" ca="1" si="126"/>
        <v>-168909.76837519484</v>
      </c>
      <c r="L1324" s="455">
        <f t="shared" ca="1" si="127"/>
        <v>-40707254.178421959</v>
      </c>
      <c r="M1324" s="471">
        <f t="shared" si="129"/>
        <v>0.05</v>
      </c>
      <c r="N1324" s="475">
        <f t="shared" si="130"/>
        <v>91344</v>
      </c>
    </row>
    <row r="1325" spans="7:14" ht="11.25" customHeight="1" x14ac:dyDescent="0.3">
      <c r="G1325" s="470"/>
      <c r="H1325" s="470">
        <v>1318</v>
      </c>
      <c r="I1325" s="455">
        <f t="shared" ca="1" si="128"/>
        <v>-40707254.178421959</v>
      </c>
      <c r="J1325" s="455">
        <f t="array" ref="J1325">IFERROR(INDEX('Retirement Calculator'!J:J,MATCH('Isaac 401k'!N1325,'Retirement Calculator'!A:A,0),0),0)</f>
        <v>0</v>
      </c>
      <c r="K1325" s="455">
        <f t="shared" ca="1" si="126"/>
        <v>-169613.55907675816</v>
      </c>
      <c r="L1325" s="455">
        <f t="shared" ca="1" si="127"/>
        <v>-40876867.737498716</v>
      </c>
      <c r="M1325" s="471">
        <f t="shared" si="129"/>
        <v>0.05</v>
      </c>
      <c r="N1325" s="475">
        <f t="shared" si="130"/>
        <v>91372</v>
      </c>
    </row>
    <row r="1326" spans="7:14" ht="11.25" customHeight="1" x14ac:dyDescent="0.3">
      <c r="G1326" s="470"/>
      <c r="H1326" s="470">
        <v>1319</v>
      </c>
      <c r="I1326" s="455">
        <f t="shared" ca="1" si="128"/>
        <v>-40876867.737498716</v>
      </c>
      <c r="J1326" s="455">
        <f t="array" ref="J1326">IFERROR(INDEX('Retirement Calculator'!J:J,MATCH('Isaac 401k'!N1326,'Retirement Calculator'!A:A,0),0),0)</f>
        <v>0</v>
      </c>
      <c r="K1326" s="455">
        <f t="shared" ca="1" si="126"/>
        <v>-170320.28223957797</v>
      </c>
      <c r="L1326" s="455">
        <f t="shared" ca="1" si="127"/>
        <v>-41047188.019738294</v>
      </c>
      <c r="M1326" s="471">
        <f t="shared" si="129"/>
        <v>0.05</v>
      </c>
      <c r="N1326" s="475">
        <f t="shared" si="130"/>
        <v>91403</v>
      </c>
    </row>
    <row r="1327" spans="7:14" ht="11.25" customHeight="1" x14ac:dyDescent="0.3">
      <c r="G1327" s="470"/>
      <c r="H1327" s="470">
        <v>1320</v>
      </c>
      <c r="I1327" s="455">
        <f t="shared" ca="1" si="128"/>
        <v>-41047188.019738294</v>
      </c>
      <c r="J1327" s="455">
        <f t="array" ref="J1327">IFERROR(INDEX('Retirement Calculator'!J:J,MATCH('Isaac 401k'!N1327,'Retirement Calculator'!A:A,0),0),0)</f>
        <v>0</v>
      </c>
      <c r="K1327" s="455">
        <f t="shared" ca="1" si="126"/>
        <v>-171029.9500822429</v>
      </c>
      <c r="L1327" s="455">
        <f t="shared" ca="1" si="127"/>
        <v>-41218217.969820537</v>
      </c>
      <c r="M1327" s="471">
        <f t="shared" si="129"/>
        <v>0.05</v>
      </c>
      <c r="N1327" s="475">
        <f t="shared" si="130"/>
        <v>91433</v>
      </c>
    </row>
    <row r="1328" spans="7:14" ht="11.25" customHeight="1" x14ac:dyDescent="0.3">
      <c r="G1328" s="470"/>
      <c r="H1328" s="470">
        <v>1321</v>
      </c>
      <c r="I1328" s="455">
        <f t="shared" ca="1" si="128"/>
        <v>-41218217.969820537</v>
      </c>
      <c r="J1328" s="455">
        <f t="array" ref="J1328">IFERROR(INDEX('Retirement Calculator'!J:J,MATCH('Isaac 401k'!N1328,'Retirement Calculator'!A:A,0),0),0)</f>
        <v>0</v>
      </c>
      <c r="K1328" s="455">
        <f t="shared" ca="1" si="126"/>
        <v>-171742.57487425223</v>
      </c>
      <c r="L1328" s="455">
        <f t="shared" ca="1" si="127"/>
        <v>-41389960.544694789</v>
      </c>
      <c r="M1328" s="471">
        <f t="shared" si="129"/>
        <v>0.05</v>
      </c>
      <c r="N1328" s="475">
        <f t="shared" si="130"/>
        <v>91464</v>
      </c>
    </row>
    <row r="1329" spans="7:14" ht="11.25" customHeight="1" x14ac:dyDescent="0.3">
      <c r="G1329" s="470"/>
      <c r="H1329" s="470">
        <v>1322</v>
      </c>
      <c r="I1329" s="455">
        <f t="shared" ca="1" si="128"/>
        <v>-41389960.544694789</v>
      </c>
      <c r="J1329" s="455">
        <f t="array" ref="J1329">IFERROR(INDEX('Retirement Calculator'!J:J,MATCH('Isaac 401k'!N1329,'Retirement Calculator'!A:A,0),0),0)</f>
        <v>0</v>
      </c>
      <c r="K1329" s="455">
        <f t="shared" ca="1" si="126"/>
        <v>-172458.16893622829</v>
      </c>
      <c r="L1329" s="455">
        <f t="shared" ca="1" si="127"/>
        <v>-41562418.713631019</v>
      </c>
      <c r="M1329" s="471">
        <f t="shared" si="129"/>
        <v>0.05</v>
      </c>
      <c r="N1329" s="475">
        <f t="shared" si="130"/>
        <v>91494</v>
      </c>
    </row>
    <row r="1330" spans="7:14" ht="11.25" customHeight="1" x14ac:dyDescent="0.3">
      <c r="G1330" s="470"/>
      <c r="H1330" s="470">
        <v>1323</v>
      </c>
      <c r="I1330" s="455">
        <f t="shared" ca="1" si="128"/>
        <v>-41562418.713631019</v>
      </c>
      <c r="J1330" s="455">
        <f t="array" ref="J1330">IFERROR(INDEX('Retirement Calculator'!J:J,MATCH('Isaac 401k'!N1330,'Retirement Calculator'!A:A,0),0),0)</f>
        <v>0</v>
      </c>
      <c r="K1330" s="455">
        <f t="shared" ca="1" si="126"/>
        <v>-173176.74464012924</v>
      </c>
      <c r="L1330" s="455">
        <f t="shared" ca="1" si="127"/>
        <v>-41735595.458271146</v>
      </c>
      <c r="M1330" s="471">
        <f t="shared" si="129"/>
        <v>0.05</v>
      </c>
      <c r="N1330" s="475">
        <f t="shared" si="130"/>
        <v>91525</v>
      </c>
    </row>
    <row r="1331" spans="7:14" ht="11.25" customHeight="1" x14ac:dyDescent="0.3">
      <c r="G1331" s="470"/>
      <c r="H1331" s="470">
        <v>1324</v>
      </c>
      <c r="I1331" s="455">
        <f t="shared" ca="1" si="128"/>
        <v>-41735595.458271146</v>
      </c>
      <c r="J1331" s="455">
        <f t="array" ref="J1331">IFERROR(INDEX('Retirement Calculator'!J:J,MATCH('Isaac 401k'!N1331,'Retirement Calculator'!A:A,0),0),0)</f>
        <v>0</v>
      </c>
      <c r="K1331" s="455">
        <f t="shared" ca="1" si="126"/>
        <v>-173898.31440946311</v>
      </c>
      <c r="L1331" s="455">
        <f t="shared" ca="1" si="127"/>
        <v>-41909493.77268061</v>
      </c>
      <c r="M1331" s="471">
        <f t="shared" si="129"/>
        <v>0.05</v>
      </c>
      <c r="N1331" s="475">
        <f t="shared" si="130"/>
        <v>91556</v>
      </c>
    </row>
    <row r="1332" spans="7:14" ht="11.25" customHeight="1" x14ac:dyDescent="0.3">
      <c r="G1332" s="470"/>
      <c r="H1332" s="470">
        <v>1325</v>
      </c>
      <c r="I1332" s="455">
        <f t="shared" ca="1" si="128"/>
        <v>-41909493.77268061</v>
      </c>
      <c r="J1332" s="455">
        <f t="array" ref="J1332">IFERROR(INDEX('Retirement Calculator'!J:J,MATCH('Isaac 401k'!N1332,'Retirement Calculator'!A:A,0),0),0)</f>
        <v>0</v>
      </c>
      <c r="K1332" s="455">
        <f t="shared" ca="1" si="126"/>
        <v>-174622.89071950255</v>
      </c>
      <c r="L1332" s="455">
        <f t="shared" ca="1" si="127"/>
        <v>-42084116.663400114</v>
      </c>
      <c r="M1332" s="471">
        <f t="shared" si="129"/>
        <v>0.05</v>
      </c>
      <c r="N1332" s="475">
        <f t="shared" si="130"/>
        <v>91586</v>
      </c>
    </row>
    <row r="1333" spans="7:14" ht="11.25" customHeight="1" x14ac:dyDescent="0.3">
      <c r="G1333" s="470"/>
      <c r="H1333" s="470">
        <v>1326</v>
      </c>
      <c r="I1333" s="455">
        <f t="shared" ca="1" si="128"/>
        <v>-42084116.663400114</v>
      </c>
      <c r="J1333" s="455">
        <f t="array" ref="J1333">IFERROR(INDEX('Retirement Calculator'!J:J,MATCH('Isaac 401k'!N1333,'Retirement Calculator'!A:A,0),0),0)</f>
        <v>0</v>
      </c>
      <c r="K1333" s="455">
        <f t="shared" ca="1" si="126"/>
        <v>-175350.48609750048</v>
      </c>
      <c r="L1333" s="455">
        <f t="shared" ca="1" si="127"/>
        <v>-42259467.149497613</v>
      </c>
      <c r="M1333" s="471">
        <f t="shared" si="129"/>
        <v>0.05</v>
      </c>
      <c r="N1333" s="475">
        <f t="shared" si="130"/>
        <v>91617</v>
      </c>
    </row>
    <row r="1334" spans="7:14" ht="11.25" customHeight="1" x14ac:dyDescent="0.3">
      <c r="G1334" s="470"/>
      <c r="H1334" s="470">
        <v>1327</v>
      </c>
      <c r="I1334" s="455">
        <f t="shared" ca="1" si="128"/>
        <v>-42259467.149497613</v>
      </c>
      <c r="J1334" s="455">
        <f t="array" ref="J1334">IFERROR(INDEX('Retirement Calculator'!J:J,MATCH('Isaac 401k'!N1334,'Retirement Calculator'!A:A,0),0),0)</f>
        <v>0</v>
      </c>
      <c r="K1334" s="455">
        <f t="shared" ca="1" si="126"/>
        <v>-176081.11312290671</v>
      </c>
      <c r="L1334" s="455">
        <f t="shared" ca="1" si="127"/>
        <v>-42435548.262620524</v>
      </c>
      <c r="M1334" s="471">
        <f t="shared" si="129"/>
        <v>0.05</v>
      </c>
      <c r="N1334" s="475">
        <f t="shared" si="130"/>
        <v>91647</v>
      </c>
    </row>
    <row r="1335" spans="7:14" ht="11.25" customHeight="1" x14ac:dyDescent="0.3">
      <c r="G1335" s="470"/>
      <c r="H1335" s="470">
        <v>1328</v>
      </c>
      <c r="I1335" s="455">
        <f t="shared" ca="1" si="128"/>
        <v>-42435548.262620524</v>
      </c>
      <c r="J1335" s="455">
        <f t="array" ref="J1335">IFERROR(INDEX('Retirement Calculator'!J:J,MATCH('Isaac 401k'!N1335,'Retirement Calculator'!A:A,0),0),0)</f>
        <v>0</v>
      </c>
      <c r="K1335" s="455">
        <f t="shared" ca="1" si="126"/>
        <v>-176814.78442758552</v>
      </c>
      <c r="L1335" s="455">
        <f t="shared" ca="1" si="127"/>
        <v>-42612363.047048107</v>
      </c>
      <c r="M1335" s="471">
        <f t="shared" si="129"/>
        <v>0.05</v>
      </c>
      <c r="N1335" s="475">
        <f t="shared" si="130"/>
        <v>91678</v>
      </c>
    </row>
    <row r="1336" spans="7:14" ht="11.25" customHeight="1" x14ac:dyDescent="0.3">
      <c r="G1336" s="470"/>
      <c r="H1336" s="470">
        <v>1329</v>
      </c>
      <c r="I1336" s="455">
        <f t="shared" ca="1" si="128"/>
        <v>-42612363.047048107</v>
      </c>
      <c r="J1336" s="455">
        <f t="array" ref="J1336">IFERROR(INDEX('Retirement Calculator'!J:J,MATCH('Isaac 401k'!N1336,'Retirement Calculator'!A:A,0),0),0)</f>
        <v>0</v>
      </c>
      <c r="K1336" s="455">
        <f t="shared" ca="1" si="126"/>
        <v>-177551.51269603378</v>
      </c>
      <c r="L1336" s="455">
        <f t="shared" ca="1" si="127"/>
        <v>-42789914.559744142</v>
      </c>
      <c r="M1336" s="471">
        <f t="shared" si="129"/>
        <v>0.05</v>
      </c>
      <c r="N1336" s="475">
        <f t="shared" si="130"/>
        <v>91709</v>
      </c>
    </row>
    <row r="1337" spans="7:14" ht="11.25" customHeight="1" x14ac:dyDescent="0.3">
      <c r="G1337" s="470"/>
      <c r="H1337" s="470">
        <v>1330</v>
      </c>
      <c r="I1337" s="455">
        <f t="shared" ca="1" si="128"/>
        <v>-42789914.559744142</v>
      </c>
      <c r="J1337" s="455">
        <f t="array" ref="J1337">IFERROR(INDEX('Retirement Calculator'!J:J,MATCH('Isaac 401k'!N1337,'Retirement Calculator'!A:A,0),0),0)</f>
        <v>0</v>
      </c>
      <c r="K1337" s="455">
        <f t="shared" ca="1" si="126"/>
        <v>-178291.31066560058</v>
      </c>
      <c r="L1337" s="455">
        <f t="shared" ca="1" si="127"/>
        <v>-42968205.870409742</v>
      </c>
      <c r="M1337" s="471">
        <f t="shared" si="129"/>
        <v>0.05</v>
      </c>
      <c r="N1337" s="475">
        <f t="shared" si="130"/>
        <v>91737</v>
      </c>
    </row>
    <row r="1338" spans="7:14" ht="11.25" customHeight="1" x14ac:dyDescent="0.3">
      <c r="G1338" s="470"/>
      <c r="H1338" s="470">
        <v>1331</v>
      </c>
      <c r="I1338" s="455">
        <f t="shared" ca="1" si="128"/>
        <v>-42968205.870409742</v>
      </c>
      <c r="J1338" s="455">
        <f t="array" ref="J1338">IFERROR(INDEX('Retirement Calculator'!J:J,MATCH('Isaac 401k'!N1338,'Retirement Calculator'!A:A,0),0),0)</f>
        <v>0</v>
      </c>
      <c r="K1338" s="455">
        <f t="shared" ca="1" si="126"/>
        <v>-179034.19112670724</v>
      </c>
      <c r="L1338" s="455">
        <f t="shared" ca="1" si="127"/>
        <v>-43147240.061536446</v>
      </c>
      <c r="M1338" s="471">
        <f t="shared" si="129"/>
        <v>0.05</v>
      </c>
      <c r="N1338" s="475">
        <f t="shared" si="130"/>
        <v>91768</v>
      </c>
    </row>
    <row r="1339" spans="7:14" ht="11.25" customHeight="1" x14ac:dyDescent="0.3">
      <c r="G1339" s="470"/>
      <c r="H1339" s="470">
        <v>1332</v>
      </c>
      <c r="I1339" s="455">
        <f t="shared" ca="1" si="128"/>
        <v>-43147240.061536446</v>
      </c>
      <c r="J1339" s="455">
        <f t="array" ref="J1339">IFERROR(INDEX('Retirement Calculator'!J:J,MATCH('Isaac 401k'!N1339,'Retirement Calculator'!A:A,0),0),0)</f>
        <v>0</v>
      </c>
      <c r="K1339" s="455">
        <f t="shared" ca="1" si="126"/>
        <v>-179780.16692306852</v>
      </c>
      <c r="L1339" s="455">
        <f t="shared" ca="1" si="127"/>
        <v>-43327020.228459515</v>
      </c>
      <c r="M1339" s="471">
        <f t="shared" si="129"/>
        <v>0.05</v>
      </c>
      <c r="N1339" s="475">
        <f t="shared" si="130"/>
        <v>91798</v>
      </c>
    </row>
    <row r="1340" spans="7:14" ht="11.25" customHeight="1" x14ac:dyDescent="0.3">
      <c r="G1340" s="470"/>
      <c r="H1340" s="470">
        <v>1333</v>
      </c>
      <c r="I1340" s="455">
        <f t="shared" ca="1" si="128"/>
        <v>-43327020.228459515</v>
      </c>
      <c r="J1340" s="455">
        <f t="array" ref="J1340">IFERROR(INDEX('Retirement Calculator'!J:J,MATCH('Isaac 401k'!N1340,'Retirement Calculator'!A:A,0),0),0)</f>
        <v>0</v>
      </c>
      <c r="K1340" s="455">
        <f t="shared" ca="1" si="126"/>
        <v>-180529.25095191464</v>
      </c>
      <c r="L1340" s="455">
        <f t="shared" ca="1" si="127"/>
        <v>-43507549.479411431</v>
      </c>
      <c r="M1340" s="471">
        <f t="shared" si="129"/>
        <v>0.05</v>
      </c>
      <c r="N1340" s="475">
        <f t="shared" si="130"/>
        <v>91829</v>
      </c>
    </row>
    <row r="1341" spans="7:14" ht="11.25" customHeight="1" x14ac:dyDescent="0.3">
      <c r="G1341" s="470"/>
      <c r="H1341" s="470">
        <v>1334</v>
      </c>
      <c r="I1341" s="455">
        <f t="shared" ca="1" si="128"/>
        <v>-43507549.479411431</v>
      </c>
      <c r="J1341" s="455">
        <f t="array" ref="J1341">IFERROR(INDEX('Retirement Calculator'!J:J,MATCH('Isaac 401k'!N1341,'Retirement Calculator'!A:A,0),0),0)</f>
        <v>0</v>
      </c>
      <c r="K1341" s="455">
        <f t="shared" ca="1" si="126"/>
        <v>-181281.45616421429</v>
      </c>
      <c r="L1341" s="455">
        <f t="shared" ca="1" si="127"/>
        <v>-43688830.935575642</v>
      </c>
      <c r="M1341" s="471">
        <f t="shared" si="129"/>
        <v>0.05</v>
      </c>
      <c r="N1341" s="475">
        <f t="shared" si="130"/>
        <v>91859</v>
      </c>
    </row>
    <row r="1342" spans="7:14" ht="11.25" customHeight="1" x14ac:dyDescent="0.3">
      <c r="G1342" s="470"/>
      <c r="H1342" s="470">
        <v>1335</v>
      </c>
      <c r="I1342" s="455">
        <f t="shared" ca="1" si="128"/>
        <v>-43688830.935575642</v>
      </c>
      <c r="J1342" s="455">
        <f t="array" ref="J1342">IFERROR(INDEX('Retirement Calculator'!J:J,MATCH('Isaac 401k'!N1342,'Retirement Calculator'!A:A,0),0),0)</f>
        <v>0</v>
      </c>
      <c r="K1342" s="455">
        <f t="shared" ca="1" si="126"/>
        <v>-182036.79556489849</v>
      </c>
      <c r="L1342" s="455">
        <f t="shared" ca="1" si="127"/>
        <v>-43870867.731140539</v>
      </c>
      <c r="M1342" s="471">
        <f t="shared" si="129"/>
        <v>0.05</v>
      </c>
      <c r="N1342" s="475">
        <f t="shared" si="130"/>
        <v>91890</v>
      </c>
    </row>
    <row r="1343" spans="7:14" ht="11.25" customHeight="1" x14ac:dyDescent="0.3">
      <c r="G1343" s="470"/>
      <c r="H1343" s="470">
        <v>1336</v>
      </c>
      <c r="I1343" s="455">
        <f t="shared" ca="1" si="128"/>
        <v>-43870867.731140539</v>
      </c>
      <c r="J1343" s="455">
        <f t="array" ref="J1343">IFERROR(INDEX('Retirement Calculator'!J:J,MATCH('Isaac 401k'!N1343,'Retirement Calculator'!A:A,0),0),0)</f>
        <v>0</v>
      </c>
      <c r="K1343" s="455">
        <f t="shared" ca="1" si="126"/>
        <v>-182795.28221308556</v>
      </c>
      <c r="L1343" s="455">
        <f t="shared" ca="1" si="127"/>
        <v>-44053663.013353623</v>
      </c>
      <c r="M1343" s="471">
        <f t="shared" si="129"/>
        <v>0.05</v>
      </c>
      <c r="N1343" s="475">
        <f t="shared" si="130"/>
        <v>91921</v>
      </c>
    </row>
    <row r="1344" spans="7:14" ht="11.25" customHeight="1" x14ac:dyDescent="0.3">
      <c r="G1344" s="470"/>
      <c r="H1344" s="470">
        <v>1337</v>
      </c>
      <c r="I1344" s="455">
        <f t="shared" ca="1" si="128"/>
        <v>-44053663.013353623</v>
      </c>
      <c r="J1344" s="455">
        <f t="array" ref="J1344">IFERROR(INDEX('Retirement Calculator'!J:J,MATCH('Isaac 401k'!N1344,'Retirement Calculator'!A:A,0),0),0)</f>
        <v>0</v>
      </c>
      <c r="K1344" s="455">
        <f t="shared" ca="1" si="126"/>
        <v>-183556.92922230676</v>
      </c>
      <c r="L1344" s="455">
        <f t="shared" ca="1" si="127"/>
        <v>-44237219.942575932</v>
      </c>
      <c r="M1344" s="471">
        <f t="shared" si="129"/>
        <v>0.05</v>
      </c>
      <c r="N1344" s="475">
        <f t="shared" si="130"/>
        <v>91951</v>
      </c>
    </row>
    <row r="1345" spans="7:14" ht="11.25" customHeight="1" x14ac:dyDescent="0.3">
      <c r="G1345" s="470"/>
      <c r="H1345" s="470">
        <v>1338</v>
      </c>
      <c r="I1345" s="455">
        <f t="shared" ca="1" si="128"/>
        <v>-44237219.942575932</v>
      </c>
      <c r="J1345" s="455">
        <f t="array" ref="J1345">IFERROR(INDEX('Retirement Calculator'!J:J,MATCH('Isaac 401k'!N1345,'Retirement Calculator'!A:A,0),0),0)</f>
        <v>0</v>
      </c>
      <c r="K1345" s="455">
        <f t="shared" ca="1" si="126"/>
        <v>-184321.74976073304</v>
      </c>
      <c r="L1345" s="455">
        <f t="shared" ca="1" si="127"/>
        <v>-44421541.692336664</v>
      </c>
      <c r="M1345" s="471">
        <f t="shared" si="129"/>
        <v>0.05</v>
      </c>
      <c r="N1345" s="475">
        <f t="shared" si="130"/>
        <v>91982</v>
      </c>
    </row>
    <row r="1346" spans="7:14" ht="11.25" customHeight="1" x14ac:dyDescent="0.3">
      <c r="G1346" s="470"/>
      <c r="H1346" s="470">
        <v>1339</v>
      </c>
      <c r="I1346" s="455">
        <f t="shared" ca="1" si="128"/>
        <v>-44421541.692336664</v>
      </c>
      <c r="J1346" s="455">
        <f t="array" ref="J1346">IFERROR(INDEX('Retirement Calculator'!J:J,MATCH('Isaac 401k'!N1346,'Retirement Calculator'!A:A,0),0),0)</f>
        <v>0</v>
      </c>
      <c r="K1346" s="455">
        <f t="shared" ca="1" si="126"/>
        <v>-185089.75705140276</v>
      </c>
      <c r="L1346" s="455">
        <f t="shared" ca="1" si="127"/>
        <v>-44606631.449388064</v>
      </c>
      <c r="M1346" s="471">
        <f t="shared" si="129"/>
        <v>0.05</v>
      </c>
      <c r="N1346" s="475">
        <f t="shared" si="130"/>
        <v>92012</v>
      </c>
    </row>
    <row r="1347" spans="7:14" ht="11.25" customHeight="1" x14ac:dyDescent="0.3">
      <c r="G1347" s="470"/>
      <c r="H1347" s="470">
        <v>1340</v>
      </c>
      <c r="I1347" s="455">
        <f t="shared" ca="1" si="128"/>
        <v>-44606631.449388064</v>
      </c>
      <c r="J1347" s="455">
        <f t="array" ref="J1347">IFERROR(INDEX('Retirement Calculator'!J:J,MATCH('Isaac 401k'!N1347,'Retirement Calculator'!A:A,0),0),0)</f>
        <v>0</v>
      </c>
      <c r="K1347" s="455">
        <f t="shared" ca="1" si="126"/>
        <v>-185860.96437245025</v>
      </c>
      <c r="L1347" s="455">
        <f t="shared" ca="1" si="127"/>
        <v>-44792492.413760513</v>
      </c>
      <c r="M1347" s="471">
        <f t="shared" si="129"/>
        <v>0.05</v>
      </c>
      <c r="N1347" s="475">
        <f t="shared" si="130"/>
        <v>92043</v>
      </c>
    </row>
    <row r="1348" spans="7:14" ht="11.25" customHeight="1" x14ac:dyDescent="0.3">
      <c r="G1348" s="470"/>
      <c r="H1348" s="470">
        <v>1341</v>
      </c>
      <c r="I1348" s="455">
        <f t="shared" ca="1" si="128"/>
        <v>-44792492.413760513</v>
      </c>
      <c r="J1348" s="455">
        <f t="array" ref="J1348">IFERROR(INDEX('Retirement Calculator'!J:J,MATCH('Isaac 401k'!N1348,'Retirement Calculator'!A:A,0),0),0)</f>
        <v>0</v>
      </c>
      <c r="K1348" s="455">
        <f t="shared" ca="1" si="126"/>
        <v>-186635.38505733546</v>
      </c>
      <c r="L1348" s="455">
        <f t="shared" ca="1" si="127"/>
        <v>-44979127.798817851</v>
      </c>
      <c r="M1348" s="471">
        <f t="shared" si="129"/>
        <v>0.05</v>
      </c>
      <c r="N1348" s="475">
        <f t="shared" si="130"/>
        <v>92074</v>
      </c>
    </row>
    <row r="1349" spans="7:14" ht="11.25" customHeight="1" x14ac:dyDescent="0.3">
      <c r="G1349" s="470"/>
      <c r="H1349" s="470">
        <v>1342</v>
      </c>
      <c r="I1349" s="455">
        <f t="shared" ca="1" si="128"/>
        <v>-44979127.798817851</v>
      </c>
      <c r="J1349" s="455">
        <f t="array" ref="J1349">IFERROR(INDEX('Retirement Calculator'!J:J,MATCH('Isaac 401k'!N1349,'Retirement Calculator'!A:A,0),0),0)</f>
        <v>0</v>
      </c>
      <c r="K1349" s="455">
        <f t="shared" ca="1" si="126"/>
        <v>-187413.03249507438</v>
      </c>
      <c r="L1349" s="455">
        <f t="shared" ca="1" si="127"/>
        <v>-45166540.831312925</v>
      </c>
      <c r="M1349" s="471">
        <f t="shared" si="129"/>
        <v>0.05</v>
      </c>
      <c r="N1349" s="475">
        <f t="shared" si="130"/>
        <v>92103</v>
      </c>
    </row>
    <row r="1350" spans="7:14" ht="11.25" customHeight="1" x14ac:dyDescent="0.3">
      <c r="G1350" s="470"/>
      <c r="H1350" s="470">
        <v>1343</v>
      </c>
      <c r="I1350" s="455">
        <f t="shared" ca="1" si="128"/>
        <v>-45166540.831312925</v>
      </c>
      <c r="J1350" s="455">
        <f t="array" ref="J1350">IFERROR(INDEX('Retirement Calculator'!J:J,MATCH('Isaac 401k'!N1350,'Retirement Calculator'!A:A,0),0),0)</f>
        <v>0</v>
      </c>
      <c r="K1350" s="455">
        <f t="shared" ca="1" si="126"/>
        <v>-188193.92013047051</v>
      </c>
      <c r="L1350" s="455">
        <f t="shared" ca="1" si="127"/>
        <v>-45354734.751443394</v>
      </c>
      <c r="M1350" s="471">
        <f t="shared" si="129"/>
        <v>0.05</v>
      </c>
      <c r="N1350" s="475">
        <f t="shared" si="130"/>
        <v>92134</v>
      </c>
    </row>
    <row r="1351" spans="7:14" ht="11.25" customHeight="1" x14ac:dyDescent="0.3">
      <c r="G1351" s="470"/>
      <c r="H1351" s="470">
        <v>1344</v>
      </c>
      <c r="I1351" s="455">
        <f t="shared" ca="1" si="128"/>
        <v>-45354734.751443394</v>
      </c>
      <c r="J1351" s="455">
        <f t="array" ref="J1351">IFERROR(INDEX('Retirement Calculator'!J:J,MATCH('Isaac 401k'!N1351,'Retirement Calculator'!A:A,0),0),0)</f>
        <v>0</v>
      </c>
      <c r="K1351" s="455">
        <f t="shared" ca="1" si="126"/>
        <v>-188978.06146434747</v>
      </c>
      <c r="L1351" s="455">
        <f t="shared" ca="1" si="127"/>
        <v>-45543712.81290774</v>
      </c>
      <c r="M1351" s="471">
        <f t="shared" si="129"/>
        <v>0.05</v>
      </c>
      <c r="N1351" s="475">
        <f t="shared" si="130"/>
        <v>92164</v>
      </c>
    </row>
    <row r="1352" spans="7:14" ht="11.25" customHeight="1" x14ac:dyDescent="0.3">
      <c r="G1352" s="470"/>
      <c r="H1352" s="470">
        <v>1345</v>
      </c>
      <c r="I1352" s="455">
        <f t="shared" ca="1" si="128"/>
        <v>-45543712.81290774</v>
      </c>
      <c r="J1352" s="455">
        <f t="array" ref="J1352">IFERROR(INDEX('Retirement Calculator'!J:J,MATCH('Isaac 401k'!N1352,'Retirement Calculator'!A:A,0),0),0)</f>
        <v>0</v>
      </c>
      <c r="K1352" s="455">
        <f t="shared" ca="1" si="126"/>
        <v>-189765.47005378225</v>
      </c>
      <c r="L1352" s="455">
        <f t="shared" ca="1" si="127"/>
        <v>-45733478.282961525</v>
      </c>
      <c r="M1352" s="471">
        <f t="shared" si="129"/>
        <v>0.05</v>
      </c>
      <c r="N1352" s="475">
        <f t="shared" si="130"/>
        <v>92195</v>
      </c>
    </row>
    <row r="1353" spans="7:14" ht="11.25" customHeight="1" x14ac:dyDescent="0.3">
      <c r="G1353" s="470"/>
      <c r="H1353" s="470">
        <v>1346</v>
      </c>
      <c r="I1353" s="455">
        <f t="shared" ca="1" si="128"/>
        <v>-45733478.282961525</v>
      </c>
      <c r="J1353" s="455">
        <f t="array" ref="J1353">IFERROR(INDEX('Retirement Calculator'!J:J,MATCH('Isaac 401k'!N1353,'Retirement Calculator'!A:A,0),0),0)</f>
        <v>0</v>
      </c>
      <c r="K1353" s="455">
        <f t="shared" ca="1" si="126"/>
        <v>-190556.15951233968</v>
      </c>
      <c r="L1353" s="455">
        <f t="shared" ca="1" si="127"/>
        <v>-45924034.442473866</v>
      </c>
      <c r="M1353" s="471">
        <f t="shared" si="129"/>
        <v>0.05</v>
      </c>
      <c r="N1353" s="475">
        <f t="shared" si="130"/>
        <v>92225</v>
      </c>
    </row>
    <row r="1354" spans="7:14" ht="11.25" customHeight="1" x14ac:dyDescent="0.3">
      <c r="G1354" s="470"/>
      <c r="H1354" s="470">
        <v>1347</v>
      </c>
      <c r="I1354" s="455">
        <f t="shared" ca="1" si="128"/>
        <v>-45924034.442473866</v>
      </c>
      <c r="J1354" s="455">
        <f t="array" ref="J1354">IFERROR(INDEX('Retirement Calculator'!J:J,MATCH('Isaac 401k'!N1354,'Retirement Calculator'!A:A,0),0),0)</f>
        <v>0</v>
      </c>
      <c r="K1354" s="455">
        <f t="shared" ca="1" si="126"/>
        <v>-191350.14351030777</v>
      </c>
      <c r="L1354" s="455">
        <f t="shared" ca="1" si="127"/>
        <v>-46115384.58598417</v>
      </c>
      <c r="M1354" s="471">
        <f t="shared" si="129"/>
        <v>0.05</v>
      </c>
      <c r="N1354" s="475">
        <f t="shared" si="130"/>
        <v>92256</v>
      </c>
    </row>
    <row r="1355" spans="7:14" ht="11.25" customHeight="1" x14ac:dyDescent="0.3">
      <c r="G1355" s="470"/>
      <c r="H1355" s="470">
        <v>1348</v>
      </c>
      <c r="I1355" s="455">
        <f t="shared" ca="1" si="128"/>
        <v>-46115384.58598417</v>
      </c>
      <c r="J1355" s="455">
        <f t="array" ref="J1355">IFERROR(INDEX('Retirement Calculator'!J:J,MATCH('Isaac 401k'!N1355,'Retirement Calculator'!A:A,0),0),0)</f>
        <v>0</v>
      </c>
      <c r="K1355" s="455">
        <f t="shared" ca="1" si="126"/>
        <v>-192147.43577493404</v>
      </c>
      <c r="L1355" s="455">
        <f t="shared" ca="1" si="127"/>
        <v>-46307532.021759108</v>
      </c>
      <c r="M1355" s="471">
        <f t="shared" si="129"/>
        <v>0.05</v>
      </c>
      <c r="N1355" s="475">
        <f t="shared" si="130"/>
        <v>92287</v>
      </c>
    </row>
    <row r="1356" spans="7:14" ht="11.25" customHeight="1" x14ac:dyDescent="0.3">
      <c r="G1356" s="470"/>
      <c r="H1356" s="470">
        <v>1349</v>
      </c>
      <c r="I1356" s="455">
        <f t="shared" ca="1" si="128"/>
        <v>-46307532.021759108</v>
      </c>
      <c r="J1356" s="455">
        <f t="array" ref="J1356">IFERROR(INDEX('Retirement Calculator'!J:J,MATCH('Isaac 401k'!N1356,'Retirement Calculator'!A:A,0),0),0)</f>
        <v>0</v>
      </c>
      <c r="K1356" s="455">
        <f t="shared" ca="1" si="126"/>
        <v>-192948.05009066296</v>
      </c>
      <c r="L1356" s="455">
        <f t="shared" ca="1" si="127"/>
        <v>-46500480.071849771</v>
      </c>
      <c r="M1356" s="471">
        <f t="shared" si="129"/>
        <v>0.05</v>
      </c>
      <c r="N1356" s="475">
        <f t="shared" si="130"/>
        <v>92317</v>
      </c>
    </row>
    <row r="1357" spans="7:14" ht="11.25" customHeight="1" x14ac:dyDescent="0.3">
      <c r="G1357" s="470"/>
      <c r="H1357" s="470">
        <v>1350</v>
      </c>
      <c r="I1357" s="455">
        <f t="shared" ca="1" si="128"/>
        <v>-46500480.071849771</v>
      </c>
      <c r="J1357" s="455">
        <f t="array" ref="J1357">IFERROR(INDEX('Retirement Calculator'!J:J,MATCH('Isaac 401k'!N1357,'Retirement Calculator'!A:A,0),0),0)</f>
        <v>0</v>
      </c>
      <c r="K1357" s="455">
        <f t="shared" ca="1" si="126"/>
        <v>-193752.00029937405</v>
      </c>
      <c r="L1357" s="455">
        <f t="shared" ca="1" si="127"/>
        <v>-46694232.072149143</v>
      </c>
      <c r="M1357" s="471">
        <f t="shared" si="129"/>
        <v>0.05</v>
      </c>
      <c r="N1357" s="475">
        <f t="shared" si="130"/>
        <v>92348</v>
      </c>
    </row>
    <row r="1358" spans="7:14" ht="11.25" customHeight="1" x14ac:dyDescent="0.3">
      <c r="G1358" s="470"/>
      <c r="H1358" s="470">
        <v>1351</v>
      </c>
      <c r="I1358" s="455">
        <f t="shared" ca="1" si="128"/>
        <v>-46694232.072149143</v>
      </c>
      <c r="J1358" s="455">
        <f t="array" ref="J1358">IFERROR(INDEX('Retirement Calculator'!J:J,MATCH('Isaac 401k'!N1358,'Retirement Calculator'!A:A,0),0),0)</f>
        <v>0</v>
      </c>
      <c r="K1358" s="455">
        <f t="shared" ca="1" si="126"/>
        <v>-194559.30030062143</v>
      </c>
      <c r="L1358" s="455">
        <f t="shared" ca="1" si="127"/>
        <v>-46888791.372449763</v>
      </c>
      <c r="M1358" s="471">
        <f t="shared" si="129"/>
        <v>0.05</v>
      </c>
      <c r="N1358" s="475">
        <f t="shared" si="130"/>
        <v>92378</v>
      </c>
    </row>
    <row r="1359" spans="7:14" ht="11.25" customHeight="1" x14ac:dyDescent="0.3">
      <c r="G1359" s="470"/>
      <c r="H1359" s="470">
        <v>1352</v>
      </c>
      <c r="I1359" s="455">
        <f t="shared" ca="1" si="128"/>
        <v>-46888791.372449763</v>
      </c>
      <c r="J1359" s="455">
        <f t="array" ref="J1359">IFERROR(INDEX('Retirement Calculator'!J:J,MATCH('Isaac 401k'!N1359,'Retirement Calculator'!A:A,0),0),0)</f>
        <v>0</v>
      </c>
      <c r="K1359" s="455">
        <f t="shared" ca="1" si="126"/>
        <v>-195369.96405187401</v>
      </c>
      <c r="L1359" s="455">
        <f t="shared" ca="1" si="127"/>
        <v>-47084161.336501636</v>
      </c>
      <c r="M1359" s="471">
        <f t="shared" si="129"/>
        <v>0.05</v>
      </c>
      <c r="N1359" s="475">
        <f t="shared" si="130"/>
        <v>92409</v>
      </c>
    </row>
    <row r="1360" spans="7:14" ht="11.25" customHeight="1" x14ac:dyDescent="0.3">
      <c r="G1360" s="470"/>
      <c r="H1360" s="470">
        <v>1353</v>
      </c>
      <c r="I1360" s="455">
        <f t="shared" ca="1" si="128"/>
        <v>-47084161.336501636</v>
      </c>
      <c r="J1360" s="455">
        <f t="array" ref="J1360">IFERROR(INDEX('Retirement Calculator'!J:J,MATCH('Isaac 401k'!N1360,'Retirement Calculator'!A:A,0),0),0)</f>
        <v>0</v>
      </c>
      <c r="K1360" s="455">
        <f t="shared" ca="1" si="126"/>
        <v>-196184.00556875681</v>
      </c>
      <c r="L1360" s="455">
        <f t="shared" ca="1" si="127"/>
        <v>-47280345.342070393</v>
      </c>
      <c r="M1360" s="471">
        <f t="shared" si="129"/>
        <v>0.05</v>
      </c>
      <c r="N1360" s="475">
        <f t="shared" si="130"/>
        <v>92440</v>
      </c>
    </row>
    <row r="1361" spans="7:14" ht="11.25" customHeight="1" x14ac:dyDescent="0.3">
      <c r="G1361" s="470"/>
      <c r="H1361" s="470">
        <v>1354</v>
      </c>
      <c r="I1361" s="455">
        <f t="shared" ca="1" si="128"/>
        <v>-47280345.342070393</v>
      </c>
      <c r="J1361" s="455">
        <f t="array" ref="J1361">IFERROR(INDEX('Retirement Calculator'!J:J,MATCH('Isaac 401k'!N1361,'Retirement Calculator'!A:A,0),0),0)</f>
        <v>0</v>
      </c>
      <c r="K1361" s="455">
        <f t="shared" ca="1" si="126"/>
        <v>-197001.4389252933</v>
      </c>
      <c r="L1361" s="455">
        <f t="shared" ca="1" si="127"/>
        <v>-47477346.780995689</v>
      </c>
      <c r="M1361" s="471">
        <f t="shared" si="129"/>
        <v>0.05</v>
      </c>
      <c r="N1361" s="475">
        <f t="shared" si="130"/>
        <v>92468</v>
      </c>
    </row>
    <row r="1362" spans="7:14" ht="11.25" customHeight="1" x14ac:dyDescent="0.3">
      <c r="G1362" s="470"/>
      <c r="H1362" s="470">
        <v>1355</v>
      </c>
      <c r="I1362" s="455">
        <f t="shared" ca="1" si="128"/>
        <v>-47477346.780995689</v>
      </c>
      <c r="J1362" s="455">
        <f t="array" ref="J1362">IFERROR(INDEX('Retirement Calculator'!J:J,MATCH('Isaac 401k'!N1362,'Retirement Calculator'!A:A,0),0),0)</f>
        <v>0</v>
      </c>
      <c r="K1362" s="455">
        <f t="shared" ca="1" si="126"/>
        <v>-197822.2782541487</v>
      </c>
      <c r="L1362" s="455">
        <f t="shared" ca="1" si="127"/>
        <v>-47675169.059249841</v>
      </c>
      <c r="M1362" s="471">
        <f t="shared" si="129"/>
        <v>0.05</v>
      </c>
      <c r="N1362" s="475">
        <f t="shared" si="130"/>
        <v>92499</v>
      </c>
    </row>
    <row r="1363" spans="7:14" ht="11.25" customHeight="1" x14ac:dyDescent="0.3">
      <c r="G1363" s="470"/>
      <c r="H1363" s="470">
        <v>1356</v>
      </c>
      <c r="I1363" s="455">
        <f t="shared" ca="1" si="128"/>
        <v>-47675169.059249841</v>
      </c>
      <c r="J1363" s="455">
        <f t="array" ref="J1363">IFERROR(INDEX('Retirement Calculator'!J:J,MATCH('Isaac 401k'!N1363,'Retirement Calculator'!A:A,0),0),0)</f>
        <v>0</v>
      </c>
      <c r="K1363" s="455">
        <f t="shared" ca="1" si="126"/>
        <v>-198646.53774687432</v>
      </c>
      <c r="L1363" s="455">
        <f t="shared" ca="1" si="127"/>
        <v>-47873815.596996717</v>
      </c>
      <c r="M1363" s="471">
        <f t="shared" si="129"/>
        <v>0.05</v>
      </c>
      <c r="N1363" s="475">
        <f t="shared" si="130"/>
        <v>92529</v>
      </c>
    </row>
    <row r="1364" spans="7:14" ht="11.25" customHeight="1" x14ac:dyDescent="0.3">
      <c r="G1364" s="470"/>
      <c r="H1364" s="470">
        <v>1357</v>
      </c>
      <c r="I1364" s="455">
        <f t="shared" ca="1" si="128"/>
        <v>-47873815.596996717</v>
      </c>
      <c r="J1364" s="455">
        <f t="array" ref="J1364">IFERROR(INDEX('Retirement Calculator'!J:J,MATCH('Isaac 401k'!N1364,'Retirement Calculator'!A:A,0),0),0)</f>
        <v>0</v>
      </c>
      <c r="K1364" s="455">
        <f t="shared" ca="1" si="126"/>
        <v>-199474.23165415297</v>
      </c>
      <c r="L1364" s="455">
        <f t="shared" ca="1" si="127"/>
        <v>-48073289.828650869</v>
      </c>
      <c r="M1364" s="471">
        <f t="shared" si="129"/>
        <v>0.05</v>
      </c>
      <c r="N1364" s="475">
        <f t="shared" si="130"/>
        <v>92560</v>
      </c>
    </row>
    <row r="1365" spans="7:14" ht="11.25" customHeight="1" x14ac:dyDescent="0.3">
      <c r="G1365" s="470"/>
      <c r="H1365" s="470">
        <v>1358</v>
      </c>
      <c r="I1365" s="455">
        <f t="shared" ca="1" si="128"/>
        <v>-48073289.828650869</v>
      </c>
      <c r="J1365" s="455">
        <f t="array" ref="J1365">IFERROR(INDEX('Retirement Calculator'!J:J,MATCH('Isaac 401k'!N1365,'Retirement Calculator'!A:A,0),0),0)</f>
        <v>0</v>
      </c>
      <c r="K1365" s="455">
        <f t="shared" ca="1" si="126"/>
        <v>-200305.37428604529</v>
      </c>
      <c r="L1365" s="455">
        <f t="shared" ca="1" si="127"/>
        <v>-48273595.202936918</v>
      </c>
      <c r="M1365" s="471">
        <f t="shared" si="129"/>
        <v>0.05</v>
      </c>
      <c r="N1365" s="475">
        <f t="shared" si="130"/>
        <v>92590</v>
      </c>
    </row>
    <row r="1366" spans="7:14" ht="11.25" customHeight="1" x14ac:dyDescent="0.3">
      <c r="G1366" s="470"/>
      <c r="H1366" s="470">
        <v>1359</v>
      </c>
      <c r="I1366" s="455">
        <f t="shared" ca="1" si="128"/>
        <v>-48273595.202936918</v>
      </c>
      <c r="J1366" s="455">
        <f t="array" ref="J1366">IFERROR(INDEX('Retirement Calculator'!J:J,MATCH('Isaac 401k'!N1366,'Retirement Calculator'!A:A,0),0),0)</f>
        <v>0</v>
      </c>
      <c r="K1366" s="455">
        <f t="shared" ca="1" si="126"/>
        <v>-201139.98001223715</v>
      </c>
      <c r="L1366" s="455">
        <f t="shared" ca="1" si="127"/>
        <v>-48474735.182949156</v>
      </c>
      <c r="M1366" s="471">
        <f t="shared" si="129"/>
        <v>0.05</v>
      </c>
      <c r="N1366" s="475">
        <f t="shared" si="130"/>
        <v>92621</v>
      </c>
    </row>
    <row r="1367" spans="7:14" ht="11.25" customHeight="1" x14ac:dyDescent="0.3">
      <c r="G1367" s="470"/>
      <c r="H1367" s="470">
        <v>1360</v>
      </c>
      <c r="I1367" s="455">
        <f t="shared" ca="1" si="128"/>
        <v>-48474735.182949156</v>
      </c>
      <c r="J1367" s="455">
        <f t="array" ref="J1367">IFERROR(INDEX('Retirement Calculator'!J:J,MATCH('Isaac 401k'!N1367,'Retirement Calculator'!A:A,0),0),0)</f>
        <v>0</v>
      </c>
      <c r="K1367" s="455">
        <f t="shared" ca="1" si="126"/>
        <v>-201978.06326228814</v>
      </c>
      <c r="L1367" s="455">
        <f t="shared" ca="1" si="127"/>
        <v>-48676713.246211447</v>
      </c>
      <c r="M1367" s="471">
        <f t="shared" si="129"/>
        <v>0.05</v>
      </c>
      <c r="N1367" s="475">
        <f t="shared" si="130"/>
        <v>92652</v>
      </c>
    </row>
    <row r="1368" spans="7:14" ht="11.25" customHeight="1" x14ac:dyDescent="0.3">
      <c r="G1368" s="470"/>
      <c r="H1368" s="470">
        <v>1361</v>
      </c>
      <c r="I1368" s="455">
        <f t="shared" ca="1" si="128"/>
        <v>-48676713.246211447</v>
      </c>
      <c r="J1368" s="455">
        <f t="array" ref="J1368">IFERROR(INDEX('Retirement Calculator'!J:J,MATCH('Isaac 401k'!N1368,'Retirement Calculator'!A:A,0),0),0)</f>
        <v>0</v>
      </c>
      <c r="K1368" s="455">
        <f t="shared" ca="1" si="126"/>
        <v>-202819.63852588102</v>
      </c>
      <c r="L1368" s="455">
        <f t="shared" ca="1" si="127"/>
        <v>-48879532.884737328</v>
      </c>
      <c r="M1368" s="471">
        <f t="shared" si="129"/>
        <v>0.05</v>
      </c>
      <c r="N1368" s="475">
        <f t="shared" si="130"/>
        <v>92682</v>
      </c>
    </row>
    <row r="1369" spans="7:14" ht="11.25" customHeight="1" x14ac:dyDescent="0.3">
      <c r="G1369" s="470"/>
      <c r="H1369" s="470">
        <v>1362</v>
      </c>
      <c r="I1369" s="455">
        <f t="shared" ca="1" si="128"/>
        <v>-48879532.884737328</v>
      </c>
      <c r="J1369" s="455">
        <f t="array" ref="J1369">IFERROR(INDEX('Retirement Calculator'!J:J,MATCH('Isaac 401k'!N1369,'Retirement Calculator'!A:A,0),0),0)</f>
        <v>0</v>
      </c>
      <c r="K1369" s="455">
        <f t="shared" ca="1" si="126"/>
        <v>-203664.72035307219</v>
      </c>
      <c r="L1369" s="455">
        <f t="shared" ca="1" si="127"/>
        <v>-49083197.605090402</v>
      </c>
      <c r="M1369" s="471">
        <f t="shared" si="129"/>
        <v>0.05</v>
      </c>
      <c r="N1369" s="475">
        <f t="shared" si="130"/>
        <v>92713</v>
      </c>
    </row>
    <row r="1370" spans="7:14" ht="11.25" customHeight="1" x14ac:dyDescent="0.3">
      <c r="G1370" s="470"/>
      <c r="H1370" s="470">
        <v>1363</v>
      </c>
      <c r="I1370" s="455">
        <f t="shared" ca="1" si="128"/>
        <v>-49083197.605090402</v>
      </c>
      <c r="J1370" s="455">
        <f t="array" ref="J1370">IFERROR(INDEX('Retirement Calculator'!J:J,MATCH('Isaac 401k'!N1370,'Retirement Calculator'!A:A,0),0),0)</f>
        <v>0</v>
      </c>
      <c r="K1370" s="455">
        <f t="shared" ca="1" si="126"/>
        <v>-204513.32335454333</v>
      </c>
      <c r="L1370" s="455">
        <f t="shared" ca="1" si="127"/>
        <v>-49287710.928444944</v>
      </c>
      <c r="M1370" s="471">
        <f t="shared" si="129"/>
        <v>0.05</v>
      </c>
      <c r="N1370" s="475">
        <f t="shared" si="130"/>
        <v>92743</v>
      </c>
    </row>
    <row r="1371" spans="7:14" ht="11.25" customHeight="1" x14ac:dyDescent="0.3">
      <c r="G1371" s="470"/>
      <c r="H1371" s="470">
        <v>1364</v>
      </c>
      <c r="I1371" s="455">
        <f t="shared" ca="1" si="128"/>
        <v>-49287710.928444944</v>
      </c>
      <c r="J1371" s="455">
        <f t="array" ref="J1371">IFERROR(INDEX('Retirement Calculator'!J:J,MATCH('Isaac 401k'!N1371,'Retirement Calculator'!A:A,0),0),0)</f>
        <v>0</v>
      </c>
      <c r="K1371" s="455">
        <f t="shared" ca="1" si="126"/>
        <v>-205365.46220185392</v>
      </c>
      <c r="L1371" s="455">
        <f t="shared" ca="1" si="127"/>
        <v>-49493076.3906468</v>
      </c>
      <c r="M1371" s="471">
        <f t="shared" si="129"/>
        <v>0.05</v>
      </c>
      <c r="N1371" s="475">
        <f t="shared" si="130"/>
        <v>92774</v>
      </c>
    </row>
    <row r="1372" spans="7:14" ht="11.25" customHeight="1" x14ac:dyDescent="0.3">
      <c r="G1372" s="470"/>
      <c r="H1372" s="470">
        <v>1365</v>
      </c>
      <c r="I1372" s="455">
        <f t="shared" ca="1" si="128"/>
        <v>-49493076.3906468</v>
      </c>
      <c r="J1372" s="455">
        <f t="array" ref="J1372">IFERROR(INDEX('Retirement Calculator'!J:J,MATCH('Isaac 401k'!N1372,'Retirement Calculator'!A:A,0),0),0)</f>
        <v>0</v>
      </c>
      <c r="K1372" s="455">
        <f t="shared" ca="1" si="126"/>
        <v>-206221.15162769501</v>
      </c>
      <c r="L1372" s="455">
        <f t="shared" ca="1" si="127"/>
        <v>-49699297.542274497</v>
      </c>
      <c r="M1372" s="471">
        <f t="shared" si="129"/>
        <v>0.05</v>
      </c>
      <c r="N1372" s="475">
        <f t="shared" si="130"/>
        <v>92805</v>
      </c>
    </row>
    <row r="1373" spans="7:14" ht="11.25" customHeight="1" x14ac:dyDescent="0.3">
      <c r="G1373" s="470"/>
      <c r="H1373" s="470">
        <v>1366</v>
      </c>
      <c r="I1373" s="455">
        <f t="shared" ca="1" si="128"/>
        <v>-49699297.542274497</v>
      </c>
      <c r="J1373" s="455">
        <f t="array" ref="J1373">IFERROR(INDEX('Retirement Calculator'!J:J,MATCH('Isaac 401k'!N1373,'Retirement Calculator'!A:A,0),0),0)</f>
        <v>0</v>
      </c>
      <c r="K1373" s="455">
        <f t="shared" ca="1" si="126"/>
        <v>-207080.40642614375</v>
      </c>
      <c r="L1373" s="455">
        <f t="shared" ca="1" si="127"/>
        <v>-49906377.948700644</v>
      </c>
      <c r="M1373" s="471">
        <f t="shared" si="129"/>
        <v>0.05</v>
      </c>
      <c r="N1373" s="475">
        <f t="shared" si="130"/>
        <v>92833</v>
      </c>
    </row>
    <row r="1374" spans="7:14" ht="11.25" customHeight="1" x14ac:dyDescent="0.3">
      <c r="G1374" s="470"/>
      <c r="H1374" s="470">
        <v>1367</v>
      </c>
      <c r="I1374" s="455">
        <f t="shared" ca="1" si="128"/>
        <v>-49906377.948700644</v>
      </c>
      <c r="J1374" s="455">
        <f t="array" ref="J1374">IFERROR(INDEX('Retirement Calculator'!J:J,MATCH('Isaac 401k'!N1374,'Retirement Calculator'!A:A,0),0),0)</f>
        <v>0</v>
      </c>
      <c r="K1374" s="455">
        <f t="shared" ca="1" si="126"/>
        <v>-207943.24145291935</v>
      </c>
      <c r="L1374" s="455">
        <f t="shared" ca="1" si="127"/>
        <v>-50114321.190153562</v>
      </c>
      <c r="M1374" s="471">
        <f t="shared" si="129"/>
        <v>0.05</v>
      </c>
      <c r="N1374" s="475">
        <f t="shared" si="130"/>
        <v>92864</v>
      </c>
    </row>
    <row r="1375" spans="7:14" ht="11.25" customHeight="1" x14ac:dyDescent="0.3">
      <c r="G1375" s="470"/>
      <c r="H1375" s="470">
        <v>1368</v>
      </c>
      <c r="I1375" s="455">
        <f t="shared" ca="1" si="128"/>
        <v>-50114321.190153562</v>
      </c>
      <c r="J1375" s="455">
        <f t="array" ref="J1375">IFERROR(INDEX('Retirement Calculator'!J:J,MATCH('Isaac 401k'!N1375,'Retirement Calculator'!A:A,0),0),0)</f>
        <v>0</v>
      </c>
      <c r="K1375" s="455">
        <f t="shared" ca="1" si="126"/>
        <v>-208809.67162563984</v>
      </c>
      <c r="L1375" s="455">
        <f t="shared" ca="1" si="127"/>
        <v>-50323130.861779198</v>
      </c>
      <c r="M1375" s="471">
        <f t="shared" si="129"/>
        <v>0.05</v>
      </c>
      <c r="N1375" s="475">
        <f t="shared" si="130"/>
        <v>92894</v>
      </c>
    </row>
    <row r="1376" spans="7:14" ht="11.25" customHeight="1" x14ac:dyDescent="0.3">
      <c r="G1376" s="470"/>
      <c r="H1376" s="470">
        <v>1369</v>
      </c>
      <c r="I1376" s="455">
        <f t="shared" ca="1" si="128"/>
        <v>-50323130.861779198</v>
      </c>
      <c r="J1376" s="455">
        <f t="array" ref="J1376">IFERROR(INDEX('Retirement Calculator'!J:J,MATCH('Isaac 401k'!N1376,'Retirement Calculator'!A:A,0),0),0)</f>
        <v>0</v>
      </c>
      <c r="K1376" s="455">
        <f t="shared" ca="1" si="126"/>
        <v>-209679.71192407998</v>
      </c>
      <c r="L1376" s="455">
        <f t="shared" ca="1" si="127"/>
        <v>-50532810.573703282</v>
      </c>
      <c r="M1376" s="471">
        <f t="shared" si="129"/>
        <v>0.05</v>
      </c>
      <c r="N1376" s="475">
        <f t="shared" si="130"/>
        <v>92925</v>
      </c>
    </row>
    <row r="1377" spans="7:14" ht="11.25" customHeight="1" x14ac:dyDescent="0.3">
      <c r="G1377" s="470"/>
      <c r="H1377" s="470">
        <v>1370</v>
      </c>
      <c r="I1377" s="455">
        <f t="shared" ca="1" si="128"/>
        <v>-50532810.573703282</v>
      </c>
      <c r="J1377" s="455">
        <f t="array" ref="J1377">IFERROR(INDEX('Retirement Calculator'!J:J,MATCH('Isaac 401k'!N1377,'Retirement Calculator'!A:A,0),0),0)</f>
        <v>0</v>
      </c>
      <c r="K1377" s="455">
        <f t="shared" ca="1" si="126"/>
        <v>-210553.37739043034</v>
      </c>
      <c r="L1377" s="455">
        <f t="shared" ca="1" si="127"/>
        <v>-50743363.951093711</v>
      </c>
      <c r="M1377" s="471">
        <f t="shared" si="129"/>
        <v>0.05</v>
      </c>
      <c r="N1377" s="475">
        <f t="shared" si="130"/>
        <v>92955</v>
      </c>
    </row>
    <row r="1378" spans="7:14" ht="11.25" customHeight="1" x14ac:dyDescent="0.3">
      <c r="G1378" s="470"/>
      <c r="H1378" s="470">
        <v>1371</v>
      </c>
      <c r="I1378" s="455">
        <f t="shared" ca="1" si="128"/>
        <v>-50743363.951093711</v>
      </c>
      <c r="J1378" s="455">
        <f t="array" ref="J1378">IFERROR(INDEX('Retirement Calculator'!J:J,MATCH('Isaac 401k'!N1378,'Retirement Calculator'!A:A,0),0),0)</f>
        <v>0</v>
      </c>
      <c r="K1378" s="455">
        <f t="shared" ca="1" si="126"/>
        <v>-211430.68312955712</v>
      </c>
      <c r="L1378" s="455">
        <f t="shared" ca="1" si="127"/>
        <v>-50954794.634223267</v>
      </c>
      <c r="M1378" s="471">
        <f t="shared" si="129"/>
        <v>0.05</v>
      </c>
      <c r="N1378" s="475">
        <f t="shared" si="130"/>
        <v>92986</v>
      </c>
    </row>
    <row r="1379" spans="7:14" ht="11.25" customHeight="1" x14ac:dyDescent="0.3">
      <c r="G1379" s="470"/>
      <c r="H1379" s="470">
        <v>1372</v>
      </c>
      <c r="I1379" s="455">
        <f t="shared" ca="1" si="128"/>
        <v>-50954794.634223267</v>
      </c>
      <c r="J1379" s="455">
        <f t="array" ref="J1379">IFERROR(INDEX('Retirement Calculator'!J:J,MATCH('Isaac 401k'!N1379,'Retirement Calculator'!A:A,0),0),0)</f>
        <v>0</v>
      </c>
      <c r="K1379" s="455">
        <f t="shared" ca="1" si="126"/>
        <v>-212311.64430926362</v>
      </c>
      <c r="L1379" s="455">
        <f t="shared" ca="1" si="127"/>
        <v>-51167106.278532527</v>
      </c>
      <c r="M1379" s="471">
        <f t="shared" si="129"/>
        <v>0.05</v>
      </c>
      <c r="N1379" s="475">
        <f t="shared" si="130"/>
        <v>93017</v>
      </c>
    </row>
    <row r="1380" spans="7:14" ht="11.25" customHeight="1" x14ac:dyDescent="0.3">
      <c r="G1380" s="470"/>
      <c r="H1380" s="470">
        <v>1373</v>
      </c>
      <c r="I1380" s="455">
        <f t="shared" ca="1" si="128"/>
        <v>-51167106.278532527</v>
      </c>
      <c r="J1380" s="455">
        <f t="array" ref="J1380">IFERROR(INDEX('Retirement Calculator'!J:J,MATCH('Isaac 401k'!N1380,'Retirement Calculator'!A:A,0),0),0)</f>
        <v>0</v>
      </c>
      <c r="K1380" s="455">
        <f t="shared" ca="1" si="126"/>
        <v>-213196.2761605522</v>
      </c>
      <c r="L1380" s="455">
        <f t="shared" ca="1" si="127"/>
        <v>-51380302.55469308</v>
      </c>
      <c r="M1380" s="471">
        <f t="shared" si="129"/>
        <v>0.05</v>
      </c>
      <c r="N1380" s="475">
        <f t="shared" si="130"/>
        <v>93047</v>
      </c>
    </row>
    <row r="1381" spans="7:14" ht="11.25" customHeight="1" x14ac:dyDescent="0.3">
      <c r="G1381" s="470"/>
      <c r="H1381" s="470">
        <v>1374</v>
      </c>
      <c r="I1381" s="455">
        <f t="shared" ca="1" si="128"/>
        <v>-51380302.55469308</v>
      </c>
      <c r="J1381" s="455">
        <f t="array" ref="J1381">IFERROR(INDEX('Retirement Calculator'!J:J,MATCH('Isaac 401k'!N1381,'Retirement Calculator'!A:A,0),0),0)</f>
        <v>0</v>
      </c>
      <c r="K1381" s="455">
        <f t="shared" ca="1" si="126"/>
        <v>-214084.59397788782</v>
      </c>
      <c r="L1381" s="455">
        <f t="shared" ca="1" si="127"/>
        <v>-51594387.148670971</v>
      </c>
      <c r="M1381" s="471">
        <f t="shared" si="129"/>
        <v>0.05</v>
      </c>
      <c r="N1381" s="475">
        <f t="shared" si="130"/>
        <v>93078</v>
      </c>
    </row>
    <row r="1382" spans="7:14" ht="11.25" customHeight="1" x14ac:dyDescent="0.3">
      <c r="G1382" s="470"/>
      <c r="H1382" s="470">
        <v>1375</v>
      </c>
      <c r="I1382" s="455">
        <f t="shared" ca="1" si="128"/>
        <v>-51594387.148670971</v>
      </c>
      <c r="J1382" s="455">
        <f t="array" ref="J1382">IFERROR(INDEX('Retirement Calculator'!J:J,MATCH('Isaac 401k'!N1382,'Retirement Calculator'!A:A,0),0),0)</f>
        <v>0</v>
      </c>
      <c r="K1382" s="455">
        <f t="shared" ca="1" si="126"/>
        <v>-214976.61311946239</v>
      </c>
      <c r="L1382" s="455">
        <f t="shared" ca="1" si="127"/>
        <v>-51809363.761790432</v>
      </c>
      <c r="M1382" s="471">
        <f t="shared" si="129"/>
        <v>0.05</v>
      </c>
      <c r="N1382" s="475">
        <f t="shared" si="130"/>
        <v>93108</v>
      </c>
    </row>
    <row r="1383" spans="7:14" ht="11.25" customHeight="1" x14ac:dyDescent="0.3">
      <c r="G1383" s="470"/>
      <c r="H1383" s="470">
        <v>1376</v>
      </c>
      <c r="I1383" s="455">
        <f t="shared" ca="1" si="128"/>
        <v>-51809363.761790432</v>
      </c>
      <c r="J1383" s="455">
        <f t="array" ref="J1383">IFERROR(INDEX('Retirement Calculator'!J:J,MATCH('Isaac 401k'!N1383,'Retirement Calculator'!A:A,0),0),0)</f>
        <v>0</v>
      </c>
      <c r="K1383" s="455">
        <f t="shared" ca="1" si="126"/>
        <v>-215872.34900746014</v>
      </c>
      <c r="L1383" s="455">
        <f t="shared" ca="1" si="127"/>
        <v>-52025236.11079789</v>
      </c>
      <c r="M1383" s="471">
        <f t="shared" si="129"/>
        <v>0.05</v>
      </c>
      <c r="N1383" s="475">
        <f t="shared" si="130"/>
        <v>93139</v>
      </c>
    </row>
    <row r="1384" spans="7:14" ht="11.25" customHeight="1" x14ac:dyDescent="0.3">
      <c r="G1384" s="470"/>
      <c r="H1384" s="470">
        <v>1377</v>
      </c>
      <c r="I1384" s="455">
        <f t="shared" ca="1" si="128"/>
        <v>-52025236.11079789</v>
      </c>
      <c r="J1384" s="455">
        <f t="array" ref="J1384">IFERROR(INDEX('Retirement Calculator'!J:J,MATCH('Isaac 401k'!N1384,'Retirement Calculator'!A:A,0),0),0)</f>
        <v>0</v>
      </c>
      <c r="K1384" s="455">
        <f t="shared" ca="1" si="126"/>
        <v>-216771.81712832453</v>
      </c>
      <c r="L1384" s="455">
        <f t="shared" ca="1" si="127"/>
        <v>-52242007.927926213</v>
      </c>
      <c r="M1384" s="471">
        <f t="shared" si="129"/>
        <v>0.05</v>
      </c>
      <c r="N1384" s="475">
        <f t="shared" si="130"/>
        <v>93170</v>
      </c>
    </row>
    <row r="1385" spans="7:14" ht="11.25" customHeight="1" x14ac:dyDescent="0.3">
      <c r="G1385" s="470"/>
      <c r="H1385" s="470">
        <v>1378</v>
      </c>
      <c r="I1385" s="455">
        <f t="shared" ca="1" si="128"/>
        <v>-52242007.927926213</v>
      </c>
      <c r="J1385" s="455">
        <f t="array" ref="J1385">IFERROR(INDEX('Retirement Calculator'!J:J,MATCH('Isaac 401k'!N1385,'Retirement Calculator'!A:A,0),0),0)</f>
        <v>0</v>
      </c>
      <c r="K1385" s="455">
        <f t="shared" ca="1" si="126"/>
        <v>-217675.03303302589</v>
      </c>
      <c r="L1385" s="455">
        <f t="shared" ca="1" si="127"/>
        <v>-52459682.960959241</v>
      </c>
      <c r="M1385" s="471">
        <f t="shared" si="129"/>
        <v>0.05</v>
      </c>
      <c r="N1385" s="475">
        <f t="shared" si="130"/>
        <v>93198</v>
      </c>
    </row>
    <row r="1386" spans="7:14" ht="11.25" customHeight="1" x14ac:dyDescent="0.3">
      <c r="G1386" s="470"/>
      <c r="H1386" s="470">
        <v>1379</v>
      </c>
      <c r="I1386" s="455">
        <f t="shared" ca="1" si="128"/>
        <v>-52459682.960959241</v>
      </c>
      <c r="J1386" s="455">
        <f t="array" ref="J1386">IFERROR(INDEX('Retirement Calculator'!J:J,MATCH('Isaac 401k'!N1386,'Retirement Calculator'!A:A,0),0),0)</f>
        <v>0</v>
      </c>
      <c r="K1386" s="455">
        <f t="shared" ca="1" si="126"/>
        <v>-218582.01233733018</v>
      </c>
      <c r="L1386" s="455">
        <f t="shared" ca="1" si="127"/>
        <v>-52678264.973296568</v>
      </c>
      <c r="M1386" s="471">
        <f t="shared" si="129"/>
        <v>0.05</v>
      </c>
      <c r="N1386" s="475">
        <f t="shared" si="130"/>
        <v>93229</v>
      </c>
    </row>
    <row r="1387" spans="7:14" ht="11.25" customHeight="1" x14ac:dyDescent="0.3">
      <c r="G1387" s="470"/>
      <c r="H1387" s="470">
        <v>1380</v>
      </c>
      <c r="I1387" s="455">
        <f t="shared" ca="1" si="128"/>
        <v>-52678264.973296568</v>
      </c>
      <c r="J1387" s="455">
        <f t="array" ref="J1387">IFERROR(INDEX('Retirement Calculator'!J:J,MATCH('Isaac 401k'!N1387,'Retirement Calculator'!A:A,0),0),0)</f>
        <v>0</v>
      </c>
      <c r="K1387" s="455">
        <f t="shared" ca="1" si="126"/>
        <v>-219492.77072206902</v>
      </c>
      <c r="L1387" s="455">
        <f t="shared" ca="1" si="127"/>
        <v>-52897757.744018637</v>
      </c>
      <c r="M1387" s="471">
        <f t="shared" si="129"/>
        <v>0.05</v>
      </c>
      <c r="N1387" s="475">
        <f t="shared" si="130"/>
        <v>93259</v>
      </c>
    </row>
    <row r="1388" spans="7:14" ht="11.25" customHeight="1" x14ac:dyDescent="0.3">
      <c r="G1388" s="470"/>
      <c r="H1388" s="470">
        <v>1381</v>
      </c>
      <c r="I1388" s="455">
        <f t="shared" ca="1" si="128"/>
        <v>-52897757.744018637</v>
      </c>
      <c r="J1388" s="455">
        <f t="array" ref="J1388">IFERROR(INDEX('Retirement Calculator'!J:J,MATCH('Isaac 401k'!N1388,'Retirement Calculator'!A:A,0),0),0)</f>
        <v>0</v>
      </c>
      <c r="K1388" s="455">
        <f t="shared" ca="1" si="126"/>
        <v>-220407.32393341098</v>
      </c>
      <c r="L1388" s="455">
        <f t="shared" ca="1" si="127"/>
        <v>-53118165.067952044</v>
      </c>
      <c r="M1388" s="471">
        <f t="shared" si="129"/>
        <v>0.05</v>
      </c>
      <c r="N1388" s="475">
        <f t="shared" si="130"/>
        <v>93290</v>
      </c>
    </row>
    <row r="1389" spans="7:14" ht="11.25" customHeight="1" x14ac:dyDescent="0.3">
      <c r="G1389" s="470"/>
      <c r="H1389" s="470">
        <v>1382</v>
      </c>
      <c r="I1389" s="455">
        <f t="shared" ca="1" si="128"/>
        <v>-53118165.067952044</v>
      </c>
      <c r="J1389" s="455">
        <f t="array" ref="J1389">IFERROR(INDEX('Retirement Calculator'!J:J,MATCH('Isaac 401k'!N1389,'Retirement Calculator'!A:A,0),0),0)</f>
        <v>0</v>
      </c>
      <c r="K1389" s="455">
        <f t="shared" ca="1" si="126"/>
        <v>-221325.6877831335</v>
      </c>
      <c r="L1389" s="455">
        <f t="shared" ca="1" si="127"/>
        <v>-53339490.755735181</v>
      </c>
      <c r="M1389" s="471">
        <f t="shared" si="129"/>
        <v>0.05</v>
      </c>
      <c r="N1389" s="475">
        <f t="shared" si="130"/>
        <v>93320</v>
      </c>
    </row>
    <row r="1390" spans="7:14" ht="11.25" customHeight="1" x14ac:dyDescent="0.3">
      <c r="G1390" s="470"/>
      <c r="H1390" s="470">
        <v>1383</v>
      </c>
      <c r="I1390" s="455">
        <f t="shared" ca="1" si="128"/>
        <v>-53339490.755735181</v>
      </c>
      <c r="J1390" s="455">
        <f t="array" ref="J1390">IFERROR(INDEX('Retirement Calculator'!J:J,MATCH('Isaac 401k'!N1390,'Retirement Calculator'!A:A,0),0),0)</f>
        <v>0</v>
      </c>
      <c r="K1390" s="455">
        <f t="shared" ca="1" si="126"/>
        <v>-222247.87814889662</v>
      </c>
      <c r="L1390" s="455">
        <f t="shared" ca="1" si="127"/>
        <v>-53561738.63388408</v>
      </c>
      <c r="M1390" s="471">
        <f t="shared" si="129"/>
        <v>0.05</v>
      </c>
      <c r="N1390" s="475">
        <f t="shared" si="130"/>
        <v>93351</v>
      </c>
    </row>
    <row r="1391" spans="7:14" ht="11.25" customHeight="1" x14ac:dyDescent="0.3">
      <c r="G1391" s="470"/>
      <c r="H1391" s="470">
        <v>1384</v>
      </c>
      <c r="I1391" s="455">
        <f t="shared" ca="1" si="128"/>
        <v>-53561738.63388408</v>
      </c>
      <c r="J1391" s="455">
        <f t="array" ref="J1391">IFERROR(INDEX('Retirement Calculator'!J:J,MATCH('Isaac 401k'!N1391,'Retirement Calculator'!A:A,0),0),0)</f>
        <v>0</v>
      </c>
      <c r="K1391" s="455">
        <f t="shared" ca="1" si="126"/>
        <v>-223173.910974517</v>
      </c>
      <c r="L1391" s="455">
        <f t="shared" ca="1" si="127"/>
        <v>-53784912.544858597</v>
      </c>
      <c r="M1391" s="471">
        <f t="shared" si="129"/>
        <v>0.05</v>
      </c>
      <c r="N1391" s="475">
        <f t="shared" si="130"/>
        <v>93382</v>
      </c>
    </row>
    <row r="1392" spans="7:14" ht="11.25" customHeight="1" x14ac:dyDescent="0.3">
      <c r="G1392" s="470"/>
      <c r="H1392" s="470">
        <v>1385</v>
      </c>
      <c r="I1392" s="455">
        <f t="shared" ca="1" si="128"/>
        <v>-53784912.544858597</v>
      </c>
      <c r="J1392" s="455">
        <f t="array" ref="J1392">IFERROR(INDEX('Retirement Calculator'!J:J,MATCH('Isaac 401k'!N1392,'Retirement Calculator'!A:A,0),0),0)</f>
        <v>0</v>
      </c>
      <c r="K1392" s="455">
        <f t="shared" ca="1" si="126"/>
        <v>-224103.80227024414</v>
      </c>
      <c r="L1392" s="455">
        <f t="shared" ca="1" si="127"/>
        <v>-54009016.347128838</v>
      </c>
      <c r="M1392" s="471">
        <f t="shared" si="129"/>
        <v>0.05</v>
      </c>
      <c r="N1392" s="475">
        <f t="shared" si="130"/>
        <v>93412</v>
      </c>
    </row>
    <row r="1393" spans="7:14" ht="11.25" customHeight="1" x14ac:dyDescent="0.3">
      <c r="G1393" s="470"/>
      <c r="H1393" s="470">
        <v>1386</v>
      </c>
      <c r="I1393" s="455">
        <f t="shared" ca="1" si="128"/>
        <v>-54009016.347128838</v>
      </c>
      <c r="J1393" s="455">
        <f t="array" ref="J1393">IFERROR(INDEX('Retirement Calculator'!J:J,MATCH('Isaac 401k'!N1393,'Retirement Calculator'!A:A,0),0),0)</f>
        <v>0</v>
      </c>
      <c r="K1393" s="455">
        <f t="shared" ca="1" si="126"/>
        <v>-225037.56811303683</v>
      </c>
      <c r="L1393" s="455">
        <f t="shared" ca="1" si="127"/>
        <v>-54234053.915241875</v>
      </c>
      <c r="M1393" s="471">
        <f t="shared" si="129"/>
        <v>0.05</v>
      </c>
      <c r="N1393" s="475">
        <f t="shared" si="130"/>
        <v>93443</v>
      </c>
    </row>
    <row r="1394" spans="7:14" ht="11.25" customHeight="1" x14ac:dyDescent="0.3">
      <c r="G1394" s="470"/>
      <c r="H1394" s="470">
        <v>1387</v>
      </c>
      <c r="I1394" s="455">
        <f t="shared" ca="1" si="128"/>
        <v>-54234053.915241875</v>
      </c>
      <c r="J1394" s="455">
        <f t="array" ref="J1394">IFERROR(INDEX('Retirement Calculator'!J:J,MATCH('Isaac 401k'!N1394,'Retirement Calculator'!A:A,0),0),0)</f>
        <v>0</v>
      </c>
      <c r="K1394" s="455">
        <f t="shared" ca="1" si="126"/>
        <v>-225975.22464684118</v>
      </c>
      <c r="L1394" s="455">
        <f t="shared" ca="1" si="127"/>
        <v>-54460029.139888719</v>
      </c>
      <c r="M1394" s="471">
        <f t="shared" si="129"/>
        <v>0.05</v>
      </c>
      <c r="N1394" s="475">
        <f t="shared" si="130"/>
        <v>93473</v>
      </c>
    </row>
    <row r="1395" spans="7:14" ht="11.25" customHeight="1" x14ac:dyDescent="0.3">
      <c r="G1395" s="470"/>
      <c r="H1395" s="470">
        <v>1388</v>
      </c>
      <c r="I1395" s="455">
        <f t="shared" ca="1" si="128"/>
        <v>-54460029.139888719</v>
      </c>
      <c r="J1395" s="455">
        <f t="array" ref="J1395">IFERROR(INDEX('Retirement Calculator'!J:J,MATCH('Isaac 401k'!N1395,'Retirement Calculator'!A:A,0),0),0)</f>
        <v>0</v>
      </c>
      <c r="K1395" s="455">
        <f t="shared" ca="1" si="126"/>
        <v>-226916.78808286969</v>
      </c>
      <c r="L1395" s="455">
        <f t="shared" ca="1" si="127"/>
        <v>-54686945.927971587</v>
      </c>
      <c r="M1395" s="471">
        <f t="shared" si="129"/>
        <v>0.05</v>
      </c>
      <c r="N1395" s="475">
        <f t="shared" si="130"/>
        <v>93504</v>
      </c>
    </row>
    <row r="1396" spans="7:14" ht="11.25" customHeight="1" x14ac:dyDescent="0.3">
      <c r="G1396" s="470"/>
      <c r="H1396" s="470">
        <v>1389</v>
      </c>
      <c r="I1396" s="455">
        <f t="shared" ca="1" si="128"/>
        <v>-54686945.927971587</v>
      </c>
      <c r="J1396" s="455">
        <f t="array" ref="J1396">IFERROR(INDEX('Retirement Calculator'!J:J,MATCH('Isaac 401k'!N1396,'Retirement Calculator'!A:A,0),0),0)</f>
        <v>0</v>
      </c>
      <c r="K1396" s="455">
        <f t="shared" ca="1" si="126"/>
        <v>-227862.27469988164</v>
      </c>
      <c r="L1396" s="455">
        <f t="shared" ca="1" si="127"/>
        <v>-54914808.202671468</v>
      </c>
      <c r="M1396" s="471">
        <f t="shared" si="129"/>
        <v>0.05</v>
      </c>
      <c r="N1396" s="475">
        <f t="shared" si="130"/>
        <v>93535</v>
      </c>
    </row>
    <row r="1397" spans="7:14" ht="11.25" customHeight="1" x14ac:dyDescent="0.3">
      <c r="G1397" s="470"/>
      <c r="H1397" s="470">
        <v>1390</v>
      </c>
      <c r="I1397" s="455">
        <f t="shared" ca="1" si="128"/>
        <v>-54914808.202671468</v>
      </c>
      <c r="J1397" s="455">
        <f t="array" ref="J1397">IFERROR(INDEX('Retirement Calculator'!J:J,MATCH('Isaac 401k'!N1397,'Retirement Calculator'!A:A,0),0),0)</f>
        <v>0</v>
      </c>
      <c r="K1397" s="455">
        <f t="shared" ca="1" si="126"/>
        <v>-228811.70084446445</v>
      </c>
      <c r="L1397" s="455">
        <f t="shared" ca="1" si="127"/>
        <v>-55143619.903515935</v>
      </c>
      <c r="M1397" s="471">
        <f t="shared" si="129"/>
        <v>0.05</v>
      </c>
      <c r="N1397" s="475">
        <f t="shared" si="130"/>
        <v>93564</v>
      </c>
    </row>
    <row r="1398" spans="7:14" ht="11.25" customHeight="1" x14ac:dyDescent="0.3">
      <c r="G1398" s="470"/>
      <c r="H1398" s="470">
        <v>1391</v>
      </c>
      <c r="I1398" s="455">
        <f t="shared" ca="1" si="128"/>
        <v>-55143619.903515935</v>
      </c>
      <c r="J1398" s="455">
        <f t="array" ref="J1398">IFERROR(INDEX('Retirement Calculator'!J:J,MATCH('Isaac 401k'!N1398,'Retirement Calculator'!A:A,0),0),0)</f>
        <v>0</v>
      </c>
      <c r="K1398" s="455">
        <f t="shared" ca="1" si="126"/>
        <v>-229765.0829313164</v>
      </c>
      <c r="L1398" s="455">
        <f t="shared" ca="1" si="127"/>
        <v>-55373384.986447252</v>
      </c>
      <c r="M1398" s="471">
        <f t="shared" si="129"/>
        <v>0.05</v>
      </c>
      <c r="N1398" s="475">
        <f t="shared" si="130"/>
        <v>93595</v>
      </c>
    </row>
    <row r="1399" spans="7:14" ht="11.25" customHeight="1" x14ac:dyDescent="0.3">
      <c r="G1399" s="470"/>
      <c r="H1399" s="470">
        <v>1392</v>
      </c>
      <c r="I1399" s="455">
        <f t="shared" ca="1" si="128"/>
        <v>-55373384.986447252</v>
      </c>
      <c r="J1399" s="455">
        <f t="array" ref="J1399">IFERROR(INDEX('Retirement Calculator'!J:J,MATCH('Isaac 401k'!N1399,'Retirement Calculator'!A:A,0),0),0)</f>
        <v>0</v>
      </c>
      <c r="K1399" s="455">
        <f t="shared" ca="1" si="126"/>
        <v>-230722.43744353022</v>
      </c>
      <c r="L1399" s="455">
        <f t="shared" ca="1" si="127"/>
        <v>-55604107.423890784</v>
      </c>
      <c r="M1399" s="471">
        <f t="shared" si="129"/>
        <v>0.05</v>
      </c>
      <c r="N1399" s="475">
        <f t="shared" si="130"/>
        <v>93625</v>
      </c>
    </row>
    <row r="1400" spans="7:14" ht="11.25" customHeight="1" x14ac:dyDescent="0.3">
      <c r="G1400" s="470"/>
      <c r="H1400" s="470">
        <v>1393</v>
      </c>
      <c r="I1400" s="455">
        <f t="shared" ca="1" si="128"/>
        <v>-55604107.423890784</v>
      </c>
      <c r="J1400" s="455">
        <f t="array" ref="J1400">IFERROR(INDEX('Retirement Calculator'!J:J,MATCH('Isaac 401k'!N1400,'Retirement Calculator'!A:A,0),0),0)</f>
        <v>0</v>
      </c>
      <c r="K1400" s="455">
        <f t="shared" ca="1" si="126"/>
        <v>-231683.78093287826</v>
      </c>
      <c r="L1400" s="455">
        <f t="shared" ca="1" si="127"/>
        <v>-55835791.204823665</v>
      </c>
      <c r="M1400" s="471">
        <f t="shared" si="129"/>
        <v>0.05</v>
      </c>
      <c r="N1400" s="475">
        <f t="shared" si="130"/>
        <v>93656</v>
      </c>
    </row>
    <row r="1401" spans="7:14" ht="11.25" customHeight="1" x14ac:dyDescent="0.3">
      <c r="G1401" s="470"/>
      <c r="H1401" s="470">
        <v>1394</v>
      </c>
      <c r="I1401" s="455">
        <f t="shared" ca="1" si="128"/>
        <v>-55835791.204823665</v>
      </c>
      <c r="J1401" s="455">
        <f t="array" ref="J1401">IFERROR(INDEX('Retirement Calculator'!J:J,MATCH('Isaac 401k'!N1401,'Retirement Calculator'!A:A,0),0),0)</f>
        <v>0</v>
      </c>
      <c r="K1401" s="455">
        <f t="shared" ca="1" si="126"/>
        <v>-232649.13002009862</v>
      </c>
      <c r="L1401" s="455">
        <f t="shared" ca="1" si="127"/>
        <v>-56068440.334843762</v>
      </c>
      <c r="M1401" s="471">
        <f t="shared" si="129"/>
        <v>0.05</v>
      </c>
      <c r="N1401" s="475">
        <f t="shared" si="130"/>
        <v>93686</v>
      </c>
    </row>
    <row r="1402" spans="7:14" ht="11.25" customHeight="1" x14ac:dyDescent="0.3">
      <c r="G1402" s="470"/>
      <c r="H1402" s="470">
        <v>1395</v>
      </c>
      <c r="I1402" s="455">
        <f t="shared" ca="1" si="128"/>
        <v>-56068440.334843762</v>
      </c>
      <c r="J1402" s="455">
        <f t="array" ref="J1402">IFERROR(INDEX('Retirement Calculator'!J:J,MATCH('Isaac 401k'!N1402,'Retirement Calculator'!A:A,0),0),0)</f>
        <v>0</v>
      </c>
      <c r="K1402" s="455">
        <f t="shared" ca="1" si="126"/>
        <v>-233618.50139518233</v>
      </c>
      <c r="L1402" s="455">
        <f t="shared" ca="1" si="127"/>
        <v>-56302058.836238943</v>
      </c>
      <c r="M1402" s="471">
        <f t="shared" si="129"/>
        <v>0.05</v>
      </c>
      <c r="N1402" s="475">
        <f t="shared" si="130"/>
        <v>93717</v>
      </c>
    </row>
    <row r="1403" spans="7:14" ht="11.25" customHeight="1" x14ac:dyDescent="0.3">
      <c r="G1403" s="470"/>
      <c r="H1403" s="470">
        <v>1396</v>
      </c>
      <c r="I1403" s="455">
        <f t="shared" ca="1" si="128"/>
        <v>-56302058.836238943</v>
      </c>
      <c r="J1403" s="455">
        <f t="array" ref="J1403">IFERROR(INDEX('Retirement Calculator'!J:J,MATCH('Isaac 401k'!N1403,'Retirement Calculator'!A:A,0),0),0)</f>
        <v>0</v>
      </c>
      <c r="K1403" s="455">
        <f t="shared" ca="1" si="126"/>
        <v>-234591.91181766227</v>
      </c>
      <c r="L1403" s="455">
        <f t="shared" ca="1" si="127"/>
        <v>-56536650.748056605</v>
      </c>
      <c r="M1403" s="471">
        <f t="shared" si="129"/>
        <v>0.05</v>
      </c>
      <c r="N1403" s="475">
        <f t="shared" si="130"/>
        <v>93748</v>
      </c>
    </row>
    <row r="1404" spans="7:14" ht="11.25" customHeight="1" x14ac:dyDescent="0.3">
      <c r="G1404" s="470"/>
      <c r="H1404" s="470">
        <v>1397</v>
      </c>
      <c r="I1404" s="455">
        <f t="shared" ca="1" si="128"/>
        <v>-56536650.748056605</v>
      </c>
      <c r="J1404" s="455">
        <f t="array" ref="J1404">IFERROR(INDEX('Retirement Calculator'!J:J,MATCH('Isaac 401k'!N1404,'Retirement Calculator'!A:A,0),0),0)</f>
        <v>0</v>
      </c>
      <c r="K1404" s="455">
        <f t="shared" ca="1" si="126"/>
        <v>-235569.37811690249</v>
      </c>
      <c r="L1404" s="455">
        <f t="shared" ca="1" si="127"/>
        <v>-56772220.126173511</v>
      </c>
      <c r="M1404" s="471">
        <f t="shared" si="129"/>
        <v>0.05</v>
      </c>
      <c r="N1404" s="475">
        <f t="shared" si="130"/>
        <v>93778</v>
      </c>
    </row>
    <row r="1405" spans="7:14" ht="11.25" customHeight="1" x14ac:dyDescent="0.3">
      <c r="G1405" s="470"/>
      <c r="H1405" s="470">
        <v>1398</v>
      </c>
      <c r="I1405" s="455">
        <f t="shared" ca="1" si="128"/>
        <v>-56772220.126173511</v>
      </c>
      <c r="J1405" s="455">
        <f t="array" ref="J1405">IFERROR(INDEX('Retirement Calculator'!J:J,MATCH('Isaac 401k'!N1405,'Retirement Calculator'!A:A,0),0),0)</f>
        <v>0</v>
      </c>
      <c r="K1405" s="455">
        <f t="shared" ca="1" si="126"/>
        <v>-236550.91719238966</v>
      </c>
      <c r="L1405" s="455">
        <f t="shared" ca="1" si="127"/>
        <v>-57008771.043365903</v>
      </c>
      <c r="M1405" s="471">
        <f t="shared" si="129"/>
        <v>0.05</v>
      </c>
      <c r="N1405" s="475">
        <f t="shared" si="130"/>
        <v>93809</v>
      </c>
    </row>
    <row r="1406" spans="7:14" ht="11.25" customHeight="1" x14ac:dyDescent="0.3">
      <c r="G1406" s="470"/>
      <c r="H1406" s="470">
        <v>1399</v>
      </c>
      <c r="I1406" s="455">
        <f t="shared" ca="1" si="128"/>
        <v>-57008771.043365903</v>
      </c>
      <c r="J1406" s="455">
        <f t="array" ref="J1406">IFERROR(INDEX('Retirement Calculator'!J:J,MATCH('Isaac 401k'!N1406,'Retirement Calculator'!A:A,0),0),0)</f>
        <v>0</v>
      </c>
      <c r="K1406" s="455">
        <f t="shared" ca="1" si="126"/>
        <v>-237536.54601402456</v>
      </c>
      <c r="L1406" s="455">
        <f t="shared" ca="1" si="127"/>
        <v>-57246307.589379929</v>
      </c>
      <c r="M1406" s="471">
        <f t="shared" si="129"/>
        <v>0.05</v>
      </c>
      <c r="N1406" s="475">
        <f t="shared" si="130"/>
        <v>93839</v>
      </c>
    </row>
    <row r="1407" spans="7:14" ht="11.25" customHeight="1" x14ac:dyDescent="0.3">
      <c r="G1407" s="470"/>
      <c r="H1407" s="470">
        <v>1400</v>
      </c>
      <c r="I1407" s="455">
        <f t="shared" ca="1" si="128"/>
        <v>-57246307.589379929</v>
      </c>
      <c r="J1407" s="455">
        <f t="array" ref="J1407">IFERROR(INDEX('Retirement Calculator'!J:J,MATCH('Isaac 401k'!N1407,'Retirement Calculator'!A:A,0),0),0)</f>
        <v>0</v>
      </c>
      <c r="K1407" s="455">
        <f t="shared" ca="1" si="126"/>
        <v>-238526.28162241637</v>
      </c>
      <c r="L1407" s="455">
        <f t="shared" ca="1" si="127"/>
        <v>-57484833.871002346</v>
      </c>
      <c r="M1407" s="471">
        <f t="shared" si="129"/>
        <v>0.05</v>
      </c>
      <c r="N1407" s="475">
        <f t="shared" si="130"/>
        <v>93870</v>
      </c>
    </row>
    <row r="1408" spans="7:14" ht="11.25" customHeight="1" x14ac:dyDescent="0.3">
      <c r="G1408" s="470"/>
      <c r="H1408" s="470">
        <v>1401</v>
      </c>
      <c r="I1408" s="455">
        <f t="shared" ca="1" si="128"/>
        <v>-57484833.871002346</v>
      </c>
      <c r="J1408" s="455">
        <f t="array" ref="J1408">IFERROR(INDEX('Retirement Calculator'!J:J,MATCH('Isaac 401k'!N1408,'Retirement Calculator'!A:A,0),0),0)</f>
        <v>0</v>
      </c>
      <c r="K1408" s="455">
        <f t="shared" ca="1" si="126"/>
        <v>-239520.14112917645</v>
      </c>
      <c r="L1408" s="455">
        <f t="shared" ca="1" si="127"/>
        <v>-57724354.01213152</v>
      </c>
      <c r="M1408" s="471">
        <f t="shared" si="129"/>
        <v>0.05</v>
      </c>
      <c r="N1408" s="475">
        <f t="shared" si="130"/>
        <v>93901</v>
      </c>
    </row>
    <row r="1409" spans="7:14" ht="11.25" customHeight="1" x14ac:dyDescent="0.3">
      <c r="G1409" s="470"/>
      <c r="H1409" s="470">
        <v>1402</v>
      </c>
      <c r="I1409" s="455">
        <f t="shared" ca="1" si="128"/>
        <v>-57724354.01213152</v>
      </c>
      <c r="J1409" s="455">
        <f t="array" ref="J1409">IFERROR(INDEX('Retirement Calculator'!J:J,MATCH('Isaac 401k'!N1409,'Retirement Calculator'!A:A,0),0),0)</f>
        <v>0</v>
      </c>
      <c r="K1409" s="455">
        <f t="shared" ca="1" si="126"/>
        <v>-240518.14171721466</v>
      </c>
      <c r="L1409" s="455">
        <f t="shared" ca="1" si="127"/>
        <v>-57964872.153848737</v>
      </c>
      <c r="M1409" s="471">
        <f t="shared" si="129"/>
        <v>0.05</v>
      </c>
      <c r="N1409" s="475">
        <f t="shared" si="130"/>
        <v>93929</v>
      </c>
    </row>
    <row r="1410" spans="7:14" ht="11.25" customHeight="1" x14ac:dyDescent="0.3">
      <c r="G1410" s="470"/>
      <c r="H1410" s="470">
        <v>1403</v>
      </c>
      <c r="I1410" s="455">
        <f t="shared" ca="1" si="128"/>
        <v>-57964872.153848737</v>
      </c>
      <c r="J1410" s="455">
        <f t="array" ref="J1410">IFERROR(INDEX('Retirement Calculator'!J:J,MATCH('Isaac 401k'!N1410,'Retirement Calculator'!A:A,0),0),0)</f>
        <v>0</v>
      </c>
      <c r="K1410" s="455">
        <f t="shared" ca="1" si="126"/>
        <v>-241520.30064103636</v>
      </c>
      <c r="L1410" s="455">
        <f t="shared" ca="1" si="127"/>
        <v>-58206392.454489775</v>
      </c>
      <c r="M1410" s="471">
        <f t="shared" si="129"/>
        <v>0.05</v>
      </c>
      <c r="N1410" s="475">
        <f t="shared" si="130"/>
        <v>93960</v>
      </c>
    </row>
    <row r="1411" spans="7:14" ht="11.25" customHeight="1" x14ac:dyDescent="0.3">
      <c r="G1411" s="470"/>
      <c r="H1411" s="470">
        <v>1404</v>
      </c>
      <c r="I1411" s="455">
        <f t="shared" ca="1" si="128"/>
        <v>-58206392.454489775</v>
      </c>
      <c r="J1411" s="455">
        <f t="array" ref="J1411">IFERROR(INDEX('Retirement Calculator'!J:J,MATCH('Isaac 401k'!N1411,'Retirement Calculator'!A:A,0),0),0)</f>
        <v>0</v>
      </c>
      <c r="K1411" s="455">
        <f t="shared" ca="1" si="126"/>
        <v>-242526.63522704074</v>
      </c>
      <c r="L1411" s="455">
        <f t="shared" ca="1" si="127"/>
        <v>-58448919.089716814</v>
      </c>
      <c r="M1411" s="471">
        <f t="shared" si="129"/>
        <v>0.05</v>
      </c>
      <c r="N1411" s="475">
        <f t="shared" si="130"/>
        <v>93990</v>
      </c>
    </row>
    <row r="1412" spans="7:14" ht="11.25" customHeight="1" x14ac:dyDescent="0.3">
      <c r="G1412" s="470"/>
      <c r="H1412" s="470">
        <v>1405</v>
      </c>
      <c r="I1412" s="455">
        <f t="shared" ca="1" si="128"/>
        <v>-58448919.089716814</v>
      </c>
      <c r="J1412" s="455">
        <f t="array" ref="J1412">IFERROR(INDEX('Retirement Calculator'!J:J,MATCH('Isaac 401k'!N1412,'Retirement Calculator'!A:A,0),0),0)</f>
        <v>0</v>
      </c>
      <c r="K1412" s="455">
        <f t="shared" ca="1" si="126"/>
        <v>-243537.16287382008</v>
      </c>
      <c r="L1412" s="455">
        <f t="shared" ca="1" si="127"/>
        <v>-58692456.252590634</v>
      </c>
      <c r="M1412" s="471">
        <f t="shared" si="129"/>
        <v>0.05</v>
      </c>
      <c r="N1412" s="475">
        <f t="shared" si="130"/>
        <v>94021</v>
      </c>
    </row>
    <row r="1413" spans="7:14" ht="11.25" customHeight="1" x14ac:dyDescent="0.3">
      <c r="G1413" s="470"/>
      <c r="H1413" s="470">
        <v>1406</v>
      </c>
      <c r="I1413" s="455">
        <f t="shared" ca="1" si="128"/>
        <v>-58692456.252590634</v>
      </c>
      <c r="J1413" s="455">
        <f t="array" ref="J1413">IFERROR(INDEX('Retirement Calculator'!J:J,MATCH('Isaac 401k'!N1413,'Retirement Calculator'!A:A,0),0),0)</f>
        <v>0</v>
      </c>
      <c r="K1413" s="455">
        <f t="shared" ca="1" si="126"/>
        <v>-244551.90105246098</v>
      </c>
      <c r="L1413" s="455">
        <f t="shared" ca="1" si="127"/>
        <v>-58937008.153643094</v>
      </c>
      <c r="M1413" s="471">
        <f t="shared" si="129"/>
        <v>0.05</v>
      </c>
      <c r="N1413" s="475">
        <f t="shared" si="130"/>
        <v>94051</v>
      </c>
    </row>
    <row r="1414" spans="7:14" ht="11.25" customHeight="1" x14ac:dyDescent="0.3">
      <c r="G1414" s="470"/>
      <c r="H1414" s="470">
        <v>1407</v>
      </c>
      <c r="I1414" s="455">
        <f t="shared" ca="1" si="128"/>
        <v>-58937008.153643094</v>
      </c>
      <c r="J1414" s="455">
        <f t="array" ref="J1414">IFERROR(INDEX('Retirement Calculator'!J:J,MATCH('Isaac 401k'!N1414,'Retirement Calculator'!A:A,0),0),0)</f>
        <v>0</v>
      </c>
      <c r="K1414" s="455">
        <f t="shared" ca="1" si="126"/>
        <v>-245570.86730684622</v>
      </c>
      <c r="L1414" s="455">
        <f t="shared" ca="1" si="127"/>
        <v>-59182579.020949937</v>
      </c>
      <c r="M1414" s="471">
        <f t="shared" si="129"/>
        <v>0.05</v>
      </c>
      <c r="N1414" s="475">
        <f t="shared" si="130"/>
        <v>94082</v>
      </c>
    </row>
    <row r="1415" spans="7:14" ht="11.25" customHeight="1" x14ac:dyDescent="0.3">
      <c r="G1415" s="470"/>
      <c r="H1415" s="470">
        <v>1408</v>
      </c>
      <c r="I1415" s="455">
        <f t="shared" ca="1" si="128"/>
        <v>-59182579.020949937</v>
      </c>
      <c r="J1415" s="455">
        <f t="array" ref="J1415">IFERROR(INDEX('Retirement Calculator'!J:J,MATCH('Isaac 401k'!N1415,'Retirement Calculator'!A:A,0),0),0)</f>
        <v>0</v>
      </c>
      <c r="K1415" s="455">
        <f t="shared" ca="1" si="126"/>
        <v>-246594.0792539581</v>
      </c>
      <c r="L1415" s="455">
        <f t="shared" ca="1" si="127"/>
        <v>-59429173.100203894</v>
      </c>
      <c r="M1415" s="471">
        <f t="shared" si="129"/>
        <v>0.05</v>
      </c>
      <c r="N1415" s="475">
        <f t="shared" si="130"/>
        <v>94113</v>
      </c>
    </row>
    <row r="1416" spans="7:14" ht="11.25" customHeight="1" x14ac:dyDescent="0.3">
      <c r="G1416" s="470"/>
      <c r="H1416" s="470">
        <v>1409</v>
      </c>
      <c r="I1416" s="455">
        <f t="shared" ca="1" si="128"/>
        <v>-59429173.100203894</v>
      </c>
      <c r="J1416" s="455">
        <f t="array" ref="J1416">IFERROR(INDEX('Retirement Calculator'!J:J,MATCH('Isaac 401k'!N1416,'Retirement Calculator'!A:A,0),0),0)</f>
        <v>0</v>
      </c>
      <c r="K1416" s="455">
        <f t="shared" ca="1" si="126"/>
        <v>-247621.55458418289</v>
      </c>
      <c r="L1416" s="455">
        <f t="shared" ca="1" si="127"/>
        <v>-59676794.654788077</v>
      </c>
      <c r="M1416" s="471">
        <f t="shared" si="129"/>
        <v>0.05</v>
      </c>
      <c r="N1416" s="475">
        <f t="shared" si="130"/>
        <v>94143</v>
      </c>
    </row>
    <row r="1417" spans="7:14" ht="11.25" customHeight="1" x14ac:dyDescent="0.3">
      <c r="G1417" s="470"/>
      <c r="H1417" s="470">
        <v>1410</v>
      </c>
      <c r="I1417" s="455">
        <f t="shared" ca="1" si="128"/>
        <v>-59676794.654788077</v>
      </c>
      <c r="J1417" s="455">
        <f t="array" ref="J1417">IFERROR(INDEX('Retirement Calculator'!J:J,MATCH('Isaac 401k'!N1417,'Retirement Calculator'!A:A,0),0),0)</f>
        <v>0</v>
      </c>
      <c r="K1417" s="455">
        <f t="shared" ca="1" si="126"/>
        <v>-248653.31106161699</v>
      </c>
      <c r="L1417" s="455">
        <f t="shared" ca="1" si="127"/>
        <v>-59925447.965849698</v>
      </c>
      <c r="M1417" s="471">
        <f t="shared" si="129"/>
        <v>0.05</v>
      </c>
      <c r="N1417" s="475">
        <f t="shared" si="130"/>
        <v>94174</v>
      </c>
    </row>
    <row r="1418" spans="7:14" ht="11.25" customHeight="1" x14ac:dyDescent="0.3">
      <c r="G1418" s="470"/>
      <c r="H1418" s="470">
        <v>1411</v>
      </c>
      <c r="I1418" s="455">
        <f t="shared" ca="1" si="128"/>
        <v>-59925447.965849698</v>
      </c>
      <c r="J1418" s="455">
        <f t="array" ref="J1418">IFERROR(INDEX('Retirement Calculator'!J:J,MATCH('Isaac 401k'!N1418,'Retirement Calculator'!A:A,0),0),0)</f>
        <v>0</v>
      </c>
      <c r="K1418" s="455">
        <f t="shared" ca="1" si="126"/>
        <v>-249689.36652437376</v>
      </c>
      <c r="L1418" s="455">
        <f t="shared" ca="1" si="127"/>
        <v>-60175137.332374074</v>
      </c>
      <c r="M1418" s="471">
        <f t="shared" si="129"/>
        <v>0.05</v>
      </c>
      <c r="N1418" s="475">
        <f t="shared" si="130"/>
        <v>94204</v>
      </c>
    </row>
    <row r="1419" spans="7:14" ht="11.25" customHeight="1" x14ac:dyDescent="0.3">
      <c r="G1419" s="470"/>
      <c r="H1419" s="470">
        <v>1412</v>
      </c>
      <c r="I1419" s="455">
        <f t="shared" ca="1" si="128"/>
        <v>-60175137.332374074</v>
      </c>
      <c r="J1419" s="455">
        <f t="array" ref="J1419">IFERROR(INDEX('Retirement Calculator'!J:J,MATCH('Isaac 401k'!N1419,'Retirement Calculator'!A:A,0),0),0)</f>
        <v>0</v>
      </c>
      <c r="K1419" s="455">
        <f t="shared" ca="1" si="126"/>
        <v>-250729.73888489197</v>
      </c>
      <c r="L1419" s="455">
        <f t="shared" ca="1" si="127"/>
        <v>-60425867.071258962</v>
      </c>
      <c r="M1419" s="471">
        <f t="shared" si="129"/>
        <v>0.05</v>
      </c>
      <c r="N1419" s="475">
        <f t="shared" si="130"/>
        <v>94235</v>
      </c>
    </row>
    <row r="1420" spans="7:14" ht="11.25" customHeight="1" x14ac:dyDescent="0.3">
      <c r="G1420" s="470"/>
      <c r="H1420" s="470">
        <v>1413</v>
      </c>
      <c r="I1420" s="455">
        <f t="shared" ca="1" si="128"/>
        <v>-60425867.071258962</v>
      </c>
      <c r="J1420" s="455">
        <f t="array" ref="J1420">IFERROR(INDEX('Retirement Calculator'!J:J,MATCH('Isaac 401k'!N1420,'Retirement Calculator'!A:A,0),0),0)</f>
        <v>0</v>
      </c>
      <c r="K1420" s="455">
        <f t="shared" ca="1" si="126"/>
        <v>-251774.44613024566</v>
      </c>
      <c r="L1420" s="455">
        <f t="shared" ca="1" si="127"/>
        <v>-60677641.517389208</v>
      </c>
      <c r="M1420" s="471">
        <f t="shared" si="129"/>
        <v>0.05</v>
      </c>
      <c r="N1420" s="475">
        <f t="shared" si="130"/>
        <v>94266</v>
      </c>
    </row>
    <row r="1421" spans="7:14" ht="11.25" customHeight="1" x14ac:dyDescent="0.3">
      <c r="G1421" s="470"/>
      <c r="H1421" s="470">
        <v>1414</v>
      </c>
      <c r="I1421" s="455">
        <f t="shared" ca="1" si="128"/>
        <v>-60677641.517389208</v>
      </c>
      <c r="J1421" s="455">
        <f t="array" ref="J1421">IFERROR(INDEX('Retirement Calculator'!J:J,MATCH('Isaac 401k'!N1421,'Retirement Calculator'!A:A,0),0),0)</f>
        <v>0</v>
      </c>
      <c r="K1421" s="455">
        <f t="shared" ca="1" si="126"/>
        <v>-252823.50632245504</v>
      </c>
      <c r="L1421" s="455">
        <f t="shared" ca="1" si="127"/>
        <v>-60930465.023711666</v>
      </c>
      <c r="M1421" s="471">
        <f t="shared" si="129"/>
        <v>0.05</v>
      </c>
      <c r="N1421" s="475">
        <f t="shared" si="130"/>
        <v>94294</v>
      </c>
    </row>
    <row r="1422" spans="7:14" ht="11.25" customHeight="1" x14ac:dyDescent="0.3">
      <c r="G1422" s="470"/>
      <c r="H1422" s="470">
        <v>1415</v>
      </c>
      <c r="I1422" s="455">
        <f t="shared" ca="1" si="128"/>
        <v>-60930465.023711666</v>
      </c>
      <c r="J1422" s="455">
        <f t="array" ref="J1422">IFERROR(INDEX('Retirement Calculator'!J:J,MATCH('Isaac 401k'!N1422,'Retirement Calculator'!A:A,0),0),0)</f>
        <v>0</v>
      </c>
      <c r="K1422" s="455">
        <f t="shared" ca="1" si="126"/>
        <v>-253876.93759879857</v>
      </c>
      <c r="L1422" s="455">
        <f t="shared" ca="1" si="127"/>
        <v>-61184341.961310469</v>
      </c>
      <c r="M1422" s="471">
        <f t="shared" si="129"/>
        <v>0.05</v>
      </c>
      <c r="N1422" s="475">
        <f t="shared" si="130"/>
        <v>94325</v>
      </c>
    </row>
    <row r="1423" spans="7:14" ht="11.25" customHeight="1" x14ac:dyDescent="0.3">
      <c r="G1423" s="470"/>
      <c r="H1423" s="470">
        <v>1416</v>
      </c>
      <c r="I1423" s="455">
        <f t="shared" ca="1" si="128"/>
        <v>-61184341.961310469</v>
      </c>
      <c r="J1423" s="455">
        <f t="array" ref="J1423">IFERROR(INDEX('Retirement Calculator'!J:J,MATCH('Isaac 401k'!N1423,'Retirement Calculator'!A:A,0),0),0)</f>
        <v>0</v>
      </c>
      <c r="K1423" s="455">
        <f t="shared" ca="1" si="126"/>
        <v>-254934.75817212698</v>
      </c>
      <c r="L1423" s="455">
        <f t="shared" ca="1" si="127"/>
        <v>-61439276.719482593</v>
      </c>
      <c r="M1423" s="471">
        <f t="shared" si="129"/>
        <v>0.05</v>
      </c>
      <c r="N1423" s="475">
        <f t="shared" si="130"/>
        <v>94355</v>
      </c>
    </row>
    <row r="1424" spans="7:14" ht="11.25" customHeight="1" x14ac:dyDescent="0.3">
      <c r="G1424" s="470"/>
      <c r="H1424" s="470">
        <v>1417</v>
      </c>
      <c r="I1424" s="455">
        <f t="shared" ca="1" si="128"/>
        <v>-61439276.719482593</v>
      </c>
      <c r="J1424" s="455">
        <f t="array" ref="J1424">IFERROR(INDEX('Retirement Calculator'!J:J,MATCH('Isaac 401k'!N1424,'Retirement Calculator'!A:A,0),0),0)</f>
        <v>0</v>
      </c>
      <c r="K1424" s="455">
        <f t="shared" ca="1" si="126"/>
        <v>-255996.98633117744</v>
      </c>
      <c r="L1424" s="455">
        <f t="shared" ca="1" si="127"/>
        <v>-61695273.705813773</v>
      </c>
      <c r="M1424" s="471">
        <f t="shared" si="129"/>
        <v>0.05</v>
      </c>
      <c r="N1424" s="475">
        <f t="shared" si="130"/>
        <v>94386</v>
      </c>
    </row>
    <row r="1425" spans="7:14" ht="11.25" customHeight="1" x14ac:dyDescent="0.3">
      <c r="G1425" s="470"/>
      <c r="H1425" s="470">
        <v>1418</v>
      </c>
      <c r="I1425" s="455">
        <f t="shared" ca="1" si="128"/>
        <v>-61695273.705813773</v>
      </c>
      <c r="J1425" s="455">
        <f t="array" ref="J1425">IFERROR(INDEX('Retirement Calculator'!J:J,MATCH('Isaac 401k'!N1425,'Retirement Calculator'!A:A,0),0),0)</f>
        <v>0</v>
      </c>
      <c r="K1425" s="455">
        <f t="shared" ca="1" si="126"/>
        <v>-257063.64044089071</v>
      </c>
      <c r="L1425" s="455">
        <f t="shared" ca="1" si="127"/>
        <v>-61952337.346254662</v>
      </c>
      <c r="M1425" s="471">
        <f t="shared" si="129"/>
        <v>0.05</v>
      </c>
      <c r="N1425" s="475">
        <f t="shared" si="130"/>
        <v>94416</v>
      </c>
    </row>
    <row r="1426" spans="7:14" ht="11.25" customHeight="1" x14ac:dyDescent="0.3">
      <c r="G1426" s="470"/>
      <c r="H1426" s="470">
        <v>1419</v>
      </c>
      <c r="I1426" s="455">
        <f t="shared" ca="1" si="128"/>
        <v>-61952337.346254662</v>
      </c>
      <c r="J1426" s="455">
        <f t="array" ref="J1426">IFERROR(INDEX('Retirement Calculator'!J:J,MATCH('Isaac 401k'!N1426,'Retirement Calculator'!A:A,0),0),0)</f>
        <v>0</v>
      </c>
      <c r="K1426" s="455">
        <f t="shared" ca="1" si="126"/>
        <v>-258134.7389427278</v>
      </c>
      <c r="L1426" s="455">
        <f t="shared" ca="1" si="127"/>
        <v>-62210472.085197389</v>
      </c>
      <c r="M1426" s="471">
        <f t="shared" si="129"/>
        <v>0.05</v>
      </c>
      <c r="N1426" s="475">
        <f t="shared" si="130"/>
        <v>94447</v>
      </c>
    </row>
    <row r="1427" spans="7:14" ht="11.25" customHeight="1" x14ac:dyDescent="0.3">
      <c r="G1427" s="470"/>
      <c r="H1427" s="470">
        <v>1420</v>
      </c>
      <c r="I1427" s="455">
        <f t="shared" ca="1" si="128"/>
        <v>-62210472.085197389</v>
      </c>
      <c r="J1427" s="455">
        <f t="array" ref="J1427">IFERROR(INDEX('Retirement Calculator'!J:J,MATCH('Isaac 401k'!N1427,'Retirement Calculator'!A:A,0),0),0)</f>
        <v>0</v>
      </c>
      <c r="K1427" s="455">
        <f t="shared" ca="1" si="126"/>
        <v>-259210.30035498913</v>
      </c>
      <c r="L1427" s="455">
        <f t="shared" ca="1" si="127"/>
        <v>-62469682.385552377</v>
      </c>
      <c r="M1427" s="471">
        <f t="shared" si="129"/>
        <v>0.05</v>
      </c>
      <c r="N1427" s="475">
        <f t="shared" si="130"/>
        <v>94478</v>
      </c>
    </row>
    <row r="1428" spans="7:14" ht="11.25" customHeight="1" x14ac:dyDescent="0.3">
      <c r="G1428" s="470"/>
      <c r="H1428" s="470">
        <v>1421</v>
      </c>
      <c r="I1428" s="455">
        <f t="shared" ca="1" si="128"/>
        <v>-62469682.385552377</v>
      </c>
      <c r="J1428" s="455">
        <f t="array" ref="J1428">IFERROR(INDEX('Retirement Calculator'!J:J,MATCH('Isaac 401k'!N1428,'Retirement Calculator'!A:A,0),0),0)</f>
        <v>0</v>
      </c>
      <c r="K1428" s="455">
        <f t="shared" ca="1" si="126"/>
        <v>-260290.34327313493</v>
      </c>
      <c r="L1428" s="455">
        <f t="shared" ca="1" si="127"/>
        <v>-62729972.72882551</v>
      </c>
      <c r="M1428" s="471">
        <f t="shared" si="129"/>
        <v>0.05</v>
      </c>
      <c r="N1428" s="475">
        <f t="shared" si="130"/>
        <v>94508</v>
      </c>
    </row>
    <row r="1429" spans="7:14" ht="11.25" customHeight="1" x14ac:dyDescent="0.3">
      <c r="G1429" s="470"/>
      <c r="H1429" s="470">
        <v>1422</v>
      </c>
      <c r="I1429" s="455">
        <f t="shared" ca="1" si="128"/>
        <v>-62729972.72882551</v>
      </c>
      <c r="J1429" s="455">
        <f t="array" ref="J1429">IFERROR(INDEX('Retirement Calculator'!J:J,MATCH('Isaac 401k'!N1429,'Retirement Calculator'!A:A,0),0),0)</f>
        <v>0</v>
      </c>
      <c r="K1429" s="455">
        <f t="shared" ca="1" si="126"/>
        <v>-261374.88637010628</v>
      </c>
      <c r="L1429" s="455">
        <f t="shared" ca="1" si="127"/>
        <v>-62991347.615195617</v>
      </c>
      <c r="M1429" s="471">
        <f t="shared" si="129"/>
        <v>0.05</v>
      </c>
      <c r="N1429" s="475">
        <f t="shared" si="130"/>
        <v>94539</v>
      </c>
    </row>
    <row r="1430" spans="7:14" ht="11.25" customHeight="1" x14ac:dyDescent="0.3">
      <c r="G1430" s="470"/>
      <c r="H1430" s="470">
        <v>1423</v>
      </c>
      <c r="I1430" s="455">
        <f t="shared" ca="1" si="128"/>
        <v>-62991347.615195617</v>
      </c>
      <c r="J1430" s="455">
        <f t="array" ref="J1430">IFERROR(INDEX('Retirement Calculator'!J:J,MATCH('Isaac 401k'!N1430,'Retirement Calculator'!A:A,0),0),0)</f>
        <v>0</v>
      </c>
      <c r="K1430" s="455">
        <f t="shared" ca="1" si="126"/>
        <v>-262463.9483966484</v>
      </c>
      <c r="L1430" s="455">
        <f t="shared" ca="1" si="127"/>
        <v>-63253811.563592263</v>
      </c>
      <c r="M1430" s="471">
        <f t="shared" si="129"/>
        <v>0.05</v>
      </c>
      <c r="N1430" s="475">
        <f t="shared" si="130"/>
        <v>94569</v>
      </c>
    </row>
    <row r="1431" spans="7:14" ht="11.25" customHeight="1" x14ac:dyDescent="0.3">
      <c r="G1431" s="470"/>
      <c r="H1431" s="470">
        <v>1424</v>
      </c>
      <c r="I1431" s="455">
        <f t="shared" ca="1" si="128"/>
        <v>-63253811.563592263</v>
      </c>
      <c r="J1431" s="455">
        <f t="array" ref="J1431">IFERROR(INDEX('Retirement Calculator'!J:J,MATCH('Isaac 401k'!N1431,'Retirement Calculator'!A:A,0),0),0)</f>
        <v>0</v>
      </c>
      <c r="K1431" s="455">
        <f t="shared" ca="1" si="126"/>
        <v>-263557.5481816344</v>
      </c>
      <c r="L1431" s="455">
        <f t="shared" ca="1" si="127"/>
        <v>-63517369.111773893</v>
      </c>
      <c r="M1431" s="471">
        <f t="shared" si="129"/>
        <v>0.05</v>
      </c>
      <c r="N1431" s="475">
        <f t="shared" si="130"/>
        <v>94600</v>
      </c>
    </row>
    <row r="1432" spans="7:14" ht="11.25" customHeight="1" x14ac:dyDescent="0.3">
      <c r="G1432" s="470"/>
      <c r="H1432" s="470">
        <v>1425</v>
      </c>
      <c r="I1432" s="455">
        <f t="shared" ca="1" si="128"/>
        <v>-63517369.111773893</v>
      </c>
      <c r="J1432" s="455">
        <f t="array" ref="J1432">IFERROR(INDEX('Retirement Calculator'!J:J,MATCH('Isaac 401k'!N1432,'Retirement Calculator'!A:A,0),0),0)</f>
        <v>0</v>
      </c>
      <c r="K1432" s="455">
        <f t="shared" ca="1" si="126"/>
        <v>-264655.70463239122</v>
      </c>
      <c r="L1432" s="455">
        <f t="shared" ca="1" si="127"/>
        <v>-63782024.816406287</v>
      </c>
      <c r="M1432" s="471">
        <f t="shared" si="129"/>
        <v>0.05</v>
      </c>
      <c r="N1432" s="475">
        <f t="shared" si="130"/>
        <v>94631</v>
      </c>
    </row>
    <row r="1433" spans="7:14" ht="11.25" customHeight="1" x14ac:dyDescent="0.3">
      <c r="G1433" s="470"/>
      <c r="H1433" s="470">
        <v>1426</v>
      </c>
      <c r="I1433" s="455">
        <f t="shared" ca="1" si="128"/>
        <v>-63782024.816406287</v>
      </c>
      <c r="J1433" s="455">
        <f t="array" ref="J1433">IFERROR(INDEX('Retirement Calculator'!J:J,MATCH('Isaac 401k'!N1433,'Retirement Calculator'!A:A,0),0),0)</f>
        <v>0</v>
      </c>
      <c r="K1433" s="455">
        <f t="shared" ca="1" si="126"/>
        <v>-265758.43673502619</v>
      </c>
      <c r="L1433" s="455">
        <f t="shared" ca="1" si="127"/>
        <v>-64047783.253141314</v>
      </c>
      <c r="M1433" s="471">
        <f t="shared" si="129"/>
        <v>0.05</v>
      </c>
      <c r="N1433" s="475">
        <f t="shared" si="130"/>
        <v>94659</v>
      </c>
    </row>
    <row r="1434" spans="7:14" ht="11.25" customHeight="1" x14ac:dyDescent="0.3">
      <c r="G1434" s="470"/>
      <c r="H1434" s="470">
        <v>1427</v>
      </c>
      <c r="I1434" s="455">
        <f t="shared" ca="1" si="128"/>
        <v>-64047783.253141314</v>
      </c>
      <c r="J1434" s="455">
        <f t="array" ref="J1434">IFERROR(INDEX('Retirement Calculator'!J:J,MATCH('Isaac 401k'!N1434,'Retirement Calculator'!A:A,0),0),0)</f>
        <v>0</v>
      </c>
      <c r="K1434" s="455">
        <f t="shared" ca="1" si="126"/>
        <v>-266865.76355475548</v>
      </c>
      <c r="L1434" s="455">
        <f t="shared" ca="1" si="127"/>
        <v>-64314649.016696066</v>
      </c>
      <c r="M1434" s="471">
        <f t="shared" si="129"/>
        <v>0.05</v>
      </c>
      <c r="N1434" s="475">
        <f t="shared" si="130"/>
        <v>94690</v>
      </c>
    </row>
    <row r="1435" spans="7:14" ht="11.25" customHeight="1" x14ac:dyDescent="0.3">
      <c r="G1435" s="470"/>
      <c r="H1435" s="470">
        <v>1428</v>
      </c>
      <c r="I1435" s="455">
        <f t="shared" ca="1" si="128"/>
        <v>-64314649.016696066</v>
      </c>
      <c r="J1435" s="455">
        <f t="array" ref="J1435">IFERROR(INDEX('Retirement Calculator'!J:J,MATCH('Isaac 401k'!N1435,'Retirement Calculator'!A:A,0),0),0)</f>
        <v>0</v>
      </c>
      <c r="K1435" s="455">
        <f t="shared" ca="1" si="126"/>
        <v>-267977.70423623361</v>
      </c>
      <c r="L1435" s="455">
        <f t="shared" ca="1" si="127"/>
        <v>-64582626.720932297</v>
      </c>
      <c r="M1435" s="471">
        <f t="shared" si="129"/>
        <v>0.05</v>
      </c>
      <c r="N1435" s="475">
        <f t="shared" si="130"/>
        <v>94720</v>
      </c>
    </row>
    <row r="1436" spans="7:14" ht="11.25" customHeight="1" x14ac:dyDescent="0.3">
      <c r="G1436" s="470"/>
      <c r="H1436" s="470">
        <v>1429</v>
      </c>
      <c r="I1436" s="455">
        <f t="shared" ca="1" si="128"/>
        <v>-64582626.720932297</v>
      </c>
      <c r="J1436" s="455">
        <f t="array" ref="J1436">IFERROR(INDEX('Retirement Calculator'!J:J,MATCH('Isaac 401k'!N1436,'Retirement Calculator'!A:A,0),0),0)</f>
        <v>0</v>
      </c>
      <c r="K1436" s="455">
        <f t="shared" ca="1" si="126"/>
        <v>-269094.2780038846</v>
      </c>
      <c r="L1436" s="455">
        <f t="shared" ca="1" si="127"/>
        <v>-64851720.998936184</v>
      </c>
      <c r="M1436" s="471">
        <f t="shared" si="129"/>
        <v>0.05</v>
      </c>
      <c r="N1436" s="475">
        <f t="shared" si="130"/>
        <v>94751</v>
      </c>
    </row>
    <row r="1437" spans="7:14" ht="11.25" customHeight="1" x14ac:dyDescent="0.3">
      <c r="G1437" s="470"/>
      <c r="H1437" s="470">
        <v>1430</v>
      </c>
      <c r="I1437" s="455">
        <f t="shared" ca="1" si="128"/>
        <v>-64851720.998936184</v>
      </c>
      <c r="J1437" s="455">
        <f t="array" ref="J1437">IFERROR(INDEX('Retirement Calculator'!J:J,MATCH('Isaac 401k'!N1437,'Retirement Calculator'!A:A,0),0),0)</f>
        <v>0</v>
      </c>
      <c r="K1437" s="455">
        <f t="shared" ca="1" si="126"/>
        <v>-270215.50416223408</v>
      </c>
      <c r="L1437" s="455">
        <f t="shared" ca="1" si="127"/>
        <v>-65121936.503098421</v>
      </c>
      <c r="M1437" s="471">
        <f t="shared" si="129"/>
        <v>0.05</v>
      </c>
      <c r="N1437" s="475">
        <f t="shared" si="130"/>
        <v>94781</v>
      </c>
    </row>
    <row r="1438" spans="7:14" ht="11.25" customHeight="1" x14ac:dyDescent="0.3">
      <c r="G1438" s="470"/>
      <c r="H1438" s="470">
        <v>1431</v>
      </c>
      <c r="I1438" s="455">
        <f t="shared" ca="1" si="128"/>
        <v>-65121936.503098421</v>
      </c>
      <c r="J1438" s="455">
        <f t="array" ref="J1438">IFERROR(INDEX('Retirement Calculator'!J:J,MATCH('Isaac 401k'!N1438,'Retirement Calculator'!A:A,0),0),0)</f>
        <v>0</v>
      </c>
      <c r="K1438" s="455">
        <f t="shared" ca="1" si="126"/>
        <v>-271341.4020962434</v>
      </c>
      <c r="L1438" s="455">
        <f t="shared" ca="1" si="127"/>
        <v>-65393277.905194663</v>
      </c>
      <c r="M1438" s="471">
        <f t="shared" si="129"/>
        <v>0.05</v>
      </c>
      <c r="N1438" s="475">
        <f t="shared" si="130"/>
        <v>94812</v>
      </c>
    </row>
    <row r="1439" spans="7:14" ht="11.25" customHeight="1" x14ac:dyDescent="0.3">
      <c r="G1439" s="470"/>
      <c r="H1439" s="470">
        <v>1432</v>
      </c>
      <c r="I1439" s="455">
        <f t="shared" ca="1" si="128"/>
        <v>-65393277.905194663</v>
      </c>
      <c r="J1439" s="455">
        <f t="array" ref="J1439">IFERROR(INDEX('Retirement Calculator'!J:J,MATCH('Isaac 401k'!N1439,'Retirement Calculator'!A:A,0),0),0)</f>
        <v>0</v>
      </c>
      <c r="K1439" s="455">
        <f t="shared" ca="1" si="126"/>
        <v>-272471.99127164442</v>
      </c>
      <c r="L1439" s="455">
        <f t="shared" ca="1" si="127"/>
        <v>-65665749.896466307</v>
      </c>
      <c r="M1439" s="471">
        <f t="shared" si="129"/>
        <v>0.05</v>
      </c>
      <c r="N1439" s="475">
        <f t="shared" si="130"/>
        <v>94843</v>
      </c>
    </row>
    <row r="1440" spans="7:14" ht="11.25" customHeight="1" x14ac:dyDescent="0.3">
      <c r="G1440" s="470"/>
      <c r="H1440" s="470">
        <v>1433</v>
      </c>
      <c r="I1440" s="455">
        <f t="shared" ca="1" si="128"/>
        <v>-65665749.896466307</v>
      </c>
      <c r="J1440" s="455">
        <f t="array" ref="J1440">IFERROR(INDEX('Retirement Calculator'!J:J,MATCH('Isaac 401k'!N1440,'Retirement Calculator'!A:A,0),0),0)</f>
        <v>0</v>
      </c>
      <c r="K1440" s="455">
        <f t="shared" ca="1" si="126"/>
        <v>-273607.29123527627</v>
      </c>
      <c r="L1440" s="455">
        <f t="shared" ca="1" si="127"/>
        <v>-65939357.187701583</v>
      </c>
      <c r="M1440" s="471">
        <f t="shared" si="129"/>
        <v>0.05</v>
      </c>
      <c r="N1440" s="475">
        <f t="shared" si="130"/>
        <v>94873</v>
      </c>
    </row>
    <row r="1441" spans="7:14" ht="11.25" customHeight="1" x14ac:dyDescent="0.3">
      <c r="G1441" s="470"/>
      <c r="H1441" s="470">
        <v>1434</v>
      </c>
      <c r="I1441" s="455">
        <f t="shared" ca="1" si="128"/>
        <v>-65939357.187701583</v>
      </c>
      <c r="J1441" s="455">
        <f t="array" ref="J1441">IFERROR(INDEX('Retirement Calculator'!J:J,MATCH('Isaac 401k'!N1441,'Retirement Calculator'!A:A,0),0),0)</f>
        <v>0</v>
      </c>
      <c r="K1441" s="455">
        <f t="shared" ca="1" si="126"/>
        <v>-274747.32161542325</v>
      </c>
      <c r="L1441" s="455">
        <f t="shared" ca="1" si="127"/>
        <v>-66214104.509317003</v>
      </c>
      <c r="M1441" s="471">
        <f t="shared" si="129"/>
        <v>0.05</v>
      </c>
      <c r="N1441" s="475">
        <f t="shared" si="130"/>
        <v>94904</v>
      </c>
    </row>
    <row r="1442" spans="7:14" ht="11.25" customHeight="1" x14ac:dyDescent="0.3">
      <c r="G1442" s="470"/>
      <c r="H1442" s="470">
        <v>1435</v>
      </c>
      <c r="I1442" s="455">
        <f t="shared" ca="1" si="128"/>
        <v>-66214104.509317003</v>
      </c>
      <c r="J1442" s="455">
        <f t="array" ref="J1442">IFERROR(INDEX('Retirement Calculator'!J:J,MATCH('Isaac 401k'!N1442,'Retirement Calculator'!A:A,0),0),0)</f>
        <v>0</v>
      </c>
      <c r="K1442" s="455">
        <f t="shared" ca="1" si="126"/>
        <v>-275892.1021221542</v>
      </c>
      <c r="L1442" s="455">
        <f t="shared" ca="1" si="127"/>
        <v>-66489996.611439161</v>
      </c>
      <c r="M1442" s="471">
        <f t="shared" si="129"/>
        <v>0.05</v>
      </c>
      <c r="N1442" s="475">
        <f t="shared" si="130"/>
        <v>94934</v>
      </c>
    </row>
    <row r="1443" spans="7:14" ht="11.25" customHeight="1" x14ac:dyDescent="0.3">
      <c r="G1443" s="470"/>
      <c r="H1443" s="470">
        <v>1436</v>
      </c>
      <c r="I1443" s="455">
        <f t="shared" ca="1" si="128"/>
        <v>-66489996.611439161</v>
      </c>
      <c r="J1443" s="455">
        <f t="array" ref="J1443">IFERROR(INDEX('Retirement Calculator'!J:J,MATCH('Isaac 401k'!N1443,'Retirement Calculator'!A:A,0),0),0)</f>
        <v>0</v>
      </c>
      <c r="K1443" s="455">
        <f t="shared" ca="1" si="126"/>
        <v>-277041.65254766319</v>
      </c>
      <c r="L1443" s="455">
        <f t="shared" ca="1" si="127"/>
        <v>-66767038.263986826</v>
      </c>
      <c r="M1443" s="471">
        <f t="shared" si="129"/>
        <v>0.05</v>
      </c>
      <c r="N1443" s="475">
        <f t="shared" si="130"/>
        <v>94965</v>
      </c>
    </row>
    <row r="1444" spans="7:14" ht="11.25" customHeight="1" x14ac:dyDescent="0.3">
      <c r="G1444" s="470"/>
      <c r="H1444" s="470">
        <v>1437</v>
      </c>
      <c r="I1444" s="455">
        <f t="shared" ca="1" si="128"/>
        <v>-66767038.263986826</v>
      </c>
      <c r="J1444" s="455">
        <f t="array" ref="J1444">IFERROR(INDEX('Retirement Calculator'!J:J,MATCH('Isaac 401k'!N1444,'Retirement Calculator'!A:A,0),0),0)</f>
        <v>0</v>
      </c>
      <c r="K1444" s="455">
        <f t="shared" ca="1" si="126"/>
        <v>-278195.99276661174</v>
      </c>
      <c r="L1444" s="455">
        <f t="shared" ca="1" si="127"/>
        <v>-67045234.256753437</v>
      </c>
      <c r="M1444" s="471">
        <f t="shared" si="129"/>
        <v>0.05</v>
      </c>
      <c r="N1444" s="475">
        <f t="shared" si="130"/>
        <v>94996</v>
      </c>
    </row>
    <row r="1445" spans="7:14" ht="11.25" customHeight="1" x14ac:dyDescent="0.3">
      <c r="G1445" s="470"/>
      <c r="H1445" s="470">
        <v>1438</v>
      </c>
      <c r="I1445" s="455">
        <f t="shared" ca="1" si="128"/>
        <v>-67045234.256753437</v>
      </c>
      <c r="J1445" s="455">
        <f t="array" ref="J1445">IFERROR(INDEX('Retirement Calculator'!J:J,MATCH('Isaac 401k'!N1445,'Retirement Calculator'!A:A,0),0),0)</f>
        <v>0</v>
      </c>
      <c r="K1445" s="455">
        <f t="shared" ca="1" si="126"/>
        <v>-279355.14273647266</v>
      </c>
      <c r="L1445" s="455">
        <f t="shared" ca="1" si="127"/>
        <v>-67324589.399489909</v>
      </c>
      <c r="M1445" s="471">
        <f t="shared" si="129"/>
        <v>0.05</v>
      </c>
      <c r="N1445" s="475">
        <f t="shared" si="130"/>
        <v>95025</v>
      </c>
    </row>
    <row r="1446" spans="7:14" ht="11.25" customHeight="1" x14ac:dyDescent="0.3">
      <c r="G1446" s="470"/>
      <c r="H1446" s="470">
        <v>1439</v>
      </c>
      <c r="I1446" s="455">
        <f t="shared" ca="1" si="128"/>
        <v>-67324589.399489909</v>
      </c>
      <c r="J1446" s="455">
        <f t="array" ref="J1446">IFERROR(INDEX('Retirement Calculator'!J:J,MATCH('Isaac 401k'!N1446,'Retirement Calculator'!A:A,0),0),0)</f>
        <v>0</v>
      </c>
      <c r="K1446" s="455">
        <f t="shared" ca="1" si="126"/>
        <v>-280519.1224978746</v>
      </c>
      <c r="L1446" s="455">
        <f t="shared" ca="1" si="127"/>
        <v>-67605108.521987781</v>
      </c>
      <c r="M1446" s="471">
        <f t="shared" si="129"/>
        <v>0.05</v>
      </c>
      <c r="N1446" s="475">
        <f t="shared" si="130"/>
        <v>95056</v>
      </c>
    </row>
    <row r="1447" spans="7:14" ht="11.25" customHeight="1" x14ac:dyDescent="0.3">
      <c r="G1447" s="470"/>
      <c r="H1447" s="470">
        <v>1440</v>
      </c>
      <c r="I1447" s="455">
        <f t="shared" ca="1" si="128"/>
        <v>-67605108.521987781</v>
      </c>
      <c r="J1447" s="455">
        <f t="array" ref="J1447">IFERROR(INDEX('Retirement Calculator'!J:J,MATCH('Isaac 401k'!N1447,'Retirement Calculator'!A:A,0),0),0)</f>
        <v>0</v>
      </c>
      <c r="K1447" s="455">
        <f t="shared" ca="1" si="126"/>
        <v>-281687.95217494911</v>
      </c>
      <c r="L1447" s="455">
        <f t="shared" ca="1" si="127"/>
        <v>-67886796.474162728</v>
      </c>
      <c r="M1447" s="471">
        <f t="shared" si="129"/>
        <v>0.05</v>
      </c>
      <c r="N1447" s="475">
        <f t="shared" si="130"/>
        <v>95086</v>
      </c>
    </row>
    <row r="1448" spans="7:14" ht="11.25" customHeight="1" x14ac:dyDescent="0.3">
      <c r="G1448" s="470"/>
      <c r="H1448" s="470">
        <v>1441</v>
      </c>
      <c r="I1448" s="455">
        <f t="shared" ca="1" si="128"/>
        <v>-67886796.474162728</v>
      </c>
      <c r="J1448" s="455">
        <f t="array" ref="J1448">IFERROR(INDEX('Retirement Calculator'!J:J,MATCH('Isaac 401k'!N1448,'Retirement Calculator'!A:A,0),0),0)</f>
        <v>0</v>
      </c>
      <c r="K1448" s="455">
        <f t="shared" ca="1" si="126"/>
        <v>-282861.65197567805</v>
      </c>
      <c r="L1448" s="455">
        <f t="shared" ca="1" si="127"/>
        <v>-68169658.126138404</v>
      </c>
      <c r="M1448" s="471">
        <f t="shared" si="129"/>
        <v>0.05</v>
      </c>
      <c r="N1448" s="475">
        <f t="shared" si="130"/>
        <v>95117</v>
      </c>
    </row>
    <row r="1449" spans="7:14" ht="11.25" customHeight="1" x14ac:dyDescent="0.3">
      <c r="G1449" s="470"/>
      <c r="H1449" s="470">
        <v>1442</v>
      </c>
      <c r="I1449" s="455">
        <f t="shared" ca="1" si="128"/>
        <v>-68169658.126138404</v>
      </c>
      <c r="J1449" s="455">
        <f t="array" ref="J1449">IFERROR(INDEX('Retirement Calculator'!J:J,MATCH('Isaac 401k'!N1449,'Retirement Calculator'!A:A,0),0),0)</f>
        <v>0</v>
      </c>
      <c r="K1449" s="455">
        <f t="shared" ca="1" si="126"/>
        <v>-284040.24219224334</v>
      </c>
      <c r="L1449" s="455">
        <f t="shared" ca="1" si="127"/>
        <v>-68453698.368330643</v>
      </c>
      <c r="M1449" s="471">
        <f t="shared" si="129"/>
        <v>0.05</v>
      </c>
      <c r="N1449" s="475">
        <f t="shared" si="130"/>
        <v>95147</v>
      </c>
    </row>
    <row r="1450" spans="7:14" ht="11.25" customHeight="1" x14ac:dyDescent="0.3">
      <c r="G1450" s="470"/>
      <c r="H1450" s="470">
        <v>1443</v>
      </c>
      <c r="I1450" s="455">
        <f t="shared" ca="1" si="128"/>
        <v>-68453698.368330643</v>
      </c>
      <c r="J1450" s="455">
        <f t="array" ref="J1450">IFERROR(INDEX('Retirement Calculator'!J:J,MATCH('Isaac 401k'!N1450,'Retirement Calculator'!A:A,0),0),0)</f>
        <v>0</v>
      </c>
      <c r="K1450" s="455">
        <f t="shared" ca="1" si="126"/>
        <v>-285223.74320137769</v>
      </c>
      <c r="L1450" s="455">
        <f t="shared" ca="1" si="127"/>
        <v>-68738922.111532018</v>
      </c>
      <c r="M1450" s="471">
        <f t="shared" si="129"/>
        <v>0.05</v>
      </c>
      <c r="N1450" s="475">
        <f t="shared" si="130"/>
        <v>95178</v>
      </c>
    </row>
    <row r="1451" spans="7:14" ht="11.25" customHeight="1" x14ac:dyDescent="0.3">
      <c r="G1451" s="470"/>
      <c r="H1451" s="470">
        <v>1444</v>
      </c>
      <c r="I1451" s="455">
        <f t="shared" ca="1" si="128"/>
        <v>-68738922.111532018</v>
      </c>
      <c r="J1451" s="455">
        <f t="array" ref="J1451">IFERROR(INDEX('Retirement Calculator'!J:J,MATCH('Isaac 401k'!N1451,'Retirement Calculator'!A:A,0),0),0)</f>
        <v>0</v>
      </c>
      <c r="K1451" s="455">
        <f t="shared" ca="1" si="126"/>
        <v>-286412.17546471674</v>
      </c>
      <c r="L1451" s="455">
        <f t="shared" ca="1" si="127"/>
        <v>-69025334.286996737</v>
      </c>
      <c r="M1451" s="471">
        <f t="shared" si="129"/>
        <v>0.05</v>
      </c>
      <c r="N1451" s="475">
        <f t="shared" si="130"/>
        <v>95209</v>
      </c>
    </row>
    <row r="1452" spans="7:14" ht="11.25" customHeight="1" x14ac:dyDescent="0.3">
      <c r="G1452" s="470"/>
      <c r="H1452" s="470">
        <v>1445</v>
      </c>
      <c r="I1452" s="455">
        <f t="shared" ca="1" si="128"/>
        <v>-69025334.286996737</v>
      </c>
      <c r="J1452" s="455">
        <f t="array" ref="J1452">IFERROR(INDEX('Retirement Calculator'!J:J,MATCH('Isaac 401k'!N1452,'Retirement Calculator'!A:A,0),0),0)</f>
        <v>0</v>
      </c>
      <c r="K1452" s="455">
        <f t="shared" ca="1" si="126"/>
        <v>-287605.55952915305</v>
      </c>
      <c r="L1452" s="455">
        <f t="shared" ca="1" si="127"/>
        <v>-69312939.846525893</v>
      </c>
      <c r="M1452" s="471">
        <f t="shared" si="129"/>
        <v>0.05</v>
      </c>
      <c r="N1452" s="475">
        <f t="shared" si="130"/>
        <v>95239</v>
      </c>
    </row>
    <row r="1453" spans="7:14" ht="11.25" customHeight="1" x14ac:dyDescent="0.3">
      <c r="G1453" s="470"/>
      <c r="H1453" s="470">
        <v>1446</v>
      </c>
      <c r="I1453" s="455">
        <f t="shared" ca="1" si="128"/>
        <v>-69312939.846525893</v>
      </c>
      <c r="J1453" s="455">
        <f t="array" ref="J1453">IFERROR(INDEX('Retirement Calculator'!J:J,MATCH('Isaac 401k'!N1453,'Retirement Calculator'!A:A,0),0),0)</f>
        <v>0</v>
      </c>
      <c r="K1453" s="455">
        <f t="shared" ca="1" si="126"/>
        <v>-288803.91602719121</v>
      </c>
      <c r="L1453" s="455">
        <f t="shared" ca="1" si="127"/>
        <v>-69601743.762553081</v>
      </c>
      <c r="M1453" s="471">
        <f t="shared" si="129"/>
        <v>0.05</v>
      </c>
      <c r="N1453" s="475">
        <f t="shared" si="130"/>
        <v>95270</v>
      </c>
    </row>
    <row r="1454" spans="7:14" ht="11.25" customHeight="1" x14ac:dyDescent="0.3">
      <c r="G1454" s="470"/>
      <c r="H1454" s="470">
        <v>1447</v>
      </c>
      <c r="I1454" s="455">
        <f t="shared" ca="1" si="128"/>
        <v>-69601743.762553081</v>
      </c>
      <c r="J1454" s="455">
        <f t="array" ref="J1454">IFERROR(INDEX('Retirement Calculator'!J:J,MATCH('Isaac 401k'!N1454,'Retirement Calculator'!A:A,0),0),0)</f>
        <v>0</v>
      </c>
      <c r="K1454" s="455">
        <f t="shared" ca="1" si="126"/>
        <v>-290007.26567730447</v>
      </c>
      <c r="L1454" s="455">
        <f t="shared" ca="1" si="127"/>
        <v>-69891751.028230384</v>
      </c>
      <c r="M1454" s="471">
        <f t="shared" si="129"/>
        <v>0.05</v>
      </c>
      <c r="N1454" s="475">
        <f t="shared" si="130"/>
        <v>95300</v>
      </c>
    </row>
    <row r="1455" spans="7:14" ht="11.25" customHeight="1" x14ac:dyDescent="0.3">
      <c r="G1455" s="470"/>
      <c r="H1455" s="470">
        <v>1448</v>
      </c>
      <c r="I1455" s="455">
        <f t="shared" ca="1" si="128"/>
        <v>-69891751.028230384</v>
      </c>
      <c r="J1455" s="455">
        <f t="array" ref="J1455">IFERROR(INDEX('Retirement Calculator'!J:J,MATCH('Isaac 401k'!N1455,'Retirement Calculator'!A:A,0),0),0)</f>
        <v>0</v>
      </c>
      <c r="K1455" s="455">
        <f t="shared" ca="1" si="126"/>
        <v>-291215.62928429327</v>
      </c>
      <c r="L1455" s="455">
        <f t="shared" ca="1" si="127"/>
        <v>-70182966.657514676</v>
      </c>
      <c r="M1455" s="471">
        <f t="shared" si="129"/>
        <v>0.05</v>
      </c>
      <c r="N1455" s="475">
        <f t="shared" si="130"/>
        <v>95331</v>
      </c>
    </row>
    <row r="1456" spans="7:14" ht="11.25" customHeight="1" x14ac:dyDescent="0.3">
      <c r="G1456" s="470"/>
      <c r="H1456" s="470">
        <v>1449</v>
      </c>
      <c r="I1456" s="455">
        <f t="shared" ca="1" si="128"/>
        <v>-70182966.657514676</v>
      </c>
      <c r="J1456" s="455">
        <f t="array" ref="J1456">IFERROR(INDEX('Retirement Calculator'!J:J,MATCH('Isaac 401k'!N1456,'Retirement Calculator'!A:A,0),0),0)</f>
        <v>0</v>
      </c>
      <c r="K1456" s="455">
        <f t="shared" ca="1" si="126"/>
        <v>-292429.02773964446</v>
      </c>
      <c r="L1456" s="455">
        <f t="shared" ca="1" si="127"/>
        <v>-70475395.685254321</v>
      </c>
      <c r="M1456" s="471">
        <f t="shared" si="129"/>
        <v>0.05</v>
      </c>
      <c r="N1456" s="475">
        <f t="shared" si="130"/>
        <v>95362</v>
      </c>
    </row>
    <row r="1457" spans="7:14" ht="11.25" customHeight="1" x14ac:dyDescent="0.3">
      <c r="G1457" s="470"/>
      <c r="H1457" s="470">
        <v>1450</v>
      </c>
      <c r="I1457" s="455">
        <f t="shared" ca="1" si="128"/>
        <v>-70475395.685254321</v>
      </c>
      <c r="J1457" s="455">
        <f t="array" ref="J1457">IFERROR(INDEX('Retirement Calculator'!J:J,MATCH('Isaac 401k'!N1457,'Retirement Calculator'!A:A,0),0),0)</f>
        <v>0</v>
      </c>
      <c r="K1457" s="455">
        <f t="shared" ca="1" si="126"/>
        <v>-293647.48202189303</v>
      </c>
      <c r="L1457" s="455">
        <f t="shared" ca="1" si="127"/>
        <v>-70769043.167276219</v>
      </c>
      <c r="M1457" s="471">
        <f t="shared" si="129"/>
        <v>0.05</v>
      </c>
      <c r="N1457" s="475">
        <f t="shared" si="130"/>
        <v>95390</v>
      </c>
    </row>
    <row r="1458" spans="7:14" ht="11.25" customHeight="1" x14ac:dyDescent="0.3">
      <c r="G1458" s="470"/>
      <c r="H1458" s="470">
        <v>1451</v>
      </c>
      <c r="I1458" s="455">
        <f t="shared" ca="1" si="128"/>
        <v>-70769043.167276219</v>
      </c>
      <c r="J1458" s="455">
        <f t="array" ref="J1458">IFERROR(INDEX('Retirement Calculator'!J:J,MATCH('Isaac 401k'!N1458,'Retirement Calculator'!A:A,0),0),0)</f>
        <v>0</v>
      </c>
      <c r="K1458" s="455">
        <f t="shared" ca="1" si="126"/>
        <v>-294871.01319698425</v>
      </c>
      <c r="L1458" s="455">
        <f t="shared" ca="1" si="127"/>
        <v>-71063914.180473208</v>
      </c>
      <c r="M1458" s="471">
        <f t="shared" si="129"/>
        <v>0.05</v>
      </c>
      <c r="N1458" s="475">
        <f t="shared" si="130"/>
        <v>95421</v>
      </c>
    </row>
    <row r="1459" spans="7:14" ht="11.25" customHeight="1" x14ac:dyDescent="0.3">
      <c r="G1459" s="470"/>
      <c r="H1459" s="470">
        <v>1452</v>
      </c>
      <c r="I1459" s="455">
        <f t="shared" ca="1" si="128"/>
        <v>-71063914.180473208</v>
      </c>
      <c r="J1459" s="455">
        <f t="array" ref="J1459">IFERROR(INDEX('Retirement Calculator'!J:J,MATCH('Isaac 401k'!N1459,'Retirement Calculator'!A:A,0),0),0)</f>
        <v>0</v>
      </c>
      <c r="K1459" s="455">
        <f t="shared" ca="1" si="126"/>
        <v>-296099.64241863834</v>
      </c>
      <c r="L1459" s="455">
        <f t="shared" ca="1" si="127"/>
        <v>-71360013.822891846</v>
      </c>
      <c r="M1459" s="471">
        <f t="shared" si="129"/>
        <v>0.05</v>
      </c>
      <c r="N1459" s="475">
        <f t="shared" si="130"/>
        <v>95451</v>
      </c>
    </row>
    <row r="1460" spans="7:14" ht="11.25" customHeight="1" x14ac:dyDescent="0.3">
      <c r="G1460" s="470"/>
      <c r="H1460" s="470">
        <v>1453</v>
      </c>
      <c r="I1460" s="455">
        <f t="shared" ca="1" si="128"/>
        <v>-71360013.822891846</v>
      </c>
      <c r="J1460" s="455">
        <f t="array" ref="J1460">IFERROR(INDEX('Retirement Calculator'!J:J,MATCH('Isaac 401k'!N1460,'Retirement Calculator'!A:A,0),0),0)</f>
        <v>0</v>
      </c>
      <c r="K1460" s="455">
        <f t="shared" ca="1" si="126"/>
        <v>-297333.39092871605</v>
      </c>
      <c r="L1460" s="455">
        <f t="shared" ca="1" si="127"/>
        <v>-71657347.213820562</v>
      </c>
      <c r="M1460" s="471">
        <f t="shared" si="129"/>
        <v>0.05</v>
      </c>
      <c r="N1460" s="475">
        <f t="shared" si="130"/>
        <v>95482</v>
      </c>
    </row>
    <row r="1461" spans="7:14" ht="11.25" customHeight="1" x14ac:dyDescent="0.3">
      <c r="G1461" s="470"/>
      <c r="H1461" s="470">
        <v>1454</v>
      </c>
      <c r="I1461" s="455">
        <f t="shared" ca="1" si="128"/>
        <v>-71657347.213820562</v>
      </c>
      <c r="J1461" s="455">
        <f t="array" ref="J1461">IFERROR(INDEX('Retirement Calculator'!J:J,MATCH('Isaac 401k'!N1461,'Retirement Calculator'!A:A,0),0),0)</f>
        <v>0</v>
      </c>
      <c r="K1461" s="455">
        <f t="shared" ca="1" si="126"/>
        <v>-298572.28005758568</v>
      </c>
      <c r="L1461" s="455">
        <f t="shared" ca="1" si="127"/>
        <v>-71955919.493878141</v>
      </c>
      <c r="M1461" s="471">
        <f t="shared" si="129"/>
        <v>0.05</v>
      </c>
      <c r="N1461" s="475">
        <f t="shared" si="130"/>
        <v>95512</v>
      </c>
    </row>
    <row r="1462" spans="7:14" ht="11.25" customHeight="1" x14ac:dyDescent="0.3">
      <c r="G1462" s="470"/>
      <c r="H1462" s="470">
        <v>1455</v>
      </c>
      <c r="I1462" s="455">
        <f t="shared" ca="1" si="128"/>
        <v>-71955919.493878141</v>
      </c>
      <c r="J1462" s="455">
        <f t="array" ref="J1462">IFERROR(INDEX('Retirement Calculator'!J:J,MATCH('Isaac 401k'!N1462,'Retirement Calculator'!A:A,0),0),0)</f>
        <v>0</v>
      </c>
      <c r="K1462" s="455">
        <f t="shared" ca="1" si="126"/>
        <v>-299816.33122449223</v>
      </c>
      <c r="L1462" s="455">
        <f t="shared" ca="1" si="127"/>
        <v>-72255735.825102627</v>
      </c>
      <c r="M1462" s="471">
        <f t="shared" si="129"/>
        <v>0.05</v>
      </c>
      <c r="N1462" s="475">
        <f t="shared" si="130"/>
        <v>95543</v>
      </c>
    </row>
    <row r="1463" spans="7:14" ht="11.25" customHeight="1" x14ac:dyDescent="0.3">
      <c r="G1463" s="470"/>
      <c r="H1463" s="470">
        <v>1456</v>
      </c>
      <c r="I1463" s="455">
        <f t="shared" ca="1" si="128"/>
        <v>-72255735.825102627</v>
      </c>
      <c r="J1463" s="455">
        <f t="array" ref="J1463">IFERROR(INDEX('Retirement Calculator'!J:J,MATCH('Isaac 401k'!N1463,'Retirement Calculator'!A:A,0),0),0)</f>
        <v>0</v>
      </c>
      <c r="K1463" s="455">
        <f t="shared" ca="1" si="126"/>
        <v>-301065.56593792763</v>
      </c>
      <c r="L1463" s="455">
        <f t="shared" ca="1" si="127"/>
        <v>-72556801.391040549</v>
      </c>
      <c r="M1463" s="471">
        <f t="shared" si="129"/>
        <v>0.05</v>
      </c>
      <c r="N1463" s="475">
        <f t="shared" si="130"/>
        <v>95574</v>
      </c>
    </row>
    <row r="1464" spans="7:14" ht="11.25" customHeight="1" x14ac:dyDescent="0.3">
      <c r="G1464" s="470"/>
      <c r="H1464" s="470">
        <v>1457</v>
      </c>
      <c r="I1464" s="455">
        <f t="shared" ca="1" si="128"/>
        <v>-72556801.391040549</v>
      </c>
      <c r="J1464" s="455">
        <f t="array" ref="J1464">IFERROR(INDEX('Retirement Calculator'!J:J,MATCH('Isaac 401k'!N1464,'Retirement Calculator'!A:A,0),0),0)</f>
        <v>0</v>
      </c>
      <c r="K1464" s="455">
        <f t="shared" ca="1" si="126"/>
        <v>-302320.00579600228</v>
      </c>
      <c r="L1464" s="455">
        <f t="shared" ca="1" si="127"/>
        <v>-72859121.396836549</v>
      </c>
      <c r="M1464" s="471">
        <f t="shared" si="129"/>
        <v>0.05</v>
      </c>
      <c r="N1464" s="475">
        <f t="shared" si="130"/>
        <v>95604</v>
      </c>
    </row>
    <row r="1465" spans="7:14" ht="11.25" customHeight="1" x14ac:dyDescent="0.3">
      <c r="G1465" s="470"/>
      <c r="H1465" s="470">
        <v>1458</v>
      </c>
      <c r="I1465" s="455">
        <f t="shared" ca="1" si="128"/>
        <v>-72859121.396836549</v>
      </c>
      <c r="J1465" s="455">
        <f t="array" ref="J1465">IFERROR(INDEX('Retirement Calculator'!J:J,MATCH('Isaac 401k'!N1465,'Retirement Calculator'!A:A,0),0),0)</f>
        <v>0</v>
      </c>
      <c r="K1465" s="455">
        <f t="shared" ca="1" si="126"/>
        <v>-303579.67248681898</v>
      </c>
      <c r="L1465" s="455">
        <f t="shared" ca="1" si="127"/>
        <v>-73162701.069323361</v>
      </c>
      <c r="M1465" s="471">
        <f t="shared" si="129"/>
        <v>0.05</v>
      </c>
      <c r="N1465" s="475">
        <f t="shared" si="130"/>
        <v>95635</v>
      </c>
    </row>
    <row r="1466" spans="7:14" ht="11.25" customHeight="1" x14ac:dyDescent="0.3">
      <c r="G1466" s="470"/>
      <c r="H1466" s="470">
        <v>1459</v>
      </c>
      <c r="I1466" s="455">
        <f t="shared" ca="1" si="128"/>
        <v>-73162701.069323361</v>
      </c>
      <c r="J1466" s="455">
        <f t="array" ref="J1466">IFERROR(INDEX('Retirement Calculator'!J:J,MATCH('Isaac 401k'!N1466,'Retirement Calculator'!A:A,0),0),0)</f>
        <v>0</v>
      </c>
      <c r="K1466" s="455">
        <f t="shared" ca="1" si="126"/>
        <v>-304844.58778884733</v>
      </c>
      <c r="L1466" s="455">
        <f t="shared" ca="1" si="127"/>
        <v>-73467545.657112211</v>
      </c>
      <c r="M1466" s="471">
        <f t="shared" si="129"/>
        <v>0.05</v>
      </c>
      <c r="N1466" s="475">
        <f t="shared" si="130"/>
        <v>95665</v>
      </c>
    </row>
    <row r="1467" spans="7:14" ht="11.25" customHeight="1" x14ac:dyDescent="0.3">
      <c r="G1467" s="470"/>
      <c r="H1467" s="470">
        <v>1460</v>
      </c>
      <c r="I1467" s="455">
        <f t="shared" ca="1" si="128"/>
        <v>-73467545.657112211</v>
      </c>
      <c r="J1467" s="455">
        <f t="array" ref="J1467">IFERROR(INDEX('Retirement Calculator'!J:J,MATCH('Isaac 401k'!N1467,'Retirement Calculator'!A:A,0),0),0)</f>
        <v>0</v>
      </c>
      <c r="K1467" s="455">
        <f t="shared" ca="1" si="126"/>
        <v>-306114.7735713009</v>
      </c>
      <c r="L1467" s="455">
        <f t="shared" ca="1" si="127"/>
        <v>-73773660.430683509</v>
      </c>
      <c r="M1467" s="471">
        <f t="shared" si="129"/>
        <v>0.05</v>
      </c>
      <c r="N1467" s="475">
        <f t="shared" si="130"/>
        <v>95696</v>
      </c>
    </row>
    <row r="1468" spans="7:14" ht="11.25" customHeight="1" x14ac:dyDescent="0.3">
      <c r="G1468" s="470"/>
      <c r="H1468" s="470">
        <v>1461</v>
      </c>
      <c r="I1468" s="455">
        <f t="shared" ca="1" si="128"/>
        <v>-73773660.430683509</v>
      </c>
      <c r="J1468" s="455">
        <f t="array" ref="J1468">IFERROR(INDEX('Retirement Calculator'!J:J,MATCH('Isaac 401k'!N1468,'Retirement Calculator'!A:A,0),0),0)</f>
        <v>0</v>
      </c>
      <c r="K1468" s="455">
        <f t="shared" ca="1" si="126"/>
        <v>-307390.2517945146</v>
      </c>
      <c r="L1468" s="455">
        <f t="shared" ca="1" si="127"/>
        <v>-74081050.682478026</v>
      </c>
      <c r="M1468" s="471">
        <f t="shared" si="129"/>
        <v>0.05</v>
      </c>
      <c r="N1468" s="475">
        <f t="shared" si="130"/>
        <v>95727</v>
      </c>
    </row>
    <row r="1469" spans="7:14" ht="11.25" customHeight="1" x14ac:dyDescent="0.3">
      <c r="G1469" s="470"/>
      <c r="H1469" s="470">
        <v>1462</v>
      </c>
      <c r="I1469" s="455">
        <f t="shared" ca="1" si="128"/>
        <v>-74081050.682478026</v>
      </c>
      <c r="J1469" s="455">
        <f t="array" ref="J1469">IFERROR(INDEX('Retirement Calculator'!J:J,MATCH('Isaac 401k'!N1469,'Retirement Calculator'!A:A,0),0),0)</f>
        <v>0</v>
      </c>
      <c r="K1469" s="455">
        <f t="shared" ca="1" si="126"/>
        <v>-308671.04451032513</v>
      </c>
      <c r="L1469" s="455">
        <f t="shared" ca="1" si="127"/>
        <v>-74389721.726988345</v>
      </c>
      <c r="M1469" s="471">
        <f t="shared" si="129"/>
        <v>0.05</v>
      </c>
      <c r="N1469" s="475">
        <f t="shared" si="130"/>
        <v>95755</v>
      </c>
    </row>
    <row r="1470" spans="7:14" ht="11.25" customHeight="1" x14ac:dyDescent="0.3">
      <c r="G1470" s="470"/>
      <c r="H1470" s="470">
        <v>1463</v>
      </c>
      <c r="I1470" s="455">
        <f t="shared" ca="1" si="128"/>
        <v>-74389721.726988345</v>
      </c>
      <c r="J1470" s="455">
        <f t="array" ref="J1470">IFERROR(INDEX('Retirement Calculator'!J:J,MATCH('Isaac 401k'!N1470,'Retirement Calculator'!A:A,0),0),0)</f>
        <v>0</v>
      </c>
      <c r="K1470" s="455">
        <f t="shared" ca="1" si="126"/>
        <v>-309957.17386245145</v>
      </c>
      <c r="L1470" s="455">
        <f t="shared" ca="1" si="127"/>
        <v>-74699678.900850803</v>
      </c>
      <c r="M1470" s="471">
        <f t="shared" si="129"/>
        <v>0.05</v>
      </c>
      <c r="N1470" s="475">
        <f t="shared" si="130"/>
        <v>95786</v>
      </c>
    </row>
    <row r="1471" spans="7:14" ht="11.25" customHeight="1" x14ac:dyDescent="0.3">
      <c r="G1471" s="470"/>
      <c r="H1471" s="470">
        <v>1464</v>
      </c>
      <c r="I1471" s="455">
        <f t="shared" ca="1" si="128"/>
        <v>-74699678.900850803</v>
      </c>
      <c r="J1471" s="455">
        <f t="array" ref="J1471">IFERROR(INDEX('Retirement Calculator'!J:J,MATCH('Isaac 401k'!N1471,'Retirement Calculator'!A:A,0),0),0)</f>
        <v>0</v>
      </c>
      <c r="K1471" s="455">
        <f t="shared" ca="1" si="126"/>
        <v>-311248.66208687832</v>
      </c>
      <c r="L1471" s="455">
        <f t="shared" ca="1" si="127"/>
        <v>-75010927.562937677</v>
      </c>
      <c r="M1471" s="471">
        <f t="shared" si="129"/>
        <v>0.05</v>
      </c>
      <c r="N1471" s="475">
        <f t="shared" si="130"/>
        <v>95816</v>
      </c>
    </row>
    <row r="1472" spans="7:14" ht="11.25" customHeight="1" x14ac:dyDescent="0.3">
      <c r="G1472" s="470"/>
      <c r="H1472" s="470">
        <v>1465</v>
      </c>
      <c r="I1472" s="455">
        <f t="shared" ca="1" si="128"/>
        <v>-75010927.562937677</v>
      </c>
      <c r="J1472" s="455">
        <f t="array" ref="J1472">IFERROR(INDEX('Retirement Calculator'!J:J,MATCH('Isaac 401k'!N1472,'Retirement Calculator'!A:A,0),0),0)</f>
        <v>0</v>
      </c>
      <c r="K1472" s="455">
        <f t="shared" ca="1" si="126"/>
        <v>-312545.5315122403</v>
      </c>
      <c r="L1472" s="455">
        <f t="shared" ca="1" si="127"/>
        <v>-75323473.094449922</v>
      </c>
      <c r="M1472" s="471">
        <f t="shared" si="129"/>
        <v>0.05</v>
      </c>
      <c r="N1472" s="475">
        <f t="shared" si="130"/>
        <v>95847</v>
      </c>
    </row>
    <row r="1473" spans="7:14" ht="11.25" customHeight="1" x14ac:dyDescent="0.3">
      <c r="G1473" s="470"/>
      <c r="H1473" s="470">
        <v>1466</v>
      </c>
      <c r="I1473" s="455">
        <f t="shared" ca="1" si="128"/>
        <v>-75323473.094449922</v>
      </c>
      <c r="J1473" s="455">
        <f t="array" ref="J1473">IFERROR(INDEX('Retirement Calculator'!J:J,MATCH('Isaac 401k'!N1473,'Retirement Calculator'!A:A,0),0),0)</f>
        <v>0</v>
      </c>
      <c r="K1473" s="455">
        <f t="shared" ca="1" si="126"/>
        <v>-313847.80456020799</v>
      </c>
      <c r="L1473" s="455">
        <f t="shared" ca="1" si="127"/>
        <v>-75637320.899010137</v>
      </c>
      <c r="M1473" s="471">
        <f t="shared" si="129"/>
        <v>0.05</v>
      </c>
      <c r="N1473" s="475">
        <f t="shared" si="130"/>
        <v>95877</v>
      </c>
    </row>
    <row r="1474" spans="7:14" ht="11.25" customHeight="1" x14ac:dyDescent="0.3">
      <c r="G1474" s="470"/>
      <c r="H1474" s="470">
        <v>1467</v>
      </c>
      <c r="I1474" s="455">
        <f t="shared" ca="1" si="128"/>
        <v>-75637320.899010137</v>
      </c>
      <c r="J1474" s="455">
        <f t="array" ref="J1474">IFERROR(INDEX('Retirement Calculator'!J:J,MATCH('Isaac 401k'!N1474,'Retirement Calculator'!A:A,0),0),0)</f>
        <v>0</v>
      </c>
      <c r="K1474" s="455">
        <f t="shared" ca="1" si="126"/>
        <v>-315155.50374587555</v>
      </c>
      <c r="L1474" s="455">
        <f t="shared" ca="1" si="127"/>
        <v>-75952476.402756006</v>
      </c>
      <c r="M1474" s="471">
        <f t="shared" si="129"/>
        <v>0.05</v>
      </c>
      <c r="N1474" s="475">
        <f t="shared" si="130"/>
        <v>95908</v>
      </c>
    </row>
    <row r="1475" spans="7:14" ht="11.25" customHeight="1" x14ac:dyDescent="0.3">
      <c r="G1475" s="470"/>
      <c r="H1475" s="470">
        <v>1468</v>
      </c>
      <c r="I1475" s="455">
        <f t="shared" ca="1" si="128"/>
        <v>-75952476.402756006</v>
      </c>
      <c r="J1475" s="455">
        <f t="array" ref="J1475">IFERROR(INDEX('Retirement Calculator'!J:J,MATCH('Isaac 401k'!N1475,'Retirement Calculator'!A:A,0),0),0)</f>
        <v>0</v>
      </c>
      <c r="K1475" s="455">
        <f t="shared" ca="1" si="126"/>
        <v>-316468.65167815</v>
      </c>
      <c r="L1475" s="455">
        <f t="shared" ca="1" si="127"/>
        <v>-76268945.05443415</v>
      </c>
      <c r="M1475" s="471">
        <f t="shared" si="129"/>
        <v>0.05</v>
      </c>
      <c r="N1475" s="475">
        <f t="shared" si="130"/>
        <v>95939</v>
      </c>
    </row>
    <row r="1476" spans="7:14" ht="11.25" customHeight="1" x14ac:dyDescent="0.3">
      <c r="G1476" s="470"/>
      <c r="H1476" s="470">
        <v>1469</v>
      </c>
      <c r="I1476" s="455">
        <f t="shared" ca="1" si="128"/>
        <v>-76268945.05443415</v>
      </c>
      <c r="J1476" s="455">
        <f t="array" ref="J1476">IFERROR(INDEX('Retirement Calculator'!J:J,MATCH('Isaac 401k'!N1476,'Retirement Calculator'!A:A,0),0),0)</f>
        <v>0</v>
      </c>
      <c r="K1476" s="455">
        <f t="shared" ca="1" si="126"/>
        <v>-317787.27106014232</v>
      </c>
      <c r="L1476" s="455">
        <f t="shared" ca="1" si="127"/>
        <v>-76586732.325494289</v>
      </c>
      <c r="M1476" s="471">
        <f t="shared" si="129"/>
        <v>0.05</v>
      </c>
      <c r="N1476" s="475">
        <f t="shared" si="130"/>
        <v>95969</v>
      </c>
    </row>
    <row r="1477" spans="7:14" ht="11.25" customHeight="1" x14ac:dyDescent="0.3">
      <c r="G1477" s="470"/>
      <c r="H1477" s="470">
        <v>1470</v>
      </c>
      <c r="I1477" s="455">
        <f t="shared" ca="1" si="128"/>
        <v>-76586732.325494289</v>
      </c>
      <c r="J1477" s="455">
        <f t="array" ref="J1477">IFERROR(INDEX('Retirement Calculator'!J:J,MATCH('Isaac 401k'!N1477,'Retirement Calculator'!A:A,0),0),0)</f>
        <v>0</v>
      </c>
      <c r="K1477" s="455">
        <f t="shared" ca="1" si="126"/>
        <v>-319111.38468955952</v>
      </c>
      <c r="L1477" s="455">
        <f t="shared" ca="1" si="127"/>
        <v>-76905843.710183844</v>
      </c>
      <c r="M1477" s="471">
        <f t="shared" si="129"/>
        <v>0.05</v>
      </c>
      <c r="N1477" s="475">
        <f t="shared" si="130"/>
        <v>96000</v>
      </c>
    </row>
    <row r="1478" spans="7:14" ht="11.25" customHeight="1" x14ac:dyDescent="0.3">
      <c r="G1478" s="470"/>
      <c r="H1478" s="470">
        <v>1471</v>
      </c>
      <c r="I1478" s="455">
        <f t="shared" ca="1" si="128"/>
        <v>-76905843.710183844</v>
      </c>
      <c r="J1478" s="455">
        <f t="array" ref="J1478">IFERROR(INDEX('Retirement Calculator'!J:J,MATCH('Isaac 401k'!N1478,'Retirement Calculator'!A:A,0),0),0)</f>
        <v>0</v>
      </c>
      <c r="K1478" s="455">
        <f t="shared" ca="1" si="126"/>
        <v>-320441.01545909932</v>
      </c>
      <c r="L1478" s="455">
        <f t="shared" ca="1" si="127"/>
        <v>-77226284.725642949</v>
      </c>
      <c r="M1478" s="471">
        <f t="shared" si="129"/>
        <v>0.05</v>
      </c>
      <c r="N1478" s="475">
        <f t="shared" si="130"/>
        <v>96030</v>
      </c>
    </row>
    <row r="1479" spans="7:14" ht="11.25" customHeight="1" x14ac:dyDescent="0.3">
      <c r="G1479" s="470"/>
      <c r="H1479" s="470">
        <v>1472</v>
      </c>
      <c r="I1479" s="455">
        <f t="shared" ca="1" si="128"/>
        <v>-77226284.725642949</v>
      </c>
      <c r="J1479" s="455">
        <f t="array" ref="J1479">IFERROR(INDEX('Retirement Calculator'!J:J,MATCH('Isaac 401k'!N1479,'Retirement Calculator'!A:A,0),0),0)</f>
        <v>0</v>
      </c>
      <c r="K1479" s="455">
        <f t="shared" ca="1" si="126"/>
        <v>-321776.1863568456</v>
      </c>
      <c r="L1479" s="455">
        <f t="shared" ca="1" si="127"/>
        <v>-77548060.911999792</v>
      </c>
      <c r="M1479" s="471">
        <f t="shared" si="129"/>
        <v>0.05</v>
      </c>
      <c r="N1479" s="475">
        <f t="shared" si="130"/>
        <v>96061</v>
      </c>
    </row>
    <row r="1480" spans="7:14" ht="11.25" customHeight="1" x14ac:dyDescent="0.3">
      <c r="G1480" s="470"/>
      <c r="H1480" s="470">
        <v>1473</v>
      </c>
      <c r="I1480" s="455">
        <f t="shared" ca="1" si="128"/>
        <v>-77548060.911999792</v>
      </c>
      <c r="J1480" s="455">
        <f t="array" ref="J1480">IFERROR(INDEX('Retirement Calculator'!J:J,MATCH('Isaac 401k'!N1480,'Retirement Calculator'!A:A,0),0),0)</f>
        <v>0</v>
      </c>
      <c r="K1480" s="455">
        <f t="shared" ca="1" si="126"/>
        <v>-323116.92046666582</v>
      </c>
      <c r="L1480" s="455">
        <f t="shared" ca="1" si="127"/>
        <v>-77871177.832466453</v>
      </c>
      <c r="M1480" s="471">
        <f t="shared" si="129"/>
        <v>0.05</v>
      </c>
      <c r="N1480" s="475">
        <f t="shared" si="130"/>
        <v>96092</v>
      </c>
    </row>
    <row r="1481" spans="7:14" ht="11.25" customHeight="1" x14ac:dyDescent="0.3">
      <c r="G1481" s="470"/>
      <c r="H1481" s="470">
        <v>1474</v>
      </c>
      <c r="I1481" s="455">
        <f t="shared" ca="1" si="128"/>
        <v>-77871177.832466453</v>
      </c>
      <c r="J1481" s="455">
        <f t="array" ref="J1481">IFERROR(INDEX('Retirement Calculator'!J:J,MATCH('Isaac 401k'!N1481,'Retirement Calculator'!A:A,0),0),0)</f>
        <v>0</v>
      </c>
      <c r="K1481" s="455">
        <f t="shared" ca="1" si="126"/>
        <v>-324463.24096861022</v>
      </c>
      <c r="L1481" s="455">
        <f t="shared" ca="1" si="127"/>
        <v>-78195641.073435068</v>
      </c>
      <c r="M1481" s="471">
        <f t="shared" si="129"/>
        <v>0.05</v>
      </c>
      <c r="N1481" s="475">
        <f t="shared" si="130"/>
        <v>96120</v>
      </c>
    </row>
    <row r="1482" spans="7:14" ht="11.25" customHeight="1" x14ac:dyDescent="0.3">
      <c r="G1482" s="470"/>
      <c r="H1482" s="470">
        <v>1475</v>
      </c>
      <c r="I1482" s="455">
        <f t="shared" ca="1" si="128"/>
        <v>-78195641.073435068</v>
      </c>
      <c r="J1482" s="455">
        <f t="array" ref="J1482">IFERROR(INDEX('Retirement Calculator'!J:J,MATCH('Isaac 401k'!N1482,'Retirement Calculator'!A:A,0),0),0)</f>
        <v>0</v>
      </c>
      <c r="K1482" s="455">
        <f t="shared" ca="1" si="126"/>
        <v>-325815.17113931279</v>
      </c>
      <c r="L1482" s="455">
        <f t="shared" ca="1" si="127"/>
        <v>-78521456.244574383</v>
      </c>
      <c r="M1482" s="471">
        <f t="shared" si="129"/>
        <v>0.05</v>
      </c>
      <c r="N1482" s="475">
        <f t="shared" si="130"/>
        <v>96151</v>
      </c>
    </row>
    <row r="1483" spans="7:14" ht="11.25" customHeight="1" x14ac:dyDescent="0.3">
      <c r="G1483" s="470"/>
      <c r="H1483" s="470">
        <v>1476</v>
      </c>
      <c r="I1483" s="455">
        <f t="shared" ca="1" si="128"/>
        <v>-78521456.244574383</v>
      </c>
      <c r="J1483" s="455">
        <f t="array" ref="J1483">IFERROR(INDEX('Retirement Calculator'!J:J,MATCH('Isaac 401k'!N1483,'Retirement Calculator'!A:A,0),0),0)</f>
        <v>0</v>
      </c>
      <c r="K1483" s="455">
        <f t="shared" ca="1" si="126"/>
        <v>-327172.73435239325</v>
      </c>
      <c r="L1483" s="455">
        <f t="shared" ca="1" si="127"/>
        <v>-78848628.978926778</v>
      </c>
      <c r="M1483" s="471">
        <f t="shared" si="129"/>
        <v>0.05</v>
      </c>
      <c r="N1483" s="475">
        <f t="shared" si="130"/>
        <v>96181</v>
      </c>
    </row>
    <row r="1484" spans="7:14" ht="11.25" customHeight="1" x14ac:dyDescent="0.3">
      <c r="G1484" s="470"/>
      <c r="H1484" s="470">
        <v>1477</v>
      </c>
      <c r="I1484" s="455">
        <f t="shared" ca="1" si="128"/>
        <v>-78848628.978926778</v>
      </c>
      <c r="J1484" s="455">
        <f t="array" ref="J1484">IFERROR(INDEX('Retirement Calculator'!J:J,MATCH('Isaac 401k'!N1484,'Retirement Calculator'!A:A,0),0),0)</f>
        <v>0</v>
      </c>
      <c r="K1484" s="455">
        <f t="shared" ca="1" si="126"/>
        <v>-328535.95407886157</v>
      </c>
      <c r="L1484" s="455">
        <f t="shared" ca="1" si="127"/>
        <v>-79177164.933005646</v>
      </c>
      <c r="M1484" s="471">
        <f t="shared" si="129"/>
        <v>0.05</v>
      </c>
      <c r="N1484" s="475">
        <f t="shared" si="130"/>
        <v>96212</v>
      </c>
    </row>
    <row r="1485" spans="7:14" ht="11.25" customHeight="1" x14ac:dyDescent="0.3">
      <c r="G1485" s="470"/>
      <c r="H1485" s="470">
        <v>1478</v>
      </c>
      <c r="I1485" s="455">
        <f t="shared" ca="1" si="128"/>
        <v>-79177164.933005646</v>
      </c>
      <c r="J1485" s="455">
        <f t="array" ref="J1485">IFERROR(INDEX('Retirement Calculator'!J:J,MATCH('Isaac 401k'!N1485,'Retirement Calculator'!A:A,0),0),0)</f>
        <v>0</v>
      </c>
      <c r="K1485" s="455">
        <f t="shared" ca="1" si="126"/>
        <v>-329904.85388752352</v>
      </c>
      <c r="L1485" s="455">
        <f t="shared" ca="1" si="127"/>
        <v>-79507069.786893174</v>
      </c>
      <c r="M1485" s="471">
        <f t="shared" si="129"/>
        <v>0.05</v>
      </c>
      <c r="N1485" s="475">
        <f t="shared" si="130"/>
        <v>96242</v>
      </c>
    </row>
    <row r="1486" spans="7:14" ht="11.25" customHeight="1" x14ac:dyDescent="0.3">
      <c r="G1486" s="470"/>
      <c r="H1486" s="470">
        <v>1479</v>
      </c>
      <c r="I1486" s="455">
        <f t="shared" ca="1" si="128"/>
        <v>-79507069.786893174</v>
      </c>
      <c r="J1486" s="455">
        <f t="array" ref="J1486">IFERROR(INDEX('Retirement Calculator'!J:J,MATCH('Isaac 401k'!N1486,'Retirement Calculator'!A:A,0),0),0)</f>
        <v>0</v>
      </c>
      <c r="K1486" s="455">
        <f t="shared" ca="1" si="126"/>
        <v>-331279.45744538819</v>
      </c>
      <c r="L1486" s="455">
        <f t="shared" ca="1" si="127"/>
        <v>-79838349.244338557</v>
      </c>
      <c r="M1486" s="471">
        <f t="shared" si="129"/>
        <v>0.05</v>
      </c>
      <c r="N1486" s="475">
        <f t="shared" si="130"/>
        <v>96273</v>
      </c>
    </row>
    <row r="1487" spans="7:14" ht="11.25" customHeight="1" x14ac:dyDescent="0.3">
      <c r="G1487" s="470"/>
      <c r="H1487" s="470">
        <v>1480</v>
      </c>
      <c r="I1487" s="455">
        <f t="shared" ca="1" si="128"/>
        <v>-79838349.244338557</v>
      </c>
      <c r="J1487" s="455">
        <f t="array" ref="J1487">IFERROR(INDEX('Retirement Calculator'!J:J,MATCH('Isaac 401k'!N1487,'Retirement Calculator'!A:A,0),0),0)</f>
        <v>0</v>
      </c>
      <c r="K1487" s="455">
        <f t="shared" ca="1" si="126"/>
        <v>-332659.78851807734</v>
      </c>
      <c r="L1487" s="455">
        <f t="shared" ca="1" si="127"/>
        <v>-80171009.032856628</v>
      </c>
      <c r="M1487" s="471">
        <f t="shared" si="129"/>
        <v>0.05</v>
      </c>
      <c r="N1487" s="475">
        <f t="shared" si="130"/>
        <v>96304</v>
      </c>
    </row>
    <row r="1488" spans="7:14" ht="11.25" customHeight="1" x14ac:dyDescent="0.3">
      <c r="G1488" s="470"/>
      <c r="H1488" s="470">
        <v>1481</v>
      </c>
      <c r="I1488" s="455">
        <f t="shared" ca="1" si="128"/>
        <v>-80171009.032856628</v>
      </c>
      <c r="J1488" s="455">
        <f t="array" ref="J1488">IFERROR(INDEX('Retirement Calculator'!J:J,MATCH('Isaac 401k'!N1488,'Retirement Calculator'!A:A,0),0),0)</f>
        <v>0</v>
      </c>
      <c r="K1488" s="455">
        <f t="shared" ca="1" si="126"/>
        <v>-334045.87097023596</v>
      </c>
      <c r="L1488" s="455">
        <f t="shared" ca="1" si="127"/>
        <v>-80505054.903826863</v>
      </c>
      <c r="M1488" s="471">
        <f t="shared" si="129"/>
        <v>0.05</v>
      </c>
      <c r="N1488" s="475">
        <f t="shared" si="130"/>
        <v>96334</v>
      </c>
    </row>
    <row r="1489" spans="7:14" ht="11.25" customHeight="1" x14ac:dyDescent="0.3">
      <c r="G1489" s="470"/>
      <c r="H1489" s="470">
        <v>1482</v>
      </c>
      <c r="I1489" s="455">
        <f t="shared" ca="1" si="128"/>
        <v>-80505054.903826863</v>
      </c>
      <c r="J1489" s="455">
        <f t="array" ref="J1489">IFERROR(INDEX('Retirement Calculator'!J:J,MATCH('Isaac 401k'!N1489,'Retirement Calculator'!A:A,0),0),0)</f>
        <v>0</v>
      </c>
      <c r="K1489" s="455">
        <f t="shared" ca="1" si="126"/>
        <v>-335437.72876594524</v>
      </c>
      <c r="L1489" s="455">
        <f t="shared" ca="1" si="127"/>
        <v>-80840492.632592812</v>
      </c>
      <c r="M1489" s="471">
        <f t="shared" si="129"/>
        <v>0.05</v>
      </c>
      <c r="N1489" s="475">
        <f t="shared" si="130"/>
        <v>96365</v>
      </c>
    </row>
    <row r="1490" spans="7:14" ht="11.25" customHeight="1" x14ac:dyDescent="0.3">
      <c r="G1490" s="470"/>
      <c r="H1490" s="470">
        <v>1483</v>
      </c>
      <c r="I1490" s="455">
        <f t="shared" ca="1" si="128"/>
        <v>-80840492.632592812</v>
      </c>
      <c r="J1490" s="455">
        <f t="array" ref="J1490">IFERROR(INDEX('Retirement Calculator'!J:J,MATCH('Isaac 401k'!N1490,'Retirement Calculator'!A:A,0),0),0)</f>
        <v>0</v>
      </c>
      <c r="K1490" s="455">
        <f t="shared" ca="1" si="126"/>
        <v>-336835.38596913673</v>
      </c>
      <c r="L1490" s="455">
        <f t="shared" ca="1" si="127"/>
        <v>-81177328.018561944</v>
      </c>
      <c r="M1490" s="471">
        <f t="shared" si="129"/>
        <v>0.05</v>
      </c>
      <c r="N1490" s="475">
        <f t="shared" si="130"/>
        <v>96395</v>
      </c>
    </row>
    <row r="1491" spans="7:14" ht="11.25" customHeight="1" x14ac:dyDescent="0.3">
      <c r="G1491" s="470"/>
      <c r="H1491" s="470">
        <v>1484</v>
      </c>
      <c r="I1491" s="455">
        <f t="shared" ca="1" si="128"/>
        <v>-81177328.018561944</v>
      </c>
      <c r="J1491" s="455">
        <f t="array" ref="J1491">IFERROR(INDEX('Retirement Calculator'!J:J,MATCH('Isaac 401k'!N1491,'Retirement Calculator'!A:A,0),0),0)</f>
        <v>0</v>
      </c>
      <c r="K1491" s="455">
        <f t="shared" ca="1" si="126"/>
        <v>-338238.86674400809</v>
      </c>
      <c r="L1491" s="455">
        <f t="shared" ca="1" si="127"/>
        <v>-81515566.885305956</v>
      </c>
      <c r="M1491" s="471">
        <f t="shared" si="129"/>
        <v>0.05</v>
      </c>
      <c r="N1491" s="475">
        <f t="shared" si="130"/>
        <v>96426</v>
      </c>
    </row>
    <row r="1492" spans="7:14" ht="11.25" customHeight="1" x14ac:dyDescent="0.3">
      <c r="G1492" s="470"/>
      <c r="H1492" s="470">
        <v>1485</v>
      </c>
      <c r="I1492" s="455">
        <f t="shared" ca="1" si="128"/>
        <v>-81515566.885305956</v>
      </c>
      <c r="J1492" s="455">
        <f t="array" ref="J1492">IFERROR(INDEX('Retirement Calculator'!J:J,MATCH('Isaac 401k'!N1492,'Retirement Calculator'!A:A,0),0),0)</f>
        <v>0</v>
      </c>
      <c r="K1492" s="455">
        <f t="shared" ca="1" si="126"/>
        <v>-339648.19535544148</v>
      </c>
      <c r="L1492" s="455">
        <f t="shared" ca="1" si="127"/>
        <v>-81855215.080661401</v>
      </c>
      <c r="M1492" s="471">
        <f t="shared" si="129"/>
        <v>0.05</v>
      </c>
      <c r="N1492" s="475">
        <f t="shared" si="130"/>
        <v>96457</v>
      </c>
    </row>
    <row r="1493" spans="7:14" ht="11.25" customHeight="1" x14ac:dyDescent="0.3">
      <c r="G1493" s="470"/>
      <c r="H1493" s="470">
        <v>1486</v>
      </c>
      <c r="I1493" s="455">
        <f t="shared" ca="1" si="128"/>
        <v>-81855215.080661401</v>
      </c>
      <c r="J1493" s="455">
        <f t="array" ref="J1493">IFERROR(INDEX('Retirement Calculator'!J:J,MATCH('Isaac 401k'!N1493,'Retirement Calculator'!A:A,0),0),0)</f>
        <v>0</v>
      </c>
      <c r="K1493" s="455">
        <f t="shared" ca="1" si="126"/>
        <v>-341063.39616942249</v>
      </c>
      <c r="L1493" s="455">
        <f t="shared" ca="1" si="127"/>
        <v>-82196278.476830825</v>
      </c>
      <c r="M1493" s="471">
        <f t="shared" si="129"/>
        <v>0.05</v>
      </c>
      <c r="N1493" s="475">
        <f t="shared" si="130"/>
        <v>96486</v>
      </c>
    </row>
    <row r="1494" spans="7:14" ht="11.25" customHeight="1" x14ac:dyDescent="0.3">
      <c r="G1494" s="470"/>
      <c r="H1494" s="470">
        <v>1487</v>
      </c>
      <c r="I1494" s="455">
        <f t="shared" ca="1" si="128"/>
        <v>-82196278.476830825</v>
      </c>
      <c r="J1494" s="455">
        <f t="array" ref="J1494">IFERROR(INDEX('Retirement Calculator'!J:J,MATCH('Isaac 401k'!N1494,'Retirement Calculator'!A:A,0),0),0)</f>
        <v>0</v>
      </c>
      <c r="K1494" s="455">
        <f t="shared" ca="1" si="126"/>
        <v>-342484.49365346174</v>
      </c>
      <c r="L1494" s="455">
        <f t="shared" ca="1" si="127"/>
        <v>-82538762.970484287</v>
      </c>
      <c r="M1494" s="471">
        <f t="shared" si="129"/>
        <v>0.05</v>
      </c>
      <c r="N1494" s="475">
        <f t="shared" si="130"/>
        <v>96517</v>
      </c>
    </row>
    <row r="1495" spans="7:14" ht="11.25" customHeight="1" x14ac:dyDescent="0.3">
      <c r="G1495" s="470"/>
      <c r="H1495" s="470">
        <v>1488</v>
      </c>
      <c r="I1495" s="455">
        <f t="shared" ca="1" si="128"/>
        <v>-82538762.970484287</v>
      </c>
      <c r="J1495" s="455">
        <f t="array" ref="J1495">IFERROR(INDEX('Retirement Calculator'!J:J,MATCH('Isaac 401k'!N1495,'Retirement Calculator'!A:A,0),0),0)</f>
        <v>0</v>
      </c>
      <c r="K1495" s="455">
        <f t="shared" ca="1" si="126"/>
        <v>-343911.51237701788</v>
      </c>
      <c r="L1495" s="455">
        <f t="shared" ca="1" si="127"/>
        <v>-82882674.48286131</v>
      </c>
      <c r="M1495" s="471">
        <f t="shared" si="129"/>
        <v>0.05</v>
      </c>
      <c r="N1495" s="475">
        <f t="shared" si="130"/>
        <v>96547</v>
      </c>
    </row>
    <row r="1496" spans="7:14" ht="11.25" customHeight="1" x14ac:dyDescent="0.3">
      <c r="G1496" s="470"/>
      <c r="H1496" s="470">
        <v>1489</v>
      </c>
      <c r="I1496" s="455">
        <f t="shared" ca="1" si="128"/>
        <v>-82882674.48286131</v>
      </c>
      <c r="J1496" s="455">
        <f t="array" ref="J1496">IFERROR(INDEX('Retirement Calculator'!J:J,MATCH('Isaac 401k'!N1496,'Retirement Calculator'!A:A,0),0),0)</f>
        <v>0</v>
      </c>
      <c r="K1496" s="455">
        <f t="shared" ca="1" si="126"/>
        <v>-345344.47701192211</v>
      </c>
      <c r="L1496" s="455">
        <f t="shared" ca="1" si="127"/>
        <v>-83228018.959873229</v>
      </c>
      <c r="M1496" s="471">
        <f t="shared" si="129"/>
        <v>0.05</v>
      </c>
      <c r="N1496" s="475">
        <f t="shared" si="130"/>
        <v>96578</v>
      </c>
    </row>
    <row r="1497" spans="7:14" ht="11.25" customHeight="1" x14ac:dyDescent="0.3">
      <c r="G1497" s="470"/>
      <c r="H1497" s="470">
        <v>1490</v>
      </c>
      <c r="I1497" s="455">
        <f t="shared" ca="1" si="128"/>
        <v>-83228018.959873229</v>
      </c>
      <c r="J1497" s="455">
        <f t="array" ref="J1497">IFERROR(INDEX('Retirement Calculator'!J:J,MATCH('Isaac 401k'!N1497,'Retirement Calculator'!A:A,0),0),0)</f>
        <v>0</v>
      </c>
      <c r="K1497" s="455">
        <f t="shared" ca="1" si="126"/>
        <v>-346783.41233280511</v>
      </c>
      <c r="L1497" s="455">
        <f t="shared" ca="1" si="127"/>
        <v>-83574802.372206032</v>
      </c>
      <c r="M1497" s="471">
        <f t="shared" si="129"/>
        <v>0.05</v>
      </c>
      <c r="N1497" s="475">
        <f t="shared" si="130"/>
        <v>96608</v>
      </c>
    </row>
    <row r="1498" spans="7:14" ht="11.25" customHeight="1" x14ac:dyDescent="0.3">
      <c r="G1498" s="470"/>
      <c r="H1498" s="470">
        <v>1491</v>
      </c>
      <c r="I1498" s="455">
        <f t="shared" ca="1" si="128"/>
        <v>-83574802.372206032</v>
      </c>
      <c r="J1498" s="455">
        <f t="array" ref="J1498">IFERROR(INDEX('Retirement Calculator'!J:J,MATCH('Isaac 401k'!N1498,'Retirement Calculator'!A:A,0),0),0)</f>
        <v>0</v>
      </c>
      <c r="K1498" s="455">
        <f t="shared" ca="1" si="126"/>
        <v>-348228.34321752511</v>
      </c>
      <c r="L1498" s="455">
        <f t="shared" ca="1" si="127"/>
        <v>-83923030.715423554</v>
      </c>
      <c r="M1498" s="471">
        <f t="shared" si="129"/>
        <v>0.05</v>
      </c>
      <c r="N1498" s="475">
        <f t="shared" si="130"/>
        <v>96639</v>
      </c>
    </row>
    <row r="1499" spans="7:14" ht="11.25" customHeight="1" x14ac:dyDescent="0.3">
      <c r="G1499" s="470"/>
      <c r="H1499" s="470">
        <v>1492</v>
      </c>
      <c r="I1499" s="455">
        <f t="shared" ca="1" si="128"/>
        <v>-83923030.715423554</v>
      </c>
      <c r="J1499" s="455">
        <f t="array" ref="J1499">IFERROR(INDEX('Retirement Calculator'!J:J,MATCH('Isaac 401k'!N1499,'Retirement Calculator'!A:A,0),0),0)</f>
        <v>0</v>
      </c>
      <c r="K1499" s="455">
        <f t="shared" ca="1" si="126"/>
        <v>-349679.29464759812</v>
      </c>
      <c r="L1499" s="455">
        <f t="shared" ca="1" si="127"/>
        <v>-84272710.010071158</v>
      </c>
      <c r="M1499" s="471">
        <f t="shared" si="129"/>
        <v>0.05</v>
      </c>
      <c r="N1499" s="475">
        <f t="shared" si="130"/>
        <v>96670</v>
      </c>
    </row>
    <row r="1500" spans="7:14" ht="11.25" customHeight="1" x14ac:dyDescent="0.3">
      <c r="G1500" s="470"/>
      <c r="H1500" s="470">
        <v>1493</v>
      </c>
      <c r="I1500" s="455">
        <f t="shared" ca="1" si="128"/>
        <v>-84272710.010071158</v>
      </c>
      <c r="J1500" s="455">
        <f t="array" ref="J1500">IFERROR(INDEX('Retirement Calculator'!J:J,MATCH('Isaac 401k'!N1500,'Retirement Calculator'!A:A,0),0),0)</f>
        <v>0</v>
      </c>
      <c r="K1500" s="455">
        <f t="shared" ca="1" si="126"/>
        <v>-351136.29170862981</v>
      </c>
      <c r="L1500" s="455">
        <f t="shared" ca="1" si="127"/>
        <v>-84623846.301779792</v>
      </c>
      <c r="M1500" s="471">
        <f t="shared" si="129"/>
        <v>0.05</v>
      </c>
      <c r="N1500" s="475">
        <f t="shared" si="130"/>
        <v>96700</v>
      </c>
    </row>
    <row r="1501" spans="7:14" ht="11.25" customHeight="1" x14ac:dyDescent="0.3">
      <c r="G1501" s="470"/>
      <c r="H1501" s="470">
        <v>1494</v>
      </c>
      <c r="I1501" s="455">
        <f t="shared" ca="1" si="128"/>
        <v>-84623846.301779792</v>
      </c>
      <c r="J1501" s="455">
        <f t="array" ref="J1501">IFERROR(INDEX('Retirement Calculator'!J:J,MATCH('Isaac 401k'!N1501,'Retirement Calculator'!A:A,0),0),0)</f>
        <v>0</v>
      </c>
      <c r="K1501" s="455">
        <f t="shared" ca="1" si="126"/>
        <v>-352599.35959074914</v>
      </c>
      <c r="L1501" s="455">
        <f t="shared" ca="1" si="127"/>
        <v>-84976445.661370546</v>
      </c>
      <c r="M1501" s="471">
        <f t="shared" si="129"/>
        <v>0.05</v>
      </c>
      <c r="N1501" s="475">
        <f t="shared" si="130"/>
        <v>96731</v>
      </c>
    </row>
    <row r="1502" spans="7:14" ht="11.25" customHeight="1" x14ac:dyDescent="0.3">
      <c r="G1502" s="470"/>
      <c r="H1502" s="470">
        <v>1495</v>
      </c>
      <c r="I1502" s="455">
        <f t="shared" ca="1" si="128"/>
        <v>-84976445.661370546</v>
      </c>
      <c r="J1502" s="455">
        <f t="array" ref="J1502">IFERROR(INDEX('Retirement Calculator'!J:J,MATCH('Isaac 401k'!N1502,'Retirement Calculator'!A:A,0),0),0)</f>
        <v>0</v>
      </c>
      <c r="K1502" s="455">
        <f t="shared" ca="1" si="126"/>
        <v>-354068.52358904394</v>
      </c>
      <c r="L1502" s="455">
        <f t="shared" ca="1" si="127"/>
        <v>-85330514.18495959</v>
      </c>
      <c r="M1502" s="471">
        <f t="shared" si="129"/>
        <v>0.05</v>
      </c>
      <c r="N1502" s="475">
        <f t="shared" si="130"/>
        <v>96761</v>
      </c>
    </row>
    <row r="1503" spans="7:14" ht="11.25" customHeight="1" x14ac:dyDescent="0.3">
      <c r="G1503" s="470"/>
      <c r="H1503" s="470">
        <v>1496</v>
      </c>
      <c r="I1503" s="455">
        <f t="shared" ca="1" si="128"/>
        <v>-85330514.18495959</v>
      </c>
      <c r="J1503" s="455">
        <f t="array" ref="J1503">IFERROR(INDEX('Retirement Calculator'!J:J,MATCH('Isaac 401k'!N1503,'Retirement Calculator'!A:A,0),0),0)</f>
        <v>0</v>
      </c>
      <c r="K1503" s="455">
        <f t="shared" ca="1" si="126"/>
        <v>-355543.8091039983</v>
      </c>
      <c r="L1503" s="455">
        <f t="shared" ca="1" si="127"/>
        <v>-85686057.994063586</v>
      </c>
      <c r="M1503" s="471">
        <f t="shared" si="129"/>
        <v>0.05</v>
      </c>
      <c r="N1503" s="475">
        <f t="shared" si="130"/>
        <v>96792</v>
      </c>
    </row>
    <row r="1504" spans="7:14" ht="11.25" customHeight="1" x14ac:dyDescent="0.3">
      <c r="G1504" s="470"/>
      <c r="H1504" s="470">
        <v>1497</v>
      </c>
      <c r="I1504" s="455">
        <f t="shared" ca="1" si="128"/>
        <v>-85686057.994063586</v>
      </c>
      <c r="J1504" s="455">
        <f t="array" ref="J1504">IFERROR(INDEX('Retirement Calculator'!J:J,MATCH('Isaac 401k'!N1504,'Retirement Calculator'!A:A,0),0),0)</f>
        <v>0</v>
      </c>
      <c r="K1504" s="455">
        <f t="shared" ca="1" si="126"/>
        <v>-357025.24164193159</v>
      </c>
      <c r="L1504" s="455">
        <f t="shared" ca="1" si="127"/>
        <v>-86043083.235705525</v>
      </c>
      <c r="M1504" s="471">
        <f t="shared" si="129"/>
        <v>0.05</v>
      </c>
      <c r="N1504" s="475">
        <f t="shared" si="130"/>
        <v>96823</v>
      </c>
    </row>
    <row r="1505" spans="7:14" ht="11.25" customHeight="1" x14ac:dyDescent="0.3">
      <c r="G1505" s="470"/>
      <c r="H1505" s="470">
        <v>1498</v>
      </c>
      <c r="I1505" s="455">
        <f t="shared" ca="1" si="128"/>
        <v>-86043083.235705525</v>
      </c>
      <c r="J1505" s="455">
        <f t="array" ref="J1505">IFERROR(INDEX('Retirement Calculator'!J:J,MATCH('Isaac 401k'!N1505,'Retirement Calculator'!A:A,0),0),0)</f>
        <v>0</v>
      </c>
      <c r="K1505" s="455">
        <f t="shared" ca="1" si="126"/>
        <v>-358512.8468154397</v>
      </c>
      <c r="L1505" s="455">
        <f t="shared" ca="1" si="127"/>
        <v>-86401596.082520962</v>
      </c>
      <c r="M1505" s="471">
        <f t="shared" si="129"/>
        <v>0.05</v>
      </c>
      <c r="N1505" s="475">
        <f t="shared" si="130"/>
        <v>96851</v>
      </c>
    </row>
    <row r="1506" spans="7:14" ht="11.25" customHeight="1" x14ac:dyDescent="0.3">
      <c r="G1506" s="470"/>
      <c r="H1506" s="470">
        <v>1499</v>
      </c>
      <c r="I1506" s="455">
        <f t="shared" ca="1" si="128"/>
        <v>-86401596.082520962</v>
      </c>
      <c r="J1506" s="455">
        <f t="array" ref="J1506">IFERROR(INDEX('Retirement Calculator'!J:J,MATCH('Isaac 401k'!N1506,'Retirement Calculator'!A:A,0),0),0)</f>
        <v>0</v>
      </c>
      <c r="K1506" s="455">
        <f t="shared" ca="1" si="126"/>
        <v>-360006.65034383733</v>
      </c>
      <c r="L1506" s="455">
        <f t="shared" ca="1" si="127"/>
        <v>-86761602.732864797</v>
      </c>
      <c r="M1506" s="471">
        <f t="shared" si="129"/>
        <v>0.05</v>
      </c>
      <c r="N1506" s="475">
        <f t="shared" si="130"/>
        <v>96882</v>
      </c>
    </row>
    <row r="1507" spans="7:14" ht="11.25" customHeight="1" x14ac:dyDescent="0.3">
      <c r="G1507" s="470"/>
      <c r="H1507" s="470">
        <v>1500</v>
      </c>
      <c r="I1507" s="455">
        <f t="shared" ca="1" si="128"/>
        <v>-86761602.732864797</v>
      </c>
      <c r="J1507" s="455">
        <f t="array" ref="J1507">IFERROR(INDEX('Retirement Calculator'!J:J,MATCH('Isaac 401k'!N1507,'Retirement Calculator'!A:A,0),0),0)</f>
        <v>0</v>
      </c>
      <c r="K1507" s="455">
        <f t="shared" ca="1" si="126"/>
        <v>-361506.67805360333</v>
      </c>
      <c r="L1507" s="455">
        <f t="shared" ca="1" si="127"/>
        <v>-87123109.4109184</v>
      </c>
      <c r="M1507" s="471">
        <f t="shared" si="129"/>
        <v>0.05</v>
      </c>
      <c r="N1507" s="475">
        <f t="shared" si="130"/>
        <v>96912</v>
      </c>
    </row>
    <row r="1508" spans="7:14" ht="11.25" customHeight="1" x14ac:dyDescent="0.3">
      <c r="G1508" s="470"/>
      <c r="H1508" s="470">
        <v>1501</v>
      </c>
      <c r="I1508" s="455">
        <f t="shared" ca="1" si="128"/>
        <v>-87123109.4109184</v>
      </c>
      <c r="J1508" s="455">
        <f t="array" ref="J1508">IFERROR(INDEX('Retirement Calculator'!J:J,MATCH('Isaac 401k'!N1508,'Retirement Calculator'!A:A,0),0),0)</f>
        <v>0</v>
      </c>
      <c r="K1508" s="455">
        <f t="shared" ca="1" si="126"/>
        <v>-363012.95587882667</v>
      </c>
      <c r="L1508" s="455">
        <f t="shared" ca="1" si="127"/>
        <v>-87486122.366797224</v>
      </c>
      <c r="M1508" s="471">
        <f t="shared" si="129"/>
        <v>0.05</v>
      </c>
      <c r="N1508" s="475">
        <f t="shared" si="130"/>
        <v>96943</v>
      </c>
    </row>
    <row r="1509" spans="7:14" ht="11.25" customHeight="1" x14ac:dyDescent="0.3">
      <c r="G1509" s="470"/>
      <c r="H1509" s="470">
        <v>1502</v>
      </c>
      <c r="I1509" s="455">
        <f t="shared" ca="1" si="128"/>
        <v>-87486122.366797224</v>
      </c>
      <c r="J1509" s="455">
        <f t="array" ref="J1509">IFERROR(INDEX('Retirement Calculator'!J:J,MATCH('Isaac 401k'!N1509,'Retirement Calculator'!A:A,0),0),0)</f>
        <v>0</v>
      </c>
      <c r="K1509" s="455">
        <f t="shared" ca="1" si="126"/>
        <v>-364525.50986165507</v>
      </c>
      <c r="L1509" s="455">
        <f t="shared" ca="1" si="127"/>
        <v>-87850647.876658872</v>
      </c>
      <c r="M1509" s="471">
        <f t="shared" si="129"/>
        <v>0.05</v>
      </c>
      <c r="N1509" s="475">
        <f t="shared" si="130"/>
        <v>96973</v>
      </c>
    </row>
    <row r="1510" spans="7:14" ht="11.25" customHeight="1" x14ac:dyDescent="0.3">
      <c r="G1510" s="470"/>
      <c r="H1510" s="470">
        <v>1503</v>
      </c>
      <c r="I1510" s="455">
        <f t="shared" ca="1" si="128"/>
        <v>-87850647.876658872</v>
      </c>
      <c r="J1510" s="455">
        <f t="array" ref="J1510">IFERROR(INDEX('Retirement Calculator'!J:J,MATCH('Isaac 401k'!N1510,'Retirement Calculator'!A:A,0),0),0)</f>
        <v>0</v>
      </c>
      <c r="K1510" s="455">
        <f t="shared" ca="1" si="126"/>
        <v>-366044.36615274532</v>
      </c>
      <c r="L1510" s="455">
        <f t="shared" ca="1" si="127"/>
        <v>-88216692.24281162</v>
      </c>
      <c r="M1510" s="471">
        <f t="shared" si="129"/>
        <v>0.05</v>
      </c>
      <c r="N1510" s="475">
        <f t="shared" si="130"/>
        <v>97004</v>
      </c>
    </row>
    <row r="1511" spans="7:14" ht="11.25" customHeight="1" x14ac:dyDescent="0.3">
      <c r="G1511" s="470"/>
      <c r="H1511" s="470">
        <v>1504</v>
      </c>
      <c r="I1511" s="455">
        <f t="shared" ca="1" si="128"/>
        <v>-88216692.24281162</v>
      </c>
      <c r="J1511" s="455">
        <f t="array" ref="J1511">IFERROR(INDEX('Retirement Calculator'!J:J,MATCH('Isaac 401k'!N1511,'Retirement Calculator'!A:A,0),0),0)</f>
        <v>0</v>
      </c>
      <c r="K1511" s="455">
        <f t="shared" ca="1" si="126"/>
        <v>-367569.55101171508</v>
      </c>
      <c r="L1511" s="455">
        <f t="shared" ca="1" si="127"/>
        <v>-88584261.793823332</v>
      </c>
      <c r="M1511" s="471">
        <f t="shared" si="129"/>
        <v>0.05</v>
      </c>
      <c r="N1511" s="475">
        <f t="shared" si="130"/>
        <v>97035</v>
      </c>
    </row>
    <row r="1512" spans="7:14" ht="11.25" customHeight="1" x14ac:dyDescent="0.3">
      <c r="G1512" s="470"/>
      <c r="H1512" s="470">
        <v>1505</v>
      </c>
      <c r="I1512" s="455">
        <f t="shared" ca="1" si="128"/>
        <v>-88584261.793823332</v>
      </c>
      <c r="J1512" s="455">
        <f t="array" ref="J1512">IFERROR(INDEX('Retirement Calculator'!J:J,MATCH('Isaac 401k'!N1512,'Retirement Calculator'!A:A,0),0),0)</f>
        <v>0</v>
      </c>
      <c r="K1512" s="455">
        <f t="shared" ca="1" si="126"/>
        <v>-369101.09080759721</v>
      </c>
      <c r="L1512" s="455">
        <f t="shared" ca="1" si="127"/>
        <v>-88953362.884630933</v>
      </c>
      <c r="M1512" s="471">
        <f t="shared" si="129"/>
        <v>0.05</v>
      </c>
      <c r="N1512" s="475">
        <f t="shared" si="130"/>
        <v>97065</v>
      </c>
    </row>
    <row r="1513" spans="7:14" ht="11.25" customHeight="1" x14ac:dyDescent="0.3">
      <c r="G1513" s="470"/>
      <c r="H1513" s="470">
        <v>1506</v>
      </c>
      <c r="I1513" s="455">
        <f t="shared" ca="1" si="128"/>
        <v>-88953362.884630933</v>
      </c>
      <c r="J1513" s="455">
        <f t="array" ref="J1513">IFERROR(INDEX('Retirement Calculator'!J:J,MATCH('Isaac 401k'!N1513,'Retirement Calculator'!A:A,0),0),0)</f>
        <v>0</v>
      </c>
      <c r="K1513" s="455">
        <f t="shared" ca="1" si="126"/>
        <v>-370639.01201929554</v>
      </c>
      <c r="L1513" s="455">
        <f t="shared" ca="1" si="127"/>
        <v>-89324001.896650225</v>
      </c>
      <c r="M1513" s="471">
        <f t="shared" si="129"/>
        <v>0.05</v>
      </c>
      <c r="N1513" s="475">
        <f t="shared" si="130"/>
        <v>97096</v>
      </c>
    </row>
    <row r="1514" spans="7:14" ht="11.25" customHeight="1" x14ac:dyDescent="0.3">
      <c r="G1514" s="470"/>
      <c r="H1514" s="470">
        <v>1507</v>
      </c>
      <c r="I1514" s="455">
        <f t="shared" ca="1" si="128"/>
        <v>-89324001.896650225</v>
      </c>
      <c r="J1514" s="455">
        <f t="array" ref="J1514">IFERROR(INDEX('Retirement Calculator'!J:J,MATCH('Isaac 401k'!N1514,'Retirement Calculator'!A:A,0),0),0)</f>
        <v>0</v>
      </c>
      <c r="K1514" s="455">
        <f t="shared" ca="1" si="126"/>
        <v>-372183.34123604262</v>
      </c>
      <c r="L1514" s="455">
        <f t="shared" ca="1" si="127"/>
        <v>-89696185.237886265</v>
      </c>
      <c r="M1514" s="471">
        <f t="shared" si="129"/>
        <v>0.05</v>
      </c>
      <c r="N1514" s="475">
        <f t="shared" si="130"/>
        <v>97126</v>
      </c>
    </row>
    <row r="1515" spans="7:14" ht="11.25" customHeight="1" x14ac:dyDescent="0.3">
      <c r="G1515" s="470"/>
      <c r="H1515" s="470">
        <v>1508</v>
      </c>
      <c r="I1515" s="455">
        <f t="shared" ca="1" si="128"/>
        <v>-89696185.237886265</v>
      </c>
      <c r="J1515" s="455">
        <f t="array" ref="J1515">IFERROR(INDEX('Retirement Calculator'!J:J,MATCH('Isaac 401k'!N1515,'Retirement Calculator'!A:A,0),0),0)</f>
        <v>0</v>
      </c>
      <c r="K1515" s="455">
        <f t="shared" ca="1" si="126"/>
        <v>-373734.10515785945</v>
      </c>
      <c r="L1515" s="455">
        <f t="shared" ca="1" si="127"/>
        <v>-90069919.343044117</v>
      </c>
      <c r="M1515" s="471">
        <f t="shared" si="129"/>
        <v>0.05</v>
      </c>
      <c r="N1515" s="475">
        <f t="shared" si="130"/>
        <v>97157</v>
      </c>
    </row>
    <row r="1516" spans="7:14" ht="11.25" customHeight="1" x14ac:dyDescent="0.3">
      <c r="G1516" s="470"/>
      <c r="H1516" s="470">
        <v>1509</v>
      </c>
      <c r="I1516" s="455">
        <f t="shared" ca="1" si="128"/>
        <v>-90069919.343044117</v>
      </c>
      <c r="J1516" s="455">
        <f t="array" ref="J1516">IFERROR(INDEX('Retirement Calculator'!J:J,MATCH('Isaac 401k'!N1516,'Retirement Calculator'!A:A,0),0),0)</f>
        <v>0</v>
      </c>
      <c r="K1516" s="455">
        <f t="shared" ca="1" si="126"/>
        <v>-375291.33059601713</v>
      </c>
      <c r="L1516" s="455">
        <f t="shared" ca="1" si="127"/>
        <v>-90445210.673640132</v>
      </c>
      <c r="M1516" s="471">
        <f t="shared" si="129"/>
        <v>0.05</v>
      </c>
      <c r="N1516" s="475">
        <f t="shared" si="130"/>
        <v>97188</v>
      </c>
    </row>
    <row r="1517" spans="7:14" ht="11.25" customHeight="1" x14ac:dyDescent="0.3">
      <c r="G1517" s="470"/>
      <c r="H1517" s="470">
        <v>1510</v>
      </c>
      <c r="I1517" s="455">
        <f t="shared" ca="1" si="128"/>
        <v>-90445210.673640132</v>
      </c>
      <c r="J1517" s="455">
        <f t="array" ref="J1517">IFERROR(INDEX('Retirement Calculator'!J:J,MATCH('Isaac 401k'!N1517,'Retirement Calculator'!A:A,0),0),0)</f>
        <v>0</v>
      </c>
      <c r="K1517" s="455">
        <f t="shared" ca="1" si="126"/>
        <v>-376855.04447350057</v>
      </c>
      <c r="L1517" s="455">
        <f t="shared" ca="1" si="127"/>
        <v>-90822065.718113631</v>
      </c>
      <c r="M1517" s="471">
        <f t="shared" si="129"/>
        <v>0.05</v>
      </c>
      <c r="N1517" s="475">
        <f t="shared" si="130"/>
        <v>97216</v>
      </c>
    </row>
    <row r="1518" spans="7:14" ht="11.25" customHeight="1" x14ac:dyDescent="0.3">
      <c r="G1518" s="470"/>
      <c r="H1518" s="470">
        <v>1511</v>
      </c>
      <c r="I1518" s="455">
        <f t="shared" ca="1" si="128"/>
        <v>-90822065.718113631</v>
      </c>
      <c r="J1518" s="455">
        <f t="array" ref="J1518">IFERROR(INDEX('Retirement Calculator'!J:J,MATCH('Isaac 401k'!N1518,'Retirement Calculator'!A:A,0),0),0)</f>
        <v>0</v>
      </c>
      <c r="K1518" s="455">
        <f t="shared" ca="1" si="126"/>
        <v>-378425.27382547344</v>
      </c>
      <c r="L1518" s="455">
        <f t="shared" ca="1" si="127"/>
        <v>-91200490.991939098</v>
      </c>
      <c r="M1518" s="471">
        <f t="shared" si="129"/>
        <v>0.05</v>
      </c>
      <c r="N1518" s="475">
        <f t="shared" si="130"/>
        <v>97247</v>
      </c>
    </row>
    <row r="1519" spans="7:14" ht="11.25" customHeight="1" x14ac:dyDescent="0.3">
      <c r="G1519" s="470"/>
      <c r="H1519" s="470">
        <v>1512</v>
      </c>
      <c r="I1519" s="455">
        <f t="shared" ca="1" si="128"/>
        <v>-91200490.991939098</v>
      </c>
      <c r="J1519" s="455">
        <f t="array" ref="J1519">IFERROR(INDEX('Retirement Calculator'!J:J,MATCH('Isaac 401k'!N1519,'Retirement Calculator'!A:A,0),0),0)</f>
        <v>0</v>
      </c>
      <c r="K1519" s="455">
        <f t="shared" ca="1" si="126"/>
        <v>-380002.04579974624</v>
      </c>
      <c r="L1519" s="455">
        <f t="shared" ca="1" si="127"/>
        <v>-91580493.037738845</v>
      </c>
      <c r="M1519" s="471">
        <f t="shared" si="129"/>
        <v>0.05</v>
      </c>
      <c r="N1519" s="475">
        <f t="shared" si="130"/>
        <v>97277</v>
      </c>
    </row>
    <row r="1520" spans="7:14" ht="11.25" customHeight="1" x14ac:dyDescent="0.3">
      <c r="G1520" s="470"/>
      <c r="H1520" s="470">
        <v>1513</v>
      </c>
      <c r="I1520" s="455">
        <f t="shared" ca="1" si="128"/>
        <v>-91580493.037738845</v>
      </c>
      <c r="J1520" s="455">
        <f t="array" ref="J1520">IFERROR(INDEX('Retirement Calculator'!J:J,MATCH('Isaac 401k'!N1520,'Retirement Calculator'!A:A,0),0),0)</f>
        <v>0</v>
      </c>
      <c r="K1520" s="455">
        <f t="shared" ca="1" si="126"/>
        <v>-381585.38765724516</v>
      </c>
      <c r="L1520" s="455">
        <f t="shared" ca="1" si="127"/>
        <v>-91962078.425396085</v>
      </c>
      <c r="M1520" s="471">
        <f t="shared" si="129"/>
        <v>0.05</v>
      </c>
      <c r="N1520" s="475">
        <f t="shared" si="130"/>
        <v>97308</v>
      </c>
    </row>
    <row r="1521" spans="7:14" ht="11.25" customHeight="1" x14ac:dyDescent="0.3">
      <c r="G1521" s="470"/>
      <c r="H1521" s="470">
        <v>1514</v>
      </c>
      <c r="I1521" s="455">
        <f t="shared" ca="1" si="128"/>
        <v>-91962078.425396085</v>
      </c>
      <c r="J1521" s="455">
        <f t="array" ref="J1521">IFERROR(INDEX('Retirement Calculator'!J:J,MATCH('Isaac 401k'!N1521,'Retirement Calculator'!A:A,0),0),0)</f>
        <v>0</v>
      </c>
      <c r="K1521" s="455">
        <f t="shared" ca="1" si="126"/>
        <v>-383175.32677248371</v>
      </c>
      <c r="L1521" s="455">
        <f t="shared" ca="1" si="127"/>
        <v>-92345253.752168566</v>
      </c>
      <c r="M1521" s="471">
        <f t="shared" si="129"/>
        <v>0.05</v>
      </c>
      <c r="N1521" s="475">
        <f t="shared" si="130"/>
        <v>97338</v>
      </c>
    </row>
    <row r="1522" spans="7:14" ht="11.25" customHeight="1" x14ac:dyDescent="0.3">
      <c r="G1522" s="470"/>
      <c r="H1522" s="470">
        <v>1515</v>
      </c>
      <c r="I1522" s="455">
        <f t="shared" ca="1" si="128"/>
        <v>-92345253.752168566</v>
      </c>
      <c r="J1522" s="455">
        <f t="array" ref="J1522">IFERROR(INDEX('Retirement Calculator'!J:J,MATCH('Isaac 401k'!N1522,'Retirement Calculator'!A:A,0),0),0)</f>
        <v>0</v>
      </c>
      <c r="K1522" s="455">
        <f t="shared" ca="1" si="126"/>
        <v>-384771.89063403569</v>
      </c>
      <c r="L1522" s="455">
        <f t="shared" ca="1" si="127"/>
        <v>-92730025.642802596</v>
      </c>
      <c r="M1522" s="471">
        <f t="shared" si="129"/>
        <v>0.05</v>
      </c>
      <c r="N1522" s="475">
        <f t="shared" si="130"/>
        <v>97369</v>
      </c>
    </row>
    <row r="1523" spans="7:14" ht="11.25" customHeight="1" x14ac:dyDescent="0.3">
      <c r="G1523" s="470"/>
      <c r="H1523" s="470">
        <v>1516</v>
      </c>
      <c r="I1523" s="455">
        <f t="shared" ca="1" si="128"/>
        <v>-92730025.642802596</v>
      </c>
      <c r="J1523" s="455">
        <f t="array" ref="J1523">IFERROR(INDEX('Retirement Calculator'!J:J,MATCH('Isaac 401k'!N1523,'Retirement Calculator'!A:A,0),0),0)</f>
        <v>0</v>
      </c>
      <c r="K1523" s="455">
        <f t="shared" ca="1" si="126"/>
        <v>-386375.10684501083</v>
      </c>
      <c r="L1523" s="455">
        <f t="shared" ca="1" si="127"/>
        <v>-93116400.749647602</v>
      </c>
      <c r="M1523" s="471">
        <f t="shared" si="129"/>
        <v>0.05</v>
      </c>
      <c r="N1523" s="475">
        <f t="shared" si="130"/>
        <v>97400</v>
      </c>
    </row>
    <row r="1524" spans="7:14" ht="11.25" customHeight="1" x14ac:dyDescent="0.3">
      <c r="G1524" s="470"/>
      <c r="H1524" s="470">
        <v>1517</v>
      </c>
      <c r="I1524" s="455">
        <f t="shared" ca="1" si="128"/>
        <v>-93116400.749647602</v>
      </c>
      <c r="J1524" s="455">
        <f t="array" ref="J1524">IFERROR(INDEX('Retirement Calculator'!J:J,MATCH('Isaac 401k'!N1524,'Retirement Calculator'!A:A,0),0),0)</f>
        <v>0</v>
      </c>
      <c r="K1524" s="455">
        <f t="shared" ca="1" si="126"/>
        <v>-387985.0031235317</v>
      </c>
      <c r="L1524" s="455">
        <f t="shared" ca="1" si="127"/>
        <v>-93504385.752771139</v>
      </c>
      <c r="M1524" s="471">
        <f t="shared" si="129"/>
        <v>0.05</v>
      </c>
      <c r="N1524" s="475">
        <f t="shared" si="130"/>
        <v>97430</v>
      </c>
    </row>
    <row r="1525" spans="7:14" ht="11.25" customHeight="1" x14ac:dyDescent="0.3">
      <c r="G1525" s="470"/>
      <c r="H1525" s="470">
        <v>1518</v>
      </c>
      <c r="I1525" s="455">
        <f t="shared" ca="1" si="128"/>
        <v>-93504385.752771139</v>
      </c>
      <c r="J1525" s="455">
        <f t="array" ref="J1525">IFERROR(INDEX('Retirement Calculator'!J:J,MATCH('Isaac 401k'!N1525,'Retirement Calculator'!A:A,0),0),0)</f>
        <v>0</v>
      </c>
      <c r="K1525" s="455">
        <f t="shared" ca="1" si="126"/>
        <v>-389601.6073032131</v>
      </c>
      <c r="L1525" s="455">
        <f t="shared" ca="1" si="127"/>
        <v>-93893987.360074356</v>
      </c>
      <c r="M1525" s="471">
        <f t="shared" si="129"/>
        <v>0.05</v>
      </c>
      <c r="N1525" s="475">
        <f t="shared" si="130"/>
        <v>97461</v>
      </c>
    </row>
    <row r="1526" spans="7:14" ht="11.25" customHeight="1" x14ac:dyDescent="0.3">
      <c r="G1526" s="470"/>
      <c r="H1526" s="470">
        <v>1519</v>
      </c>
      <c r="I1526" s="455">
        <f t="shared" ca="1" si="128"/>
        <v>-93893987.360074356</v>
      </c>
      <c r="J1526" s="455">
        <f t="array" ref="J1526">IFERROR(INDEX('Retirement Calculator'!J:J,MATCH('Isaac 401k'!N1526,'Retirement Calculator'!A:A,0),0),0)</f>
        <v>0</v>
      </c>
      <c r="K1526" s="455">
        <f t="shared" ca="1" si="126"/>
        <v>-391224.94733364315</v>
      </c>
      <c r="L1526" s="455">
        <f t="shared" ca="1" si="127"/>
        <v>-94285212.307408005</v>
      </c>
      <c r="M1526" s="471">
        <f t="shared" si="129"/>
        <v>0.05</v>
      </c>
      <c r="N1526" s="475">
        <f t="shared" si="130"/>
        <v>97491</v>
      </c>
    </row>
    <row r="1527" spans="7:14" ht="11.25" customHeight="1" x14ac:dyDescent="0.3">
      <c r="G1527" s="470"/>
      <c r="H1527" s="470">
        <v>1520</v>
      </c>
      <c r="I1527" s="455">
        <f t="shared" ca="1" si="128"/>
        <v>-94285212.307408005</v>
      </c>
      <c r="J1527" s="455">
        <f t="array" ref="J1527">IFERROR(INDEX('Retirement Calculator'!J:J,MATCH('Isaac 401k'!N1527,'Retirement Calculator'!A:A,0),0),0)</f>
        <v>0</v>
      </c>
      <c r="K1527" s="455">
        <f t="shared" ca="1" si="126"/>
        <v>-392855.05128086667</v>
      </c>
      <c r="L1527" s="455">
        <f t="shared" ca="1" si="127"/>
        <v>-94678067.358688876</v>
      </c>
      <c r="M1527" s="471">
        <f t="shared" si="129"/>
        <v>0.05</v>
      </c>
      <c r="N1527" s="475">
        <f t="shared" si="130"/>
        <v>97522</v>
      </c>
    </row>
    <row r="1528" spans="7:14" ht="11.25" customHeight="1" x14ac:dyDescent="0.3">
      <c r="G1528" s="470"/>
      <c r="H1528" s="470">
        <v>1521</v>
      </c>
      <c r="I1528" s="455">
        <f t="shared" ca="1" si="128"/>
        <v>-94678067.358688876</v>
      </c>
      <c r="J1528" s="455">
        <f t="array" ref="J1528">IFERROR(INDEX('Retirement Calculator'!J:J,MATCH('Isaac 401k'!N1528,'Retirement Calculator'!A:A,0),0),0)</f>
        <v>0</v>
      </c>
      <c r="K1528" s="455">
        <f t="shared" ca="1" si="126"/>
        <v>-394491.94732787029</v>
      </c>
      <c r="L1528" s="455">
        <f t="shared" ca="1" si="127"/>
        <v>-95072559.306016743</v>
      </c>
      <c r="M1528" s="471">
        <f t="shared" si="129"/>
        <v>0.05</v>
      </c>
      <c r="N1528" s="475">
        <f t="shared" si="130"/>
        <v>97553</v>
      </c>
    </row>
    <row r="1529" spans="7:14" ht="11.25" customHeight="1" x14ac:dyDescent="0.3">
      <c r="G1529" s="470"/>
      <c r="H1529" s="470">
        <v>1522</v>
      </c>
      <c r="I1529" s="455">
        <f t="shared" ca="1" si="128"/>
        <v>-95072559.306016743</v>
      </c>
      <c r="J1529" s="455">
        <f t="array" ref="J1529">IFERROR(INDEX('Retirement Calculator'!J:J,MATCH('Isaac 401k'!N1529,'Retirement Calculator'!A:A,0),0),0)</f>
        <v>0</v>
      </c>
      <c r="K1529" s="455">
        <f t="shared" ca="1" si="126"/>
        <v>-396135.66377506976</v>
      </c>
      <c r="L1529" s="455">
        <f t="shared" ca="1" si="127"/>
        <v>-95468694.969791815</v>
      </c>
      <c r="M1529" s="471">
        <f t="shared" si="129"/>
        <v>0.05</v>
      </c>
      <c r="N1529" s="475">
        <f t="shared" si="130"/>
        <v>97581</v>
      </c>
    </row>
    <row r="1530" spans="7:14" ht="11.25" customHeight="1" x14ac:dyDescent="0.3">
      <c r="G1530" s="470"/>
      <c r="H1530" s="470">
        <v>1523</v>
      </c>
      <c r="I1530" s="455">
        <f t="shared" ca="1" si="128"/>
        <v>-95468694.969791815</v>
      </c>
      <c r="J1530" s="455">
        <f t="array" ref="J1530">IFERROR(INDEX('Retirement Calculator'!J:J,MATCH('Isaac 401k'!N1530,'Retirement Calculator'!A:A,0),0),0)</f>
        <v>0</v>
      </c>
      <c r="K1530" s="455">
        <f t="shared" ca="1" si="126"/>
        <v>-397786.2290407992</v>
      </c>
      <c r="L1530" s="455">
        <f t="shared" ca="1" si="127"/>
        <v>-95866481.198832616</v>
      </c>
      <c r="M1530" s="471">
        <f t="shared" si="129"/>
        <v>0.05</v>
      </c>
      <c r="N1530" s="475">
        <f t="shared" si="130"/>
        <v>97612</v>
      </c>
    </row>
    <row r="1531" spans="7:14" ht="11.25" customHeight="1" x14ac:dyDescent="0.3">
      <c r="G1531" s="470"/>
      <c r="H1531" s="470">
        <v>1524</v>
      </c>
      <c r="I1531" s="455">
        <f t="shared" ca="1" si="128"/>
        <v>-95866481.198832616</v>
      </c>
      <c r="J1531" s="455">
        <f t="array" ref="J1531">IFERROR(INDEX('Retirement Calculator'!J:J,MATCH('Isaac 401k'!N1531,'Retirement Calculator'!A:A,0),0),0)</f>
        <v>0</v>
      </c>
      <c r="K1531" s="455">
        <f t="shared" ca="1" si="126"/>
        <v>-399443.67166180257</v>
      </c>
      <c r="L1531" s="455">
        <f t="shared" ca="1" si="127"/>
        <v>-96265924.870494425</v>
      </c>
      <c r="M1531" s="471">
        <f t="shared" si="129"/>
        <v>0.05</v>
      </c>
      <c r="N1531" s="475">
        <f t="shared" si="130"/>
        <v>97642</v>
      </c>
    </row>
    <row r="1532" spans="7:14" ht="11.25" customHeight="1" x14ac:dyDescent="0.3">
      <c r="G1532" s="470"/>
      <c r="H1532" s="470">
        <v>1525</v>
      </c>
      <c r="I1532" s="455">
        <f t="shared" ca="1" si="128"/>
        <v>-96265924.870494425</v>
      </c>
      <c r="J1532" s="455">
        <f t="array" ref="J1532">IFERROR(INDEX('Retirement Calculator'!J:J,MATCH('Isaac 401k'!N1532,'Retirement Calculator'!A:A,0),0),0)</f>
        <v>0</v>
      </c>
      <c r="K1532" s="455">
        <f t="shared" ca="1" si="126"/>
        <v>-401108.02029372676</v>
      </c>
      <c r="L1532" s="455">
        <f t="shared" ca="1" si="127"/>
        <v>-96667032.890788153</v>
      </c>
      <c r="M1532" s="471">
        <f t="shared" si="129"/>
        <v>0.05</v>
      </c>
      <c r="N1532" s="475">
        <f t="shared" si="130"/>
        <v>97673</v>
      </c>
    </row>
    <row r="1533" spans="7:14" ht="11.25" customHeight="1" x14ac:dyDescent="0.3">
      <c r="G1533" s="470"/>
      <c r="H1533" s="470">
        <v>1526</v>
      </c>
      <c r="I1533" s="455">
        <f t="shared" ca="1" si="128"/>
        <v>-96667032.890788153</v>
      </c>
      <c r="J1533" s="455">
        <f t="array" ref="J1533">IFERROR(INDEX('Retirement Calculator'!J:J,MATCH('Isaac 401k'!N1533,'Retirement Calculator'!A:A,0),0),0)</f>
        <v>0</v>
      </c>
      <c r="K1533" s="455">
        <f t="shared" ca="1" si="126"/>
        <v>-402779.30371161731</v>
      </c>
      <c r="L1533" s="455">
        <f t="shared" ca="1" si="127"/>
        <v>-97069812.194499776</v>
      </c>
      <c r="M1533" s="471">
        <f t="shared" si="129"/>
        <v>0.05</v>
      </c>
      <c r="N1533" s="475">
        <f t="shared" si="130"/>
        <v>97703</v>
      </c>
    </row>
    <row r="1534" spans="7:14" ht="11.25" customHeight="1" x14ac:dyDescent="0.3">
      <c r="G1534" s="470"/>
      <c r="H1534" s="470">
        <v>1527</v>
      </c>
      <c r="I1534" s="455">
        <f t="shared" ca="1" si="128"/>
        <v>-97069812.194499776</v>
      </c>
      <c r="J1534" s="455">
        <f t="array" ref="J1534">IFERROR(INDEX('Retirement Calculator'!J:J,MATCH('Isaac 401k'!N1534,'Retirement Calculator'!A:A,0),0),0)</f>
        <v>0</v>
      </c>
      <c r="K1534" s="455">
        <f t="shared" ca="1" si="126"/>
        <v>-404457.55081041571</v>
      </c>
      <c r="L1534" s="455">
        <f t="shared" ca="1" si="127"/>
        <v>-97474269.745310187</v>
      </c>
      <c r="M1534" s="471">
        <f t="shared" si="129"/>
        <v>0.05</v>
      </c>
      <c r="N1534" s="475">
        <f t="shared" si="130"/>
        <v>97734</v>
      </c>
    </row>
    <row r="1535" spans="7:14" ht="11.25" customHeight="1" x14ac:dyDescent="0.3">
      <c r="G1535" s="470"/>
      <c r="H1535" s="470">
        <v>1528</v>
      </c>
      <c r="I1535" s="455">
        <f t="shared" ca="1" si="128"/>
        <v>-97474269.745310187</v>
      </c>
      <c r="J1535" s="455">
        <f t="array" ref="J1535">IFERROR(INDEX('Retirement Calculator'!J:J,MATCH('Isaac 401k'!N1535,'Retirement Calculator'!A:A,0),0),0)</f>
        <v>0</v>
      </c>
      <c r="K1535" s="455">
        <f t="shared" ca="1" si="126"/>
        <v>-406142.79060545913</v>
      </c>
      <c r="L1535" s="455">
        <f t="shared" ca="1" si="127"/>
        <v>-97880412.535915643</v>
      </c>
      <c r="M1535" s="471">
        <f t="shared" si="129"/>
        <v>0.05</v>
      </c>
      <c r="N1535" s="475">
        <f t="shared" si="130"/>
        <v>97765</v>
      </c>
    </row>
    <row r="1536" spans="7:14" ht="11.25" customHeight="1" x14ac:dyDescent="0.3">
      <c r="G1536" s="470"/>
      <c r="H1536" s="470">
        <v>1529</v>
      </c>
      <c r="I1536" s="455">
        <f t="shared" ca="1" si="128"/>
        <v>-97880412.535915643</v>
      </c>
      <c r="J1536" s="455">
        <f t="array" ref="J1536">IFERROR(INDEX('Retirement Calculator'!J:J,MATCH('Isaac 401k'!N1536,'Retirement Calculator'!A:A,0),0),0)</f>
        <v>0</v>
      </c>
      <c r="K1536" s="455">
        <f t="shared" ca="1" si="126"/>
        <v>-407835.05223298183</v>
      </c>
      <c r="L1536" s="455">
        <f t="shared" ca="1" si="127"/>
        <v>-98288247.588148624</v>
      </c>
      <c r="M1536" s="471">
        <f t="shared" si="129"/>
        <v>0.05</v>
      </c>
      <c r="N1536" s="475">
        <f t="shared" si="130"/>
        <v>97795</v>
      </c>
    </row>
    <row r="1537" spans="7:14" ht="11.25" customHeight="1" x14ac:dyDescent="0.3">
      <c r="G1537" s="470"/>
      <c r="H1537" s="470">
        <v>1530</v>
      </c>
      <c r="I1537" s="455">
        <f t="shared" ca="1" si="128"/>
        <v>-98288247.588148624</v>
      </c>
      <c r="J1537" s="455">
        <f t="array" ref="J1537">IFERROR(INDEX('Retirement Calculator'!J:J,MATCH('Isaac 401k'!N1537,'Retirement Calculator'!A:A,0),0),0)</f>
        <v>0</v>
      </c>
      <c r="K1537" s="455">
        <f t="shared" ca="1" si="126"/>
        <v>-409534.36495061929</v>
      </c>
      <c r="L1537" s="455">
        <f t="shared" ca="1" si="127"/>
        <v>-98697781.953099236</v>
      </c>
      <c r="M1537" s="471">
        <f t="shared" si="129"/>
        <v>0.05</v>
      </c>
      <c r="N1537" s="475">
        <f t="shared" si="130"/>
        <v>97826</v>
      </c>
    </row>
    <row r="1538" spans="7:14" ht="11.25" customHeight="1" x14ac:dyDescent="0.3">
      <c r="G1538" s="470"/>
      <c r="H1538" s="470">
        <v>1531</v>
      </c>
      <c r="I1538" s="455">
        <f t="shared" ca="1" si="128"/>
        <v>-98697781.953099236</v>
      </c>
      <c r="J1538" s="455">
        <f t="array" ref="J1538">IFERROR(INDEX('Retirement Calculator'!J:J,MATCH('Isaac 401k'!N1538,'Retirement Calculator'!A:A,0),0),0)</f>
        <v>0</v>
      </c>
      <c r="K1538" s="455">
        <f t="shared" ref="K1538:K1792" ca="1" si="131">IPMT(M1538/12,1,12,-I1538+J1538,,0)</f>
        <v>-411240.75813791348</v>
      </c>
      <c r="L1538" s="455">
        <f t="shared" ref="L1538:L1792" ca="1" si="132">I1538-J1538+K1538</f>
        <v>-99109022.711237147</v>
      </c>
      <c r="M1538" s="471">
        <f t="shared" si="129"/>
        <v>0.05</v>
      </c>
      <c r="N1538" s="475">
        <f t="shared" si="130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33">L1538</f>
        <v>-99109022.711237147</v>
      </c>
      <c r="J1539" s="455">
        <f t="array" ref="J1539">IFERROR(INDEX('Retirement Calculator'!J:J,MATCH('Isaac 401k'!N1539,'Retirement Calculator'!A:A,0),0),0)</f>
        <v>0</v>
      </c>
      <c r="K1539" s="455">
        <f t="shared" ca="1" si="131"/>
        <v>-412954.26129682147</v>
      </c>
      <c r="L1539" s="455">
        <f t="shared" ca="1" si="132"/>
        <v>-99521976.972533971</v>
      </c>
      <c r="M1539" s="471">
        <f t="shared" ref="M1539:M1793" si="134">M1538</f>
        <v>0.05</v>
      </c>
      <c r="N1539" s="475">
        <f t="shared" ref="N1539:N1793" si="135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33"/>
        <v>-99521976.972533971</v>
      </c>
      <c r="J1540" s="455">
        <f t="array" ref="J1540">IFERROR(INDEX('Retirement Calculator'!J:J,MATCH('Isaac 401k'!N1540,'Retirement Calculator'!A:A,0),0),0)</f>
        <v>0</v>
      </c>
      <c r="K1540" s="455">
        <f t="shared" ca="1" si="131"/>
        <v>-414674.90405222488</v>
      </c>
      <c r="L1540" s="455">
        <f t="shared" ca="1" si="132"/>
        <v>-99936651.876586199</v>
      </c>
      <c r="M1540" s="471">
        <f t="shared" si="134"/>
        <v>0.05</v>
      </c>
      <c r="N1540" s="475">
        <f t="shared" si="135"/>
        <v>97918</v>
      </c>
    </row>
    <row r="1541" spans="7:14" ht="11.25" customHeight="1" x14ac:dyDescent="0.3">
      <c r="G1541" s="470"/>
      <c r="H1541" s="470">
        <v>1534</v>
      </c>
      <c r="I1541" s="455">
        <f t="shared" ca="1" si="133"/>
        <v>-99936651.876586199</v>
      </c>
      <c r="J1541" s="455">
        <f t="array" ref="J1541">IFERROR(INDEX('Retirement Calculator'!J:J,MATCH('Isaac 401k'!N1541,'Retirement Calculator'!A:A,0),0),0)</f>
        <v>0</v>
      </c>
      <c r="K1541" s="455">
        <f t="shared" ca="1" si="131"/>
        <v>-416402.7161524425</v>
      </c>
      <c r="L1541" s="455">
        <f t="shared" ca="1" si="132"/>
        <v>-100353054.59273864</v>
      </c>
      <c r="M1541" s="471">
        <f t="shared" si="134"/>
        <v>0.05</v>
      </c>
      <c r="N1541" s="475">
        <f t="shared" si="135"/>
        <v>97947</v>
      </c>
    </row>
    <row r="1542" spans="7:14" ht="11.25" customHeight="1" x14ac:dyDescent="0.3">
      <c r="G1542" s="470"/>
      <c r="H1542" s="470">
        <v>1535</v>
      </c>
      <c r="I1542" s="455">
        <f t="shared" ca="1" si="133"/>
        <v>-100353054.59273864</v>
      </c>
      <c r="J1542" s="455">
        <f t="array" ref="J1542">IFERROR(INDEX('Retirement Calculator'!J:J,MATCH('Isaac 401k'!N1542,'Retirement Calculator'!A:A,0),0),0)</f>
        <v>0</v>
      </c>
      <c r="K1542" s="455">
        <f t="shared" ca="1" si="131"/>
        <v>-418137.72746974434</v>
      </c>
      <c r="L1542" s="455">
        <f t="shared" ca="1" si="132"/>
        <v>-100771192.32020839</v>
      </c>
      <c r="M1542" s="471">
        <f t="shared" si="134"/>
        <v>0.05</v>
      </c>
      <c r="N1542" s="475">
        <f t="shared" si="135"/>
        <v>97978</v>
      </c>
    </row>
    <row r="1543" spans="7:14" ht="11.25" customHeight="1" x14ac:dyDescent="0.3">
      <c r="G1543" s="470"/>
      <c r="H1543" s="470">
        <v>1536</v>
      </c>
      <c r="I1543" s="455">
        <f t="shared" ca="1" si="133"/>
        <v>-100771192.32020839</v>
      </c>
      <c r="J1543" s="455">
        <f t="array" ref="J1543">IFERROR(INDEX('Retirement Calculator'!J:J,MATCH('Isaac 401k'!N1543,'Retirement Calculator'!A:A,0),0),0)</f>
        <v>0</v>
      </c>
      <c r="K1543" s="455">
        <f t="shared" ca="1" si="131"/>
        <v>-419879.96800086828</v>
      </c>
      <c r="L1543" s="455">
        <f t="shared" ca="1" si="132"/>
        <v>-101191072.28820926</v>
      </c>
      <c r="M1543" s="471">
        <f t="shared" si="134"/>
        <v>0.05</v>
      </c>
      <c r="N1543" s="475">
        <f t="shared" si="135"/>
        <v>98008</v>
      </c>
    </row>
    <row r="1544" spans="7:14" ht="11.25" customHeight="1" x14ac:dyDescent="0.3">
      <c r="G1544" s="470"/>
      <c r="H1544" s="470">
        <v>1537</v>
      </c>
      <c r="I1544" s="455">
        <f t="shared" ca="1" si="133"/>
        <v>-101191072.28820926</v>
      </c>
      <c r="J1544" s="455">
        <f t="array" ref="J1544">IFERROR(INDEX('Retirement Calculator'!J:J,MATCH('Isaac 401k'!N1544,'Retirement Calculator'!A:A,0),0),0)</f>
        <v>0</v>
      </c>
      <c r="K1544" s="455">
        <f t="shared" ca="1" si="131"/>
        <v>-421629.46786753857</v>
      </c>
      <c r="L1544" s="455">
        <f t="shared" ca="1" si="132"/>
        <v>-101612701.7560768</v>
      </c>
      <c r="M1544" s="471">
        <f t="shared" si="134"/>
        <v>0.05</v>
      </c>
      <c r="N1544" s="475">
        <f t="shared" si="135"/>
        <v>98039</v>
      </c>
    </row>
    <row r="1545" spans="7:14" ht="11.25" customHeight="1" x14ac:dyDescent="0.3">
      <c r="G1545" s="470"/>
      <c r="H1545" s="470">
        <v>1538</v>
      </c>
      <c r="I1545" s="455">
        <f t="shared" ca="1" si="133"/>
        <v>-101612701.7560768</v>
      </c>
      <c r="J1545" s="455">
        <f t="array" ref="J1545">IFERROR(INDEX('Retirement Calculator'!J:J,MATCH('Isaac 401k'!N1545,'Retirement Calculator'!A:A,0),0),0)</f>
        <v>0</v>
      </c>
      <c r="K1545" s="455">
        <f t="shared" ca="1" si="131"/>
        <v>-423386.25731698662</v>
      </c>
      <c r="L1545" s="455">
        <f t="shared" ca="1" si="132"/>
        <v>-102036088.01339379</v>
      </c>
      <c r="M1545" s="471">
        <f t="shared" si="134"/>
        <v>0.05</v>
      </c>
      <c r="N1545" s="475">
        <f t="shared" si="135"/>
        <v>98069</v>
      </c>
    </row>
    <row r="1546" spans="7:14" ht="11.25" customHeight="1" x14ac:dyDescent="0.3">
      <c r="G1546" s="470"/>
      <c r="H1546" s="470">
        <v>1539</v>
      </c>
      <c r="I1546" s="455">
        <f t="shared" ca="1" si="133"/>
        <v>-102036088.01339379</v>
      </c>
      <c r="J1546" s="455">
        <f t="array" ref="J1546">IFERROR(INDEX('Retirement Calculator'!J:J,MATCH('Isaac 401k'!N1546,'Retirement Calculator'!A:A,0),0),0)</f>
        <v>0</v>
      </c>
      <c r="K1546" s="455">
        <f t="shared" ca="1" si="131"/>
        <v>-425150.36672247411</v>
      </c>
      <c r="L1546" s="455">
        <f t="shared" ca="1" si="132"/>
        <v>-102461238.38011627</v>
      </c>
      <c r="M1546" s="471">
        <f t="shared" si="134"/>
        <v>0.05</v>
      </c>
      <c r="N1546" s="475">
        <f t="shared" si="135"/>
        <v>98100</v>
      </c>
    </row>
    <row r="1547" spans="7:14" ht="11.25" customHeight="1" x14ac:dyDescent="0.3">
      <c r="G1547" s="470"/>
      <c r="H1547" s="470">
        <v>1540</v>
      </c>
      <c r="I1547" s="455">
        <f t="shared" ca="1" si="133"/>
        <v>-102461238.38011627</v>
      </c>
      <c r="J1547" s="455">
        <f t="array" ref="J1547">IFERROR(INDEX('Retirement Calculator'!J:J,MATCH('Isaac 401k'!N1547,'Retirement Calculator'!A:A,0),0),0)</f>
        <v>0</v>
      </c>
      <c r="K1547" s="455">
        <f t="shared" ca="1" si="131"/>
        <v>-426921.82658381778</v>
      </c>
      <c r="L1547" s="455">
        <f t="shared" ca="1" si="132"/>
        <v>-102888160.20670009</v>
      </c>
      <c r="M1547" s="471">
        <f t="shared" si="134"/>
        <v>0.05</v>
      </c>
      <c r="N1547" s="475">
        <f t="shared" si="135"/>
        <v>98131</v>
      </c>
    </row>
    <row r="1548" spans="7:14" ht="11.25" customHeight="1" x14ac:dyDescent="0.3">
      <c r="G1548" s="470"/>
      <c r="H1548" s="470">
        <v>1541</v>
      </c>
      <c r="I1548" s="455">
        <f t="shared" ca="1" si="133"/>
        <v>-102888160.20670009</v>
      </c>
      <c r="J1548" s="455">
        <f t="array" ref="J1548">IFERROR(INDEX('Retirement Calculator'!J:J,MATCH('Isaac 401k'!N1548,'Retirement Calculator'!A:A,0),0),0)</f>
        <v>0</v>
      </c>
      <c r="K1548" s="455">
        <f t="shared" ca="1" si="131"/>
        <v>-428700.66752791702</v>
      </c>
      <c r="L1548" s="455">
        <f t="shared" ca="1" si="132"/>
        <v>-103316860.874228</v>
      </c>
      <c r="M1548" s="471">
        <f t="shared" si="134"/>
        <v>0.05</v>
      </c>
      <c r="N1548" s="475">
        <f t="shared" si="135"/>
        <v>98161</v>
      </c>
    </row>
    <row r="1549" spans="7:14" ht="11.25" customHeight="1" x14ac:dyDescent="0.3">
      <c r="G1549" s="470"/>
      <c r="H1549" s="470">
        <v>1542</v>
      </c>
      <c r="I1549" s="455">
        <f t="shared" ca="1" si="133"/>
        <v>-103316860.874228</v>
      </c>
      <c r="J1549" s="455">
        <f t="array" ref="J1549">IFERROR(INDEX('Retirement Calculator'!J:J,MATCH('Isaac 401k'!N1549,'Retirement Calculator'!A:A,0),0),0)</f>
        <v>0</v>
      </c>
      <c r="K1549" s="455">
        <f t="shared" ca="1" si="131"/>
        <v>-430486.9203092833</v>
      </c>
      <c r="L1549" s="455">
        <f t="shared" ca="1" si="132"/>
        <v>-103747347.79453729</v>
      </c>
      <c r="M1549" s="471">
        <f t="shared" si="134"/>
        <v>0.05</v>
      </c>
      <c r="N1549" s="475">
        <f t="shared" si="135"/>
        <v>98192</v>
      </c>
    </row>
    <row r="1550" spans="7:14" ht="11.25" customHeight="1" x14ac:dyDescent="0.3">
      <c r="G1550" s="470"/>
      <c r="H1550" s="470">
        <v>1543</v>
      </c>
      <c r="I1550" s="455">
        <f t="shared" ca="1" si="133"/>
        <v>-103747347.79453729</v>
      </c>
      <c r="J1550" s="455">
        <f t="array" ref="J1550">IFERROR(INDEX('Retirement Calculator'!J:J,MATCH('Isaac 401k'!N1550,'Retirement Calculator'!A:A,0),0),0)</f>
        <v>0</v>
      </c>
      <c r="K1550" s="455">
        <f t="shared" ca="1" si="131"/>
        <v>-432280.61581057205</v>
      </c>
      <c r="L1550" s="455">
        <f t="shared" ca="1" si="132"/>
        <v>-104179628.41034786</v>
      </c>
      <c r="M1550" s="471">
        <f t="shared" si="134"/>
        <v>0.05</v>
      </c>
      <c r="N1550" s="475">
        <f t="shared" si="135"/>
        <v>98222</v>
      </c>
    </row>
    <row r="1551" spans="7:14" ht="11.25" customHeight="1" x14ac:dyDescent="0.3">
      <c r="G1551" s="470"/>
      <c r="H1551" s="470">
        <v>1544</v>
      </c>
      <c r="I1551" s="455">
        <f t="shared" ca="1" si="133"/>
        <v>-104179628.41034786</v>
      </c>
      <c r="J1551" s="455">
        <f t="array" ref="J1551">IFERROR(INDEX('Retirement Calculator'!J:J,MATCH('Isaac 401k'!N1551,'Retirement Calculator'!A:A,0),0),0)</f>
        <v>0</v>
      </c>
      <c r="K1551" s="455">
        <f t="shared" ca="1" si="131"/>
        <v>-434081.78504311608</v>
      </c>
      <c r="L1551" s="455">
        <f t="shared" ca="1" si="132"/>
        <v>-104613710.19539098</v>
      </c>
      <c r="M1551" s="471">
        <f t="shared" si="134"/>
        <v>0.05</v>
      </c>
      <c r="N1551" s="475">
        <f t="shared" si="135"/>
        <v>98253</v>
      </c>
    </row>
    <row r="1552" spans="7:14" ht="11.25" customHeight="1" x14ac:dyDescent="0.3">
      <c r="G1552" s="470"/>
      <c r="H1552" s="470">
        <v>1545</v>
      </c>
      <c r="I1552" s="455">
        <f t="shared" ca="1" si="133"/>
        <v>-104613710.19539098</v>
      </c>
      <c r="J1552" s="455">
        <f t="array" ref="J1552">IFERROR(INDEX('Retirement Calculator'!J:J,MATCH('Isaac 401k'!N1552,'Retirement Calculator'!A:A,0),0),0)</f>
        <v>0</v>
      </c>
      <c r="K1552" s="455">
        <f t="shared" ca="1" si="131"/>
        <v>-435890.45914746245</v>
      </c>
      <c r="L1552" s="455">
        <f t="shared" ca="1" si="132"/>
        <v>-105049600.65453845</v>
      </c>
      <c r="M1552" s="471">
        <f t="shared" si="134"/>
        <v>0.05</v>
      </c>
      <c r="N1552" s="475">
        <f t="shared" si="135"/>
        <v>98284</v>
      </c>
    </row>
    <row r="1553" spans="7:14" ht="11.25" customHeight="1" x14ac:dyDescent="0.3">
      <c r="G1553" s="470"/>
      <c r="H1553" s="470">
        <v>1546</v>
      </c>
      <c r="I1553" s="455">
        <f t="shared" ca="1" si="133"/>
        <v>-105049600.65453845</v>
      </c>
      <c r="J1553" s="455">
        <f t="array" ref="J1553">IFERROR(INDEX('Retirement Calculator'!J:J,MATCH('Isaac 401k'!N1553,'Retirement Calculator'!A:A,0),0),0)</f>
        <v>0</v>
      </c>
      <c r="K1553" s="455">
        <f t="shared" ca="1" si="131"/>
        <v>-437706.66939391015</v>
      </c>
      <c r="L1553" s="455">
        <f t="shared" ca="1" si="132"/>
        <v>-105487307.32393236</v>
      </c>
      <c r="M1553" s="471">
        <f t="shared" si="134"/>
        <v>0.05</v>
      </c>
      <c r="N1553" s="475">
        <f t="shared" si="135"/>
        <v>98312</v>
      </c>
    </row>
    <row r="1554" spans="7:14" ht="11.25" customHeight="1" x14ac:dyDescent="0.3">
      <c r="G1554" s="470"/>
      <c r="H1554" s="470">
        <v>1547</v>
      </c>
      <c r="I1554" s="455">
        <f t="shared" ca="1" si="133"/>
        <v>-105487307.32393236</v>
      </c>
      <c r="J1554" s="455">
        <f t="array" ref="J1554">IFERROR(INDEX('Retirement Calculator'!J:J,MATCH('Isaac 401k'!N1554,'Retirement Calculator'!A:A,0),0),0)</f>
        <v>0</v>
      </c>
      <c r="K1554" s="455">
        <f t="shared" ca="1" si="131"/>
        <v>-439530.4471830515</v>
      </c>
      <c r="L1554" s="455">
        <f t="shared" ca="1" si="132"/>
        <v>-105926837.77111542</v>
      </c>
      <c r="M1554" s="471">
        <f t="shared" si="134"/>
        <v>0.05</v>
      </c>
      <c r="N1554" s="475">
        <f t="shared" si="135"/>
        <v>98343</v>
      </c>
    </row>
    <row r="1555" spans="7:14" ht="11.25" customHeight="1" x14ac:dyDescent="0.3">
      <c r="G1555" s="470"/>
      <c r="H1555" s="470">
        <v>1548</v>
      </c>
      <c r="I1555" s="455">
        <f t="shared" ca="1" si="133"/>
        <v>-105926837.77111542</v>
      </c>
      <c r="J1555" s="455">
        <f t="array" ref="J1555">IFERROR(INDEX('Retirement Calculator'!J:J,MATCH('Isaac 401k'!N1555,'Retirement Calculator'!A:A,0),0),0)</f>
        <v>0</v>
      </c>
      <c r="K1555" s="455">
        <f t="shared" ca="1" si="131"/>
        <v>-441361.82404631417</v>
      </c>
      <c r="L1555" s="455">
        <f t="shared" ca="1" si="132"/>
        <v>-106368199.59516174</v>
      </c>
      <c r="M1555" s="471">
        <f t="shared" si="134"/>
        <v>0.05</v>
      </c>
      <c r="N1555" s="475">
        <f t="shared" si="135"/>
        <v>98373</v>
      </c>
    </row>
    <row r="1556" spans="7:14" ht="11.25" customHeight="1" x14ac:dyDescent="0.3">
      <c r="G1556" s="470"/>
      <c r="H1556" s="470">
        <v>1549</v>
      </c>
      <c r="I1556" s="455">
        <f t="shared" ca="1" si="133"/>
        <v>-106368199.59516174</v>
      </c>
      <c r="J1556" s="455">
        <f t="array" ref="J1556">IFERROR(INDEX('Retirement Calculator'!J:J,MATCH('Isaac 401k'!N1556,'Retirement Calculator'!A:A,0),0),0)</f>
        <v>0</v>
      </c>
      <c r="K1556" s="455">
        <f t="shared" ca="1" si="131"/>
        <v>-443200.83164650731</v>
      </c>
      <c r="L1556" s="455">
        <f t="shared" ca="1" si="132"/>
        <v>-106811400.42680824</v>
      </c>
      <c r="M1556" s="471">
        <f t="shared" si="134"/>
        <v>0.05</v>
      </c>
      <c r="N1556" s="475">
        <f t="shared" si="135"/>
        <v>98404</v>
      </c>
    </row>
    <row r="1557" spans="7:14" ht="11.25" customHeight="1" x14ac:dyDescent="0.3">
      <c r="G1557" s="470"/>
      <c r="H1557" s="470">
        <v>1550</v>
      </c>
      <c r="I1557" s="455">
        <f t="shared" ca="1" si="133"/>
        <v>-106811400.42680824</v>
      </c>
      <c r="J1557" s="455">
        <f t="array" ref="J1557">IFERROR(INDEX('Retirement Calculator'!J:J,MATCH('Isaac 401k'!N1557,'Retirement Calculator'!A:A,0),0),0)</f>
        <v>0</v>
      </c>
      <c r="K1557" s="455">
        <f t="shared" ca="1" si="131"/>
        <v>-445047.50177836767</v>
      </c>
      <c r="L1557" s="455">
        <f t="shared" ca="1" si="132"/>
        <v>-107256447.9285866</v>
      </c>
      <c r="M1557" s="471">
        <f t="shared" si="134"/>
        <v>0.05</v>
      </c>
      <c r="N1557" s="475">
        <f t="shared" si="135"/>
        <v>98434</v>
      </c>
    </row>
    <row r="1558" spans="7:14" ht="11.25" customHeight="1" x14ac:dyDescent="0.3">
      <c r="G1558" s="470"/>
      <c r="H1558" s="470">
        <v>1551</v>
      </c>
      <c r="I1558" s="455">
        <f t="shared" ca="1" si="133"/>
        <v>-107256447.9285866</v>
      </c>
      <c r="J1558" s="455">
        <f t="array" ref="J1558">IFERROR(INDEX('Retirement Calculator'!J:J,MATCH('Isaac 401k'!N1558,'Retirement Calculator'!A:A,0),0),0)</f>
        <v>0</v>
      </c>
      <c r="K1558" s="455">
        <f t="shared" ca="1" si="131"/>
        <v>-446901.86636911076</v>
      </c>
      <c r="L1558" s="455">
        <f t="shared" ca="1" si="132"/>
        <v>-107703349.79495572</v>
      </c>
      <c r="M1558" s="471">
        <f t="shared" si="134"/>
        <v>0.05</v>
      </c>
      <c r="N1558" s="475">
        <f t="shared" si="135"/>
        <v>98465</v>
      </c>
    </row>
    <row r="1559" spans="7:14" ht="11.25" customHeight="1" x14ac:dyDescent="0.3">
      <c r="G1559" s="470"/>
      <c r="H1559" s="470">
        <v>1552</v>
      </c>
      <c r="I1559" s="455">
        <f t="shared" ca="1" si="133"/>
        <v>-107703349.79495572</v>
      </c>
      <c r="J1559" s="455">
        <f t="array" ref="J1559">IFERROR(INDEX('Retirement Calculator'!J:J,MATCH('Isaac 401k'!N1559,'Retirement Calculator'!A:A,0),0),0)</f>
        <v>0</v>
      </c>
      <c r="K1559" s="455">
        <f t="shared" ca="1" si="131"/>
        <v>-448763.95747898211</v>
      </c>
      <c r="L1559" s="455">
        <f t="shared" ca="1" si="132"/>
        <v>-108152113.7524347</v>
      </c>
      <c r="M1559" s="471">
        <f t="shared" si="134"/>
        <v>0.05</v>
      </c>
      <c r="N1559" s="475">
        <f t="shared" si="135"/>
        <v>98496</v>
      </c>
    </row>
    <row r="1560" spans="7:14" ht="11.25" customHeight="1" x14ac:dyDescent="0.3">
      <c r="G1560" s="470"/>
      <c r="H1560" s="470">
        <v>1553</v>
      </c>
      <c r="I1560" s="455">
        <f t="shared" ca="1" si="133"/>
        <v>-108152113.7524347</v>
      </c>
      <c r="J1560" s="455">
        <f t="array" ref="J1560">IFERROR(INDEX('Retirement Calculator'!J:J,MATCH('Isaac 401k'!N1560,'Retirement Calculator'!A:A,0),0),0)</f>
        <v>0</v>
      </c>
      <c r="K1560" s="455">
        <f t="shared" ca="1" si="131"/>
        <v>-450633.80730181123</v>
      </c>
      <c r="L1560" s="455">
        <f t="shared" ca="1" si="132"/>
        <v>-108602747.55973651</v>
      </c>
      <c r="M1560" s="471">
        <f t="shared" si="134"/>
        <v>0.05</v>
      </c>
      <c r="N1560" s="475">
        <f t="shared" si="135"/>
        <v>98526</v>
      </c>
    </row>
    <row r="1561" spans="7:14" ht="11.25" customHeight="1" x14ac:dyDescent="0.3">
      <c r="G1561" s="470"/>
      <c r="H1561" s="470">
        <v>1554</v>
      </c>
      <c r="I1561" s="455">
        <f t="shared" ca="1" si="133"/>
        <v>-108602747.55973651</v>
      </c>
      <c r="J1561" s="455">
        <f t="array" ref="J1561">IFERROR(INDEX('Retirement Calculator'!J:J,MATCH('Isaac 401k'!N1561,'Retirement Calculator'!A:A,0),0),0)</f>
        <v>0</v>
      </c>
      <c r="K1561" s="455">
        <f t="shared" ca="1" si="131"/>
        <v>-452511.44816556876</v>
      </c>
      <c r="L1561" s="455">
        <f t="shared" ca="1" si="132"/>
        <v>-109055259.00790207</v>
      </c>
      <c r="M1561" s="471">
        <f t="shared" si="134"/>
        <v>0.05</v>
      </c>
      <c r="N1561" s="475">
        <f t="shared" si="135"/>
        <v>98557</v>
      </c>
    </row>
    <row r="1562" spans="7:14" ht="11.25" customHeight="1" x14ac:dyDescent="0.3">
      <c r="G1562" s="470"/>
      <c r="H1562" s="470">
        <v>1555</v>
      </c>
      <c r="I1562" s="455">
        <f t="shared" ca="1" si="133"/>
        <v>-109055259.00790207</v>
      </c>
      <c r="J1562" s="455">
        <f t="array" ref="J1562">IFERROR(INDEX('Retirement Calculator'!J:J,MATCH('Isaac 401k'!N1562,'Retirement Calculator'!A:A,0),0),0)</f>
        <v>0</v>
      </c>
      <c r="K1562" s="455">
        <f t="shared" ca="1" si="131"/>
        <v>-454396.91253292537</v>
      </c>
      <c r="L1562" s="455">
        <f t="shared" ca="1" si="132"/>
        <v>-109509655.920435</v>
      </c>
      <c r="M1562" s="471">
        <f t="shared" si="134"/>
        <v>0.05</v>
      </c>
      <c r="N1562" s="475">
        <f t="shared" si="135"/>
        <v>98587</v>
      </c>
    </row>
    <row r="1563" spans="7:14" ht="11.25" customHeight="1" x14ac:dyDescent="0.3">
      <c r="G1563" s="470"/>
      <c r="H1563" s="470">
        <v>1556</v>
      </c>
      <c r="I1563" s="455">
        <f t="shared" ca="1" si="133"/>
        <v>-109509655.920435</v>
      </c>
      <c r="J1563" s="455">
        <f t="array" ref="J1563">IFERROR(INDEX('Retirement Calculator'!J:J,MATCH('Isaac 401k'!N1563,'Retirement Calculator'!A:A,0),0),0)</f>
        <v>0</v>
      </c>
      <c r="K1563" s="455">
        <f t="shared" ca="1" si="131"/>
        <v>-456290.23300181248</v>
      </c>
      <c r="L1563" s="455">
        <f t="shared" ca="1" si="132"/>
        <v>-109965946.15343681</v>
      </c>
      <c r="M1563" s="471">
        <f t="shared" si="134"/>
        <v>0.05</v>
      </c>
      <c r="N1563" s="475">
        <f t="shared" si="135"/>
        <v>98618</v>
      </c>
    </row>
    <row r="1564" spans="7:14" ht="11.25" customHeight="1" x14ac:dyDescent="0.3">
      <c r="G1564" s="470"/>
      <c r="H1564" s="470">
        <v>1557</v>
      </c>
      <c r="I1564" s="455">
        <f t="shared" ca="1" si="133"/>
        <v>-109965946.15343681</v>
      </c>
      <c r="J1564" s="455">
        <f t="array" ref="J1564">IFERROR(INDEX('Retirement Calculator'!J:J,MATCH('Isaac 401k'!N1564,'Retirement Calculator'!A:A,0),0),0)</f>
        <v>0</v>
      </c>
      <c r="K1564" s="455">
        <f t="shared" ca="1" si="131"/>
        <v>-458191.44230598671</v>
      </c>
      <c r="L1564" s="455">
        <f t="shared" ca="1" si="132"/>
        <v>-110424137.59574279</v>
      </c>
      <c r="M1564" s="471">
        <f t="shared" si="134"/>
        <v>0.05</v>
      </c>
      <c r="N1564" s="475">
        <f t="shared" si="135"/>
        <v>98649</v>
      </c>
    </row>
    <row r="1565" spans="7:14" ht="11.25" customHeight="1" x14ac:dyDescent="0.3">
      <c r="G1565" s="470"/>
      <c r="H1565" s="470">
        <v>1558</v>
      </c>
      <c r="I1565" s="455">
        <f t="shared" ca="1" si="133"/>
        <v>-110424137.59574279</v>
      </c>
      <c r="J1565" s="455">
        <f t="array" ref="J1565">IFERROR(INDEX('Retirement Calculator'!J:J,MATCH('Isaac 401k'!N1565,'Retirement Calculator'!A:A,0),0),0)</f>
        <v>0</v>
      </c>
      <c r="K1565" s="455">
        <f t="shared" ca="1" si="131"/>
        <v>-460100.57331559499</v>
      </c>
      <c r="L1565" s="455">
        <f t="shared" ca="1" si="132"/>
        <v>-110884238.16905838</v>
      </c>
      <c r="M1565" s="471">
        <f t="shared" si="134"/>
        <v>0.05</v>
      </c>
      <c r="N1565" s="475">
        <f t="shared" si="135"/>
        <v>98677</v>
      </c>
    </row>
    <row r="1566" spans="7:14" ht="11.25" customHeight="1" x14ac:dyDescent="0.3">
      <c r="G1566" s="470"/>
      <c r="H1566" s="470">
        <v>1559</v>
      </c>
      <c r="I1566" s="455">
        <f t="shared" ca="1" si="133"/>
        <v>-110884238.16905838</v>
      </c>
      <c r="J1566" s="455">
        <f t="array" ref="J1566">IFERROR(INDEX('Retirement Calculator'!J:J,MATCH('Isaac 401k'!N1566,'Retirement Calculator'!A:A,0),0),0)</f>
        <v>0</v>
      </c>
      <c r="K1566" s="455">
        <f t="shared" ca="1" si="131"/>
        <v>-462017.65903774323</v>
      </c>
      <c r="L1566" s="455">
        <f t="shared" ca="1" si="132"/>
        <v>-111346255.82809612</v>
      </c>
      <c r="M1566" s="471">
        <f t="shared" si="134"/>
        <v>0.05</v>
      </c>
      <c r="N1566" s="475">
        <f t="shared" si="135"/>
        <v>98708</v>
      </c>
    </row>
    <row r="1567" spans="7:14" ht="11.25" customHeight="1" x14ac:dyDescent="0.3">
      <c r="G1567" s="470"/>
      <c r="H1567" s="470">
        <v>1560</v>
      </c>
      <c r="I1567" s="455">
        <f t="shared" ca="1" si="133"/>
        <v>-111346255.82809612</v>
      </c>
      <c r="J1567" s="455">
        <f t="array" ref="J1567">IFERROR(INDEX('Retirement Calculator'!J:J,MATCH('Isaac 401k'!N1567,'Retirement Calculator'!A:A,0),0),0)</f>
        <v>0</v>
      </c>
      <c r="K1567" s="455">
        <f t="shared" ca="1" si="131"/>
        <v>-463942.73261706717</v>
      </c>
      <c r="L1567" s="455">
        <f t="shared" ca="1" si="132"/>
        <v>-111810198.56071319</v>
      </c>
      <c r="M1567" s="471">
        <f t="shared" si="134"/>
        <v>0.05</v>
      </c>
      <c r="N1567" s="475">
        <f t="shared" si="135"/>
        <v>98738</v>
      </c>
    </row>
    <row r="1568" spans="7:14" ht="11.25" customHeight="1" x14ac:dyDescent="0.3">
      <c r="G1568" s="470"/>
      <c r="H1568" s="470">
        <v>1561</v>
      </c>
      <c r="I1568" s="455">
        <f t="shared" ca="1" si="133"/>
        <v>-111810198.56071319</v>
      </c>
      <c r="J1568" s="455">
        <f t="array" ref="J1568">IFERROR(INDEX('Retirement Calculator'!J:J,MATCH('Isaac 401k'!N1568,'Retirement Calculator'!A:A,0),0),0)</f>
        <v>0</v>
      </c>
      <c r="K1568" s="455">
        <f t="shared" ca="1" si="131"/>
        <v>-465875.82733630494</v>
      </c>
      <c r="L1568" s="455">
        <f t="shared" ca="1" si="132"/>
        <v>-112276074.3880495</v>
      </c>
      <c r="M1568" s="471">
        <f t="shared" si="134"/>
        <v>0.05</v>
      </c>
      <c r="N1568" s="475">
        <f t="shared" si="135"/>
        <v>98769</v>
      </c>
    </row>
    <row r="1569" spans="7:14" ht="11.25" customHeight="1" x14ac:dyDescent="0.3">
      <c r="G1569" s="470"/>
      <c r="H1569" s="470">
        <v>1562</v>
      </c>
      <c r="I1569" s="455">
        <f t="shared" ca="1" si="133"/>
        <v>-112276074.3880495</v>
      </c>
      <c r="J1569" s="455">
        <f t="array" ref="J1569">IFERROR(INDEX('Retirement Calculator'!J:J,MATCH('Isaac 401k'!N1569,'Retirement Calculator'!A:A,0),0),0)</f>
        <v>0</v>
      </c>
      <c r="K1569" s="455">
        <f t="shared" ca="1" si="131"/>
        <v>-467816.97661687282</v>
      </c>
      <c r="L1569" s="455">
        <f t="shared" ca="1" si="132"/>
        <v>-112743891.36466637</v>
      </c>
      <c r="M1569" s="471">
        <f t="shared" si="134"/>
        <v>0.05</v>
      </c>
      <c r="N1569" s="475">
        <f t="shared" si="135"/>
        <v>98799</v>
      </c>
    </row>
    <row r="1570" spans="7:14" ht="11.25" customHeight="1" x14ac:dyDescent="0.3">
      <c r="G1570" s="470"/>
      <c r="H1570" s="470">
        <v>1563</v>
      </c>
      <c r="I1570" s="455">
        <f t="shared" ca="1" si="133"/>
        <v>-112743891.36466637</v>
      </c>
      <c r="J1570" s="455">
        <f t="array" ref="J1570">IFERROR(INDEX('Retirement Calculator'!J:J,MATCH('Isaac 401k'!N1570,'Retirement Calculator'!A:A,0),0),0)</f>
        <v>0</v>
      </c>
      <c r="K1570" s="455">
        <f t="shared" ca="1" si="131"/>
        <v>-469766.2140194432</v>
      </c>
      <c r="L1570" s="455">
        <f t="shared" ca="1" si="132"/>
        <v>-113213657.57868582</v>
      </c>
      <c r="M1570" s="471">
        <f t="shared" si="134"/>
        <v>0.05</v>
      </c>
      <c r="N1570" s="475">
        <f t="shared" si="135"/>
        <v>98830</v>
      </c>
    </row>
    <row r="1571" spans="7:14" ht="11.25" customHeight="1" x14ac:dyDescent="0.3">
      <c r="G1571" s="470"/>
      <c r="H1571" s="470">
        <v>1564</v>
      </c>
      <c r="I1571" s="455">
        <f t="shared" ca="1" si="133"/>
        <v>-113213657.57868582</v>
      </c>
      <c r="J1571" s="455">
        <f t="array" ref="J1571">IFERROR(INDEX('Retirement Calculator'!J:J,MATCH('Isaac 401k'!N1571,'Retirement Calculator'!A:A,0),0),0)</f>
        <v>0</v>
      </c>
      <c r="K1571" s="455">
        <f t="shared" ca="1" si="131"/>
        <v>-471723.57324452425</v>
      </c>
      <c r="L1571" s="455">
        <f t="shared" ca="1" si="132"/>
        <v>-113685381.15193035</v>
      </c>
      <c r="M1571" s="471">
        <f t="shared" si="134"/>
        <v>0.05</v>
      </c>
      <c r="N1571" s="475">
        <f t="shared" si="135"/>
        <v>98861</v>
      </c>
    </row>
    <row r="1572" spans="7:14" ht="11.25" customHeight="1" x14ac:dyDescent="0.3">
      <c r="G1572" s="470"/>
      <c r="H1572" s="470">
        <v>1565</v>
      </c>
      <c r="I1572" s="455">
        <f t="shared" ca="1" si="133"/>
        <v>-113685381.15193035</v>
      </c>
      <c r="J1572" s="455">
        <f t="array" ref="J1572">IFERROR(INDEX('Retirement Calculator'!J:J,MATCH('Isaac 401k'!N1572,'Retirement Calculator'!A:A,0),0),0)</f>
        <v>0</v>
      </c>
      <c r="K1572" s="455">
        <f t="shared" ca="1" si="131"/>
        <v>-473689.08813304303</v>
      </c>
      <c r="L1572" s="455">
        <f t="shared" ca="1" si="132"/>
        <v>-114159070.24006338</v>
      </c>
      <c r="M1572" s="471">
        <f t="shared" si="134"/>
        <v>0.05</v>
      </c>
      <c r="N1572" s="475">
        <f t="shared" si="135"/>
        <v>98891</v>
      </c>
    </row>
    <row r="1573" spans="7:14" ht="11.25" customHeight="1" x14ac:dyDescent="0.3">
      <c r="G1573" s="470"/>
      <c r="H1573" s="470">
        <v>1566</v>
      </c>
      <c r="I1573" s="455">
        <f t="shared" ca="1" si="133"/>
        <v>-114159070.24006338</v>
      </c>
      <c r="J1573" s="455">
        <f t="array" ref="J1573">IFERROR(INDEX('Retirement Calculator'!J:J,MATCH('Isaac 401k'!N1573,'Retirement Calculator'!A:A,0),0),0)</f>
        <v>0</v>
      </c>
      <c r="K1573" s="455">
        <f t="shared" ca="1" si="131"/>
        <v>-475662.79266693076</v>
      </c>
      <c r="L1573" s="455">
        <f t="shared" ca="1" si="132"/>
        <v>-114634733.03273031</v>
      </c>
      <c r="M1573" s="471">
        <f t="shared" si="134"/>
        <v>0.05</v>
      </c>
      <c r="N1573" s="475">
        <f t="shared" si="135"/>
        <v>98922</v>
      </c>
    </row>
    <row r="1574" spans="7:14" ht="11.25" customHeight="1" x14ac:dyDescent="0.3">
      <c r="G1574" s="470"/>
      <c r="H1574" s="470">
        <v>1567</v>
      </c>
      <c r="I1574" s="455">
        <f t="shared" ca="1" si="133"/>
        <v>-114634733.03273031</v>
      </c>
      <c r="J1574" s="455">
        <f t="array" ref="J1574">IFERROR(INDEX('Retirement Calculator'!J:J,MATCH('Isaac 401k'!N1574,'Retirement Calculator'!A:A,0),0),0)</f>
        <v>0</v>
      </c>
      <c r="K1574" s="455">
        <f t="shared" ca="1" si="131"/>
        <v>-477644.72096970968</v>
      </c>
      <c r="L1574" s="455">
        <f t="shared" ca="1" si="132"/>
        <v>-115112377.75370002</v>
      </c>
      <c r="M1574" s="471">
        <f t="shared" si="134"/>
        <v>0.05</v>
      </c>
      <c r="N1574" s="475">
        <f t="shared" si="135"/>
        <v>98952</v>
      </c>
    </row>
    <row r="1575" spans="7:14" ht="11.25" customHeight="1" x14ac:dyDescent="0.3">
      <c r="G1575" s="470"/>
      <c r="H1575" s="470">
        <v>1568</v>
      </c>
      <c r="I1575" s="455">
        <f t="shared" ca="1" si="133"/>
        <v>-115112377.75370002</v>
      </c>
      <c r="J1575" s="455">
        <f t="array" ref="J1575">IFERROR(INDEX('Retirement Calculator'!J:J,MATCH('Isaac 401k'!N1575,'Retirement Calculator'!A:A,0),0),0)</f>
        <v>0</v>
      </c>
      <c r="K1575" s="455">
        <f t="shared" ca="1" si="131"/>
        <v>-479634.90730708343</v>
      </c>
      <c r="L1575" s="455">
        <f t="shared" ca="1" si="132"/>
        <v>-115592012.66100711</v>
      </c>
      <c r="M1575" s="471">
        <f t="shared" si="134"/>
        <v>0.05</v>
      </c>
      <c r="N1575" s="475">
        <f t="shared" si="135"/>
        <v>98983</v>
      </c>
    </row>
    <row r="1576" spans="7:14" ht="11.25" customHeight="1" x14ac:dyDescent="0.3">
      <c r="G1576" s="470"/>
      <c r="H1576" s="470">
        <v>1569</v>
      </c>
      <c r="I1576" s="455">
        <f t="shared" ca="1" si="133"/>
        <v>-115592012.66100711</v>
      </c>
      <c r="J1576" s="455">
        <f t="array" ref="J1576">IFERROR(INDEX('Retirement Calculator'!J:J,MATCH('Isaac 401k'!N1576,'Retirement Calculator'!A:A,0),0),0)</f>
        <v>0</v>
      </c>
      <c r="K1576" s="455">
        <f t="shared" ca="1" si="131"/>
        <v>-481633.38608752959</v>
      </c>
      <c r="L1576" s="455">
        <f t="shared" ca="1" si="132"/>
        <v>-116073646.04709464</v>
      </c>
      <c r="M1576" s="471">
        <f t="shared" si="134"/>
        <v>0.05</v>
      </c>
      <c r="N1576" s="475">
        <f t="shared" si="135"/>
        <v>99014</v>
      </c>
    </row>
    <row r="1577" spans="7:14" ht="11.25" customHeight="1" x14ac:dyDescent="0.3">
      <c r="G1577" s="470"/>
      <c r="H1577" s="470">
        <v>1570</v>
      </c>
      <c r="I1577" s="455">
        <f t="shared" ca="1" si="133"/>
        <v>-116073646.04709464</v>
      </c>
      <c r="J1577" s="455">
        <f t="array" ref="J1577">IFERROR(INDEX('Retirement Calculator'!J:J,MATCH('Isaac 401k'!N1577,'Retirement Calculator'!A:A,0),0),0)</f>
        <v>0</v>
      </c>
      <c r="K1577" s="455">
        <f t="shared" ca="1" si="131"/>
        <v>-483640.19186289434</v>
      </c>
      <c r="L1577" s="455">
        <f t="shared" ca="1" si="132"/>
        <v>-116557286.23895754</v>
      </c>
      <c r="M1577" s="471">
        <f t="shared" si="134"/>
        <v>0.05</v>
      </c>
      <c r="N1577" s="475">
        <f t="shared" si="135"/>
        <v>99042</v>
      </c>
    </row>
    <row r="1578" spans="7:14" ht="11.25" customHeight="1" x14ac:dyDescent="0.3">
      <c r="G1578" s="470"/>
      <c r="H1578" s="470">
        <v>1571</v>
      </c>
      <c r="I1578" s="455">
        <f t="shared" ca="1" si="133"/>
        <v>-116557286.23895754</v>
      </c>
      <c r="J1578" s="455">
        <f t="array" ref="J1578">IFERROR(INDEX('Retirement Calculator'!J:J,MATCH('Isaac 401k'!N1578,'Retirement Calculator'!A:A,0),0),0)</f>
        <v>0</v>
      </c>
      <c r="K1578" s="455">
        <f t="shared" ca="1" si="131"/>
        <v>-485655.35932898975</v>
      </c>
      <c r="L1578" s="455">
        <f t="shared" ca="1" si="132"/>
        <v>-117042941.59828652</v>
      </c>
      <c r="M1578" s="471">
        <f t="shared" si="134"/>
        <v>0.05</v>
      </c>
      <c r="N1578" s="475">
        <f t="shared" si="135"/>
        <v>99073</v>
      </c>
    </row>
    <row r="1579" spans="7:14" ht="11.25" customHeight="1" x14ac:dyDescent="0.3">
      <c r="G1579" s="470"/>
      <c r="H1579" s="470">
        <v>1572</v>
      </c>
      <c r="I1579" s="455">
        <f t="shared" ca="1" si="133"/>
        <v>-117042941.59828652</v>
      </c>
      <c r="J1579" s="455">
        <f t="array" ref="J1579">IFERROR(INDEX('Retirement Calculator'!J:J,MATCH('Isaac 401k'!N1579,'Retirement Calculator'!A:A,0),0),0)</f>
        <v>0</v>
      </c>
      <c r="K1579" s="455">
        <f t="shared" ca="1" si="131"/>
        <v>-487678.92332619382</v>
      </c>
      <c r="L1579" s="455">
        <f t="shared" ca="1" si="132"/>
        <v>-117530620.52161272</v>
      </c>
      <c r="M1579" s="471">
        <f t="shared" si="134"/>
        <v>0.05</v>
      </c>
      <c r="N1579" s="475">
        <f t="shared" si="135"/>
        <v>99103</v>
      </c>
    </row>
    <row r="1580" spans="7:14" ht="11.25" customHeight="1" x14ac:dyDescent="0.3">
      <c r="G1580" s="470"/>
      <c r="H1580" s="470">
        <v>1573</v>
      </c>
      <c r="I1580" s="455">
        <f t="shared" ca="1" si="133"/>
        <v>-117530620.52161272</v>
      </c>
      <c r="J1580" s="455">
        <f t="array" ref="J1580">IFERROR(INDEX('Retirement Calculator'!J:J,MATCH('Isaac 401k'!N1580,'Retirement Calculator'!A:A,0),0),0)</f>
        <v>0</v>
      </c>
      <c r="K1580" s="455">
        <f t="shared" ca="1" si="131"/>
        <v>-489710.91884005297</v>
      </c>
      <c r="L1580" s="455">
        <f t="shared" ca="1" si="132"/>
        <v>-118020331.44045277</v>
      </c>
      <c r="M1580" s="471">
        <f t="shared" si="134"/>
        <v>0.05</v>
      </c>
      <c r="N1580" s="475">
        <f t="shared" si="135"/>
        <v>99134</v>
      </c>
    </row>
    <row r="1581" spans="7:14" ht="11.25" customHeight="1" x14ac:dyDescent="0.3">
      <c r="G1581" s="470"/>
      <c r="H1581" s="470">
        <v>1574</v>
      </c>
      <c r="I1581" s="455">
        <f t="shared" ca="1" si="133"/>
        <v>-118020331.44045277</v>
      </c>
      <c r="J1581" s="455">
        <f t="array" ref="J1581">IFERROR(INDEX('Retirement Calculator'!J:J,MATCH('Isaac 401k'!N1581,'Retirement Calculator'!A:A,0),0),0)</f>
        <v>0</v>
      </c>
      <c r="K1581" s="455">
        <f t="shared" ca="1" si="131"/>
        <v>-491751.3810018865</v>
      </c>
      <c r="L1581" s="455">
        <f t="shared" ca="1" si="132"/>
        <v>-118512082.82145466</v>
      </c>
      <c r="M1581" s="471">
        <f t="shared" si="134"/>
        <v>0.05</v>
      </c>
      <c r="N1581" s="475">
        <f t="shared" si="135"/>
        <v>99164</v>
      </c>
    </row>
    <row r="1582" spans="7:14" ht="11.25" customHeight="1" x14ac:dyDescent="0.3">
      <c r="G1582" s="470"/>
      <c r="H1582" s="470">
        <v>1575</v>
      </c>
      <c r="I1582" s="455">
        <f t="shared" ca="1" si="133"/>
        <v>-118512082.82145466</v>
      </c>
      <c r="J1582" s="455">
        <f t="array" ref="J1582">IFERROR(INDEX('Retirement Calculator'!J:J,MATCH('Isaac 401k'!N1582,'Retirement Calculator'!A:A,0),0),0)</f>
        <v>0</v>
      </c>
      <c r="K1582" s="455">
        <f t="shared" ca="1" si="131"/>
        <v>-493800.34508939442</v>
      </c>
      <c r="L1582" s="455">
        <f t="shared" ca="1" si="132"/>
        <v>-119005883.16654405</v>
      </c>
      <c r="M1582" s="471">
        <f t="shared" si="134"/>
        <v>0.05</v>
      </c>
      <c r="N1582" s="475">
        <f t="shared" si="135"/>
        <v>99195</v>
      </c>
    </row>
    <row r="1583" spans="7:14" ht="11.25" customHeight="1" x14ac:dyDescent="0.3">
      <c r="G1583" s="470"/>
      <c r="H1583" s="470">
        <v>1576</v>
      </c>
      <c r="I1583" s="455">
        <f t="shared" ca="1" si="133"/>
        <v>-119005883.16654405</v>
      </c>
      <c r="J1583" s="455">
        <f t="array" ref="J1583">IFERROR(INDEX('Retirement Calculator'!J:J,MATCH('Isaac 401k'!N1583,'Retirement Calculator'!A:A,0),0),0)</f>
        <v>0</v>
      </c>
      <c r="K1583" s="455">
        <f t="shared" ca="1" si="131"/>
        <v>-495857.84652726678</v>
      </c>
      <c r="L1583" s="455">
        <f t="shared" ca="1" si="132"/>
        <v>-119501741.01307131</v>
      </c>
      <c r="M1583" s="471">
        <f t="shared" si="134"/>
        <v>0.05</v>
      </c>
      <c r="N1583" s="475">
        <f t="shared" si="135"/>
        <v>99226</v>
      </c>
    </row>
    <row r="1584" spans="7:14" ht="11.25" customHeight="1" x14ac:dyDescent="0.3">
      <c r="G1584" s="470"/>
      <c r="H1584" s="470">
        <v>1577</v>
      </c>
      <c r="I1584" s="455">
        <f t="shared" ca="1" si="133"/>
        <v>-119501741.01307131</v>
      </c>
      <c r="J1584" s="455">
        <f t="array" ref="J1584">IFERROR(INDEX('Retirement Calculator'!J:J,MATCH('Isaac 401k'!N1584,'Retirement Calculator'!A:A,0),0),0)</f>
        <v>0</v>
      </c>
      <c r="K1584" s="455">
        <f t="shared" ca="1" si="131"/>
        <v>-497923.9208877972</v>
      </c>
      <c r="L1584" s="455">
        <f t="shared" ca="1" si="132"/>
        <v>-119999664.93395911</v>
      </c>
      <c r="M1584" s="471">
        <f t="shared" si="134"/>
        <v>0.05</v>
      </c>
      <c r="N1584" s="475">
        <f t="shared" si="135"/>
        <v>99256</v>
      </c>
    </row>
    <row r="1585" spans="7:14" ht="11.25" customHeight="1" x14ac:dyDescent="0.3">
      <c r="G1585" s="470"/>
      <c r="H1585" s="470">
        <v>1578</v>
      </c>
      <c r="I1585" s="455">
        <f t="shared" ca="1" si="133"/>
        <v>-119999664.93395911</v>
      </c>
      <c r="J1585" s="455">
        <f t="array" ref="J1585">IFERROR(INDEX('Retirement Calculator'!J:J,MATCH('Isaac 401k'!N1585,'Retirement Calculator'!A:A,0),0),0)</f>
        <v>0</v>
      </c>
      <c r="K1585" s="455">
        <f t="shared" ca="1" si="131"/>
        <v>-499998.60389149631</v>
      </c>
      <c r="L1585" s="455">
        <f t="shared" ca="1" si="132"/>
        <v>-120499663.5378506</v>
      </c>
      <c r="M1585" s="471">
        <f t="shared" si="134"/>
        <v>0.05</v>
      </c>
      <c r="N1585" s="475">
        <f t="shared" si="135"/>
        <v>99287</v>
      </c>
    </row>
    <row r="1586" spans="7:14" ht="11.25" customHeight="1" x14ac:dyDescent="0.3">
      <c r="G1586" s="470"/>
      <c r="H1586" s="470">
        <v>1579</v>
      </c>
      <c r="I1586" s="455">
        <f t="shared" ca="1" si="133"/>
        <v>-120499663.5378506</v>
      </c>
      <c r="J1586" s="455">
        <f t="array" ref="J1586">IFERROR(INDEX('Retirement Calculator'!J:J,MATCH('Isaac 401k'!N1586,'Retirement Calculator'!A:A,0),0),0)</f>
        <v>0</v>
      </c>
      <c r="K1586" s="455">
        <f t="shared" ca="1" si="131"/>
        <v>-502081.93140771083</v>
      </c>
      <c r="L1586" s="455">
        <f t="shared" ca="1" si="132"/>
        <v>-121001745.46925831</v>
      </c>
      <c r="M1586" s="471">
        <f t="shared" si="134"/>
        <v>0.05</v>
      </c>
      <c r="N1586" s="475">
        <f t="shared" si="135"/>
        <v>99317</v>
      </c>
    </row>
    <row r="1587" spans="7:14" ht="11.25" customHeight="1" x14ac:dyDescent="0.3">
      <c r="G1587" s="470"/>
      <c r="H1587" s="470">
        <v>1580</v>
      </c>
      <c r="I1587" s="455">
        <f t="shared" ca="1" si="133"/>
        <v>-121001745.46925831</v>
      </c>
      <c r="J1587" s="455">
        <f t="array" ref="J1587">IFERROR(INDEX('Retirement Calculator'!J:J,MATCH('Isaac 401k'!N1587,'Retirement Calculator'!A:A,0),0),0)</f>
        <v>0</v>
      </c>
      <c r="K1587" s="455">
        <f t="shared" ca="1" si="131"/>
        <v>-504173.93945524294</v>
      </c>
      <c r="L1587" s="455">
        <f t="shared" ca="1" si="132"/>
        <v>-121505919.40871355</v>
      </c>
      <c r="M1587" s="471">
        <f t="shared" si="134"/>
        <v>0.05</v>
      </c>
      <c r="N1587" s="475">
        <f t="shared" si="135"/>
        <v>99348</v>
      </c>
    </row>
    <row r="1588" spans="7:14" ht="11.25" customHeight="1" x14ac:dyDescent="0.3">
      <c r="G1588" s="470"/>
      <c r="H1588" s="470">
        <v>1581</v>
      </c>
      <c r="I1588" s="455">
        <f t="shared" ca="1" si="133"/>
        <v>-121505919.40871355</v>
      </c>
      <c r="J1588" s="455">
        <f t="array" ref="J1588">IFERROR(INDEX('Retirement Calculator'!J:J,MATCH('Isaac 401k'!N1588,'Retirement Calculator'!A:A,0),0),0)</f>
        <v>0</v>
      </c>
      <c r="K1588" s="455">
        <f t="shared" ca="1" si="131"/>
        <v>-506274.66420297313</v>
      </c>
      <c r="L1588" s="455">
        <f t="shared" ca="1" si="132"/>
        <v>-122012194.07291652</v>
      </c>
      <c r="M1588" s="471">
        <f t="shared" si="134"/>
        <v>0.05</v>
      </c>
      <c r="N1588" s="475">
        <f t="shared" si="135"/>
        <v>99379</v>
      </c>
    </row>
    <row r="1589" spans="7:14" ht="11.25" customHeight="1" x14ac:dyDescent="0.3">
      <c r="G1589" s="470"/>
      <c r="H1589" s="470">
        <v>1582</v>
      </c>
      <c r="I1589" s="455">
        <f t="shared" ca="1" si="133"/>
        <v>-122012194.07291652</v>
      </c>
      <c r="J1589" s="455">
        <f t="array" ref="J1589">IFERROR(INDEX('Retirement Calculator'!J:J,MATCH('Isaac 401k'!N1589,'Retirement Calculator'!A:A,0),0),0)</f>
        <v>0</v>
      </c>
      <c r="K1589" s="455">
        <f t="shared" ca="1" si="131"/>
        <v>-508384.14197048545</v>
      </c>
      <c r="L1589" s="455">
        <f t="shared" ca="1" si="132"/>
        <v>-122520578.21488701</v>
      </c>
      <c r="M1589" s="471">
        <f t="shared" si="134"/>
        <v>0.05</v>
      </c>
      <c r="N1589" s="475">
        <f t="shared" si="135"/>
        <v>99408</v>
      </c>
    </row>
    <row r="1590" spans="7:14" ht="11.25" customHeight="1" x14ac:dyDescent="0.3">
      <c r="G1590" s="470"/>
      <c r="H1590" s="470">
        <v>1583</v>
      </c>
      <c r="I1590" s="455">
        <f t="shared" ca="1" si="133"/>
        <v>-122520578.21488701</v>
      </c>
      <c r="J1590" s="455">
        <f t="array" ref="J1590">IFERROR(INDEX('Retirement Calculator'!J:J,MATCH('Isaac 401k'!N1590,'Retirement Calculator'!A:A,0),0),0)</f>
        <v>0</v>
      </c>
      <c r="K1590" s="455">
        <f t="shared" ca="1" si="131"/>
        <v>-510502.40922869585</v>
      </c>
      <c r="L1590" s="455">
        <f t="shared" ca="1" si="132"/>
        <v>-123031080.62411571</v>
      </c>
      <c r="M1590" s="471">
        <f t="shared" si="134"/>
        <v>0.05</v>
      </c>
      <c r="N1590" s="475">
        <f t="shared" si="135"/>
        <v>99439</v>
      </c>
    </row>
    <row r="1591" spans="7:14" ht="11.25" customHeight="1" x14ac:dyDescent="0.3">
      <c r="G1591" s="470"/>
      <c r="H1591" s="470">
        <v>1584</v>
      </c>
      <c r="I1591" s="455">
        <f t="shared" ca="1" si="133"/>
        <v>-123031080.62411571</v>
      </c>
      <c r="J1591" s="455">
        <f t="array" ref="J1591">IFERROR(INDEX('Retirement Calculator'!J:J,MATCH('Isaac 401k'!N1591,'Retirement Calculator'!A:A,0),0),0)</f>
        <v>0</v>
      </c>
      <c r="K1591" s="455">
        <f t="shared" ca="1" si="131"/>
        <v>-512629.50260048208</v>
      </c>
      <c r="L1591" s="455">
        <f t="shared" ca="1" si="132"/>
        <v>-123543710.12671618</v>
      </c>
      <c r="M1591" s="471">
        <f t="shared" si="134"/>
        <v>0.05</v>
      </c>
      <c r="N1591" s="475">
        <f t="shared" si="135"/>
        <v>99469</v>
      </c>
    </row>
    <row r="1592" spans="7:14" ht="11.25" customHeight="1" x14ac:dyDescent="0.3">
      <c r="G1592" s="470"/>
      <c r="H1592" s="470">
        <v>1585</v>
      </c>
      <c r="I1592" s="455">
        <f t="shared" ca="1" si="133"/>
        <v>-123543710.12671618</v>
      </c>
      <c r="J1592" s="455">
        <f t="array" ref="J1592">IFERROR(INDEX('Retirement Calculator'!J:J,MATCH('Isaac 401k'!N1592,'Retirement Calculator'!A:A,0),0),0)</f>
        <v>0</v>
      </c>
      <c r="K1592" s="455">
        <f t="shared" ca="1" si="131"/>
        <v>-514765.45886131743</v>
      </c>
      <c r="L1592" s="455">
        <f t="shared" ca="1" si="132"/>
        <v>-124058475.5855775</v>
      </c>
      <c r="M1592" s="471">
        <f t="shared" si="134"/>
        <v>0.05</v>
      </c>
      <c r="N1592" s="475">
        <f t="shared" si="135"/>
        <v>99500</v>
      </c>
    </row>
    <row r="1593" spans="7:14" ht="11.25" customHeight="1" x14ac:dyDescent="0.3">
      <c r="G1593" s="470"/>
      <c r="H1593" s="470">
        <v>1586</v>
      </c>
      <c r="I1593" s="455">
        <f t="shared" ca="1" si="133"/>
        <v>-124058475.5855775</v>
      </c>
      <c r="J1593" s="455">
        <f t="array" ref="J1593">IFERROR(INDEX('Retirement Calculator'!J:J,MATCH('Isaac 401k'!N1593,'Retirement Calculator'!A:A,0),0),0)</f>
        <v>0</v>
      </c>
      <c r="K1593" s="455">
        <f t="shared" ca="1" si="131"/>
        <v>-516910.31493990618</v>
      </c>
      <c r="L1593" s="455">
        <f t="shared" ca="1" si="132"/>
        <v>-124575385.9005174</v>
      </c>
      <c r="M1593" s="471">
        <f t="shared" si="134"/>
        <v>0.05</v>
      </c>
      <c r="N1593" s="475">
        <f t="shared" si="135"/>
        <v>99530</v>
      </c>
    </row>
    <row r="1594" spans="7:14" ht="11.25" customHeight="1" x14ac:dyDescent="0.3">
      <c r="G1594" s="470"/>
      <c r="H1594" s="470">
        <v>1587</v>
      </c>
      <c r="I1594" s="455">
        <f t="shared" ca="1" si="133"/>
        <v>-124575385.9005174</v>
      </c>
      <c r="J1594" s="455">
        <f t="array" ref="J1594">IFERROR(INDEX('Retirement Calculator'!J:J,MATCH('Isaac 401k'!N1594,'Retirement Calculator'!A:A,0),0),0)</f>
        <v>0</v>
      </c>
      <c r="K1594" s="455">
        <f t="shared" ca="1" si="131"/>
        <v>-519064.1079188225</v>
      </c>
      <c r="L1594" s="455">
        <f t="shared" ca="1" si="132"/>
        <v>-125094450.00843623</v>
      </c>
      <c r="M1594" s="471">
        <f t="shared" si="134"/>
        <v>0.05</v>
      </c>
      <c r="N1594" s="475">
        <f t="shared" si="135"/>
        <v>99561</v>
      </c>
    </row>
    <row r="1595" spans="7:14" ht="11.25" customHeight="1" x14ac:dyDescent="0.3">
      <c r="G1595" s="470"/>
      <c r="H1595" s="470">
        <v>1588</v>
      </c>
      <c r="I1595" s="455">
        <f t="shared" ca="1" si="133"/>
        <v>-125094450.00843623</v>
      </c>
      <c r="J1595" s="455">
        <f t="array" ref="J1595">IFERROR(INDEX('Retirement Calculator'!J:J,MATCH('Isaac 401k'!N1595,'Retirement Calculator'!A:A,0),0),0)</f>
        <v>0</v>
      </c>
      <c r="K1595" s="455">
        <f t="shared" ca="1" si="131"/>
        <v>-521226.87503515097</v>
      </c>
      <c r="L1595" s="455">
        <f t="shared" ca="1" si="132"/>
        <v>-125615676.88347138</v>
      </c>
      <c r="M1595" s="471">
        <f t="shared" si="134"/>
        <v>0.05</v>
      </c>
      <c r="N1595" s="475">
        <f t="shared" si="135"/>
        <v>99592</v>
      </c>
    </row>
    <row r="1596" spans="7:14" ht="11.25" customHeight="1" x14ac:dyDescent="0.3">
      <c r="G1596" s="470"/>
      <c r="H1596" s="470">
        <v>1589</v>
      </c>
      <c r="I1596" s="455">
        <f t="shared" ca="1" si="133"/>
        <v>-125615676.88347138</v>
      </c>
      <c r="J1596" s="455">
        <f t="array" ref="J1596">IFERROR(INDEX('Retirement Calculator'!J:J,MATCH('Isaac 401k'!N1596,'Retirement Calculator'!A:A,0),0),0)</f>
        <v>0</v>
      </c>
      <c r="K1596" s="455">
        <f t="shared" ca="1" si="131"/>
        <v>-523398.65368113079</v>
      </c>
      <c r="L1596" s="455">
        <f t="shared" ca="1" si="132"/>
        <v>-126139075.53715251</v>
      </c>
      <c r="M1596" s="471">
        <f t="shared" si="134"/>
        <v>0.05</v>
      </c>
      <c r="N1596" s="475">
        <f t="shared" si="135"/>
        <v>99622</v>
      </c>
    </row>
    <row r="1597" spans="7:14" ht="11.25" customHeight="1" x14ac:dyDescent="0.3">
      <c r="G1597" s="470"/>
      <c r="H1597" s="470">
        <v>1590</v>
      </c>
      <c r="I1597" s="455">
        <f t="shared" ca="1" si="133"/>
        <v>-126139075.53715251</v>
      </c>
      <c r="J1597" s="455">
        <f t="array" ref="J1597">IFERROR(INDEX('Retirement Calculator'!J:J,MATCH('Isaac 401k'!N1597,'Retirement Calculator'!A:A,0),0),0)</f>
        <v>0</v>
      </c>
      <c r="K1597" s="455">
        <f t="shared" ca="1" si="131"/>
        <v>-525579.48140480218</v>
      </c>
      <c r="L1597" s="455">
        <f t="shared" ca="1" si="132"/>
        <v>-126664655.01855731</v>
      </c>
      <c r="M1597" s="471">
        <f t="shared" si="134"/>
        <v>0.05</v>
      </c>
      <c r="N1597" s="475">
        <f t="shared" si="135"/>
        <v>99653</v>
      </c>
    </row>
    <row r="1598" spans="7:14" ht="11.25" customHeight="1" x14ac:dyDescent="0.3">
      <c r="G1598" s="470"/>
      <c r="H1598" s="470">
        <v>1591</v>
      </c>
      <c r="I1598" s="455">
        <f t="shared" ca="1" si="133"/>
        <v>-126664655.01855731</v>
      </c>
      <c r="J1598" s="455">
        <f t="array" ref="J1598">IFERROR(INDEX('Retirement Calculator'!J:J,MATCH('Isaac 401k'!N1598,'Retirement Calculator'!A:A,0),0),0)</f>
        <v>0</v>
      </c>
      <c r="K1598" s="455">
        <f t="shared" ca="1" si="131"/>
        <v>-527769.3959106555</v>
      </c>
      <c r="L1598" s="455">
        <f t="shared" ca="1" si="132"/>
        <v>-127192424.41446796</v>
      </c>
      <c r="M1598" s="471">
        <f t="shared" si="134"/>
        <v>0.05</v>
      </c>
      <c r="N1598" s="475">
        <f t="shared" si="135"/>
        <v>99683</v>
      </c>
    </row>
    <row r="1599" spans="7:14" ht="11.25" customHeight="1" x14ac:dyDescent="0.3">
      <c r="G1599" s="470"/>
      <c r="H1599" s="470">
        <v>1592</v>
      </c>
      <c r="I1599" s="455">
        <f t="shared" ca="1" si="133"/>
        <v>-127192424.41446796</v>
      </c>
      <c r="J1599" s="455">
        <f t="array" ref="J1599">IFERROR(INDEX('Retirement Calculator'!J:J,MATCH('Isaac 401k'!N1599,'Retirement Calculator'!A:A,0),0),0)</f>
        <v>0</v>
      </c>
      <c r="K1599" s="455">
        <f t="shared" ca="1" si="131"/>
        <v>-529968.43506028317</v>
      </c>
      <c r="L1599" s="455">
        <f t="shared" ca="1" si="132"/>
        <v>-127722392.84952824</v>
      </c>
      <c r="M1599" s="471">
        <f t="shared" si="134"/>
        <v>0.05</v>
      </c>
      <c r="N1599" s="475">
        <f t="shared" si="135"/>
        <v>99714</v>
      </c>
    </row>
    <row r="1600" spans="7:14" ht="11.25" customHeight="1" x14ac:dyDescent="0.3">
      <c r="G1600" s="470"/>
      <c r="H1600" s="470">
        <v>1593</v>
      </c>
      <c r="I1600" s="455">
        <f t="shared" ca="1" si="133"/>
        <v>-127722392.84952824</v>
      </c>
      <c r="J1600" s="455">
        <f t="array" ref="J1600">IFERROR(INDEX('Retirement Calculator'!J:J,MATCH('Isaac 401k'!N1600,'Retirement Calculator'!A:A,0),0),0)</f>
        <v>0</v>
      </c>
      <c r="K1600" s="455">
        <f t="shared" ca="1" si="131"/>
        <v>-532176.63687303429</v>
      </c>
      <c r="L1600" s="455">
        <f t="shared" ca="1" si="132"/>
        <v>-128254569.48640127</v>
      </c>
      <c r="M1600" s="471">
        <f t="shared" si="134"/>
        <v>0.05</v>
      </c>
      <c r="N1600" s="475">
        <f t="shared" si="135"/>
        <v>99745</v>
      </c>
    </row>
    <row r="1601" spans="7:14" ht="11.25" customHeight="1" x14ac:dyDescent="0.3">
      <c r="G1601" s="470"/>
      <c r="H1601" s="470">
        <v>1594</v>
      </c>
      <c r="I1601" s="455">
        <f t="shared" ca="1" si="133"/>
        <v>-128254569.48640127</v>
      </c>
      <c r="J1601" s="455">
        <f t="array" ref="J1601">IFERROR(INDEX('Retirement Calculator'!J:J,MATCH('Isaac 401k'!N1601,'Retirement Calculator'!A:A,0),0),0)</f>
        <v>0</v>
      </c>
      <c r="K1601" s="455">
        <f t="shared" ca="1" si="131"/>
        <v>-534394.03952667199</v>
      </c>
      <c r="L1601" s="455">
        <f t="shared" ca="1" si="132"/>
        <v>-128788963.52592795</v>
      </c>
      <c r="M1601" s="471">
        <f t="shared" si="134"/>
        <v>0.05</v>
      </c>
      <c r="N1601" s="475">
        <f t="shared" si="135"/>
        <v>99773</v>
      </c>
    </row>
    <row r="1602" spans="7:14" ht="11.25" customHeight="1" x14ac:dyDescent="0.3">
      <c r="G1602" s="470"/>
      <c r="H1602" s="470">
        <v>1595</v>
      </c>
      <c r="I1602" s="455">
        <f t="shared" ca="1" si="133"/>
        <v>-128788963.52592795</v>
      </c>
      <c r="J1602" s="455">
        <f t="array" ref="J1602">IFERROR(INDEX('Retirement Calculator'!J:J,MATCH('Isaac 401k'!N1602,'Retirement Calculator'!A:A,0),0),0)</f>
        <v>0</v>
      </c>
      <c r="K1602" s="455">
        <f t="shared" ca="1" si="131"/>
        <v>-536620.68135803309</v>
      </c>
      <c r="L1602" s="455">
        <f t="shared" ca="1" si="132"/>
        <v>-129325584.20728599</v>
      </c>
      <c r="M1602" s="471">
        <f t="shared" si="134"/>
        <v>0.05</v>
      </c>
      <c r="N1602" s="475">
        <f t="shared" si="135"/>
        <v>99804</v>
      </c>
    </row>
    <row r="1603" spans="7:14" ht="11.25" customHeight="1" x14ac:dyDescent="0.3">
      <c r="G1603" s="470"/>
      <c r="H1603" s="470">
        <v>1596</v>
      </c>
      <c r="I1603" s="455">
        <f t="shared" ca="1" si="133"/>
        <v>-129325584.20728599</v>
      </c>
      <c r="J1603" s="455">
        <f t="array" ref="J1603">IFERROR(INDEX('Retirement Calculator'!J:J,MATCH('Isaac 401k'!N1603,'Retirement Calculator'!A:A,0),0),0)</f>
        <v>0</v>
      </c>
      <c r="K1603" s="455">
        <f t="shared" ca="1" si="131"/>
        <v>-538856.60086369165</v>
      </c>
      <c r="L1603" s="455">
        <f t="shared" ca="1" si="132"/>
        <v>-129864440.80814968</v>
      </c>
      <c r="M1603" s="471">
        <f t="shared" si="134"/>
        <v>0.05</v>
      </c>
      <c r="N1603" s="475">
        <f t="shared" si="135"/>
        <v>99834</v>
      </c>
    </row>
    <row r="1604" spans="7:14" ht="11.25" customHeight="1" x14ac:dyDescent="0.3">
      <c r="G1604" s="470"/>
      <c r="H1604" s="470">
        <v>1597</v>
      </c>
      <c r="I1604" s="455">
        <f t="shared" ca="1" si="133"/>
        <v>-129864440.80814968</v>
      </c>
      <c r="J1604" s="455">
        <f t="array" ref="J1604">IFERROR(INDEX('Retirement Calculator'!J:J,MATCH('Isaac 401k'!N1604,'Retirement Calculator'!A:A,0),0),0)</f>
        <v>0</v>
      </c>
      <c r="K1604" s="455">
        <f t="shared" ca="1" si="131"/>
        <v>-541101.83670062362</v>
      </c>
      <c r="L1604" s="455">
        <f t="shared" ca="1" si="132"/>
        <v>-130405542.6448503</v>
      </c>
      <c r="M1604" s="471">
        <f t="shared" si="134"/>
        <v>0.05</v>
      </c>
      <c r="N1604" s="475">
        <f t="shared" si="135"/>
        <v>99865</v>
      </c>
    </row>
    <row r="1605" spans="7:14" ht="11.25" customHeight="1" x14ac:dyDescent="0.3">
      <c r="G1605" s="470"/>
      <c r="H1605" s="470">
        <v>1598</v>
      </c>
      <c r="I1605" s="455">
        <f t="shared" ca="1" si="133"/>
        <v>-130405542.6448503</v>
      </c>
      <c r="J1605" s="455">
        <f t="array" ref="J1605">IFERROR(INDEX('Retirement Calculator'!J:J,MATCH('Isaac 401k'!N1605,'Retirement Calculator'!A:A,0),0),0)</f>
        <v>0</v>
      </c>
      <c r="K1605" s="455">
        <f t="shared" ca="1" si="131"/>
        <v>-543356.42768687627</v>
      </c>
      <c r="L1605" s="455">
        <f t="shared" ca="1" si="132"/>
        <v>-130948899.07253717</v>
      </c>
      <c r="M1605" s="471">
        <f t="shared" si="134"/>
        <v>0.05</v>
      </c>
      <c r="N1605" s="475">
        <f t="shared" si="135"/>
        <v>99895</v>
      </c>
    </row>
    <row r="1606" spans="7:14" ht="11.25" customHeight="1" x14ac:dyDescent="0.3">
      <c r="G1606" s="470"/>
      <c r="H1606" s="470">
        <v>1599</v>
      </c>
      <c r="I1606" s="455">
        <f t="shared" ca="1" si="133"/>
        <v>-130948899.07253717</v>
      </c>
      <c r="J1606" s="455">
        <f t="array" ref="J1606">IFERROR(INDEX('Retirement Calculator'!J:J,MATCH('Isaac 401k'!N1606,'Retirement Calculator'!A:A,0),0),0)</f>
        <v>0</v>
      </c>
      <c r="K1606" s="455">
        <f t="shared" ca="1" si="131"/>
        <v>-545620.41280223825</v>
      </c>
      <c r="L1606" s="455">
        <f t="shared" ca="1" si="132"/>
        <v>-131494519.4853394</v>
      </c>
      <c r="M1606" s="471">
        <f t="shared" si="134"/>
        <v>0.05</v>
      </c>
      <c r="N1606" s="475">
        <f t="shared" si="135"/>
        <v>99926</v>
      </c>
    </row>
    <row r="1607" spans="7:14" ht="11.25" customHeight="1" x14ac:dyDescent="0.3">
      <c r="G1607" s="470"/>
      <c r="H1607" s="470">
        <v>1600</v>
      </c>
      <c r="I1607" s="455">
        <f t="shared" ca="1" si="133"/>
        <v>-131494519.4853394</v>
      </c>
      <c r="J1607" s="455">
        <f t="array" ref="J1607">IFERROR(INDEX('Retirement Calculator'!J:J,MATCH('Isaac 401k'!N1607,'Retirement Calculator'!A:A,0),0),0)</f>
        <v>0</v>
      </c>
      <c r="K1607" s="455">
        <f t="shared" ca="1" si="131"/>
        <v>-547893.83118891425</v>
      </c>
      <c r="L1607" s="455">
        <f t="shared" ca="1" si="132"/>
        <v>-132042413.31652832</v>
      </c>
      <c r="M1607" s="471">
        <f t="shared" si="134"/>
        <v>0.05</v>
      </c>
      <c r="N1607" s="475">
        <f t="shared" si="135"/>
        <v>99957</v>
      </c>
    </row>
    <row r="1608" spans="7:14" ht="11.25" customHeight="1" x14ac:dyDescent="0.3">
      <c r="G1608" s="470"/>
      <c r="H1608" s="470">
        <v>1601</v>
      </c>
      <c r="I1608" s="455">
        <f t="shared" ca="1" si="133"/>
        <v>-132042413.31652832</v>
      </c>
      <c r="J1608" s="455">
        <f t="array" ref="J1608">IFERROR(INDEX('Retirement Calculator'!J:J,MATCH('Isaac 401k'!N1608,'Retirement Calculator'!A:A,0),0),0)</f>
        <v>0</v>
      </c>
      <c r="K1608" s="455">
        <f t="shared" ca="1" si="131"/>
        <v>-550176.72215220134</v>
      </c>
      <c r="L1608" s="455">
        <f t="shared" ca="1" si="132"/>
        <v>-132592590.03868052</v>
      </c>
      <c r="M1608" s="471">
        <f t="shared" si="134"/>
        <v>0.05</v>
      </c>
      <c r="N1608" s="475">
        <f t="shared" si="135"/>
        <v>99987</v>
      </c>
    </row>
    <row r="1609" spans="7:14" ht="11.25" customHeight="1" x14ac:dyDescent="0.3">
      <c r="G1609" s="470"/>
      <c r="H1609" s="470">
        <v>1602</v>
      </c>
      <c r="I1609" s="455">
        <f t="shared" ca="1" si="133"/>
        <v>-132592590.03868052</v>
      </c>
      <c r="J1609" s="455">
        <f t="array" ref="J1609">IFERROR(INDEX('Retirement Calculator'!J:J,MATCH('Isaac 401k'!N1609,'Retirement Calculator'!A:A,0),0),0)</f>
        <v>0</v>
      </c>
      <c r="K1609" s="455">
        <f t="shared" ca="1" si="131"/>
        <v>-552469.12516116875</v>
      </c>
      <c r="L1609" s="455">
        <f t="shared" ca="1" si="132"/>
        <v>-133145059.16384169</v>
      </c>
      <c r="M1609" s="471">
        <f t="shared" si="134"/>
        <v>0.05</v>
      </c>
      <c r="N1609" s="475">
        <f t="shared" si="135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33"/>
        <v>-133145059.16384169</v>
      </c>
      <c r="J1610" s="455">
        <f t="array" ref="J1610">IFERROR(INDEX('Retirement Calculator'!J:J,MATCH('Isaac 401k'!N1610,'Retirement Calculator'!A:A,0),0),0)</f>
        <v>0</v>
      </c>
      <c r="K1610" s="455">
        <f t="shared" ca="1" si="131"/>
        <v>-554771.07984934049</v>
      </c>
      <c r="L1610" s="455">
        <f t="shared" ca="1" si="132"/>
        <v>-133699830.24369104</v>
      </c>
      <c r="M1610" s="471">
        <f t="shared" si="134"/>
        <v>0.05</v>
      </c>
      <c r="N1610" s="475">
        <f t="shared" si="135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33"/>
        <v>-133699830.24369104</v>
      </c>
      <c r="J1611" s="455">
        <f t="array" ref="J1611">IFERROR(INDEX('Retirement Calculator'!J:J,MATCH('Isaac 401k'!N1611,'Retirement Calculator'!A:A,0),0),0)</f>
        <v>0</v>
      </c>
      <c r="K1611" s="455">
        <f t="shared" ca="1" si="131"/>
        <v>-557082.62601537933</v>
      </c>
      <c r="L1611" s="455">
        <f t="shared" ca="1" si="132"/>
        <v>-134256912.86970642</v>
      </c>
      <c r="M1611" s="471">
        <f t="shared" si="134"/>
        <v>0.05</v>
      </c>
      <c r="N1611" s="475">
        <f t="shared" si="135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33"/>
        <v>-134256912.86970642</v>
      </c>
      <c r="J1612" s="455">
        <f t="array" ref="J1612">IFERROR(INDEX('Retirement Calculator'!J:J,MATCH('Isaac 401k'!N1612,'Retirement Calculator'!A:A,0),0),0)</f>
        <v>0</v>
      </c>
      <c r="K1612" s="455">
        <f t="shared" ca="1" si="131"/>
        <v>-559403.80362377677</v>
      </c>
      <c r="L1612" s="455">
        <f t="shared" ca="1" si="132"/>
        <v>-134816316.67333019</v>
      </c>
      <c r="M1612" s="471">
        <f t="shared" si="134"/>
        <v>0.05</v>
      </c>
      <c r="N1612" s="475">
        <f t="shared" si="135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33"/>
        <v>-134816316.67333019</v>
      </c>
      <c r="J1613" s="455">
        <f t="array" ref="J1613">IFERROR(INDEX('Retirement Calculator'!J:J,MATCH('Isaac 401k'!N1613,'Retirement Calculator'!A:A,0),0),0)</f>
        <v>0</v>
      </c>
      <c r="K1613" s="455">
        <f t="shared" ca="1" si="131"/>
        <v>-561734.65280554246</v>
      </c>
      <c r="L1613" s="455">
        <f t="shared" ca="1" si="132"/>
        <v>-135378051.32613572</v>
      </c>
      <c r="M1613" s="471">
        <f t="shared" si="134"/>
        <v>0.05</v>
      </c>
      <c r="N1613" s="475">
        <f t="shared" si="135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33"/>
        <v>-135378051.32613572</v>
      </c>
      <c r="J1614" s="455">
        <f t="array" ref="J1614">IFERROR(INDEX('Retirement Calculator'!J:J,MATCH('Isaac 401k'!N1614,'Retirement Calculator'!A:A,0),0),0)</f>
        <v>0</v>
      </c>
      <c r="K1614" s="455">
        <f t="shared" ca="1" si="131"/>
        <v>-564075.21385889885</v>
      </c>
      <c r="L1614" s="455">
        <f t="shared" ca="1" si="132"/>
        <v>-135942126.53999463</v>
      </c>
      <c r="M1614" s="471">
        <f t="shared" si="134"/>
        <v>0.05</v>
      </c>
      <c r="N1614" s="475">
        <f t="shared" si="135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33"/>
        <v>-135942126.53999463</v>
      </c>
      <c r="J1615" s="455">
        <f t="array" ref="J1615">IFERROR(INDEX('Retirement Calculator'!J:J,MATCH('Isaac 401k'!N1615,'Retirement Calculator'!A:A,0),0),0)</f>
        <v>0</v>
      </c>
      <c r="K1615" s="455">
        <f t="shared" ca="1" si="131"/>
        <v>-566425.52724997757</v>
      </c>
      <c r="L1615" s="455">
        <f t="shared" ca="1" si="132"/>
        <v>-136508552.06724462</v>
      </c>
      <c r="M1615" s="471">
        <f t="shared" si="134"/>
        <v>0.05</v>
      </c>
      <c r="N1615" s="475">
        <f t="shared" si="135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33"/>
        <v>-136508552.06724462</v>
      </c>
      <c r="J1616" s="455">
        <f t="array" ref="J1616">IFERROR(INDEX('Retirement Calculator'!J:J,MATCH('Isaac 401k'!N1616,'Retirement Calculator'!A:A,0),0),0)</f>
        <v>0</v>
      </c>
      <c r="K1616" s="455">
        <f t="shared" ca="1" si="131"/>
        <v>-568785.63361351925</v>
      </c>
      <c r="L1616" s="455">
        <f t="shared" ca="1" si="132"/>
        <v>-137077337.70085815</v>
      </c>
      <c r="M1616" s="471">
        <f t="shared" si="134"/>
        <v>0.05</v>
      </c>
      <c r="N1616" s="475">
        <f t="shared" si="135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33"/>
        <v>-137077337.70085815</v>
      </c>
      <c r="J1617" s="455">
        <f t="array" ref="J1617">IFERROR(INDEX('Retirement Calculator'!J:J,MATCH('Isaac 401k'!N1617,'Retirement Calculator'!A:A,0),0),0)</f>
        <v>0</v>
      </c>
      <c r="K1617" s="455">
        <f t="shared" ca="1" si="131"/>
        <v>-571155.57375357556</v>
      </c>
      <c r="L1617" s="455">
        <f t="shared" ca="1" si="132"/>
        <v>-137648493.27461171</v>
      </c>
      <c r="M1617" s="471">
        <f t="shared" si="134"/>
        <v>0.05</v>
      </c>
      <c r="N1617" s="475">
        <f t="shared" si="135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33"/>
        <v>-137648493.27461171</v>
      </c>
      <c r="J1618" s="455">
        <f t="array" ref="J1618">IFERROR(INDEX('Retirement Calculator'!J:J,MATCH('Isaac 401k'!N1618,'Retirement Calculator'!A:A,0),0),0)</f>
        <v>0</v>
      </c>
      <c r="K1618" s="455">
        <f t="shared" ca="1" si="131"/>
        <v>-573535.38864421542</v>
      </c>
      <c r="L1618" s="455">
        <f t="shared" ca="1" si="132"/>
        <v>-138222028.66325593</v>
      </c>
      <c r="M1618" s="471">
        <f t="shared" si="134"/>
        <v>0.05</v>
      </c>
      <c r="N1618" s="475">
        <f t="shared" si="135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33"/>
        <v>-138222028.66325593</v>
      </c>
      <c r="J1619" s="455">
        <f t="array" ref="J1619">IFERROR(INDEX('Retirement Calculator'!J:J,MATCH('Isaac 401k'!N1619,'Retirement Calculator'!A:A,0),0),0)</f>
        <v>0</v>
      </c>
      <c r="K1619" s="455">
        <f t="shared" ca="1" si="131"/>
        <v>-575925.11943023303</v>
      </c>
      <c r="L1619" s="455">
        <f t="shared" ca="1" si="132"/>
        <v>-138797953.78268617</v>
      </c>
      <c r="M1619" s="471">
        <f t="shared" si="134"/>
        <v>0.05</v>
      </c>
      <c r="N1619" s="475">
        <f t="shared" si="135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33"/>
        <v>-138797953.78268617</v>
      </c>
      <c r="J1620" s="455">
        <f t="array" ref="J1620">IFERROR(INDEX('Retirement Calculator'!J:J,MATCH('Isaac 401k'!N1620,'Retirement Calculator'!A:A,0),0),0)</f>
        <v>0</v>
      </c>
      <c r="K1620" s="455">
        <f t="shared" ca="1" si="131"/>
        <v>-578324.80742785905</v>
      </c>
      <c r="L1620" s="455">
        <f t="shared" ca="1" si="132"/>
        <v>-139376278.59011403</v>
      </c>
      <c r="M1620" s="471">
        <f t="shared" si="134"/>
        <v>0.05</v>
      </c>
      <c r="N1620" s="475">
        <f t="shared" si="135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33"/>
        <v>-139376278.59011403</v>
      </c>
      <c r="J1621" s="455">
        <f t="array" ref="J1621">IFERROR(INDEX('Retirement Calculator'!J:J,MATCH('Isaac 401k'!N1621,'Retirement Calculator'!A:A,0),0),0)</f>
        <v>0</v>
      </c>
      <c r="K1621" s="455">
        <f t="shared" ca="1" si="131"/>
        <v>-580734.49412547506</v>
      </c>
      <c r="L1621" s="455">
        <f t="shared" ca="1" si="132"/>
        <v>-139957013.08423951</v>
      </c>
      <c r="M1621" s="471">
        <f t="shared" si="134"/>
        <v>0.05</v>
      </c>
      <c r="N1621" s="475">
        <f t="shared" si="135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33"/>
        <v>-139957013.08423951</v>
      </c>
      <c r="J1622" s="455">
        <f t="array" ref="J1622">IFERROR(INDEX('Retirement Calculator'!J:J,MATCH('Isaac 401k'!N1622,'Retirement Calculator'!A:A,0),0),0)</f>
        <v>0</v>
      </c>
      <c r="K1622" s="455">
        <f t="shared" ca="1" si="131"/>
        <v>-583154.22118433134</v>
      </c>
      <c r="L1622" s="455">
        <f t="shared" ca="1" si="132"/>
        <v>-140540167.30542386</v>
      </c>
      <c r="M1622" s="471">
        <f t="shared" si="134"/>
        <v>0.05</v>
      </c>
      <c r="N1622" s="475">
        <f t="shared" si="135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33"/>
        <v>-140540167.30542386</v>
      </c>
      <c r="J1623" s="455">
        <f t="array" ref="J1623">IFERROR(INDEX('Retirement Calculator'!J:J,MATCH('Isaac 401k'!N1623,'Retirement Calculator'!A:A,0),0),0)</f>
        <v>0</v>
      </c>
      <c r="K1623" s="455">
        <f t="shared" ca="1" si="131"/>
        <v>-585584.030439266</v>
      </c>
      <c r="L1623" s="455">
        <f t="shared" ca="1" si="132"/>
        <v>-141125751.33586311</v>
      </c>
      <c r="M1623" s="471">
        <f t="shared" si="134"/>
        <v>0.05</v>
      </c>
      <c r="N1623" s="475">
        <f t="shared" si="135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33"/>
        <v>-141125751.33586311</v>
      </c>
      <c r="J1624" s="455">
        <f t="array" ref="J1624">IFERROR(INDEX('Retirement Calculator'!J:J,MATCH('Isaac 401k'!N1624,'Retirement Calculator'!A:A,0),0),0)</f>
        <v>0</v>
      </c>
      <c r="K1624" s="455">
        <f t="shared" ca="1" si="131"/>
        <v>-588023.96389942965</v>
      </c>
      <c r="L1624" s="455">
        <f t="shared" ca="1" si="132"/>
        <v>-141713775.29976255</v>
      </c>
      <c r="M1624" s="471">
        <f t="shared" si="134"/>
        <v>0.05</v>
      </c>
      <c r="N1624" s="475">
        <f t="shared" si="135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33"/>
        <v>-141713775.29976255</v>
      </c>
      <c r="J1625" s="455">
        <f t="array" ref="J1625">IFERROR(INDEX('Retirement Calculator'!J:J,MATCH('Isaac 401k'!N1625,'Retirement Calculator'!A:A,0),0),0)</f>
        <v>0</v>
      </c>
      <c r="K1625" s="455">
        <f t="shared" ca="1" si="131"/>
        <v>-590474.06374901056</v>
      </c>
      <c r="L1625" s="455">
        <f t="shared" ca="1" si="132"/>
        <v>-142304249.36351156</v>
      </c>
      <c r="M1625" s="471">
        <f t="shared" si="134"/>
        <v>0.05</v>
      </c>
      <c r="N1625" s="475">
        <f t="shared" si="135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33"/>
        <v>-142304249.36351156</v>
      </c>
      <c r="J1626" s="455">
        <f t="array" ref="J1626">IFERROR(INDEX('Retirement Calculator'!J:J,MATCH('Isaac 401k'!N1626,'Retirement Calculator'!A:A,0),0),0)</f>
        <v>0</v>
      </c>
      <c r="K1626" s="455">
        <f t="shared" ca="1" si="131"/>
        <v>-592934.37234796479</v>
      </c>
      <c r="L1626" s="455">
        <f t="shared" ca="1" si="132"/>
        <v>-142897183.73585951</v>
      </c>
      <c r="M1626" s="471">
        <f t="shared" si="134"/>
        <v>0.05</v>
      </c>
      <c r="N1626" s="475">
        <f t="shared" si="135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33"/>
        <v>-142897183.73585951</v>
      </c>
      <c r="J1627" s="455">
        <f t="array" ref="J1627">IFERROR(INDEX('Retirement Calculator'!J:J,MATCH('Isaac 401k'!N1627,'Retirement Calculator'!A:A,0),0),0)</f>
        <v>0</v>
      </c>
      <c r="K1627" s="455">
        <f t="shared" ca="1" si="131"/>
        <v>-595404.93223274802</v>
      </c>
      <c r="L1627" s="455">
        <f t="shared" ca="1" si="132"/>
        <v>-143492588.66809225</v>
      </c>
      <c r="M1627" s="471">
        <f t="shared" si="134"/>
        <v>0.05</v>
      </c>
      <c r="N1627" s="475">
        <f t="shared" si="135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33"/>
        <v>-143492588.66809225</v>
      </c>
      <c r="J1628" s="455">
        <f t="array" ref="J1628">IFERROR(INDEX('Retirement Calculator'!J:J,MATCH('Isaac 401k'!N1628,'Retirement Calculator'!A:A,0),0),0)</f>
        <v>0</v>
      </c>
      <c r="K1628" s="455">
        <f t="shared" ca="1" si="131"/>
        <v>-597885.78611705103</v>
      </c>
      <c r="L1628" s="455">
        <f t="shared" ca="1" si="132"/>
        <v>-144090474.4542093</v>
      </c>
      <c r="M1628" s="471">
        <f t="shared" si="134"/>
        <v>0.05</v>
      </c>
      <c r="N1628" s="475">
        <f t="shared" si="135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33"/>
        <v>-144090474.4542093</v>
      </c>
      <c r="J1629" s="455">
        <f t="array" ref="J1629">IFERROR(INDEX('Retirement Calculator'!J:J,MATCH('Isaac 401k'!N1629,'Retirement Calculator'!A:A,0),0),0)</f>
        <v>0</v>
      </c>
      <c r="K1629" s="455">
        <f t="shared" ca="1" si="131"/>
        <v>-600376.97689253872</v>
      </c>
      <c r="L1629" s="455">
        <f t="shared" ca="1" si="132"/>
        <v>-144690851.43110183</v>
      </c>
      <c r="M1629" s="471">
        <f t="shared" si="134"/>
        <v>0.05</v>
      </c>
      <c r="N1629" s="475">
        <f t="shared" si="135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33"/>
        <v>-144690851.43110183</v>
      </c>
      <c r="J1630" s="455">
        <f t="array" ref="J1630">IFERROR(INDEX('Retirement Calculator'!J:J,MATCH('Isaac 401k'!N1630,'Retirement Calculator'!A:A,0),0),0)</f>
        <v>0</v>
      </c>
      <c r="K1630" s="455">
        <f t="shared" ca="1" si="131"/>
        <v>-602878.54762959096</v>
      </c>
      <c r="L1630" s="455">
        <f t="shared" ca="1" si="132"/>
        <v>-145293729.97873142</v>
      </c>
      <c r="M1630" s="471">
        <f t="shared" si="134"/>
        <v>0.05</v>
      </c>
      <c r="N1630" s="475">
        <f t="shared" si="135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33"/>
        <v>-145293729.97873142</v>
      </c>
      <c r="J1631" s="455">
        <f t="array" ref="J1631">IFERROR(INDEX('Retirement Calculator'!J:J,MATCH('Isaac 401k'!N1631,'Retirement Calculator'!A:A,0),0),0)</f>
        <v>0</v>
      </c>
      <c r="K1631" s="455">
        <f t="shared" ca="1" si="131"/>
        <v>-605390.54157804756</v>
      </c>
      <c r="L1631" s="455">
        <f t="shared" ca="1" si="132"/>
        <v>-145899120.52030948</v>
      </c>
      <c r="M1631" s="471">
        <f t="shared" si="134"/>
        <v>0.05</v>
      </c>
      <c r="N1631" s="475">
        <f t="shared" si="135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33"/>
        <v>-145899120.52030948</v>
      </c>
      <c r="J1632" s="455">
        <f t="array" ref="J1632">IFERROR(INDEX('Retirement Calculator'!J:J,MATCH('Isaac 401k'!N1632,'Retirement Calculator'!A:A,0),0),0)</f>
        <v>0</v>
      </c>
      <c r="K1632" s="455">
        <f t="shared" ca="1" si="131"/>
        <v>-607913.00216795621</v>
      </c>
      <c r="L1632" s="455">
        <f t="shared" ca="1" si="132"/>
        <v>-146507033.52247745</v>
      </c>
      <c r="M1632" s="471">
        <f t="shared" si="134"/>
        <v>0.05</v>
      </c>
      <c r="N1632" s="475">
        <f t="shared" si="135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33"/>
        <v>-146507033.52247745</v>
      </c>
      <c r="J1633" s="455">
        <f t="array" ref="J1633">IFERROR(INDEX('Retirement Calculator'!J:J,MATCH('Isaac 401k'!N1633,'Retirement Calculator'!A:A,0),0),0)</f>
        <v>0</v>
      </c>
      <c r="K1633" s="455">
        <f t="shared" ca="1" si="131"/>
        <v>-610445.97301032266</v>
      </c>
      <c r="L1633" s="455">
        <f t="shared" ca="1" si="132"/>
        <v>-147117479.49548778</v>
      </c>
      <c r="M1633" s="471">
        <f t="shared" si="134"/>
        <v>0.05</v>
      </c>
      <c r="N1633" s="475">
        <f t="shared" si="135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33"/>
        <v>-147117479.49548778</v>
      </c>
      <c r="J1634" s="455">
        <f t="array" ref="J1634">IFERROR(INDEX('Retirement Calculator'!J:J,MATCH('Isaac 401k'!N1634,'Retirement Calculator'!A:A,0),0),0)</f>
        <v>0</v>
      </c>
      <c r="K1634" s="455">
        <f t="shared" ca="1" si="131"/>
        <v>-612989.49789786572</v>
      </c>
      <c r="L1634" s="455">
        <f t="shared" ca="1" si="132"/>
        <v>-147730468.99338564</v>
      </c>
      <c r="M1634" s="471">
        <f t="shared" si="134"/>
        <v>0.05</v>
      </c>
      <c r="N1634" s="475">
        <f t="shared" si="135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33"/>
        <v>-147730468.99338564</v>
      </c>
      <c r="J1635" s="455">
        <f t="array" ref="J1635">IFERROR(INDEX('Retirement Calculator'!J:J,MATCH('Isaac 401k'!N1635,'Retirement Calculator'!A:A,0),0),0)</f>
        <v>0</v>
      </c>
      <c r="K1635" s="455">
        <f t="shared" ca="1" si="131"/>
        <v>-615543.62080577353</v>
      </c>
      <c r="L1635" s="455">
        <f t="shared" ca="1" si="132"/>
        <v>-148346012.61419141</v>
      </c>
      <c r="M1635" s="471">
        <f t="shared" si="134"/>
        <v>0.05</v>
      </c>
      <c r="N1635" s="475">
        <f t="shared" si="135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33"/>
        <v>-148346012.61419141</v>
      </c>
      <c r="J1636" s="455">
        <f t="array" ref="J1636">IFERROR(INDEX('Retirement Calculator'!J:J,MATCH('Isaac 401k'!N1636,'Retirement Calculator'!A:A,0),0),0)</f>
        <v>0</v>
      </c>
      <c r="K1636" s="455">
        <f t="shared" ca="1" si="131"/>
        <v>-618108.3858924642</v>
      </c>
      <c r="L1636" s="455">
        <f t="shared" ca="1" si="132"/>
        <v>-148964121.00008386</v>
      </c>
      <c r="M1636" s="471">
        <f t="shared" si="134"/>
        <v>0.05</v>
      </c>
      <c r="N1636" s="475">
        <f t="shared" si="135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33"/>
        <v>-148964121.00008386</v>
      </c>
      <c r="J1637" s="455">
        <f t="array" ref="J1637">IFERROR(INDEX('Retirement Calculator'!J:J,MATCH('Isaac 401k'!N1637,'Retirement Calculator'!A:A,0),0),0)</f>
        <v>0</v>
      </c>
      <c r="K1637" s="455">
        <f t="shared" ca="1" si="131"/>
        <v>-620683.83750034939</v>
      </c>
      <c r="L1637" s="455">
        <f t="shared" ca="1" si="132"/>
        <v>-149584804.83758423</v>
      </c>
      <c r="M1637" s="471">
        <f t="shared" si="134"/>
        <v>0.05</v>
      </c>
      <c r="N1637" s="475">
        <f t="shared" si="135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33"/>
        <v>-149584804.83758423</v>
      </c>
      <c r="J1638" s="455">
        <f t="array" ref="J1638">IFERROR(INDEX('Retirement Calculator'!J:J,MATCH('Isaac 401k'!N1638,'Retirement Calculator'!A:A,0),0),0)</f>
        <v>0</v>
      </c>
      <c r="K1638" s="455">
        <f t="shared" ca="1" si="131"/>
        <v>-623270.02015660098</v>
      </c>
      <c r="L1638" s="455">
        <f t="shared" ca="1" si="132"/>
        <v>-150208074.85774082</v>
      </c>
      <c r="M1638" s="471">
        <f t="shared" si="134"/>
        <v>0.05</v>
      </c>
      <c r="N1638" s="475">
        <f t="shared" si="135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33"/>
        <v>-150208074.85774082</v>
      </c>
      <c r="J1639" s="455">
        <f t="array" ref="J1639">IFERROR(INDEX('Retirement Calculator'!J:J,MATCH('Isaac 401k'!N1639,'Retirement Calculator'!A:A,0),0),0)</f>
        <v>0</v>
      </c>
      <c r="K1639" s="455">
        <f t="shared" ca="1" si="131"/>
        <v>-625866.97857392009</v>
      </c>
      <c r="L1639" s="455">
        <f t="shared" ca="1" si="132"/>
        <v>-150833941.83631474</v>
      </c>
      <c r="M1639" s="471">
        <f t="shared" si="134"/>
        <v>0.05</v>
      </c>
      <c r="N1639" s="475">
        <f t="shared" si="135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33"/>
        <v>-150833941.83631474</v>
      </c>
      <c r="J1640" s="455">
        <f t="array" ref="J1640">IFERROR(INDEX('Retirement Calculator'!J:J,MATCH('Isaac 401k'!N1640,'Retirement Calculator'!A:A,0),0),0)</f>
        <v>0</v>
      </c>
      <c r="K1640" s="455">
        <f t="shared" ca="1" si="131"/>
        <v>-628474.75765131135</v>
      </c>
      <c r="L1640" s="455">
        <f t="shared" ca="1" si="132"/>
        <v>-151462416.59396604</v>
      </c>
      <c r="M1640" s="471">
        <f t="shared" si="134"/>
        <v>0.05</v>
      </c>
      <c r="N1640" s="475">
        <f t="shared" si="135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33"/>
        <v>-151462416.59396604</v>
      </c>
      <c r="J1641" s="455">
        <f t="array" ref="J1641">IFERROR(INDEX('Retirement Calculator'!J:J,MATCH('Isaac 401k'!N1641,'Retirement Calculator'!A:A,0),0),0)</f>
        <v>0</v>
      </c>
      <c r="K1641" s="455">
        <f t="shared" ca="1" si="131"/>
        <v>-631093.40247485845</v>
      </c>
      <c r="L1641" s="455">
        <f t="shared" ca="1" si="132"/>
        <v>-152093509.99644089</v>
      </c>
      <c r="M1641" s="471">
        <f t="shared" si="134"/>
        <v>0.05</v>
      </c>
      <c r="N1641" s="475">
        <f t="shared" si="135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33"/>
        <v>-152093509.99644089</v>
      </c>
      <c r="J1642" s="455">
        <f t="array" ref="J1642">IFERROR(INDEX('Retirement Calculator'!J:J,MATCH('Isaac 401k'!N1642,'Retirement Calculator'!A:A,0),0),0)</f>
        <v>0</v>
      </c>
      <c r="K1642" s="455">
        <f t="shared" ca="1" si="131"/>
        <v>-633722.95831850369</v>
      </c>
      <c r="L1642" s="455">
        <f t="shared" ca="1" si="132"/>
        <v>-152727232.95475939</v>
      </c>
      <c r="M1642" s="471">
        <f t="shared" si="134"/>
        <v>0.05</v>
      </c>
      <c r="N1642" s="475">
        <f t="shared" si="135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33"/>
        <v>-152727232.95475939</v>
      </c>
      <c r="J1643" s="455">
        <f t="array" ref="J1643">IFERROR(INDEX('Retirement Calculator'!J:J,MATCH('Isaac 401k'!N1643,'Retirement Calculator'!A:A,0),0),0)</f>
        <v>0</v>
      </c>
      <c r="K1643" s="455">
        <f t="shared" ca="1" si="131"/>
        <v>-636363.47064483073</v>
      </c>
      <c r="L1643" s="455">
        <f t="shared" ca="1" si="132"/>
        <v>-153363596.42540422</v>
      </c>
      <c r="M1643" s="471">
        <f t="shared" si="134"/>
        <v>0.05</v>
      </c>
      <c r="N1643" s="475">
        <f t="shared" si="135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33"/>
        <v>-153363596.42540422</v>
      </c>
      <c r="J1644" s="455">
        <f t="array" ref="J1644">IFERROR(INDEX('Retirement Calculator'!J:J,MATCH('Isaac 401k'!N1644,'Retirement Calculator'!A:A,0),0),0)</f>
        <v>0</v>
      </c>
      <c r="K1644" s="455">
        <f t="shared" ca="1" si="131"/>
        <v>-639014.98510585097</v>
      </c>
      <c r="L1644" s="455">
        <f t="shared" ca="1" si="132"/>
        <v>-154002611.41051006</v>
      </c>
      <c r="M1644" s="471">
        <f t="shared" si="134"/>
        <v>0.05</v>
      </c>
      <c r="N1644" s="475">
        <f t="shared" si="135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33"/>
        <v>-154002611.41051006</v>
      </c>
      <c r="J1645" s="455">
        <f t="array" ref="J1645">IFERROR(INDEX('Retirement Calculator'!J:J,MATCH('Isaac 401k'!N1645,'Retirement Calculator'!A:A,0),0),0)</f>
        <v>0</v>
      </c>
      <c r="K1645" s="455">
        <f t="shared" ca="1" si="131"/>
        <v>-641677.54754379194</v>
      </c>
      <c r="L1645" s="455">
        <f t="shared" ca="1" si="132"/>
        <v>-154644288.95805386</v>
      </c>
      <c r="M1645" s="471">
        <f t="shared" si="134"/>
        <v>0.05</v>
      </c>
      <c r="N1645" s="475">
        <f t="shared" si="135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33"/>
        <v>-154644288.95805386</v>
      </c>
      <c r="J1646" s="455">
        <f t="array" ref="J1646">IFERROR(INDEX('Retirement Calculator'!J:J,MATCH('Isaac 401k'!N1646,'Retirement Calculator'!A:A,0),0),0)</f>
        <v>0</v>
      </c>
      <c r="K1646" s="455">
        <f t="shared" ca="1" si="131"/>
        <v>-644351.20399189112</v>
      </c>
      <c r="L1646" s="455">
        <f t="shared" ca="1" si="132"/>
        <v>-155288640.16204575</v>
      </c>
      <c r="M1646" s="471">
        <f t="shared" si="134"/>
        <v>0.05</v>
      </c>
      <c r="N1646" s="475">
        <f t="shared" si="135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33"/>
        <v>-155288640.16204575</v>
      </c>
      <c r="J1647" s="455">
        <f t="array" ref="J1647">IFERROR(INDEX('Retirement Calculator'!J:J,MATCH('Isaac 401k'!N1647,'Retirement Calculator'!A:A,0),0),0)</f>
        <v>0</v>
      </c>
      <c r="K1647" s="455">
        <f t="shared" ca="1" si="131"/>
        <v>-647036.00067519059</v>
      </c>
      <c r="L1647" s="455">
        <f t="shared" ca="1" si="132"/>
        <v>-155935676.16272095</v>
      </c>
      <c r="M1647" s="471">
        <f t="shared" si="134"/>
        <v>0.05</v>
      </c>
      <c r="N1647" s="475">
        <f t="shared" si="135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33"/>
        <v>-155935676.16272095</v>
      </c>
      <c r="J1648" s="455">
        <f t="array" ref="J1648">IFERROR(INDEX('Retirement Calculator'!J:J,MATCH('Isaac 401k'!N1648,'Retirement Calculator'!A:A,0),0),0)</f>
        <v>0</v>
      </c>
      <c r="K1648" s="455">
        <f t="shared" ca="1" si="131"/>
        <v>-649731.98401133728</v>
      </c>
      <c r="L1648" s="455">
        <f t="shared" ca="1" si="132"/>
        <v>-156585408.1467323</v>
      </c>
      <c r="M1648" s="471">
        <f t="shared" si="134"/>
        <v>0.05</v>
      </c>
      <c r="N1648" s="475">
        <f t="shared" si="135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33"/>
        <v>-156585408.1467323</v>
      </c>
      <c r="J1649" s="455">
        <f t="array" ref="J1649">IFERROR(INDEX('Retirement Calculator'!J:J,MATCH('Isaac 401k'!N1649,'Retirement Calculator'!A:A,0),0),0)</f>
        <v>0</v>
      </c>
      <c r="K1649" s="455">
        <f t="shared" ca="1" si="131"/>
        <v>-652439.20061138459</v>
      </c>
      <c r="L1649" s="455">
        <f t="shared" ca="1" si="132"/>
        <v>-157237847.34734368</v>
      </c>
      <c r="M1649" s="471">
        <f t="shared" si="134"/>
        <v>0.05</v>
      </c>
      <c r="N1649" s="475">
        <f t="shared" si="135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33"/>
        <v>-157237847.34734368</v>
      </c>
      <c r="J1650" s="455">
        <f t="array" ref="J1650">IFERROR(INDEX('Retirement Calculator'!J:J,MATCH('Isaac 401k'!N1650,'Retirement Calculator'!A:A,0),0),0)</f>
        <v>0</v>
      </c>
      <c r="K1650" s="455">
        <f t="shared" ca="1" si="131"/>
        <v>-655157.69728059869</v>
      </c>
      <c r="L1650" s="455">
        <f t="shared" ca="1" si="132"/>
        <v>-157893005.04462427</v>
      </c>
      <c r="M1650" s="471">
        <f t="shared" si="134"/>
        <v>0.05</v>
      </c>
      <c r="N1650" s="475">
        <f t="shared" si="135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33"/>
        <v>-157893005.04462427</v>
      </c>
      <c r="J1651" s="455">
        <f t="array" ref="J1651">IFERROR(INDEX('Retirement Calculator'!J:J,MATCH('Isaac 401k'!N1651,'Retirement Calculator'!A:A,0),0),0)</f>
        <v>0</v>
      </c>
      <c r="K1651" s="455">
        <f t="shared" ca="1" si="131"/>
        <v>-657887.52101926773</v>
      </c>
      <c r="L1651" s="455">
        <f t="shared" ca="1" si="132"/>
        <v>-158550892.56564355</v>
      </c>
      <c r="M1651" s="471">
        <f t="shared" si="134"/>
        <v>0.05</v>
      </c>
      <c r="N1651" s="475">
        <f t="shared" si="135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33"/>
        <v>-158550892.56564355</v>
      </c>
      <c r="J1652" s="455">
        <f t="array" ref="J1652">IFERROR(INDEX('Retirement Calculator'!J:J,MATCH('Isaac 401k'!N1652,'Retirement Calculator'!A:A,0),0),0)</f>
        <v>0</v>
      </c>
      <c r="K1652" s="455">
        <f t="shared" ca="1" si="131"/>
        <v>-660628.71902351477</v>
      </c>
      <c r="L1652" s="455">
        <f t="shared" ca="1" si="132"/>
        <v>-159211521.28466707</v>
      </c>
      <c r="M1652" s="471">
        <f t="shared" si="134"/>
        <v>0.05</v>
      </c>
      <c r="N1652" s="475">
        <f t="shared" si="135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33"/>
        <v>-159211521.28466707</v>
      </c>
      <c r="J1653" s="455">
        <f t="array" ref="J1653">IFERROR(INDEX('Retirement Calculator'!J:J,MATCH('Isaac 401k'!N1653,'Retirement Calculator'!A:A,0),0),0)</f>
        <v>0</v>
      </c>
      <c r="K1653" s="455">
        <f t="shared" ca="1" si="131"/>
        <v>-663381.33868611278</v>
      </c>
      <c r="L1653" s="455">
        <f t="shared" ca="1" si="132"/>
        <v>-159874902.62335318</v>
      </c>
      <c r="M1653" s="471">
        <f t="shared" si="134"/>
        <v>0.05</v>
      </c>
      <c r="N1653" s="475">
        <f t="shared" si="135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33"/>
        <v>-159874902.62335318</v>
      </c>
      <c r="J1654" s="455">
        <f t="array" ref="J1654">IFERROR(INDEX('Retirement Calculator'!J:J,MATCH('Isaac 401k'!N1654,'Retirement Calculator'!A:A,0),0),0)</f>
        <v>0</v>
      </c>
      <c r="K1654" s="455">
        <f t="shared" ca="1" si="131"/>
        <v>-666145.42759730492</v>
      </c>
      <c r="L1654" s="455">
        <f t="shared" ca="1" si="132"/>
        <v>-160541048.0509505</v>
      </c>
      <c r="M1654" s="471">
        <f t="shared" si="134"/>
        <v>0.05</v>
      </c>
      <c r="N1654" s="475">
        <f t="shared" si="135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33"/>
        <v>-160541048.0509505</v>
      </c>
      <c r="J1655" s="455">
        <f t="array" ref="J1655">IFERROR(INDEX('Retirement Calculator'!J:J,MATCH('Isaac 401k'!N1655,'Retirement Calculator'!A:A,0),0),0)</f>
        <v>0</v>
      </c>
      <c r="K1655" s="455">
        <f t="shared" ca="1" si="131"/>
        <v>-668921.03354562703</v>
      </c>
      <c r="L1655" s="455">
        <f t="shared" ca="1" si="132"/>
        <v>-161209969.08449611</v>
      </c>
      <c r="M1655" s="471">
        <f t="shared" si="134"/>
        <v>0.05</v>
      </c>
      <c r="N1655" s="475">
        <f t="shared" si="135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33"/>
        <v>-161209969.08449611</v>
      </c>
      <c r="J1656" s="455">
        <f t="array" ref="J1656">IFERROR(INDEX('Retirement Calculator'!J:J,MATCH('Isaac 401k'!N1656,'Retirement Calculator'!A:A,0),0),0)</f>
        <v>0</v>
      </c>
      <c r="K1656" s="455">
        <f t="shared" ca="1" si="131"/>
        <v>-671708.20451873378</v>
      </c>
      <c r="L1656" s="455">
        <f t="shared" ca="1" si="132"/>
        <v>-161881677.28901485</v>
      </c>
      <c r="M1656" s="471">
        <f t="shared" si="134"/>
        <v>0.05</v>
      </c>
      <c r="N1656" s="475">
        <f t="shared" si="135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33"/>
        <v>-161881677.28901485</v>
      </c>
      <c r="J1657" s="455">
        <f t="array" ref="J1657">IFERROR(INDEX('Retirement Calculator'!J:J,MATCH('Isaac 401k'!N1657,'Retirement Calculator'!A:A,0),0),0)</f>
        <v>0</v>
      </c>
      <c r="K1657" s="455">
        <f t="shared" ca="1" si="131"/>
        <v>-674506.98870422854</v>
      </c>
      <c r="L1657" s="455">
        <f t="shared" ca="1" si="132"/>
        <v>-162556184.27771908</v>
      </c>
      <c r="M1657" s="471">
        <f t="shared" si="134"/>
        <v>0.05</v>
      </c>
      <c r="N1657" s="475">
        <f t="shared" si="135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33"/>
        <v>-162556184.27771908</v>
      </c>
      <c r="J1658" s="455">
        <f t="array" ref="J1658">IFERROR(INDEX('Retirement Calculator'!J:J,MATCH('Isaac 401k'!N1658,'Retirement Calculator'!A:A,0),0),0)</f>
        <v>0</v>
      </c>
      <c r="K1658" s="455">
        <f t="shared" ca="1" si="131"/>
        <v>-677317.43449049618</v>
      </c>
      <c r="L1658" s="455">
        <f t="shared" ca="1" si="132"/>
        <v>-163233501.71220958</v>
      </c>
      <c r="M1658" s="471">
        <f t="shared" si="134"/>
        <v>0.05</v>
      </c>
      <c r="N1658" s="475">
        <f t="shared" si="135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33"/>
        <v>-163233501.71220958</v>
      </c>
      <c r="J1659" s="455">
        <f t="array" ref="J1659">IFERROR(INDEX('Retirement Calculator'!J:J,MATCH('Isaac 401k'!N1659,'Retirement Calculator'!A:A,0),0),0)</f>
        <v>0</v>
      </c>
      <c r="K1659" s="455">
        <f t="shared" ca="1" si="131"/>
        <v>-680139.59046753997</v>
      </c>
      <c r="L1659" s="455">
        <f t="shared" ca="1" si="132"/>
        <v>-163913641.30267712</v>
      </c>
      <c r="M1659" s="471">
        <f t="shared" si="134"/>
        <v>0.05</v>
      </c>
      <c r="N1659" s="475">
        <f t="shared" si="135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33"/>
        <v>-163913641.30267712</v>
      </c>
      <c r="J1660" s="455">
        <f t="array" ref="J1660">IFERROR(INDEX('Retirement Calculator'!J:J,MATCH('Isaac 401k'!N1660,'Retirement Calculator'!A:A,0),0),0)</f>
        <v>0</v>
      </c>
      <c r="K1660" s="455">
        <f t="shared" ca="1" si="131"/>
        <v>-682973.50542782131</v>
      </c>
      <c r="L1660" s="455">
        <f t="shared" ca="1" si="132"/>
        <v>-164596614.80810493</v>
      </c>
      <c r="M1660" s="471">
        <f t="shared" si="134"/>
        <v>0.05</v>
      </c>
      <c r="N1660" s="475">
        <f t="shared" si="135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33"/>
        <v>-164596614.80810493</v>
      </c>
      <c r="J1661" s="455">
        <f t="array" ref="J1661">IFERROR(INDEX('Retirement Calculator'!J:J,MATCH('Isaac 401k'!N1661,'Retirement Calculator'!A:A,0),0),0)</f>
        <v>0</v>
      </c>
      <c r="K1661" s="455">
        <f t="shared" ca="1" si="131"/>
        <v>-685819.22836710385</v>
      </c>
      <c r="L1661" s="455">
        <f t="shared" ca="1" si="132"/>
        <v>-165282434.03647202</v>
      </c>
      <c r="M1661" s="471">
        <f t="shared" si="134"/>
        <v>0.05</v>
      </c>
      <c r="N1661" s="475">
        <f t="shared" si="135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33"/>
        <v>-165282434.03647202</v>
      </c>
      <c r="J1662" s="455">
        <f t="array" ref="J1662">IFERROR(INDEX('Retirement Calculator'!J:J,MATCH('Isaac 401k'!N1662,'Retirement Calculator'!A:A,0),0),0)</f>
        <v>0</v>
      </c>
      <c r="K1662" s="455">
        <f t="shared" ca="1" si="131"/>
        <v>-688676.80848530005</v>
      </c>
      <c r="L1662" s="455">
        <f t="shared" ca="1" si="132"/>
        <v>-165971110.84495732</v>
      </c>
      <c r="M1662" s="471">
        <f t="shared" si="134"/>
        <v>0.05</v>
      </c>
      <c r="N1662" s="475">
        <f t="shared" si="135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33"/>
        <v>-165971110.84495732</v>
      </c>
      <c r="J1663" s="455">
        <f t="array" ref="J1663">IFERROR(INDEX('Retirement Calculator'!J:J,MATCH('Isaac 401k'!N1663,'Retirement Calculator'!A:A,0),0),0)</f>
        <v>0</v>
      </c>
      <c r="K1663" s="455">
        <f t="shared" ca="1" si="131"/>
        <v>-691546.29518732219</v>
      </c>
      <c r="L1663" s="455">
        <f t="shared" ca="1" si="132"/>
        <v>-166662657.14014465</v>
      </c>
      <c r="M1663" s="471">
        <f t="shared" si="134"/>
        <v>0.05</v>
      </c>
      <c r="N1663" s="475">
        <f t="shared" si="135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33"/>
        <v>-166662657.14014465</v>
      </c>
      <c r="J1664" s="455">
        <f t="array" ref="J1664">IFERROR(INDEX('Retirement Calculator'!J:J,MATCH('Isaac 401k'!N1664,'Retirement Calculator'!A:A,0),0),0)</f>
        <v>0</v>
      </c>
      <c r="K1664" s="455">
        <f t="shared" ca="1" si="131"/>
        <v>-694427.73808393604</v>
      </c>
      <c r="L1664" s="455">
        <f t="shared" ca="1" si="132"/>
        <v>-167357084.87822857</v>
      </c>
      <c r="M1664" s="471">
        <f t="shared" si="134"/>
        <v>0.05</v>
      </c>
      <c r="N1664" s="475">
        <f t="shared" si="135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33"/>
        <v>-167357084.87822857</v>
      </c>
      <c r="J1665" s="455">
        <f t="array" ref="J1665">IFERROR(INDEX('Retirement Calculator'!J:J,MATCH('Isaac 401k'!N1665,'Retirement Calculator'!A:A,0),0),0)</f>
        <v>0</v>
      </c>
      <c r="K1665" s="455">
        <f t="shared" ca="1" si="131"/>
        <v>-697321.18699261907</v>
      </c>
      <c r="L1665" s="455">
        <f t="shared" ca="1" si="132"/>
        <v>-168054406.06522119</v>
      </c>
      <c r="M1665" s="471">
        <f t="shared" si="134"/>
        <v>0.05</v>
      </c>
      <c r="N1665" s="475">
        <f t="shared" si="135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33"/>
        <v>-168054406.06522119</v>
      </c>
      <c r="J1666" s="455">
        <f t="array" ref="J1666">IFERROR(INDEX('Retirement Calculator'!J:J,MATCH('Isaac 401k'!N1666,'Retirement Calculator'!A:A,0),0),0)</f>
        <v>0</v>
      </c>
      <c r="K1666" s="455">
        <f t="shared" ca="1" si="131"/>
        <v>-700226.69193842157</v>
      </c>
      <c r="L1666" s="455">
        <f t="shared" ca="1" si="132"/>
        <v>-168754632.75715962</v>
      </c>
      <c r="M1666" s="471">
        <f t="shared" si="134"/>
        <v>0.05</v>
      </c>
      <c r="N1666" s="475">
        <f t="shared" si="135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33"/>
        <v>-168754632.75715962</v>
      </c>
      <c r="J1667" s="455">
        <f t="array" ref="J1667">IFERROR(INDEX('Retirement Calculator'!J:J,MATCH('Isaac 401k'!N1667,'Retirement Calculator'!A:A,0),0),0)</f>
        <v>0</v>
      </c>
      <c r="K1667" s="455">
        <f t="shared" ca="1" si="131"/>
        <v>-703144.30315483175</v>
      </c>
      <c r="L1667" s="455">
        <f t="shared" ca="1" si="132"/>
        <v>-169457777.06031445</v>
      </c>
      <c r="M1667" s="471">
        <f t="shared" si="134"/>
        <v>0.05</v>
      </c>
      <c r="N1667" s="475">
        <f t="shared" si="135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33"/>
        <v>-169457777.06031445</v>
      </c>
      <c r="J1668" s="455">
        <f t="array" ref="J1668">IFERROR(INDEX('Retirement Calculator'!J:J,MATCH('Isaac 401k'!N1668,'Retirement Calculator'!A:A,0),0),0)</f>
        <v>0</v>
      </c>
      <c r="K1668" s="455">
        <f t="shared" ca="1" si="131"/>
        <v>-706074.07108464348</v>
      </c>
      <c r="L1668" s="455">
        <f t="shared" ca="1" si="132"/>
        <v>-170163851.1313991</v>
      </c>
      <c r="M1668" s="471">
        <f t="shared" si="134"/>
        <v>0.05</v>
      </c>
      <c r="N1668" s="475">
        <f t="shared" si="135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33"/>
        <v>-170163851.1313991</v>
      </c>
      <c r="J1669" s="455">
        <f t="array" ref="J1669">IFERROR(INDEX('Retirement Calculator'!J:J,MATCH('Isaac 401k'!N1669,'Retirement Calculator'!A:A,0),0),0)</f>
        <v>0</v>
      </c>
      <c r="K1669" s="455">
        <f t="shared" ca="1" si="131"/>
        <v>-709016.04638082953</v>
      </c>
      <c r="L1669" s="455">
        <f t="shared" ca="1" si="132"/>
        <v>-170872867.17777991</v>
      </c>
      <c r="M1669" s="471">
        <f t="shared" si="134"/>
        <v>0.05</v>
      </c>
      <c r="N1669" s="475">
        <f t="shared" si="135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33"/>
        <v>-170872867.17777991</v>
      </c>
      <c r="J1670" s="455">
        <f t="array" ref="J1670">IFERROR(INDEX('Retirement Calculator'!J:J,MATCH('Isaac 401k'!N1670,'Retirement Calculator'!A:A,0),0),0)</f>
        <v>0</v>
      </c>
      <c r="K1670" s="455">
        <f t="shared" ca="1" si="131"/>
        <v>-711970.27990741632</v>
      </c>
      <c r="L1670" s="455">
        <f t="shared" ca="1" si="132"/>
        <v>-171584837.45768732</v>
      </c>
      <c r="M1670" s="471">
        <f t="shared" si="134"/>
        <v>0.05</v>
      </c>
      <c r="N1670" s="475">
        <f t="shared" si="135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33"/>
        <v>-171584837.45768732</v>
      </c>
      <c r="J1671" s="455">
        <f t="array" ref="J1671">IFERROR(INDEX('Retirement Calculator'!J:J,MATCH('Isaac 401k'!N1671,'Retirement Calculator'!A:A,0),0),0)</f>
        <v>0</v>
      </c>
      <c r="K1671" s="455">
        <f t="shared" ca="1" si="131"/>
        <v>-714936.82274036377</v>
      </c>
      <c r="L1671" s="455">
        <f t="shared" ca="1" si="132"/>
        <v>-172299774.28042769</v>
      </c>
      <c r="M1671" s="471">
        <f t="shared" si="134"/>
        <v>0.05</v>
      </c>
      <c r="N1671" s="475">
        <f t="shared" si="135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33"/>
        <v>-172299774.28042769</v>
      </c>
      <c r="J1672" s="455">
        <f t="array" ref="J1672">IFERROR(INDEX('Retirement Calculator'!J:J,MATCH('Isaac 401k'!N1672,'Retirement Calculator'!A:A,0),0),0)</f>
        <v>0</v>
      </c>
      <c r="K1672" s="455">
        <f t="shared" ca="1" si="131"/>
        <v>-717915.72616844869</v>
      </c>
      <c r="L1672" s="455">
        <f t="shared" ca="1" si="132"/>
        <v>-173017690.00659615</v>
      </c>
      <c r="M1672" s="471">
        <f t="shared" si="134"/>
        <v>0.05</v>
      </c>
      <c r="N1672" s="475">
        <f t="shared" si="135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33"/>
        <v>-173017690.00659615</v>
      </c>
      <c r="J1673" s="455">
        <f t="array" ref="J1673">IFERROR(INDEX('Retirement Calculator'!J:J,MATCH('Isaac 401k'!N1673,'Retirement Calculator'!A:A,0),0),0)</f>
        <v>0</v>
      </c>
      <c r="K1673" s="455">
        <f t="shared" ca="1" si="131"/>
        <v>-720907.04169415066</v>
      </c>
      <c r="L1673" s="455">
        <f t="shared" ca="1" si="132"/>
        <v>-173738597.04829031</v>
      </c>
      <c r="M1673" s="471">
        <f t="shared" si="134"/>
        <v>0.05</v>
      </c>
      <c r="N1673" s="475">
        <f t="shared" si="135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33"/>
        <v>-173738597.04829031</v>
      </c>
      <c r="J1674" s="455">
        <f t="array" ref="J1674">IFERROR(INDEX('Retirement Calculator'!J:J,MATCH('Isaac 401k'!N1674,'Retirement Calculator'!A:A,0),0),0)</f>
        <v>0</v>
      </c>
      <c r="K1674" s="455">
        <f t="shared" ca="1" si="131"/>
        <v>-723910.82103454298</v>
      </c>
      <c r="L1674" s="455">
        <f t="shared" ca="1" si="132"/>
        <v>-174462507.86932486</v>
      </c>
      <c r="M1674" s="471">
        <f t="shared" si="134"/>
        <v>0.05</v>
      </c>
      <c r="N1674" s="475">
        <f t="shared" si="135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33"/>
        <v>-174462507.86932486</v>
      </c>
      <c r="J1675" s="455">
        <f t="array" ref="J1675">IFERROR(INDEX('Retirement Calculator'!J:J,MATCH('Isaac 401k'!N1675,'Retirement Calculator'!A:A,0),0),0)</f>
        <v>0</v>
      </c>
      <c r="K1675" s="455">
        <f t="shared" ca="1" si="131"/>
        <v>-726927.11612218688</v>
      </c>
      <c r="L1675" s="455">
        <f t="shared" ca="1" si="132"/>
        <v>-175189434.98544705</v>
      </c>
      <c r="M1675" s="471">
        <f t="shared" si="134"/>
        <v>0.05</v>
      </c>
      <c r="N1675" s="475">
        <f t="shared" si="135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33"/>
        <v>-175189434.98544705</v>
      </c>
      <c r="J1676" s="455">
        <f t="array" ref="J1676">IFERROR(INDEX('Retirement Calculator'!J:J,MATCH('Isaac 401k'!N1676,'Retirement Calculator'!A:A,0),0),0)</f>
        <v>0</v>
      </c>
      <c r="K1676" s="455">
        <f t="shared" ca="1" si="131"/>
        <v>-729955.97910602938</v>
      </c>
      <c r="L1676" s="455">
        <f t="shared" ca="1" si="132"/>
        <v>-175919390.96455309</v>
      </c>
      <c r="M1676" s="471">
        <f t="shared" si="134"/>
        <v>0.05</v>
      </c>
      <c r="N1676" s="475">
        <f t="shared" si="135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33"/>
        <v>-175919390.96455309</v>
      </c>
      <c r="J1677" s="455">
        <f t="array" ref="J1677">IFERROR(INDEX('Retirement Calculator'!J:J,MATCH('Isaac 401k'!N1677,'Retirement Calculator'!A:A,0),0),0)</f>
        <v>0</v>
      </c>
      <c r="K1677" s="455">
        <f t="shared" ca="1" si="131"/>
        <v>-732997.46235230449</v>
      </c>
      <c r="L1677" s="455">
        <f t="shared" ca="1" si="132"/>
        <v>-176652388.42690539</v>
      </c>
      <c r="M1677" s="471">
        <f t="shared" si="134"/>
        <v>0.05</v>
      </c>
      <c r="N1677" s="475">
        <f t="shared" si="135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33"/>
        <v>-176652388.42690539</v>
      </c>
      <c r="J1678" s="455">
        <f t="array" ref="J1678">IFERROR(INDEX('Retirement Calculator'!J:J,MATCH('Isaac 401k'!N1678,'Retirement Calculator'!A:A,0),0),0)</f>
        <v>0</v>
      </c>
      <c r="K1678" s="455">
        <f t="shared" ca="1" si="131"/>
        <v>-736051.61844543915</v>
      </c>
      <c r="L1678" s="455">
        <f t="shared" ca="1" si="132"/>
        <v>-177388440.04535082</v>
      </c>
      <c r="M1678" s="471">
        <f t="shared" si="134"/>
        <v>0.05</v>
      </c>
      <c r="N1678" s="475">
        <f t="shared" si="135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33"/>
        <v>-177388440.04535082</v>
      </c>
      <c r="J1679" s="455">
        <f t="array" ref="J1679">IFERROR(INDEX('Retirement Calculator'!J:J,MATCH('Isaac 401k'!N1679,'Retirement Calculator'!A:A,0),0),0)</f>
        <v>0</v>
      </c>
      <c r="K1679" s="455">
        <f t="shared" ca="1" si="131"/>
        <v>-739118.50018896174</v>
      </c>
      <c r="L1679" s="455">
        <f t="shared" ca="1" si="132"/>
        <v>-178127558.5455398</v>
      </c>
      <c r="M1679" s="471">
        <f t="shared" si="134"/>
        <v>0.05</v>
      </c>
      <c r="N1679" s="475">
        <f t="shared" si="135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33"/>
        <v>-178127558.5455398</v>
      </c>
      <c r="J1680" s="455">
        <f t="array" ref="J1680">IFERROR(INDEX('Retirement Calculator'!J:J,MATCH('Isaac 401k'!N1680,'Retirement Calculator'!A:A,0),0),0)</f>
        <v>0</v>
      </c>
      <c r="K1680" s="455">
        <f t="shared" ca="1" si="131"/>
        <v>-742198.16060641583</v>
      </c>
      <c r="L1680" s="455">
        <f t="shared" ca="1" si="132"/>
        <v>-178869756.70614621</v>
      </c>
      <c r="M1680" s="471">
        <f t="shared" si="134"/>
        <v>0.05</v>
      </c>
      <c r="N1680" s="475">
        <f t="shared" si="135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33"/>
        <v>-178869756.70614621</v>
      </c>
      <c r="J1681" s="455">
        <f t="array" ref="J1681">IFERROR(INDEX('Retirement Calculator'!J:J,MATCH('Isaac 401k'!N1681,'Retirement Calculator'!A:A,0),0),0)</f>
        <v>0</v>
      </c>
      <c r="K1681" s="455">
        <f t="shared" ca="1" si="131"/>
        <v>-745290.65294227586</v>
      </c>
      <c r="L1681" s="455">
        <f t="shared" ca="1" si="132"/>
        <v>-179615047.35908848</v>
      </c>
      <c r="M1681" s="471">
        <f t="shared" si="134"/>
        <v>0.05</v>
      </c>
      <c r="N1681" s="475">
        <f t="shared" si="135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33"/>
        <v>-179615047.35908848</v>
      </c>
      <c r="J1682" s="455">
        <f t="array" ref="J1682">IFERROR(INDEX('Retirement Calculator'!J:J,MATCH('Isaac 401k'!N1682,'Retirement Calculator'!A:A,0),0),0)</f>
        <v>0</v>
      </c>
      <c r="K1682" s="455">
        <f t="shared" ca="1" si="131"/>
        <v>-748396.03066286864</v>
      </c>
      <c r="L1682" s="455">
        <f t="shared" ca="1" si="132"/>
        <v>-180363443.38975134</v>
      </c>
      <c r="M1682" s="471">
        <f t="shared" si="134"/>
        <v>0.05</v>
      </c>
      <c r="N1682" s="475">
        <f t="shared" si="135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33"/>
        <v>-180363443.38975134</v>
      </c>
      <c r="J1683" s="455">
        <f t="array" ref="J1683">IFERROR(INDEX('Retirement Calculator'!J:J,MATCH('Isaac 401k'!N1683,'Retirement Calculator'!A:A,0),0),0)</f>
        <v>0</v>
      </c>
      <c r="K1683" s="455">
        <f t="shared" ca="1" si="131"/>
        <v>-751514.34745729726</v>
      </c>
      <c r="L1683" s="455">
        <f t="shared" ca="1" si="132"/>
        <v>-181114957.73720863</v>
      </c>
      <c r="M1683" s="471">
        <f t="shared" si="134"/>
        <v>0.05</v>
      </c>
      <c r="N1683" s="475">
        <f t="shared" si="135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33"/>
        <v>-181114957.73720863</v>
      </c>
      <c r="J1684" s="455">
        <f t="array" ref="J1684">IFERROR(INDEX('Retirement Calculator'!J:J,MATCH('Isaac 401k'!N1684,'Retirement Calculator'!A:A,0),0),0)</f>
        <v>0</v>
      </c>
      <c r="K1684" s="455">
        <f t="shared" ca="1" si="131"/>
        <v>-754645.65723836934</v>
      </c>
      <c r="L1684" s="455">
        <f t="shared" ca="1" si="132"/>
        <v>-181869603.394447</v>
      </c>
      <c r="M1684" s="471">
        <f t="shared" si="134"/>
        <v>0.05</v>
      </c>
      <c r="N1684" s="475">
        <f t="shared" si="135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33"/>
        <v>-181869603.394447</v>
      </c>
      <c r="J1685" s="455">
        <f t="array" ref="J1685">IFERROR(INDEX('Retirement Calculator'!J:J,MATCH('Isaac 401k'!N1685,'Retirement Calculator'!A:A,0),0),0)</f>
        <v>0</v>
      </c>
      <c r="K1685" s="455">
        <f t="shared" ca="1" si="131"/>
        <v>-757790.01414352912</v>
      </c>
      <c r="L1685" s="455">
        <f t="shared" ca="1" si="132"/>
        <v>-182627393.40859053</v>
      </c>
      <c r="M1685" s="471">
        <f t="shared" si="134"/>
        <v>0.05</v>
      </c>
      <c r="N1685" s="475">
        <f t="shared" si="135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33"/>
        <v>-182627393.40859053</v>
      </c>
      <c r="J1686" s="455">
        <f t="array" ref="J1686">IFERROR(INDEX('Retirement Calculator'!J:J,MATCH('Isaac 401k'!N1686,'Retirement Calculator'!A:A,0),0),0)</f>
        <v>0</v>
      </c>
      <c r="K1686" s="455">
        <f t="shared" ca="1" si="131"/>
        <v>-760947.4725357939</v>
      </c>
      <c r="L1686" s="455">
        <f t="shared" ca="1" si="132"/>
        <v>-183388340.88112631</v>
      </c>
      <c r="M1686" s="471">
        <f t="shared" si="134"/>
        <v>0.05</v>
      </c>
      <c r="N1686" s="475">
        <f t="shared" si="135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33"/>
        <v>-183388340.88112631</v>
      </c>
      <c r="J1687" s="455">
        <f t="array" ref="J1687">IFERROR(INDEX('Retirement Calculator'!J:J,MATCH('Isaac 401k'!N1687,'Retirement Calculator'!A:A,0),0),0)</f>
        <v>0</v>
      </c>
      <c r="K1687" s="455">
        <f t="shared" ca="1" si="131"/>
        <v>-764118.08700469299</v>
      </c>
      <c r="L1687" s="455">
        <f t="shared" ca="1" si="132"/>
        <v>-184152458.96813101</v>
      </c>
      <c r="M1687" s="471">
        <f t="shared" si="134"/>
        <v>0.05</v>
      </c>
      <c r="N1687" s="475">
        <f t="shared" si="135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33"/>
        <v>-184152458.96813101</v>
      </c>
      <c r="J1688" s="455">
        <f t="array" ref="J1688">IFERROR(INDEX('Retirement Calculator'!J:J,MATCH('Isaac 401k'!N1688,'Retirement Calculator'!A:A,0),0),0)</f>
        <v>0</v>
      </c>
      <c r="K1688" s="455">
        <f t="shared" ca="1" si="131"/>
        <v>-767301.91236721247</v>
      </c>
      <c r="L1688" s="455">
        <f t="shared" ca="1" si="132"/>
        <v>-184919760.88049823</v>
      </c>
      <c r="M1688" s="471">
        <f t="shared" si="134"/>
        <v>0.05</v>
      </c>
      <c r="N1688" s="475">
        <f t="shared" si="135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33"/>
        <v>-184919760.88049823</v>
      </c>
      <c r="J1689" s="455">
        <f t="array" ref="J1689">IFERROR(INDEX('Retirement Calculator'!J:J,MATCH('Isaac 401k'!N1689,'Retirement Calculator'!A:A,0),0),0)</f>
        <v>0</v>
      </c>
      <c r="K1689" s="455">
        <f t="shared" ca="1" si="131"/>
        <v>-770499.0036687426</v>
      </c>
      <c r="L1689" s="455">
        <f t="shared" ca="1" si="132"/>
        <v>-185690259.88416699</v>
      </c>
      <c r="M1689" s="471">
        <f t="shared" si="134"/>
        <v>0.05</v>
      </c>
      <c r="N1689" s="475">
        <f t="shared" si="135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33"/>
        <v>-185690259.88416699</v>
      </c>
      <c r="J1690" s="455">
        <f t="array" ref="J1690">IFERROR(INDEX('Retirement Calculator'!J:J,MATCH('Isaac 401k'!N1690,'Retirement Calculator'!A:A,0),0),0)</f>
        <v>0</v>
      </c>
      <c r="K1690" s="455">
        <f t="shared" ca="1" si="131"/>
        <v>-773709.41618402908</v>
      </c>
      <c r="L1690" s="455">
        <f t="shared" ca="1" si="132"/>
        <v>-186463969.30035102</v>
      </c>
      <c r="M1690" s="471">
        <f t="shared" si="134"/>
        <v>0.05</v>
      </c>
      <c r="N1690" s="475">
        <f t="shared" si="135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33"/>
        <v>-186463969.30035102</v>
      </c>
      <c r="J1691" s="455">
        <f t="array" ref="J1691">IFERROR(INDEX('Retirement Calculator'!J:J,MATCH('Isaac 401k'!N1691,'Retirement Calculator'!A:A,0),0),0)</f>
        <v>0</v>
      </c>
      <c r="K1691" s="455">
        <f t="shared" ca="1" si="131"/>
        <v>-776933.20541812922</v>
      </c>
      <c r="L1691" s="455">
        <f t="shared" ca="1" si="132"/>
        <v>-187240902.50576916</v>
      </c>
      <c r="M1691" s="471">
        <f t="shared" si="134"/>
        <v>0.05</v>
      </c>
      <c r="N1691" s="475">
        <f t="shared" si="135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33"/>
        <v>-187240902.50576916</v>
      </c>
      <c r="J1692" s="455">
        <f t="array" ref="J1692">IFERROR(INDEX('Retirement Calculator'!J:J,MATCH('Isaac 401k'!N1692,'Retirement Calculator'!A:A,0),0),0)</f>
        <v>0</v>
      </c>
      <c r="K1692" s="455">
        <f t="shared" ca="1" si="131"/>
        <v>-780170.42710737151</v>
      </c>
      <c r="L1692" s="455">
        <f t="shared" ca="1" si="132"/>
        <v>-188021072.93287653</v>
      </c>
      <c r="M1692" s="471">
        <f t="shared" si="134"/>
        <v>0.05</v>
      </c>
      <c r="N1692" s="475">
        <f t="shared" si="135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33"/>
        <v>-188021072.93287653</v>
      </c>
      <c r="J1693" s="455">
        <f t="array" ref="J1693">IFERROR(INDEX('Retirement Calculator'!J:J,MATCH('Isaac 401k'!N1693,'Retirement Calculator'!A:A,0),0),0)</f>
        <v>0</v>
      </c>
      <c r="K1693" s="455">
        <f t="shared" ca="1" si="131"/>
        <v>-783421.13722031889</v>
      </c>
      <c r="L1693" s="455">
        <f t="shared" ca="1" si="132"/>
        <v>-188804494.07009685</v>
      </c>
      <c r="M1693" s="471">
        <f t="shared" si="134"/>
        <v>0.05</v>
      </c>
      <c r="N1693" s="475">
        <f t="shared" si="135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33"/>
        <v>-188804494.07009685</v>
      </c>
      <c r="J1694" s="455">
        <f t="array" ref="J1694">IFERROR(INDEX('Retirement Calculator'!J:J,MATCH('Isaac 401k'!N1694,'Retirement Calculator'!A:A,0),0),0)</f>
        <v>0</v>
      </c>
      <c r="K1694" s="455">
        <f t="shared" ca="1" si="131"/>
        <v>-786685.39195873681</v>
      </c>
      <c r="L1694" s="455">
        <f t="shared" ca="1" si="132"/>
        <v>-189591179.46205559</v>
      </c>
      <c r="M1694" s="471">
        <f t="shared" si="134"/>
        <v>0.05</v>
      </c>
      <c r="N1694" s="475">
        <f t="shared" si="135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33"/>
        <v>-189591179.46205559</v>
      </c>
      <c r="J1695" s="455">
        <f t="array" ref="J1695">IFERROR(INDEX('Retirement Calculator'!J:J,MATCH('Isaac 401k'!N1695,'Retirement Calculator'!A:A,0),0),0)</f>
        <v>0</v>
      </c>
      <c r="K1695" s="455">
        <f t="shared" ca="1" si="131"/>
        <v>-789963.247758565</v>
      </c>
      <c r="L1695" s="455">
        <f t="shared" ca="1" si="132"/>
        <v>-190381142.70981416</v>
      </c>
      <c r="M1695" s="471">
        <f t="shared" si="134"/>
        <v>0.05</v>
      </c>
      <c r="N1695" s="475">
        <f t="shared" si="135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33"/>
        <v>-190381142.70981416</v>
      </c>
      <c r="J1696" s="455">
        <f t="array" ref="J1696">IFERROR(INDEX('Retirement Calculator'!J:J,MATCH('Isaac 401k'!N1696,'Retirement Calculator'!A:A,0),0),0)</f>
        <v>0</v>
      </c>
      <c r="K1696" s="455">
        <f t="shared" ca="1" si="131"/>
        <v>-793254.76129089238</v>
      </c>
      <c r="L1696" s="455">
        <f t="shared" ca="1" si="132"/>
        <v>-191174397.47110504</v>
      </c>
      <c r="M1696" s="471">
        <f t="shared" si="134"/>
        <v>0.05</v>
      </c>
      <c r="N1696" s="475">
        <f t="shared" si="135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33"/>
        <v>-191174397.47110504</v>
      </c>
      <c r="J1697" s="455">
        <f t="array" ref="J1697">IFERROR(INDEX('Retirement Calculator'!J:J,MATCH('Isaac 401k'!N1697,'Retirement Calculator'!A:A,0),0),0)</f>
        <v>0</v>
      </c>
      <c r="K1697" s="455">
        <f t="shared" ca="1" si="131"/>
        <v>-796559.98946293769</v>
      </c>
      <c r="L1697" s="455">
        <f t="shared" ca="1" si="132"/>
        <v>-191970957.46056798</v>
      </c>
      <c r="M1697" s="471">
        <f t="shared" si="134"/>
        <v>0.05</v>
      </c>
      <c r="N1697" s="475">
        <f t="shared" si="135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33"/>
        <v>-191970957.46056798</v>
      </c>
      <c r="J1698" s="455">
        <f t="array" ref="J1698">IFERROR(INDEX('Retirement Calculator'!J:J,MATCH('Isaac 401k'!N1698,'Retirement Calculator'!A:A,0),0),0)</f>
        <v>0</v>
      </c>
      <c r="K1698" s="455">
        <f t="shared" ca="1" si="131"/>
        <v>-799878.98941903329</v>
      </c>
      <c r="L1698" s="455">
        <f t="shared" ca="1" si="132"/>
        <v>-192770836.44998702</v>
      </c>
      <c r="M1698" s="471">
        <f t="shared" si="134"/>
        <v>0.05</v>
      </c>
      <c r="N1698" s="475">
        <f t="shared" si="135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33"/>
        <v>-192770836.44998702</v>
      </c>
      <c r="J1699" s="455">
        <f t="array" ref="J1699">IFERROR(INDEX('Retirement Calculator'!J:J,MATCH('Isaac 401k'!N1699,'Retirement Calculator'!A:A,0),0),0)</f>
        <v>0</v>
      </c>
      <c r="K1699" s="455">
        <f t="shared" ca="1" si="131"/>
        <v>-803211.81854161259</v>
      </c>
      <c r="L1699" s="455">
        <f t="shared" ca="1" si="132"/>
        <v>-193574048.26852864</v>
      </c>
      <c r="M1699" s="471">
        <f t="shared" si="134"/>
        <v>0.05</v>
      </c>
      <c r="N1699" s="475">
        <f t="shared" si="135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33"/>
        <v>-193574048.26852864</v>
      </c>
      <c r="J1700" s="455">
        <f t="array" ref="J1700">IFERROR(INDEX('Retirement Calculator'!J:J,MATCH('Isaac 401k'!N1700,'Retirement Calculator'!A:A,0),0),0)</f>
        <v>0</v>
      </c>
      <c r="K1700" s="455">
        <f t="shared" ca="1" si="131"/>
        <v>-806558.53445220261</v>
      </c>
      <c r="L1700" s="455">
        <f t="shared" ca="1" si="132"/>
        <v>-194380606.80298084</v>
      </c>
      <c r="M1700" s="471">
        <f t="shared" si="134"/>
        <v>0.05</v>
      </c>
      <c r="N1700" s="475">
        <f t="shared" si="135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33"/>
        <v>-194380606.80298084</v>
      </c>
      <c r="J1701" s="455">
        <f t="array" ref="J1701">IFERROR(INDEX('Retirement Calculator'!J:J,MATCH('Isaac 401k'!N1701,'Retirement Calculator'!A:A,0),0),0)</f>
        <v>0</v>
      </c>
      <c r="K1701" s="455">
        <f t="shared" ca="1" si="131"/>
        <v>-809919.19501242018</v>
      </c>
      <c r="L1701" s="455">
        <f t="shared" ca="1" si="132"/>
        <v>-195190525.99799326</v>
      </c>
      <c r="M1701" s="471">
        <f t="shared" si="134"/>
        <v>0.05</v>
      </c>
      <c r="N1701" s="475">
        <f t="shared" si="135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33"/>
        <v>-195190525.99799326</v>
      </c>
      <c r="J1702" s="455">
        <f t="array" ref="J1702">IFERROR(INDEX('Retirement Calculator'!J:J,MATCH('Isaac 401k'!N1702,'Retirement Calculator'!A:A,0),0),0)</f>
        <v>0</v>
      </c>
      <c r="K1702" s="455">
        <f t="shared" ca="1" si="131"/>
        <v>-813293.85832497186</v>
      </c>
      <c r="L1702" s="455">
        <f t="shared" ca="1" si="132"/>
        <v>-196003819.85631824</v>
      </c>
      <c r="M1702" s="471">
        <f t="shared" si="134"/>
        <v>0.05</v>
      </c>
      <c r="N1702" s="475">
        <f t="shared" si="135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33"/>
        <v>-196003819.85631824</v>
      </c>
      <c r="J1703" s="455">
        <f t="array" ref="J1703">IFERROR(INDEX('Retirement Calculator'!J:J,MATCH('Isaac 401k'!N1703,'Retirement Calculator'!A:A,0),0),0)</f>
        <v>0</v>
      </c>
      <c r="K1703" s="455">
        <f t="shared" ca="1" si="131"/>
        <v>-816682.58273465931</v>
      </c>
      <c r="L1703" s="455">
        <f t="shared" ca="1" si="132"/>
        <v>-196820502.43905288</v>
      </c>
      <c r="M1703" s="471">
        <f t="shared" si="134"/>
        <v>0.05</v>
      </c>
      <c r="N1703" s="475">
        <f t="shared" si="135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33"/>
        <v>-196820502.43905288</v>
      </c>
      <c r="J1704" s="455">
        <f t="array" ref="J1704">IFERROR(INDEX('Retirement Calculator'!J:J,MATCH('Isaac 401k'!N1704,'Retirement Calculator'!A:A,0),0),0)</f>
        <v>0</v>
      </c>
      <c r="K1704" s="455">
        <f t="shared" ca="1" si="131"/>
        <v>-820085.42682938697</v>
      </c>
      <c r="L1704" s="455">
        <f t="shared" ca="1" si="132"/>
        <v>-197640587.86588228</v>
      </c>
      <c r="M1704" s="471">
        <f t="shared" si="134"/>
        <v>0.05</v>
      </c>
      <c r="N1704" s="475">
        <f t="shared" si="135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33"/>
        <v>-197640587.86588228</v>
      </c>
      <c r="J1705" s="455">
        <f t="array" ref="J1705">IFERROR(INDEX('Retirement Calculator'!J:J,MATCH('Isaac 401k'!N1705,'Retirement Calculator'!A:A,0),0),0)</f>
        <v>0</v>
      </c>
      <c r="K1705" s="455">
        <f t="shared" ca="1" si="131"/>
        <v>-823502.44944117614</v>
      </c>
      <c r="L1705" s="455">
        <f t="shared" ca="1" si="132"/>
        <v>-198464090.31532344</v>
      </c>
      <c r="M1705" s="471">
        <f t="shared" si="134"/>
        <v>0.05</v>
      </c>
      <c r="N1705" s="475">
        <f t="shared" si="135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33"/>
        <v>-198464090.31532344</v>
      </c>
      <c r="J1706" s="455">
        <f t="array" ref="J1706">IFERROR(INDEX('Retirement Calculator'!J:J,MATCH('Isaac 401k'!N1706,'Retirement Calculator'!A:A,0),0),0)</f>
        <v>0</v>
      </c>
      <c r="K1706" s="455">
        <f t="shared" ca="1" si="131"/>
        <v>-826933.70964718098</v>
      </c>
      <c r="L1706" s="455">
        <f t="shared" ca="1" si="132"/>
        <v>-199291024.02497062</v>
      </c>
      <c r="M1706" s="471">
        <f t="shared" si="134"/>
        <v>0.05</v>
      </c>
      <c r="N1706" s="475">
        <f t="shared" si="135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33"/>
        <v>-199291024.02497062</v>
      </c>
      <c r="J1707" s="455">
        <f t="array" ref="J1707">IFERROR(INDEX('Retirement Calculator'!J:J,MATCH('Isaac 401k'!N1707,'Retirement Calculator'!A:A,0),0),0)</f>
        <v>0</v>
      </c>
      <c r="K1707" s="455">
        <f t="shared" ca="1" si="131"/>
        <v>-830379.26677071094</v>
      </c>
      <c r="L1707" s="455">
        <f t="shared" ca="1" si="132"/>
        <v>-200121403.29174134</v>
      </c>
      <c r="M1707" s="471">
        <f t="shared" si="134"/>
        <v>0.05</v>
      </c>
      <c r="N1707" s="475">
        <f t="shared" si="135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33"/>
        <v>-200121403.29174134</v>
      </c>
      <c r="J1708" s="455">
        <f t="array" ref="J1708">IFERROR(INDEX('Retirement Calculator'!J:J,MATCH('Isaac 401k'!N1708,'Retirement Calculator'!A:A,0),0),0)</f>
        <v>0</v>
      </c>
      <c r="K1708" s="455">
        <f t="shared" ca="1" si="131"/>
        <v>-833839.18038225558</v>
      </c>
      <c r="L1708" s="455">
        <f t="shared" ca="1" si="132"/>
        <v>-200955242.47212359</v>
      </c>
      <c r="M1708" s="471">
        <f t="shared" si="134"/>
        <v>0.05</v>
      </c>
      <c r="N1708" s="475">
        <f t="shared" si="135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33"/>
        <v>-200955242.47212359</v>
      </c>
      <c r="J1709" s="455">
        <f t="array" ref="J1709">IFERROR(INDEX('Retirement Calculator'!J:J,MATCH('Isaac 401k'!N1709,'Retirement Calculator'!A:A,0),0),0)</f>
        <v>0</v>
      </c>
      <c r="K1709" s="455">
        <f t="shared" ca="1" si="131"/>
        <v>-837313.51030051499</v>
      </c>
      <c r="L1709" s="455">
        <f t="shared" ca="1" si="132"/>
        <v>-201792555.98242411</v>
      </c>
      <c r="M1709" s="471">
        <f t="shared" si="134"/>
        <v>0.05</v>
      </c>
      <c r="N1709" s="475">
        <f t="shared" si="135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33"/>
        <v>-201792555.98242411</v>
      </c>
      <c r="J1710" s="455">
        <f t="array" ref="J1710">IFERROR(INDEX('Retirement Calculator'!J:J,MATCH('Isaac 401k'!N1710,'Retirement Calculator'!A:A,0),0),0)</f>
        <v>0</v>
      </c>
      <c r="K1710" s="455">
        <f t="shared" ca="1" si="131"/>
        <v>-840802.31659343373</v>
      </c>
      <c r="L1710" s="455">
        <f t="shared" ca="1" si="132"/>
        <v>-202633358.29901755</v>
      </c>
      <c r="M1710" s="471">
        <f t="shared" si="134"/>
        <v>0.05</v>
      </c>
      <c r="N1710" s="475">
        <f t="shared" si="135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33"/>
        <v>-202633358.29901755</v>
      </c>
      <c r="J1711" s="455">
        <f t="array" ref="J1711">IFERROR(INDEX('Retirement Calculator'!J:J,MATCH('Isaac 401k'!N1711,'Retirement Calculator'!A:A,0),0),0)</f>
        <v>0</v>
      </c>
      <c r="K1711" s="455">
        <f t="shared" ca="1" si="131"/>
        <v>-844305.65957923979</v>
      </c>
      <c r="L1711" s="455">
        <f t="shared" ca="1" si="132"/>
        <v>-203477663.9585968</v>
      </c>
      <c r="M1711" s="471">
        <f t="shared" si="134"/>
        <v>0.05</v>
      </c>
      <c r="N1711" s="475">
        <f t="shared" si="135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33"/>
        <v>-203477663.9585968</v>
      </c>
      <c r="J1712" s="455">
        <f t="array" ref="J1712">IFERROR(INDEX('Retirement Calculator'!J:J,MATCH('Isaac 401k'!N1712,'Retirement Calculator'!A:A,0),0),0)</f>
        <v>0</v>
      </c>
      <c r="K1712" s="455">
        <f t="shared" ca="1" si="131"/>
        <v>-847823.59982748667</v>
      </c>
      <c r="L1712" s="455">
        <f t="shared" ca="1" si="132"/>
        <v>-204325487.55842429</v>
      </c>
      <c r="M1712" s="471">
        <f t="shared" si="134"/>
        <v>0.05</v>
      </c>
      <c r="N1712" s="475">
        <f t="shared" si="135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33"/>
        <v>-204325487.55842429</v>
      </c>
      <c r="J1713" s="455">
        <f t="array" ref="J1713">IFERROR(INDEX('Retirement Calculator'!J:J,MATCH('Isaac 401k'!N1713,'Retirement Calculator'!A:A,0),0),0)</f>
        <v>0</v>
      </c>
      <c r="K1713" s="455">
        <f t="shared" ca="1" si="131"/>
        <v>-851356.19816010119</v>
      </c>
      <c r="L1713" s="455">
        <f t="shared" ca="1" si="132"/>
        <v>-205176843.75658441</v>
      </c>
      <c r="M1713" s="471">
        <f t="shared" si="134"/>
        <v>0.05</v>
      </c>
      <c r="N1713" s="475">
        <f t="shared" si="135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33"/>
        <v>-205176843.75658441</v>
      </c>
      <c r="J1714" s="455">
        <f t="array" ref="J1714">IFERROR(INDEX('Retirement Calculator'!J:J,MATCH('Isaac 401k'!N1714,'Retirement Calculator'!A:A,0),0),0)</f>
        <v>0</v>
      </c>
      <c r="K1714" s="455">
        <f t="shared" ca="1" si="131"/>
        <v>-854903.51565243502</v>
      </c>
      <c r="L1714" s="455">
        <f t="shared" ca="1" si="132"/>
        <v>-206031747.27223685</v>
      </c>
      <c r="M1714" s="471">
        <f t="shared" si="134"/>
        <v>0.05</v>
      </c>
      <c r="N1714" s="475">
        <f t="shared" si="135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33"/>
        <v>-206031747.27223685</v>
      </c>
      <c r="J1715" s="455">
        <f t="array" ref="J1715">IFERROR(INDEX('Retirement Calculator'!J:J,MATCH('Isaac 401k'!N1715,'Retirement Calculator'!A:A,0),0),0)</f>
        <v>0</v>
      </c>
      <c r="K1715" s="455">
        <f t="shared" ca="1" si="131"/>
        <v>-858465.61363432021</v>
      </c>
      <c r="L1715" s="455">
        <f t="shared" ca="1" si="132"/>
        <v>-206890212.88587117</v>
      </c>
      <c r="M1715" s="471">
        <f t="shared" si="134"/>
        <v>0.05</v>
      </c>
      <c r="N1715" s="475">
        <f t="shared" si="135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33"/>
        <v>-206890212.88587117</v>
      </c>
      <c r="J1716" s="455">
        <f t="array" ref="J1716">IFERROR(INDEX('Retirement Calculator'!J:J,MATCH('Isaac 401k'!N1716,'Retirement Calculator'!A:A,0),0),0)</f>
        <v>0</v>
      </c>
      <c r="K1716" s="455">
        <f t="shared" ca="1" si="131"/>
        <v>-862042.5536911299</v>
      </c>
      <c r="L1716" s="455">
        <f t="shared" ca="1" si="132"/>
        <v>-207752255.43956229</v>
      </c>
      <c r="M1716" s="471">
        <f t="shared" si="134"/>
        <v>0.05</v>
      </c>
      <c r="N1716" s="475">
        <f t="shared" si="135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33"/>
        <v>-207752255.43956229</v>
      </c>
      <c r="J1717" s="455">
        <f t="array" ref="J1717">IFERROR(INDEX('Retirement Calculator'!J:J,MATCH('Isaac 401k'!N1717,'Retirement Calculator'!A:A,0),0),0)</f>
        <v>0</v>
      </c>
      <c r="K1717" s="455">
        <f t="shared" ca="1" si="131"/>
        <v>-865634.39766484289</v>
      </c>
      <c r="L1717" s="455">
        <f t="shared" ca="1" si="132"/>
        <v>-208617889.83722714</v>
      </c>
      <c r="M1717" s="471">
        <f t="shared" si="134"/>
        <v>0.05</v>
      </c>
      <c r="N1717" s="475">
        <f t="shared" si="135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33"/>
        <v>-208617889.83722714</v>
      </c>
      <c r="J1718" s="455">
        <f t="array" ref="J1718">IFERROR(INDEX('Retirement Calculator'!J:J,MATCH('Isaac 401k'!N1718,'Retirement Calculator'!A:A,0),0),0)</f>
        <v>0</v>
      </c>
      <c r="K1718" s="455">
        <f t="shared" ca="1" si="131"/>
        <v>-869241.20765511307</v>
      </c>
      <c r="L1718" s="455">
        <f t="shared" ca="1" si="132"/>
        <v>-209487131.04488224</v>
      </c>
      <c r="M1718" s="471">
        <f t="shared" si="134"/>
        <v>0.05</v>
      </c>
      <c r="N1718" s="475">
        <f t="shared" si="135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33"/>
        <v>-209487131.04488224</v>
      </c>
      <c r="J1719" s="455">
        <f t="array" ref="J1719">IFERROR(INDEX('Retirement Calculator'!J:J,MATCH('Isaac 401k'!N1719,'Retirement Calculator'!A:A,0),0),0)</f>
        <v>0</v>
      </c>
      <c r="K1719" s="455">
        <f t="shared" ca="1" si="131"/>
        <v>-872863.04602034262</v>
      </c>
      <c r="L1719" s="455">
        <f t="shared" ca="1" si="132"/>
        <v>-210359994.09090257</v>
      </c>
      <c r="M1719" s="471">
        <f t="shared" si="134"/>
        <v>0.05</v>
      </c>
      <c r="N1719" s="475">
        <f t="shared" si="135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33"/>
        <v>-210359994.09090257</v>
      </c>
      <c r="J1720" s="455">
        <f t="array" ref="J1720">IFERROR(INDEX('Retirement Calculator'!J:J,MATCH('Isaac 401k'!N1720,'Retirement Calculator'!A:A,0),0),0)</f>
        <v>0</v>
      </c>
      <c r="K1720" s="455">
        <f t="shared" ca="1" si="131"/>
        <v>-876499.9753787606</v>
      </c>
      <c r="L1720" s="455">
        <f t="shared" ca="1" si="132"/>
        <v>-211236494.06628132</v>
      </c>
      <c r="M1720" s="471">
        <f t="shared" si="134"/>
        <v>0.05</v>
      </c>
      <c r="N1720" s="475">
        <f t="shared" si="135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33"/>
        <v>-211236494.06628132</v>
      </c>
      <c r="J1721" s="455">
        <f t="array" ref="J1721">IFERROR(INDEX('Retirement Calculator'!J:J,MATCH('Isaac 401k'!N1721,'Retirement Calculator'!A:A,0),0),0)</f>
        <v>0</v>
      </c>
      <c r="K1721" s="455">
        <f t="shared" ca="1" si="131"/>
        <v>-880152.05860950553</v>
      </c>
      <c r="L1721" s="455">
        <f t="shared" ca="1" si="132"/>
        <v>-212116646.12489083</v>
      </c>
      <c r="M1721" s="471">
        <f t="shared" si="134"/>
        <v>0.05</v>
      </c>
      <c r="N1721" s="475">
        <f t="shared" si="135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33"/>
        <v>-212116646.12489083</v>
      </c>
      <c r="J1722" s="455">
        <f t="array" ref="J1722">IFERROR(INDEX('Retirement Calculator'!J:J,MATCH('Isaac 401k'!N1722,'Retirement Calculator'!A:A,0),0),0)</f>
        <v>0</v>
      </c>
      <c r="K1722" s="455">
        <f t="shared" ca="1" si="131"/>
        <v>-883819.35885371175</v>
      </c>
      <c r="L1722" s="455">
        <f t="shared" ca="1" si="132"/>
        <v>-213000465.48374453</v>
      </c>
      <c r="M1722" s="471">
        <f t="shared" si="134"/>
        <v>0.05</v>
      </c>
      <c r="N1722" s="475">
        <f t="shared" si="135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33"/>
        <v>-213000465.48374453</v>
      </c>
      <c r="J1723" s="455">
        <f t="array" ref="J1723">IFERROR(INDEX('Retirement Calculator'!J:J,MATCH('Isaac 401k'!N1723,'Retirement Calculator'!A:A,0),0),0)</f>
        <v>0</v>
      </c>
      <c r="K1723" s="455">
        <f t="shared" ca="1" si="131"/>
        <v>-887501.93951560219</v>
      </c>
      <c r="L1723" s="455">
        <f t="shared" ca="1" si="132"/>
        <v>-213887967.42326012</v>
      </c>
      <c r="M1723" s="471">
        <f t="shared" si="134"/>
        <v>0.05</v>
      </c>
      <c r="N1723" s="475">
        <f t="shared" si="135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33"/>
        <v>-213887967.42326012</v>
      </c>
      <c r="J1724" s="455">
        <f t="array" ref="J1724">IFERROR(INDEX('Retirement Calculator'!J:J,MATCH('Isaac 401k'!N1724,'Retirement Calculator'!A:A,0),0),0)</f>
        <v>0</v>
      </c>
      <c r="K1724" s="455">
        <f t="shared" ca="1" si="131"/>
        <v>-891199.86426358379</v>
      </c>
      <c r="L1724" s="455">
        <f t="shared" ca="1" si="132"/>
        <v>-214779167.28752372</v>
      </c>
      <c r="M1724" s="471">
        <f t="shared" si="134"/>
        <v>0.05</v>
      </c>
      <c r="N1724" s="475">
        <f t="shared" si="135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33"/>
        <v>-214779167.28752372</v>
      </c>
      <c r="J1725" s="455">
        <f t="array" ref="J1725">IFERROR(INDEX('Retirement Calculator'!J:J,MATCH('Isaac 401k'!N1725,'Retirement Calculator'!A:A,0),0),0)</f>
        <v>0</v>
      </c>
      <c r="K1725" s="455">
        <f t="shared" ca="1" si="131"/>
        <v>-894913.19703134871</v>
      </c>
      <c r="L1725" s="455">
        <f t="shared" ca="1" si="132"/>
        <v>-215674080.48455507</v>
      </c>
      <c r="M1725" s="471">
        <f t="shared" si="134"/>
        <v>0.05</v>
      </c>
      <c r="N1725" s="475">
        <f t="shared" si="135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33"/>
        <v>-215674080.48455507</v>
      </c>
      <c r="J1726" s="455">
        <f t="array" ref="J1726">IFERROR(INDEX('Retirement Calculator'!J:J,MATCH('Isaac 401k'!N1726,'Retirement Calculator'!A:A,0),0),0)</f>
        <v>0</v>
      </c>
      <c r="K1726" s="455">
        <f t="shared" ca="1" si="131"/>
        <v>-898642.0020189794</v>
      </c>
      <c r="L1726" s="455">
        <f t="shared" ca="1" si="132"/>
        <v>-216572722.48657405</v>
      </c>
      <c r="M1726" s="471">
        <f t="shared" si="134"/>
        <v>0.05</v>
      </c>
      <c r="N1726" s="475">
        <f t="shared" si="135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33"/>
        <v>-216572722.48657405</v>
      </c>
      <c r="J1727" s="455">
        <f t="array" ref="J1727">IFERROR(INDEX('Retirement Calculator'!J:J,MATCH('Isaac 401k'!N1727,'Retirement Calculator'!A:A,0),0),0)</f>
        <v>0</v>
      </c>
      <c r="K1727" s="455">
        <f t="shared" ca="1" si="131"/>
        <v>-902386.3436940586</v>
      </c>
      <c r="L1727" s="455">
        <f t="shared" ca="1" si="132"/>
        <v>-217475108.83026811</v>
      </c>
      <c r="M1727" s="471">
        <f t="shared" si="134"/>
        <v>0.05</v>
      </c>
      <c r="N1727" s="475">
        <f t="shared" si="135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33"/>
        <v>-217475108.83026811</v>
      </c>
      <c r="J1728" s="455">
        <f t="array" ref="J1728">IFERROR(INDEX('Retirement Calculator'!J:J,MATCH('Isaac 401k'!N1728,'Retirement Calculator'!A:A,0),0),0)</f>
        <v>0</v>
      </c>
      <c r="K1728" s="455">
        <f t="shared" ca="1" si="131"/>
        <v>-906146.28679278388</v>
      </c>
      <c r="L1728" s="455">
        <f t="shared" ca="1" si="132"/>
        <v>-218381255.1170609</v>
      </c>
      <c r="M1728" s="471">
        <f t="shared" si="134"/>
        <v>0.05</v>
      </c>
      <c r="N1728" s="475">
        <f t="shared" si="135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33"/>
        <v>-218381255.1170609</v>
      </c>
      <c r="J1729" s="455">
        <f t="array" ref="J1729">IFERROR(INDEX('Retirement Calculator'!J:J,MATCH('Isaac 401k'!N1729,'Retirement Calculator'!A:A,0),0),0)</f>
        <v>0</v>
      </c>
      <c r="K1729" s="455">
        <f t="shared" ca="1" si="131"/>
        <v>-909921.89632108703</v>
      </c>
      <c r="L1729" s="455">
        <f t="shared" ca="1" si="132"/>
        <v>-219291177.01338199</v>
      </c>
      <c r="M1729" s="471">
        <f t="shared" si="134"/>
        <v>0.05</v>
      </c>
      <c r="N1729" s="475">
        <f t="shared" si="135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33"/>
        <v>-219291177.01338199</v>
      </c>
      <c r="J1730" s="455">
        <f t="array" ref="J1730">IFERROR(INDEX('Retirement Calculator'!J:J,MATCH('Isaac 401k'!N1730,'Retirement Calculator'!A:A,0),0),0)</f>
        <v>0</v>
      </c>
      <c r="K1730" s="455">
        <f t="shared" ca="1" si="131"/>
        <v>-913713.23755575821</v>
      </c>
      <c r="L1730" s="455">
        <f t="shared" ca="1" si="132"/>
        <v>-220204890.25093776</v>
      </c>
      <c r="M1730" s="471">
        <f t="shared" si="134"/>
        <v>0.05</v>
      </c>
      <c r="N1730" s="475">
        <f t="shared" si="135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33"/>
        <v>-220204890.25093776</v>
      </c>
      <c r="J1731" s="455">
        <f t="array" ref="J1731">IFERROR(INDEX('Retirement Calculator'!J:J,MATCH('Isaac 401k'!N1731,'Retirement Calculator'!A:A,0),0),0)</f>
        <v>0</v>
      </c>
      <c r="K1731" s="455">
        <f t="shared" ca="1" si="131"/>
        <v>-917520.37604557397</v>
      </c>
      <c r="L1731" s="455">
        <f t="shared" ca="1" si="132"/>
        <v>-221122410.62698334</v>
      </c>
      <c r="M1731" s="471">
        <f t="shared" si="134"/>
        <v>0.05</v>
      </c>
      <c r="N1731" s="475">
        <f t="shared" si="135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33"/>
        <v>-221122410.62698334</v>
      </c>
      <c r="J1732" s="455">
        <f t="array" ref="J1732">IFERROR(INDEX('Retirement Calculator'!J:J,MATCH('Isaac 401k'!N1732,'Retirement Calculator'!A:A,0),0),0)</f>
        <v>0</v>
      </c>
      <c r="K1732" s="455">
        <f t="shared" ca="1" si="131"/>
        <v>-921343.37761243072</v>
      </c>
      <c r="L1732" s="455">
        <f t="shared" ca="1" si="132"/>
        <v>-222043754.00459579</v>
      </c>
      <c r="M1732" s="471">
        <f t="shared" si="134"/>
        <v>0.05</v>
      </c>
      <c r="N1732" s="475">
        <f t="shared" si="135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33"/>
        <v>-222043754.00459579</v>
      </c>
      <c r="J1733" s="455">
        <f t="array" ref="J1733">IFERROR(INDEX('Retirement Calculator'!J:J,MATCH('Isaac 401k'!N1733,'Retirement Calculator'!A:A,0),0),0)</f>
        <v>0</v>
      </c>
      <c r="K1733" s="455">
        <f t="shared" ca="1" si="131"/>
        <v>-925182.30835248239</v>
      </c>
      <c r="L1733" s="455">
        <f t="shared" ca="1" si="132"/>
        <v>-222968936.31294826</v>
      </c>
      <c r="M1733" s="471">
        <f t="shared" si="134"/>
        <v>0.05</v>
      </c>
      <c r="N1733" s="475">
        <f t="shared" si="135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33"/>
        <v>-222968936.31294826</v>
      </c>
      <c r="J1734" s="455">
        <f t="array" ref="J1734">IFERROR(INDEX('Retirement Calculator'!J:J,MATCH('Isaac 401k'!N1734,'Retirement Calculator'!A:A,0),0),0)</f>
        <v>0</v>
      </c>
      <c r="K1734" s="455">
        <f t="shared" ca="1" si="131"/>
        <v>-929037.2346372843</v>
      </c>
      <c r="L1734" s="455">
        <f t="shared" ca="1" si="132"/>
        <v>-223897973.54758555</v>
      </c>
      <c r="M1734" s="471">
        <f t="shared" si="134"/>
        <v>0.05</v>
      </c>
      <c r="N1734" s="475">
        <f t="shared" si="135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33"/>
        <v>-223897973.54758555</v>
      </c>
      <c r="J1735" s="455">
        <f t="array" ref="J1735">IFERROR(INDEX('Retirement Calculator'!J:J,MATCH('Isaac 401k'!N1735,'Retirement Calculator'!A:A,0),0),0)</f>
        <v>0</v>
      </c>
      <c r="K1735" s="455">
        <f t="shared" ca="1" si="131"/>
        <v>-932908.22311493976</v>
      </c>
      <c r="L1735" s="455">
        <f t="shared" ca="1" si="132"/>
        <v>-224830881.77070048</v>
      </c>
      <c r="M1735" s="471">
        <f t="shared" si="134"/>
        <v>0.05</v>
      </c>
      <c r="N1735" s="475">
        <f t="shared" si="135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33"/>
        <v>-224830881.77070048</v>
      </c>
      <c r="J1736" s="455">
        <f t="array" ref="J1736">IFERROR(INDEX('Retirement Calculator'!J:J,MATCH('Isaac 401k'!N1736,'Retirement Calculator'!A:A,0),0),0)</f>
        <v>0</v>
      </c>
      <c r="K1736" s="455">
        <f t="shared" ca="1" si="131"/>
        <v>-936795.34071125195</v>
      </c>
      <c r="L1736" s="455">
        <f t="shared" ca="1" si="132"/>
        <v>-225767677.11141175</v>
      </c>
      <c r="M1736" s="471">
        <f t="shared" si="134"/>
        <v>0.05</v>
      </c>
      <c r="N1736" s="475">
        <f t="shared" si="135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33"/>
        <v>-225767677.11141175</v>
      </c>
      <c r="J1737" s="455">
        <f t="array" ref="J1737">IFERROR(INDEX('Retirement Calculator'!J:J,MATCH('Isaac 401k'!N1737,'Retirement Calculator'!A:A,0),0),0)</f>
        <v>0</v>
      </c>
      <c r="K1737" s="455">
        <f t="shared" ca="1" si="131"/>
        <v>-940698.65463088232</v>
      </c>
      <c r="L1737" s="455">
        <f t="shared" ca="1" si="132"/>
        <v>-226708375.76604262</v>
      </c>
      <c r="M1737" s="471">
        <f t="shared" si="134"/>
        <v>0.05</v>
      </c>
      <c r="N1737" s="475">
        <f t="shared" si="135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33"/>
        <v>-226708375.76604262</v>
      </c>
      <c r="J1738" s="455">
        <f t="array" ref="J1738">IFERROR(INDEX('Retirement Calculator'!J:J,MATCH('Isaac 401k'!N1738,'Retirement Calculator'!A:A,0),0),0)</f>
        <v>0</v>
      </c>
      <c r="K1738" s="455">
        <f t="shared" ca="1" si="131"/>
        <v>-944618.23235851096</v>
      </c>
      <c r="L1738" s="455">
        <f t="shared" ca="1" si="132"/>
        <v>-227652993.99840114</v>
      </c>
      <c r="M1738" s="471">
        <f t="shared" si="134"/>
        <v>0.05</v>
      </c>
      <c r="N1738" s="475">
        <f t="shared" si="135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33"/>
        <v>-227652993.99840114</v>
      </c>
      <c r="J1739" s="455">
        <f t="array" ref="J1739">IFERROR(INDEX('Retirement Calculator'!J:J,MATCH('Isaac 401k'!N1739,'Retirement Calculator'!A:A,0),0),0)</f>
        <v>0</v>
      </c>
      <c r="K1739" s="455">
        <f t="shared" ca="1" si="131"/>
        <v>-948554.14166000462</v>
      </c>
      <c r="L1739" s="455">
        <f t="shared" ca="1" si="132"/>
        <v>-228601548.14006114</v>
      </c>
      <c r="M1739" s="471">
        <f t="shared" si="134"/>
        <v>0.05</v>
      </c>
      <c r="N1739" s="475">
        <f t="shared" si="135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33"/>
        <v>-228601548.14006114</v>
      </c>
      <c r="J1740" s="455">
        <f t="array" ref="J1740">IFERROR(INDEX('Retirement Calculator'!J:J,MATCH('Isaac 401k'!N1740,'Retirement Calculator'!A:A,0),0),0)</f>
        <v>0</v>
      </c>
      <c r="K1740" s="455">
        <f t="shared" ca="1" si="131"/>
        <v>-952506.4505835881</v>
      </c>
      <c r="L1740" s="455">
        <f t="shared" ca="1" si="132"/>
        <v>-229554054.59064472</v>
      </c>
      <c r="M1740" s="471">
        <f t="shared" si="134"/>
        <v>0.05</v>
      </c>
      <c r="N1740" s="475">
        <f t="shared" si="135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33"/>
        <v>-229554054.59064472</v>
      </c>
      <c r="J1741" s="455">
        <f t="array" ref="J1741">IFERROR(INDEX('Retirement Calculator'!J:J,MATCH('Isaac 401k'!N1741,'Retirement Calculator'!A:A,0),0),0)</f>
        <v>0</v>
      </c>
      <c r="K1741" s="455">
        <f t="shared" ca="1" si="131"/>
        <v>-956475.22746101976</v>
      </c>
      <c r="L1741" s="455">
        <f t="shared" ca="1" si="132"/>
        <v>-230510529.81810573</v>
      </c>
      <c r="M1741" s="471">
        <f t="shared" si="134"/>
        <v>0.05</v>
      </c>
      <c r="N1741" s="475">
        <f t="shared" si="135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33"/>
        <v>-230510529.81810573</v>
      </c>
      <c r="J1742" s="455">
        <f t="array" ref="J1742">IFERROR(INDEX('Retirement Calculator'!J:J,MATCH('Isaac 401k'!N1742,'Retirement Calculator'!A:A,0),0),0)</f>
        <v>0</v>
      </c>
      <c r="K1742" s="455">
        <f t="shared" ca="1" si="131"/>
        <v>-960460.54090877401</v>
      </c>
      <c r="L1742" s="455">
        <f t="shared" ca="1" si="132"/>
        <v>-231470990.35901451</v>
      </c>
      <c r="M1742" s="471">
        <f t="shared" si="134"/>
        <v>0.05</v>
      </c>
      <c r="N1742" s="475">
        <f t="shared" si="135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33"/>
        <v>-231470990.35901451</v>
      </c>
      <c r="J1743" s="455">
        <f t="array" ref="J1743">IFERROR(INDEX('Retirement Calculator'!J:J,MATCH('Isaac 401k'!N1743,'Retirement Calculator'!A:A,0),0),0)</f>
        <v>0</v>
      </c>
      <c r="K1743" s="455">
        <f t="shared" ca="1" si="131"/>
        <v>-964462.45982922695</v>
      </c>
      <c r="L1743" s="455">
        <f t="shared" ca="1" si="132"/>
        <v>-232435452.81884375</v>
      </c>
      <c r="M1743" s="471">
        <f t="shared" si="134"/>
        <v>0.05</v>
      </c>
      <c r="N1743" s="475">
        <f t="shared" si="135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33"/>
        <v>-232435452.81884375</v>
      </c>
      <c r="J1744" s="455">
        <f t="array" ref="J1744">IFERROR(INDEX('Retirement Calculator'!J:J,MATCH('Isaac 401k'!N1744,'Retirement Calculator'!A:A,0),0),0)</f>
        <v>0</v>
      </c>
      <c r="K1744" s="455">
        <f t="shared" ca="1" si="131"/>
        <v>-968481.05341184896</v>
      </c>
      <c r="L1744" s="455">
        <f t="shared" ca="1" si="132"/>
        <v>-233403933.87225559</v>
      </c>
      <c r="M1744" s="471">
        <f t="shared" si="134"/>
        <v>0.05</v>
      </c>
      <c r="N1744" s="475">
        <f t="shared" si="135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33"/>
        <v>-233403933.87225559</v>
      </c>
      <c r="J1745" s="455">
        <f t="array" ref="J1745">IFERROR(INDEX('Retirement Calculator'!J:J,MATCH('Isaac 401k'!N1745,'Retirement Calculator'!A:A,0),0),0)</f>
        <v>0</v>
      </c>
      <c r="K1745" s="455">
        <f t="shared" ca="1" si="131"/>
        <v>-972516.39113439829</v>
      </c>
      <c r="L1745" s="455">
        <f t="shared" ca="1" si="132"/>
        <v>-234376450.26339</v>
      </c>
      <c r="M1745" s="471">
        <f t="shared" si="134"/>
        <v>0.05</v>
      </c>
      <c r="N1745" s="475">
        <f t="shared" si="135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33"/>
        <v>-234376450.26339</v>
      </c>
      <c r="J1746" s="455">
        <f t="array" ref="J1746">IFERROR(INDEX('Retirement Calculator'!J:J,MATCH('Isaac 401k'!N1746,'Retirement Calculator'!A:A,0),0),0)</f>
        <v>0</v>
      </c>
      <c r="K1746" s="455">
        <f t="shared" ca="1" si="131"/>
        <v>-976568.54276412504</v>
      </c>
      <c r="L1746" s="455">
        <f t="shared" ca="1" si="132"/>
        <v>-235353018.80615413</v>
      </c>
      <c r="M1746" s="471">
        <f t="shared" si="134"/>
        <v>0.05</v>
      </c>
      <c r="N1746" s="475">
        <f t="shared" si="135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33"/>
        <v>-235353018.80615413</v>
      </c>
      <c r="J1747" s="455">
        <f t="array" ref="J1747">IFERROR(INDEX('Retirement Calculator'!J:J,MATCH('Isaac 401k'!N1747,'Retirement Calculator'!A:A,0),0),0)</f>
        <v>0</v>
      </c>
      <c r="K1747" s="455">
        <f t="shared" ca="1" si="131"/>
        <v>-980637.57835897559</v>
      </c>
      <c r="L1747" s="455">
        <f t="shared" ca="1" si="132"/>
        <v>-236333656.38451311</v>
      </c>
      <c r="M1747" s="471">
        <f t="shared" si="134"/>
        <v>0.05</v>
      </c>
      <c r="N1747" s="475">
        <f t="shared" si="135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33"/>
        <v>-236333656.38451311</v>
      </c>
      <c r="J1748" s="455">
        <f t="array" ref="J1748">IFERROR(INDEX('Retirement Calculator'!J:J,MATCH('Isaac 401k'!N1748,'Retirement Calculator'!A:A,0),0),0)</f>
        <v>0</v>
      </c>
      <c r="K1748" s="455">
        <f t="shared" ca="1" si="131"/>
        <v>-984723.56826880458</v>
      </c>
      <c r="L1748" s="455">
        <f t="shared" ca="1" si="132"/>
        <v>-237318379.95278192</v>
      </c>
      <c r="M1748" s="471">
        <f t="shared" si="134"/>
        <v>0.05</v>
      </c>
      <c r="N1748" s="475">
        <f t="shared" si="135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33"/>
        <v>-237318379.95278192</v>
      </c>
      <c r="J1749" s="455">
        <f t="array" ref="J1749">IFERROR(INDEX('Retirement Calculator'!J:J,MATCH('Isaac 401k'!N1749,'Retirement Calculator'!A:A,0),0),0)</f>
        <v>0</v>
      </c>
      <c r="K1749" s="455">
        <f t="shared" ca="1" si="131"/>
        <v>-988826.58313659148</v>
      </c>
      <c r="L1749" s="455">
        <f t="shared" ca="1" si="132"/>
        <v>-238307206.5359185</v>
      </c>
      <c r="M1749" s="471">
        <f t="shared" si="134"/>
        <v>0.05</v>
      </c>
      <c r="N1749" s="475">
        <f t="shared" si="135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33"/>
        <v>-238307206.5359185</v>
      </c>
      <c r="J1750" s="455">
        <f t="array" ref="J1750">IFERROR(INDEX('Retirement Calculator'!J:J,MATCH('Isaac 401k'!N1750,'Retirement Calculator'!A:A,0),0),0)</f>
        <v>0</v>
      </c>
      <c r="K1750" s="455">
        <f t="shared" ca="1" si="131"/>
        <v>-992946.69389966025</v>
      </c>
      <c r="L1750" s="455">
        <f t="shared" ca="1" si="132"/>
        <v>-239300153.22981817</v>
      </c>
      <c r="M1750" s="471">
        <f t="shared" si="134"/>
        <v>0.05</v>
      </c>
      <c r="N1750" s="475">
        <f t="shared" si="135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33"/>
        <v>-239300153.22981817</v>
      </c>
      <c r="J1751" s="455">
        <f t="array" ref="J1751">IFERROR(INDEX('Retirement Calculator'!J:J,MATCH('Isaac 401k'!N1751,'Retirement Calculator'!A:A,0),0),0)</f>
        <v>0</v>
      </c>
      <c r="K1751" s="455">
        <f t="shared" ca="1" si="131"/>
        <v>-997083.97179090919</v>
      </c>
      <c r="L1751" s="455">
        <f t="shared" ca="1" si="132"/>
        <v>-240297237.20160908</v>
      </c>
      <c r="M1751" s="471">
        <f t="shared" si="134"/>
        <v>0.05</v>
      </c>
      <c r="N1751" s="475">
        <f t="shared" si="135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33"/>
        <v>-240297237.20160908</v>
      </c>
      <c r="J1752" s="455">
        <f t="array" ref="J1752">IFERROR(INDEX('Retirement Calculator'!J:J,MATCH('Isaac 401k'!N1752,'Retirement Calculator'!A:A,0),0),0)</f>
        <v>0</v>
      </c>
      <c r="K1752" s="455">
        <f t="shared" ca="1" si="131"/>
        <v>-1001238.4883400378</v>
      </c>
      <c r="L1752" s="455">
        <f t="shared" ca="1" si="132"/>
        <v>-241298475.68994913</v>
      </c>
      <c r="M1752" s="471">
        <f t="shared" si="134"/>
        <v>0.05</v>
      </c>
      <c r="N1752" s="475">
        <f t="shared" si="135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33"/>
        <v>-241298475.68994913</v>
      </c>
      <c r="J1753" s="455">
        <f t="array" ref="J1753">IFERROR(INDEX('Retirement Calculator'!J:J,MATCH('Isaac 401k'!N1753,'Retirement Calculator'!A:A,0),0),0)</f>
        <v>0</v>
      </c>
      <c r="K1753" s="455">
        <f t="shared" ca="1" si="131"/>
        <v>-1005410.3153747881</v>
      </c>
      <c r="L1753" s="455">
        <f t="shared" ca="1" si="132"/>
        <v>-242303886.00532392</v>
      </c>
      <c r="M1753" s="471">
        <f t="shared" si="134"/>
        <v>0.05</v>
      </c>
      <c r="N1753" s="475">
        <f t="shared" si="135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33"/>
        <v>-242303886.00532392</v>
      </c>
      <c r="J1754" s="455">
        <f t="array" ref="J1754">IFERROR(INDEX('Retirement Calculator'!J:J,MATCH('Isaac 401k'!N1754,'Retirement Calculator'!A:A,0),0),0)</f>
        <v>0</v>
      </c>
      <c r="K1754" s="455">
        <f t="shared" ca="1" si="131"/>
        <v>-1009599.525022183</v>
      </c>
      <c r="L1754" s="455">
        <f t="shared" ca="1" si="132"/>
        <v>-243313485.5303461</v>
      </c>
      <c r="M1754" s="471">
        <f t="shared" si="134"/>
        <v>0.05</v>
      </c>
      <c r="N1754" s="475">
        <f t="shared" si="135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33"/>
        <v>-243313485.5303461</v>
      </c>
      <c r="J1755" s="455">
        <f t="array" ref="J1755">IFERROR(INDEX('Retirement Calculator'!J:J,MATCH('Isaac 401k'!N1755,'Retirement Calculator'!A:A,0),0),0)</f>
        <v>0</v>
      </c>
      <c r="K1755" s="455">
        <f t="shared" ca="1" si="131"/>
        <v>-1013806.1897097753</v>
      </c>
      <c r="L1755" s="455">
        <f t="shared" ca="1" si="132"/>
        <v>-244327291.72005588</v>
      </c>
      <c r="M1755" s="471">
        <f t="shared" si="134"/>
        <v>0.05</v>
      </c>
      <c r="N1755" s="475">
        <f t="shared" si="135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33"/>
        <v>-244327291.72005588</v>
      </c>
      <c r="J1756" s="455">
        <f t="array" ref="J1756">IFERROR(INDEX('Retirement Calculator'!J:J,MATCH('Isaac 401k'!N1756,'Retirement Calculator'!A:A,0),0),0)</f>
        <v>0</v>
      </c>
      <c r="K1756" s="455">
        <f t="shared" ca="1" si="131"/>
        <v>-1018030.3821668995</v>
      </c>
      <c r="L1756" s="455">
        <f t="shared" ca="1" si="132"/>
        <v>-245345322.10222277</v>
      </c>
      <c r="M1756" s="471">
        <f t="shared" si="134"/>
        <v>0.05</v>
      </c>
      <c r="N1756" s="475">
        <f t="shared" si="135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33"/>
        <v>-245345322.10222277</v>
      </c>
      <c r="J1757" s="455">
        <f t="array" ref="J1757">IFERROR(INDEX('Retirement Calculator'!J:J,MATCH('Isaac 401k'!N1757,'Retirement Calculator'!A:A,0),0),0)</f>
        <v>0</v>
      </c>
      <c r="K1757" s="455">
        <f t="shared" ca="1" si="131"/>
        <v>-1022272.1754259282</v>
      </c>
      <c r="L1757" s="455">
        <f t="shared" ca="1" si="132"/>
        <v>-246367594.27764869</v>
      </c>
      <c r="M1757" s="471">
        <f t="shared" si="134"/>
        <v>0.05</v>
      </c>
      <c r="N1757" s="475">
        <f t="shared" si="135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33"/>
        <v>-246367594.27764869</v>
      </c>
      <c r="J1758" s="455">
        <f t="array" ref="J1758">IFERROR(INDEX('Retirement Calculator'!J:J,MATCH('Isaac 401k'!N1758,'Retirement Calculator'!A:A,0),0),0)</f>
        <v>0</v>
      </c>
      <c r="K1758" s="455">
        <f t="shared" ca="1" si="131"/>
        <v>-1026531.6428235362</v>
      </c>
      <c r="L1758" s="455">
        <f t="shared" ca="1" si="132"/>
        <v>-247394125.92047223</v>
      </c>
      <c r="M1758" s="471">
        <f t="shared" si="134"/>
        <v>0.05</v>
      </c>
      <c r="N1758" s="475">
        <f t="shared" si="135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33"/>
        <v>-247394125.92047223</v>
      </c>
      <c r="J1759" s="455">
        <f t="array" ref="J1759">IFERROR(INDEX('Retirement Calculator'!J:J,MATCH('Isaac 401k'!N1759,'Retirement Calculator'!A:A,0),0),0)</f>
        <v>0</v>
      </c>
      <c r="K1759" s="455">
        <f t="shared" ca="1" si="131"/>
        <v>-1030808.8580019678</v>
      </c>
      <c r="L1759" s="455">
        <f t="shared" ca="1" si="132"/>
        <v>-248424934.77847421</v>
      </c>
      <c r="M1759" s="471">
        <f t="shared" si="134"/>
        <v>0.05</v>
      </c>
      <c r="N1759" s="475">
        <f t="shared" si="135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33"/>
        <v>-248424934.77847421</v>
      </c>
      <c r="J1760" s="455">
        <f t="array" ref="J1760">IFERROR(INDEX('Retirement Calculator'!J:J,MATCH('Isaac 401k'!N1760,'Retirement Calculator'!A:A,0),0),0)</f>
        <v>0</v>
      </c>
      <c r="K1760" s="455">
        <f t="shared" ca="1" si="131"/>
        <v>-1035103.8949103092</v>
      </c>
      <c r="L1760" s="455">
        <f t="shared" ca="1" si="132"/>
        <v>-249460038.67338452</v>
      </c>
      <c r="M1760" s="471">
        <f t="shared" si="134"/>
        <v>0.05</v>
      </c>
      <c r="N1760" s="475">
        <f t="shared" si="135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33"/>
        <v>-249460038.67338452</v>
      </c>
      <c r="J1761" s="455">
        <f t="array" ref="J1761">IFERROR(INDEX('Retirement Calculator'!J:J,MATCH('Isaac 401k'!N1761,'Retirement Calculator'!A:A,0),0),0)</f>
        <v>0</v>
      </c>
      <c r="K1761" s="455">
        <f t="shared" ca="1" si="131"/>
        <v>-1039416.8278057688</v>
      </c>
      <c r="L1761" s="455">
        <f t="shared" ca="1" si="132"/>
        <v>-250499455.50119027</v>
      </c>
      <c r="M1761" s="471">
        <f t="shared" si="134"/>
        <v>0.05</v>
      </c>
      <c r="N1761" s="475">
        <f t="shared" si="135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33"/>
        <v>-250499455.50119027</v>
      </c>
      <c r="J1762" s="455">
        <f t="array" ref="J1762">IFERROR(INDEX('Retirement Calculator'!J:J,MATCH('Isaac 401k'!N1762,'Retirement Calculator'!A:A,0),0),0)</f>
        <v>0</v>
      </c>
      <c r="K1762" s="455">
        <f t="shared" ca="1" si="131"/>
        <v>-1043747.7312549595</v>
      </c>
      <c r="L1762" s="455">
        <f t="shared" ca="1" si="132"/>
        <v>-251543203.23244524</v>
      </c>
      <c r="M1762" s="471">
        <f t="shared" si="134"/>
        <v>0.05</v>
      </c>
      <c r="N1762" s="475">
        <f t="shared" si="135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33"/>
        <v>-251543203.23244524</v>
      </c>
      <c r="J1763" s="455">
        <f t="array" ref="J1763">IFERROR(INDEX('Retirement Calculator'!J:J,MATCH('Isaac 401k'!N1763,'Retirement Calculator'!A:A,0),0),0)</f>
        <v>0</v>
      </c>
      <c r="K1763" s="455">
        <f t="shared" ca="1" si="131"/>
        <v>-1048096.6801351884</v>
      </c>
      <c r="L1763" s="455">
        <f t="shared" ca="1" si="132"/>
        <v>-252591299.91258043</v>
      </c>
      <c r="M1763" s="471">
        <f t="shared" si="134"/>
        <v>0.05</v>
      </c>
      <c r="N1763" s="475">
        <f t="shared" si="135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33"/>
        <v>-252591299.91258043</v>
      </c>
      <c r="J1764" s="455">
        <f t="array" ref="J1764">IFERROR(INDEX('Retirement Calculator'!J:J,MATCH('Isaac 401k'!N1764,'Retirement Calculator'!A:A,0),0),0)</f>
        <v>0</v>
      </c>
      <c r="K1764" s="455">
        <f t="shared" ca="1" si="131"/>
        <v>-1052463.7496357518</v>
      </c>
      <c r="L1764" s="455">
        <f t="shared" ca="1" si="132"/>
        <v>-253643763.66221619</v>
      </c>
      <c r="M1764" s="471">
        <f t="shared" si="134"/>
        <v>0.05</v>
      </c>
      <c r="N1764" s="475">
        <f t="shared" si="135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33"/>
        <v>-253643763.66221619</v>
      </c>
      <c r="J1765" s="455">
        <f t="array" ref="J1765">IFERROR(INDEX('Retirement Calculator'!J:J,MATCH('Isaac 401k'!N1765,'Retirement Calculator'!A:A,0),0),0)</f>
        <v>0</v>
      </c>
      <c r="K1765" s="455">
        <f t="shared" ca="1" si="131"/>
        <v>-1056849.0152592342</v>
      </c>
      <c r="L1765" s="455">
        <f t="shared" ca="1" si="132"/>
        <v>-254700612.67747542</v>
      </c>
      <c r="M1765" s="471">
        <f t="shared" si="134"/>
        <v>0.05</v>
      </c>
      <c r="N1765" s="475">
        <f t="shared" si="135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33"/>
        <v>-254700612.67747542</v>
      </c>
      <c r="J1766" s="455">
        <f t="array" ref="J1766">IFERROR(INDEX('Retirement Calculator'!J:J,MATCH('Isaac 401k'!N1766,'Retirement Calculator'!A:A,0),0),0)</f>
        <v>0</v>
      </c>
      <c r="K1766" s="455">
        <f t="shared" ca="1" si="131"/>
        <v>-1061252.5528228143</v>
      </c>
      <c r="L1766" s="455">
        <f t="shared" ca="1" si="132"/>
        <v>-255761865.23029825</v>
      </c>
      <c r="M1766" s="471">
        <f t="shared" si="134"/>
        <v>0.05</v>
      </c>
      <c r="N1766" s="475">
        <f t="shared" si="135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33"/>
        <v>-255761865.23029825</v>
      </c>
      <c r="J1767" s="455">
        <f t="array" ref="J1767">IFERROR(INDEX('Retirement Calculator'!J:J,MATCH('Isaac 401k'!N1767,'Retirement Calculator'!A:A,0),0),0)</f>
        <v>0</v>
      </c>
      <c r="K1767" s="455">
        <f t="shared" ca="1" si="131"/>
        <v>-1065674.4384595761</v>
      </c>
      <c r="L1767" s="455">
        <f t="shared" ca="1" si="132"/>
        <v>-256827539.66875783</v>
      </c>
      <c r="M1767" s="471">
        <f t="shared" si="134"/>
        <v>0.05</v>
      </c>
      <c r="N1767" s="475">
        <f t="shared" si="135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33"/>
        <v>-256827539.66875783</v>
      </c>
      <c r="J1768" s="455">
        <f t="array" ref="J1768">IFERROR(INDEX('Retirement Calculator'!J:J,MATCH('Isaac 401k'!N1768,'Retirement Calculator'!A:A,0),0),0)</f>
        <v>0</v>
      </c>
      <c r="K1768" s="455">
        <f t="shared" ca="1" si="131"/>
        <v>-1070114.7486198242</v>
      </c>
      <c r="L1768" s="455">
        <f t="shared" ca="1" si="132"/>
        <v>-257897654.41737765</v>
      </c>
      <c r="M1768" s="471">
        <f t="shared" si="134"/>
        <v>0.05</v>
      </c>
      <c r="N1768" s="475">
        <f t="shared" si="135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33"/>
        <v>-257897654.41737765</v>
      </c>
      <c r="J1769" s="455">
        <f t="array" ref="J1769">IFERROR(INDEX('Retirement Calculator'!J:J,MATCH('Isaac 401k'!N1769,'Retirement Calculator'!A:A,0),0),0)</f>
        <v>0</v>
      </c>
      <c r="K1769" s="455">
        <f t="shared" ca="1" si="131"/>
        <v>-1074573.5600724069</v>
      </c>
      <c r="L1769" s="455">
        <f t="shared" ca="1" si="132"/>
        <v>-258972227.97745004</v>
      </c>
      <c r="M1769" s="471">
        <f t="shared" si="134"/>
        <v>0.05</v>
      </c>
      <c r="N1769" s="475">
        <f t="shared" si="135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33"/>
        <v>-258972227.97745004</v>
      </c>
      <c r="J1770" s="455">
        <f t="array" ref="J1770">IFERROR(INDEX('Retirement Calculator'!J:J,MATCH('Isaac 401k'!N1770,'Retirement Calculator'!A:A,0),0),0)</f>
        <v>0</v>
      </c>
      <c r="K1770" s="455">
        <f t="shared" ca="1" si="131"/>
        <v>-1079050.9499060418</v>
      </c>
      <c r="L1770" s="455">
        <f t="shared" ca="1" si="132"/>
        <v>-260051278.92735609</v>
      </c>
      <c r="M1770" s="471">
        <f t="shared" si="134"/>
        <v>0.05</v>
      </c>
      <c r="N1770" s="475">
        <f t="shared" si="135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33"/>
        <v>-260051278.92735609</v>
      </c>
      <c r="J1771" s="455">
        <f t="array" ref="J1771">IFERROR(INDEX('Retirement Calculator'!J:J,MATCH('Isaac 401k'!N1771,'Retirement Calculator'!A:A,0),0),0)</f>
        <v>0</v>
      </c>
      <c r="K1771" s="455">
        <f t="shared" ca="1" si="131"/>
        <v>-1083546.9955306503</v>
      </c>
      <c r="L1771" s="455">
        <f t="shared" ca="1" si="132"/>
        <v>-261134825.92288676</v>
      </c>
      <c r="M1771" s="471">
        <f t="shared" si="134"/>
        <v>0.05</v>
      </c>
      <c r="N1771" s="475">
        <f t="shared" si="135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33"/>
        <v>-261134825.92288676</v>
      </c>
      <c r="J1772" s="455">
        <f t="array" ref="J1772">IFERROR(INDEX('Retirement Calculator'!J:J,MATCH('Isaac 401k'!N1772,'Retirement Calculator'!A:A,0),0),0)</f>
        <v>0</v>
      </c>
      <c r="K1772" s="455">
        <f t="shared" ca="1" si="131"/>
        <v>-1088061.7746786948</v>
      </c>
      <c r="L1772" s="455">
        <f t="shared" ca="1" si="132"/>
        <v>-262222887.69756547</v>
      </c>
      <c r="M1772" s="471">
        <f t="shared" si="134"/>
        <v>0.05</v>
      </c>
      <c r="N1772" s="475">
        <f t="shared" si="135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33"/>
        <v>-262222887.69756547</v>
      </c>
      <c r="J1773" s="455">
        <f t="array" ref="J1773">IFERROR(INDEX('Retirement Calculator'!J:J,MATCH('Isaac 401k'!N1773,'Retirement Calculator'!A:A,0),0),0)</f>
        <v>0</v>
      </c>
      <c r="K1773" s="455">
        <f t="shared" ca="1" si="131"/>
        <v>-1092595.3654065228</v>
      </c>
      <c r="L1773" s="455">
        <f t="shared" ca="1" si="132"/>
        <v>-263315483.06297198</v>
      </c>
      <c r="M1773" s="471">
        <f t="shared" si="134"/>
        <v>0.05</v>
      </c>
      <c r="N1773" s="475">
        <f t="shared" si="135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33"/>
        <v>-263315483.06297198</v>
      </c>
      <c r="J1774" s="455">
        <f t="array" ref="J1774">IFERROR(INDEX('Retirement Calculator'!J:J,MATCH('Isaac 401k'!N1774,'Retirement Calculator'!A:A,0),0),0)</f>
        <v>0</v>
      </c>
      <c r="K1774" s="455">
        <f t="shared" ca="1" si="131"/>
        <v>-1097147.8460957166</v>
      </c>
      <c r="L1774" s="455">
        <f t="shared" ca="1" si="132"/>
        <v>-264412630.90906769</v>
      </c>
      <c r="M1774" s="471">
        <f t="shared" si="134"/>
        <v>0.05</v>
      </c>
      <c r="N1774" s="475">
        <f t="shared" si="135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33"/>
        <v>-264412630.90906769</v>
      </c>
      <c r="J1775" s="455">
        <f t="array" ref="J1775">IFERROR(INDEX('Retirement Calculator'!J:J,MATCH('Isaac 401k'!N1775,'Retirement Calculator'!A:A,0),0),0)</f>
        <v>0</v>
      </c>
      <c r="K1775" s="455">
        <f t="shared" ca="1" si="131"/>
        <v>-1101719.2954544488</v>
      </c>
      <c r="L1775" s="455">
        <f t="shared" ca="1" si="132"/>
        <v>-265514350.20452213</v>
      </c>
      <c r="M1775" s="471">
        <f t="shared" si="134"/>
        <v>0.05</v>
      </c>
      <c r="N1775" s="475">
        <f t="shared" si="135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33"/>
        <v>-265514350.20452213</v>
      </c>
      <c r="J1776" s="455">
        <f t="array" ref="J1776">IFERROR(INDEX('Retirement Calculator'!J:J,MATCH('Isaac 401k'!N1776,'Retirement Calculator'!A:A,0),0),0)</f>
        <v>0</v>
      </c>
      <c r="K1776" s="455">
        <f t="shared" ca="1" si="131"/>
        <v>-1106309.7925188423</v>
      </c>
      <c r="L1776" s="455">
        <f t="shared" ca="1" si="132"/>
        <v>-266620659.99704099</v>
      </c>
      <c r="M1776" s="471">
        <f t="shared" si="134"/>
        <v>0.05</v>
      </c>
      <c r="N1776" s="475">
        <f t="shared" si="135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33"/>
        <v>-266620659.99704099</v>
      </c>
      <c r="J1777" s="455">
        <f t="array" ref="J1777">IFERROR(INDEX('Retirement Calculator'!J:J,MATCH('Isaac 401k'!N1777,'Retirement Calculator'!A:A,0),0),0)</f>
        <v>0</v>
      </c>
      <c r="K1777" s="455">
        <f t="shared" ca="1" si="131"/>
        <v>-1110919.4166543377</v>
      </c>
      <c r="L1777" s="455">
        <f t="shared" ca="1" si="132"/>
        <v>-267731579.41369534</v>
      </c>
      <c r="M1777" s="471">
        <f t="shared" si="134"/>
        <v>0.05</v>
      </c>
      <c r="N1777" s="475">
        <f t="shared" si="135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33"/>
        <v>-267731579.41369534</v>
      </c>
      <c r="J1778" s="455">
        <f t="array" ref="J1778">IFERROR(INDEX('Retirement Calculator'!J:J,MATCH('Isaac 401k'!N1778,'Retirement Calculator'!A:A,0),0),0)</f>
        <v>0</v>
      </c>
      <c r="K1778" s="455">
        <f t="shared" ca="1" si="131"/>
        <v>-1115548.2475570641</v>
      </c>
      <c r="L1778" s="455">
        <f t="shared" ca="1" si="132"/>
        <v>-268847127.66125238</v>
      </c>
      <c r="M1778" s="471">
        <f t="shared" si="134"/>
        <v>0.05</v>
      </c>
      <c r="N1778" s="475">
        <f t="shared" si="135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33"/>
        <v>-268847127.66125238</v>
      </c>
      <c r="J1779" s="455">
        <f t="array" ref="J1779">IFERROR(INDEX('Retirement Calculator'!J:J,MATCH('Isaac 401k'!N1779,'Retirement Calculator'!A:A,0),0),0)</f>
        <v>0</v>
      </c>
      <c r="K1779" s="455">
        <f t="shared" ca="1" si="131"/>
        <v>-1120196.3652552182</v>
      </c>
      <c r="L1779" s="455">
        <f t="shared" ca="1" si="132"/>
        <v>-269967324.02650762</v>
      </c>
      <c r="M1779" s="471">
        <f t="shared" si="134"/>
        <v>0.05</v>
      </c>
      <c r="N1779" s="475">
        <f t="shared" si="135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33"/>
        <v>-269967324.02650762</v>
      </c>
      <c r="J1780" s="455">
        <f t="array" ref="J1780">IFERROR(INDEX('Retirement Calculator'!J:J,MATCH('Isaac 401k'!N1780,'Retirement Calculator'!A:A,0),0),0)</f>
        <v>0</v>
      </c>
      <c r="K1780" s="455">
        <f t="shared" ca="1" si="131"/>
        <v>-1124863.8501104484</v>
      </c>
      <c r="L1780" s="455">
        <f t="shared" ca="1" si="132"/>
        <v>-271092187.87661809</v>
      </c>
      <c r="M1780" s="471">
        <f t="shared" si="134"/>
        <v>0.05</v>
      </c>
      <c r="N1780" s="475">
        <f t="shared" si="135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33"/>
        <v>-271092187.87661809</v>
      </c>
      <c r="J1781" s="455">
        <f t="array" ref="J1781">IFERROR(INDEX('Retirement Calculator'!J:J,MATCH('Isaac 401k'!N1781,'Retirement Calculator'!A:A,0),0),0)</f>
        <v>0</v>
      </c>
      <c r="K1781" s="455">
        <f t="shared" ca="1" si="131"/>
        <v>-1129550.782819242</v>
      </c>
      <c r="L1781" s="455">
        <f t="shared" ca="1" si="132"/>
        <v>-272221738.65943736</v>
      </c>
      <c r="M1781" s="471">
        <f t="shared" si="134"/>
        <v>0.05</v>
      </c>
      <c r="N1781" s="475">
        <f t="shared" si="135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33"/>
        <v>-272221738.65943736</v>
      </c>
      <c r="J1782" s="455">
        <f t="array" ref="J1782">IFERROR(INDEX('Retirement Calculator'!J:J,MATCH('Isaac 401k'!N1782,'Retirement Calculator'!A:A,0),0),0)</f>
        <v>0</v>
      </c>
      <c r="K1782" s="455">
        <f t="shared" ca="1" si="131"/>
        <v>-1134257.2444143223</v>
      </c>
      <c r="L1782" s="455">
        <f t="shared" ca="1" si="132"/>
        <v>-273355995.90385169</v>
      </c>
      <c r="M1782" s="471">
        <f t="shared" si="134"/>
        <v>0.05</v>
      </c>
      <c r="N1782" s="475">
        <f t="shared" si="135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33"/>
        <v>-273355995.90385169</v>
      </c>
      <c r="J1783" s="455">
        <f t="array" ref="J1783">IFERROR(INDEX('Retirement Calculator'!J:J,MATCH('Isaac 401k'!N1783,'Retirement Calculator'!A:A,0),0),0)</f>
        <v>0</v>
      </c>
      <c r="K1783" s="455">
        <f t="shared" ca="1" si="131"/>
        <v>-1138983.3162660487</v>
      </c>
      <c r="L1783" s="455">
        <f t="shared" ca="1" si="132"/>
        <v>-274494979.22011775</v>
      </c>
      <c r="M1783" s="471">
        <f t="shared" si="134"/>
        <v>0.05</v>
      </c>
      <c r="N1783" s="475">
        <f t="shared" si="135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33"/>
        <v>-274494979.22011775</v>
      </c>
      <c r="J1784" s="455">
        <f t="array" ref="J1784">IFERROR(INDEX('Retirement Calculator'!J:J,MATCH('Isaac 401k'!N1784,'Retirement Calculator'!A:A,0),0),0)</f>
        <v>0</v>
      </c>
      <c r="K1784" s="455">
        <f t="shared" ca="1" si="131"/>
        <v>-1143729.080083824</v>
      </c>
      <c r="L1784" s="455">
        <f t="shared" ca="1" si="132"/>
        <v>-275638708.30020159</v>
      </c>
      <c r="M1784" s="471">
        <f t="shared" si="134"/>
        <v>0.05</v>
      </c>
      <c r="N1784" s="475">
        <f t="shared" si="135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33"/>
        <v>-275638708.30020159</v>
      </c>
      <c r="J1785" s="455">
        <f t="array" ref="J1785">IFERROR(INDEX('Retirement Calculator'!J:J,MATCH('Isaac 401k'!N1785,'Retirement Calculator'!A:A,0),0),0)</f>
        <v>0</v>
      </c>
      <c r="K1785" s="455">
        <f t="shared" ca="1" si="131"/>
        <v>-1148494.6179175067</v>
      </c>
      <c r="L1785" s="455">
        <f t="shared" ca="1" si="132"/>
        <v>-276787202.91811907</v>
      </c>
      <c r="M1785" s="471">
        <f t="shared" si="134"/>
        <v>0.05</v>
      </c>
      <c r="N1785" s="475">
        <f t="shared" si="135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33"/>
        <v>-276787202.91811907</v>
      </c>
      <c r="J1786" s="455">
        <f t="array" ref="J1786">IFERROR(INDEX('Retirement Calculator'!J:J,MATCH('Isaac 401k'!N1786,'Retirement Calculator'!A:A,0),0),0)</f>
        <v>0</v>
      </c>
      <c r="K1786" s="455">
        <f t="shared" ca="1" si="131"/>
        <v>-1153280.0121588295</v>
      </c>
      <c r="L1786" s="455">
        <f t="shared" ca="1" si="132"/>
        <v>-277940482.93027788</v>
      </c>
      <c r="M1786" s="471">
        <f t="shared" si="134"/>
        <v>0.05</v>
      </c>
      <c r="N1786" s="475">
        <f t="shared" si="135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33"/>
        <v>-277940482.93027788</v>
      </c>
      <c r="J1787" s="455">
        <f t="array" ref="J1787">IFERROR(INDEX('Retirement Calculator'!J:J,MATCH('Isaac 401k'!N1787,'Retirement Calculator'!A:A,0),0),0)</f>
        <v>0</v>
      </c>
      <c r="K1787" s="455">
        <f t="shared" ca="1" si="131"/>
        <v>-1158085.3455428246</v>
      </c>
      <c r="L1787" s="455">
        <f t="shared" ca="1" si="132"/>
        <v>-279098568.27582073</v>
      </c>
      <c r="M1787" s="471">
        <f t="shared" si="134"/>
        <v>0.05</v>
      </c>
      <c r="N1787" s="475">
        <f t="shared" si="135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33"/>
        <v>-279098568.27582073</v>
      </c>
      <c r="J1788" s="455">
        <f t="array" ref="J1788">IFERROR(INDEX('Retirement Calculator'!J:J,MATCH('Isaac 401k'!N1788,'Retirement Calculator'!A:A,0),0),0)</f>
        <v>0</v>
      </c>
      <c r="K1788" s="455">
        <f t="shared" ca="1" si="131"/>
        <v>-1162910.7011492529</v>
      </c>
      <c r="L1788" s="455">
        <f t="shared" ca="1" si="132"/>
        <v>-280261478.97696996</v>
      </c>
      <c r="M1788" s="471">
        <f t="shared" si="134"/>
        <v>0.05</v>
      </c>
      <c r="N1788" s="475">
        <f t="shared" si="135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33"/>
        <v>-280261478.97696996</v>
      </c>
      <c r="J1789" s="455">
        <f t="array" ref="J1789">IFERROR(INDEX('Retirement Calculator'!J:J,MATCH('Isaac 401k'!N1789,'Retirement Calculator'!A:A,0),0),0)</f>
        <v>0</v>
      </c>
      <c r="K1789" s="455">
        <f t="shared" ca="1" si="131"/>
        <v>-1167756.1624040415</v>
      </c>
      <c r="L1789" s="455">
        <f t="shared" ca="1" si="132"/>
        <v>-281429235.13937402</v>
      </c>
      <c r="M1789" s="471">
        <f t="shared" si="134"/>
        <v>0.05</v>
      </c>
      <c r="N1789" s="475">
        <f t="shared" si="135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33"/>
        <v>-281429235.13937402</v>
      </c>
      <c r="J1790" s="455">
        <f t="array" ref="J1790">IFERROR(INDEX('Retirement Calculator'!J:J,MATCH('Isaac 401k'!N1790,'Retirement Calculator'!A:A,0),0),0)</f>
        <v>0</v>
      </c>
      <c r="K1790" s="455">
        <f t="shared" ca="1" si="131"/>
        <v>-1172621.813080725</v>
      </c>
      <c r="L1790" s="455">
        <f t="shared" ca="1" si="132"/>
        <v>-282601856.95245475</v>
      </c>
      <c r="M1790" s="471">
        <f t="shared" si="134"/>
        <v>0.05</v>
      </c>
      <c r="N1790" s="475">
        <f t="shared" si="135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33"/>
        <v>-282601856.95245475</v>
      </c>
      <c r="J1791" s="455">
        <f t="array" ref="J1791">IFERROR(INDEX('Retirement Calculator'!J:J,MATCH('Isaac 401k'!N1791,'Retirement Calculator'!A:A,0),0),0)</f>
        <v>0</v>
      </c>
      <c r="K1791" s="455">
        <f t="shared" ca="1" si="131"/>
        <v>-1177507.7373018947</v>
      </c>
      <c r="L1791" s="455">
        <f t="shared" ca="1" si="132"/>
        <v>-283779364.68975663</v>
      </c>
      <c r="M1791" s="471">
        <f t="shared" si="134"/>
        <v>0.05</v>
      </c>
      <c r="N1791" s="475">
        <f t="shared" si="135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33"/>
        <v>-283779364.68975663</v>
      </c>
      <c r="J1792" s="455">
        <f t="array" ref="J1792">IFERROR(INDEX('Retirement Calculator'!J:J,MATCH('Isaac 401k'!N1792,'Retirement Calculator'!A:A,0),0),0)</f>
        <v>0</v>
      </c>
      <c r="K1792" s="455">
        <f t="shared" ca="1" si="131"/>
        <v>-1182414.0195406526</v>
      </c>
      <c r="L1792" s="455">
        <f t="shared" ca="1" si="132"/>
        <v>-284961778.7092973</v>
      </c>
      <c r="M1792" s="471">
        <f t="shared" si="134"/>
        <v>0.05</v>
      </c>
      <c r="N1792" s="475">
        <f t="shared" si="135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33"/>
        <v>-284961778.7092973</v>
      </c>
      <c r="J1793" s="455">
        <f t="array" ref="J1793">IFERROR(INDEX('Retirement Calculator'!J:J,MATCH('Isaac 401k'!N1793,'Retirement Calculator'!A:A,0),0),0)</f>
        <v>0</v>
      </c>
      <c r="K1793" s="455">
        <f t="shared" ref="K1793:K2047" ca="1" si="136">IPMT(M1793/12,1,12,-I1793+J1793,,0)</f>
        <v>-1187340.744622072</v>
      </c>
      <c r="L1793" s="455">
        <f t="shared" ref="L1793:L2047" ca="1" si="137">I1793-J1793+K1793</f>
        <v>-286149119.45391935</v>
      </c>
      <c r="M1793" s="471">
        <f t="shared" si="134"/>
        <v>0.05</v>
      </c>
      <c r="N1793" s="475">
        <f t="shared" si="135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38">L1793</f>
        <v>-286149119.45391935</v>
      </c>
      <c r="J1794" s="455">
        <f t="array" ref="J1794">IFERROR(INDEX('Retirement Calculator'!J:J,MATCH('Isaac 401k'!N1794,'Retirement Calculator'!A:A,0),0),0)</f>
        <v>0</v>
      </c>
      <c r="K1794" s="455">
        <f t="shared" ca="1" si="136"/>
        <v>-1192287.9977246639</v>
      </c>
      <c r="L1794" s="455">
        <f t="shared" ca="1" si="137"/>
        <v>-287341407.451644</v>
      </c>
      <c r="M1794" s="471">
        <f t="shared" ref="M1794:M2048" si="139">M1793</f>
        <v>0.05</v>
      </c>
      <c r="N1794" s="475">
        <f t="shared" ref="N1794:N2048" si="140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38"/>
        <v>-287341407.451644</v>
      </c>
      <c r="J1795" s="455">
        <f t="array" ref="J1795">IFERROR(INDEX('Retirement Calculator'!J:J,MATCH('Isaac 401k'!N1795,'Retirement Calculator'!A:A,0),0),0)</f>
        <v>0</v>
      </c>
      <c r="K1795" s="455">
        <f t="shared" ca="1" si="136"/>
        <v>-1197255.86438185</v>
      </c>
      <c r="L1795" s="455">
        <f t="shared" ca="1" si="137"/>
        <v>-288538663.31602585</v>
      </c>
      <c r="M1795" s="471">
        <f t="shared" si="139"/>
        <v>0.05</v>
      </c>
      <c r="N1795" s="475">
        <f t="shared" si="140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38"/>
        <v>-288538663.31602585</v>
      </c>
      <c r="J1796" s="455">
        <f t="array" ref="J1796">IFERROR(INDEX('Retirement Calculator'!J:J,MATCH('Isaac 401k'!N1796,'Retirement Calculator'!A:A,0),0),0)</f>
        <v>0</v>
      </c>
      <c r="K1796" s="455">
        <f t="shared" ca="1" si="136"/>
        <v>-1202244.4304834411</v>
      </c>
      <c r="L1796" s="455">
        <f t="shared" ca="1" si="137"/>
        <v>-289740907.74650931</v>
      </c>
      <c r="M1796" s="471">
        <f t="shared" si="139"/>
        <v>0.05</v>
      </c>
      <c r="N1796" s="475">
        <f t="shared" si="140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38"/>
        <v>-289740907.74650931</v>
      </c>
      <c r="J1797" s="455">
        <f t="array" ref="J1797">IFERROR(INDEX('Retirement Calculator'!J:J,MATCH('Isaac 401k'!N1797,'Retirement Calculator'!A:A,0),0),0)</f>
        <v>0</v>
      </c>
      <c r="K1797" s="455">
        <f t="shared" ca="1" si="136"/>
        <v>-1207253.7822771221</v>
      </c>
      <c r="L1797" s="455">
        <f t="shared" ca="1" si="137"/>
        <v>-290948161.52878642</v>
      </c>
      <c r="M1797" s="471">
        <f t="shared" si="139"/>
        <v>0.05</v>
      </c>
      <c r="N1797" s="475">
        <f t="shared" si="140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38"/>
        <v>-290948161.52878642</v>
      </c>
      <c r="J1798" s="455">
        <f t="array" ref="J1798">IFERROR(INDEX('Retirement Calculator'!J:J,MATCH('Isaac 401k'!N1798,'Retirement Calculator'!A:A,0),0),0)</f>
        <v>0</v>
      </c>
      <c r="K1798" s="455">
        <f t="shared" ca="1" si="136"/>
        <v>-1212284.0063699435</v>
      </c>
      <c r="L1798" s="455">
        <f t="shared" ca="1" si="137"/>
        <v>-292160445.53515637</v>
      </c>
      <c r="M1798" s="471">
        <f t="shared" si="139"/>
        <v>0.05</v>
      </c>
      <c r="N1798" s="475">
        <f t="shared" si="140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38"/>
        <v>-292160445.53515637</v>
      </c>
      <c r="J1799" s="455">
        <f t="array" ref="J1799">IFERROR(INDEX('Retirement Calculator'!J:J,MATCH('Isaac 401k'!N1799,'Retirement Calculator'!A:A,0),0),0)</f>
        <v>0</v>
      </c>
      <c r="K1799" s="455">
        <f t="shared" ca="1" si="136"/>
        <v>-1217335.1897298181</v>
      </c>
      <c r="L1799" s="455">
        <f t="shared" ca="1" si="137"/>
        <v>-293377780.72488618</v>
      </c>
      <c r="M1799" s="471">
        <f t="shared" si="139"/>
        <v>0.05</v>
      </c>
      <c r="N1799" s="475">
        <f t="shared" si="140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38"/>
        <v>-293377780.72488618</v>
      </c>
      <c r="J1800" s="455">
        <f t="array" ref="J1800">IFERROR(INDEX('Retirement Calculator'!J:J,MATCH('Isaac 401k'!N1800,'Retirement Calculator'!A:A,0),0),0)</f>
        <v>0</v>
      </c>
      <c r="K1800" s="455">
        <f t="shared" ca="1" si="136"/>
        <v>-1222407.4196870257</v>
      </c>
      <c r="L1800" s="455">
        <f t="shared" ca="1" si="137"/>
        <v>-294600188.14457321</v>
      </c>
      <c r="M1800" s="471">
        <f t="shared" si="139"/>
        <v>0.05</v>
      </c>
      <c r="N1800" s="475">
        <f t="shared" si="140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38"/>
        <v>-294600188.14457321</v>
      </c>
      <c r="J1801" s="455">
        <f t="array" ref="J1801">IFERROR(INDEX('Retirement Calculator'!J:J,MATCH('Isaac 401k'!N1801,'Retirement Calculator'!A:A,0),0),0)</f>
        <v>0</v>
      </c>
      <c r="K1801" s="455">
        <f t="shared" ca="1" si="136"/>
        <v>-1227500.7839357217</v>
      </c>
      <c r="L1801" s="455">
        <f t="shared" ca="1" si="137"/>
        <v>-295827688.92850894</v>
      </c>
      <c r="M1801" s="471">
        <f t="shared" si="139"/>
        <v>0.05</v>
      </c>
      <c r="N1801" s="475">
        <f t="shared" si="140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38"/>
        <v>-295827688.92850894</v>
      </c>
      <c r="J1802" s="455">
        <f t="array" ref="J1802">IFERROR(INDEX('Retirement Calculator'!J:J,MATCH('Isaac 401k'!N1802,'Retirement Calculator'!A:A,0),0),0)</f>
        <v>0</v>
      </c>
      <c r="K1802" s="455">
        <f t="shared" ca="1" si="136"/>
        <v>-1232615.3705354538</v>
      </c>
      <c r="L1802" s="455">
        <f t="shared" ca="1" si="137"/>
        <v>-297060304.29904437</v>
      </c>
      <c r="M1802" s="471">
        <f t="shared" si="139"/>
        <v>0.05</v>
      </c>
      <c r="N1802" s="475">
        <f t="shared" si="140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38"/>
        <v>-297060304.29904437</v>
      </c>
      <c r="J1803" s="455">
        <f t="array" ref="J1803">IFERROR(INDEX('Retirement Calculator'!J:J,MATCH('Isaac 401k'!N1803,'Retirement Calculator'!A:A,0),0),0)</f>
        <v>0</v>
      </c>
      <c r="K1803" s="455">
        <f t="shared" ca="1" si="136"/>
        <v>-1237751.2679126849</v>
      </c>
      <c r="L1803" s="455">
        <f t="shared" ca="1" si="137"/>
        <v>-298298055.56695706</v>
      </c>
      <c r="M1803" s="471">
        <f t="shared" si="139"/>
        <v>0.05</v>
      </c>
      <c r="N1803" s="475">
        <f t="shared" si="140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38"/>
        <v>-298298055.56695706</v>
      </c>
      <c r="J1804" s="455">
        <f t="array" ref="J1804">IFERROR(INDEX('Retirement Calculator'!J:J,MATCH('Isaac 401k'!N1804,'Retirement Calculator'!A:A,0),0),0)</f>
        <v>0</v>
      </c>
      <c r="K1804" s="455">
        <f t="shared" ca="1" si="136"/>
        <v>-1242908.5648623211</v>
      </c>
      <c r="L1804" s="455">
        <f t="shared" ca="1" si="137"/>
        <v>-299540964.13181937</v>
      </c>
      <c r="M1804" s="471">
        <f t="shared" si="139"/>
        <v>0.05</v>
      </c>
      <c r="N1804" s="475">
        <f t="shared" si="140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38"/>
        <v>-299540964.13181937</v>
      </c>
      <c r="J1805" s="455">
        <f t="array" ref="J1805">IFERROR(INDEX('Retirement Calculator'!J:J,MATCH('Isaac 401k'!N1805,'Retirement Calculator'!A:A,0),0),0)</f>
        <v>0</v>
      </c>
      <c r="K1805" s="455">
        <f t="shared" ca="1" si="136"/>
        <v>-1248087.3505492473</v>
      </c>
      <c r="L1805" s="455">
        <f t="shared" ca="1" si="137"/>
        <v>-300789051.48236859</v>
      </c>
      <c r="M1805" s="471">
        <f t="shared" si="139"/>
        <v>0.05</v>
      </c>
      <c r="N1805" s="475">
        <f t="shared" si="140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38"/>
        <v>-300789051.48236859</v>
      </c>
      <c r="J1806" s="455">
        <f t="array" ref="J1806">IFERROR(INDEX('Retirement Calculator'!J:J,MATCH('Isaac 401k'!N1806,'Retirement Calculator'!A:A,0),0),0)</f>
        <v>0</v>
      </c>
      <c r="K1806" s="455">
        <f t="shared" ca="1" si="136"/>
        <v>-1253287.714509869</v>
      </c>
      <c r="L1806" s="455">
        <f t="shared" ca="1" si="137"/>
        <v>-302042339.19687843</v>
      </c>
      <c r="M1806" s="471">
        <f t="shared" si="139"/>
        <v>0.05</v>
      </c>
      <c r="N1806" s="475">
        <f t="shared" si="140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38"/>
        <v>-302042339.19687843</v>
      </c>
      <c r="J1807" s="455">
        <f t="array" ref="J1807">IFERROR(INDEX('Retirement Calculator'!J:J,MATCH('Isaac 401k'!N1807,'Retirement Calculator'!A:A,0),0),0)</f>
        <v>0</v>
      </c>
      <c r="K1807" s="455">
        <f t="shared" ca="1" si="136"/>
        <v>-1258509.7466536602</v>
      </c>
      <c r="L1807" s="455">
        <f t="shared" ca="1" si="137"/>
        <v>-303300848.94353211</v>
      </c>
      <c r="M1807" s="471">
        <f t="shared" si="139"/>
        <v>0.05</v>
      </c>
      <c r="N1807" s="475">
        <f t="shared" si="140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38"/>
        <v>-303300848.94353211</v>
      </c>
      <c r="J1808" s="455">
        <f t="array" ref="J1808">IFERROR(INDEX('Retirement Calculator'!J:J,MATCH('Isaac 401k'!N1808,'Retirement Calculator'!A:A,0),0),0)</f>
        <v>0</v>
      </c>
      <c r="K1808" s="455">
        <f t="shared" ca="1" si="136"/>
        <v>-1263753.537264717</v>
      </c>
      <c r="L1808" s="455">
        <f t="shared" ca="1" si="137"/>
        <v>-304564602.48079681</v>
      </c>
      <c r="M1808" s="471">
        <f t="shared" si="139"/>
        <v>0.05</v>
      </c>
      <c r="N1808" s="475">
        <f t="shared" si="140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38"/>
        <v>-304564602.48079681</v>
      </c>
      <c r="J1809" s="455">
        <f t="array" ref="J1809">IFERROR(INDEX('Retirement Calculator'!J:J,MATCH('Isaac 401k'!N1809,'Retirement Calculator'!A:A,0),0),0)</f>
        <v>0</v>
      </c>
      <c r="K1809" s="455">
        <f t="shared" ca="1" si="136"/>
        <v>-1269019.1770033201</v>
      </c>
      <c r="L1809" s="455">
        <f t="shared" ca="1" si="137"/>
        <v>-305833621.65780014</v>
      </c>
      <c r="M1809" s="471">
        <f t="shared" si="139"/>
        <v>0.05</v>
      </c>
      <c r="N1809" s="475">
        <f t="shared" si="140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38"/>
        <v>-305833621.65780014</v>
      </c>
      <c r="J1810" s="455">
        <f t="array" ref="J1810">IFERROR(INDEX('Retirement Calculator'!J:J,MATCH('Isaac 401k'!N1810,'Retirement Calculator'!A:A,0),0),0)</f>
        <v>0</v>
      </c>
      <c r="K1810" s="455">
        <f t="shared" ca="1" si="136"/>
        <v>-1274306.7569075006</v>
      </c>
      <c r="L1810" s="455">
        <f t="shared" ca="1" si="137"/>
        <v>-307107928.41470766</v>
      </c>
      <c r="M1810" s="471">
        <f t="shared" si="139"/>
        <v>0.05</v>
      </c>
      <c r="N1810" s="475">
        <f t="shared" si="140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38"/>
        <v>-307107928.41470766</v>
      </c>
      <c r="J1811" s="455">
        <f t="array" ref="J1811">IFERROR(INDEX('Retirement Calculator'!J:J,MATCH('Isaac 401k'!N1811,'Retirement Calculator'!A:A,0),0),0)</f>
        <v>0</v>
      </c>
      <c r="K1811" s="455">
        <f t="shared" ca="1" si="136"/>
        <v>-1279616.3683946151</v>
      </c>
      <c r="L1811" s="455">
        <f t="shared" ca="1" si="137"/>
        <v>-308387544.78310227</v>
      </c>
      <c r="M1811" s="471">
        <f t="shared" si="139"/>
        <v>0.05</v>
      </c>
      <c r="N1811" s="475">
        <f t="shared" si="140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38"/>
        <v>-308387544.78310227</v>
      </c>
      <c r="J1812" s="455">
        <f t="array" ref="J1812">IFERROR(INDEX('Retirement Calculator'!J:J,MATCH('Isaac 401k'!N1812,'Retirement Calculator'!A:A,0),0),0)</f>
        <v>0</v>
      </c>
      <c r="K1812" s="455">
        <f t="shared" ca="1" si="136"/>
        <v>-1284948.1032629262</v>
      </c>
      <c r="L1812" s="455">
        <f t="shared" ca="1" si="137"/>
        <v>-309672492.88636518</v>
      </c>
      <c r="M1812" s="471">
        <f t="shared" si="139"/>
        <v>0.05</v>
      </c>
      <c r="N1812" s="475">
        <f t="shared" si="140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38"/>
        <v>-309672492.88636518</v>
      </c>
      <c r="J1813" s="455">
        <f t="array" ref="J1813">IFERROR(INDEX('Retirement Calculator'!J:J,MATCH('Isaac 401k'!N1813,'Retirement Calculator'!A:A,0),0),0)</f>
        <v>0</v>
      </c>
      <c r="K1813" s="455">
        <f t="shared" ca="1" si="136"/>
        <v>-1290302.0536931881</v>
      </c>
      <c r="L1813" s="455">
        <f t="shared" ca="1" si="137"/>
        <v>-310962794.94005835</v>
      </c>
      <c r="M1813" s="471">
        <f t="shared" si="139"/>
        <v>0.05</v>
      </c>
      <c r="N1813" s="475">
        <f t="shared" si="140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38"/>
        <v>-310962794.94005835</v>
      </c>
      <c r="J1814" s="455">
        <f t="array" ref="J1814">IFERROR(INDEX('Retirement Calculator'!J:J,MATCH('Isaac 401k'!N1814,'Retirement Calculator'!A:A,0),0),0)</f>
        <v>0</v>
      </c>
      <c r="K1814" s="455">
        <f t="shared" ca="1" si="136"/>
        <v>-1295678.312250243</v>
      </c>
      <c r="L1814" s="455">
        <f t="shared" ca="1" si="137"/>
        <v>-312258473.25230861</v>
      </c>
      <c r="M1814" s="471">
        <f t="shared" si="139"/>
        <v>0.05</v>
      </c>
      <c r="N1814" s="475">
        <f t="shared" si="140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38"/>
        <v>-312258473.25230861</v>
      </c>
      <c r="J1815" s="455">
        <f t="array" ref="J1815">IFERROR(INDEX('Retirement Calculator'!J:J,MATCH('Isaac 401k'!N1815,'Retirement Calculator'!A:A,0),0),0)</f>
        <v>0</v>
      </c>
      <c r="K1815" s="455">
        <f t="shared" ca="1" si="136"/>
        <v>-1301076.9718846192</v>
      </c>
      <c r="L1815" s="455">
        <f t="shared" ca="1" si="137"/>
        <v>-313559550.22419322</v>
      </c>
      <c r="M1815" s="471">
        <f t="shared" si="139"/>
        <v>0.05</v>
      </c>
      <c r="N1815" s="475">
        <f t="shared" si="140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38"/>
        <v>-313559550.22419322</v>
      </c>
      <c r="J1816" s="455">
        <f t="array" ref="J1816">IFERROR(INDEX('Retirement Calculator'!J:J,MATCH('Isaac 401k'!N1816,'Retirement Calculator'!A:A,0),0),0)</f>
        <v>0</v>
      </c>
      <c r="K1816" s="455">
        <f t="shared" ca="1" si="136"/>
        <v>-1306498.1259341384</v>
      </c>
      <c r="L1816" s="455">
        <f t="shared" ca="1" si="137"/>
        <v>-314866048.35012734</v>
      </c>
      <c r="M1816" s="471">
        <f t="shared" si="139"/>
        <v>0.05</v>
      </c>
      <c r="N1816" s="475">
        <f t="shared" si="140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38"/>
        <v>-314866048.35012734</v>
      </c>
      <c r="J1817" s="455">
        <f t="array" ref="J1817">IFERROR(INDEX('Retirement Calculator'!J:J,MATCH('Isaac 401k'!N1817,'Retirement Calculator'!A:A,0),0),0)</f>
        <v>0</v>
      </c>
      <c r="K1817" s="455">
        <f t="shared" ca="1" si="136"/>
        <v>-1311941.8681255307</v>
      </c>
      <c r="L1817" s="455">
        <f t="shared" ca="1" si="137"/>
        <v>-316177990.2182529</v>
      </c>
      <c r="M1817" s="471">
        <f t="shared" si="139"/>
        <v>0.05</v>
      </c>
      <c r="N1817" s="475">
        <f t="shared" si="140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38"/>
        <v>-316177990.2182529</v>
      </c>
      <c r="J1818" s="455">
        <f t="array" ref="J1818">IFERROR(INDEX('Retirement Calculator'!J:J,MATCH('Isaac 401k'!N1818,'Retirement Calculator'!A:A,0),0),0)</f>
        <v>0</v>
      </c>
      <c r="K1818" s="455">
        <f t="shared" ca="1" si="136"/>
        <v>-1317408.2925760536</v>
      </c>
      <c r="L1818" s="455">
        <f t="shared" ca="1" si="137"/>
        <v>-317495398.51082897</v>
      </c>
      <c r="M1818" s="471">
        <f t="shared" si="139"/>
        <v>0.05</v>
      </c>
      <c r="N1818" s="475">
        <f t="shared" si="140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38"/>
        <v>-317495398.51082897</v>
      </c>
      <c r="J1819" s="455">
        <f t="array" ref="J1819">IFERROR(INDEX('Retirement Calculator'!J:J,MATCH('Isaac 401k'!N1819,'Retirement Calculator'!A:A,0),0),0)</f>
        <v>0</v>
      </c>
      <c r="K1819" s="455">
        <f t="shared" ca="1" si="136"/>
        <v>-1322897.4937951206</v>
      </c>
      <c r="L1819" s="455">
        <f t="shared" ca="1" si="137"/>
        <v>-318818296.00462407</v>
      </c>
      <c r="M1819" s="471">
        <f t="shared" si="139"/>
        <v>0.05</v>
      </c>
      <c r="N1819" s="475">
        <f t="shared" si="140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38"/>
        <v>-318818296.00462407</v>
      </c>
      <c r="J1820" s="455">
        <f t="array" ref="J1820">IFERROR(INDEX('Retirement Calculator'!J:J,MATCH('Isaac 401k'!N1820,'Retirement Calculator'!A:A,0),0),0)</f>
        <v>0</v>
      </c>
      <c r="K1820" s="455">
        <f t="shared" ca="1" si="136"/>
        <v>-1328409.5666859336</v>
      </c>
      <c r="L1820" s="455">
        <f t="shared" ca="1" si="137"/>
        <v>-320146705.57130998</v>
      </c>
      <c r="M1820" s="471">
        <f t="shared" si="139"/>
        <v>0.05</v>
      </c>
      <c r="N1820" s="475">
        <f t="shared" si="140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38"/>
        <v>-320146705.57130998</v>
      </c>
      <c r="J1821" s="455">
        <f t="array" ref="J1821">IFERROR(INDEX('Retirement Calculator'!J:J,MATCH('Isaac 401k'!N1821,'Retirement Calculator'!A:A,0),0),0)</f>
        <v>0</v>
      </c>
      <c r="K1821" s="455">
        <f t="shared" ca="1" si="136"/>
        <v>-1333944.6065471249</v>
      </c>
      <c r="L1821" s="455">
        <f t="shared" ca="1" si="137"/>
        <v>-321480650.1778571</v>
      </c>
      <c r="M1821" s="471">
        <f t="shared" si="139"/>
        <v>0.05</v>
      </c>
      <c r="N1821" s="475">
        <f t="shared" si="140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38"/>
        <v>-321480650.1778571</v>
      </c>
      <c r="J1822" s="455">
        <f t="array" ref="J1822">IFERROR(INDEX('Retirement Calculator'!J:J,MATCH('Isaac 401k'!N1822,'Retirement Calculator'!A:A,0),0),0)</f>
        <v>0</v>
      </c>
      <c r="K1822" s="455">
        <f t="shared" ca="1" si="136"/>
        <v>-1339502.7090744046</v>
      </c>
      <c r="L1822" s="455">
        <f t="shared" ca="1" si="137"/>
        <v>-322820152.88693148</v>
      </c>
      <c r="M1822" s="471">
        <f t="shared" si="139"/>
        <v>0.05</v>
      </c>
      <c r="N1822" s="475">
        <f t="shared" si="140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38"/>
        <v>-322820152.88693148</v>
      </c>
      <c r="J1823" s="455">
        <f t="array" ref="J1823">IFERROR(INDEX('Retirement Calculator'!J:J,MATCH('Isaac 401k'!N1823,'Retirement Calculator'!A:A,0),0),0)</f>
        <v>0</v>
      </c>
      <c r="K1823" s="455">
        <f t="shared" ca="1" si="136"/>
        <v>-1345083.9703622144</v>
      </c>
      <c r="L1823" s="455">
        <f t="shared" ca="1" si="137"/>
        <v>-324165236.85729367</v>
      </c>
      <c r="M1823" s="471">
        <f t="shared" si="139"/>
        <v>0.05</v>
      </c>
      <c r="N1823" s="475">
        <f t="shared" si="140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38"/>
        <v>-324165236.85729367</v>
      </c>
      <c r="J1824" s="455">
        <f t="array" ref="J1824">IFERROR(INDEX('Retirement Calculator'!J:J,MATCH('Isaac 401k'!N1824,'Retirement Calculator'!A:A,0),0),0)</f>
        <v>0</v>
      </c>
      <c r="K1824" s="455">
        <f t="shared" ca="1" si="136"/>
        <v>-1350688.4869053902</v>
      </c>
      <c r="L1824" s="455">
        <f t="shared" ca="1" si="137"/>
        <v>-325515925.34419906</v>
      </c>
      <c r="M1824" s="471">
        <f t="shared" si="139"/>
        <v>0.05</v>
      </c>
      <c r="N1824" s="475">
        <f t="shared" si="140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38"/>
        <v>-325515925.34419906</v>
      </c>
      <c r="J1825" s="455">
        <f t="array" ref="J1825">IFERROR(INDEX('Retirement Calculator'!J:J,MATCH('Isaac 401k'!N1825,'Retirement Calculator'!A:A,0),0),0)</f>
        <v>0</v>
      </c>
      <c r="K1825" s="455">
        <f t="shared" ca="1" si="136"/>
        <v>-1356316.3556008295</v>
      </c>
      <c r="L1825" s="455">
        <f t="shared" ca="1" si="137"/>
        <v>-326872241.6997999</v>
      </c>
      <c r="M1825" s="471">
        <f t="shared" si="139"/>
        <v>0.05</v>
      </c>
      <c r="N1825" s="475">
        <f t="shared" si="140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38"/>
        <v>-326872241.6997999</v>
      </c>
      <c r="J1826" s="455">
        <f t="array" ref="J1826">IFERROR(INDEX('Retirement Calculator'!J:J,MATCH('Isaac 401k'!N1826,'Retirement Calculator'!A:A,0),0),0)</f>
        <v>0</v>
      </c>
      <c r="K1826" s="455">
        <f t="shared" ca="1" si="136"/>
        <v>-1361967.6737491663</v>
      </c>
      <c r="L1826" s="455">
        <f t="shared" ca="1" si="137"/>
        <v>-328234209.37354904</v>
      </c>
      <c r="M1826" s="471">
        <f t="shared" si="139"/>
        <v>0.05</v>
      </c>
      <c r="N1826" s="475">
        <f t="shared" si="140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38"/>
        <v>-328234209.37354904</v>
      </c>
      <c r="J1827" s="455">
        <f t="array" ref="J1827">IFERROR(INDEX('Retirement Calculator'!J:J,MATCH('Isaac 401k'!N1827,'Retirement Calculator'!A:A,0),0),0)</f>
        <v>0</v>
      </c>
      <c r="K1827" s="455">
        <f t="shared" ca="1" si="136"/>
        <v>-1367642.5390564543</v>
      </c>
      <c r="L1827" s="455">
        <f t="shared" ca="1" si="137"/>
        <v>-329601851.91260552</v>
      </c>
      <c r="M1827" s="471">
        <f t="shared" si="139"/>
        <v>0.05</v>
      </c>
      <c r="N1827" s="475">
        <f t="shared" si="140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38"/>
        <v>-329601851.91260552</v>
      </c>
      <c r="J1828" s="455">
        <f t="array" ref="J1828">IFERROR(INDEX('Retirement Calculator'!J:J,MATCH('Isaac 401k'!N1828,'Retirement Calculator'!A:A,0),0),0)</f>
        <v>0</v>
      </c>
      <c r="K1828" s="455">
        <f t="shared" ca="1" si="136"/>
        <v>-1373341.0496358564</v>
      </c>
      <c r="L1828" s="455">
        <f t="shared" ca="1" si="137"/>
        <v>-330975192.96224135</v>
      </c>
      <c r="M1828" s="471">
        <f t="shared" si="139"/>
        <v>0.05</v>
      </c>
      <c r="N1828" s="475">
        <f t="shared" si="140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38"/>
        <v>-330975192.96224135</v>
      </c>
      <c r="J1829" s="455">
        <f t="array" ref="J1829">IFERROR(INDEX('Retirement Calculator'!J:J,MATCH('Isaac 401k'!N1829,'Retirement Calculator'!A:A,0),0),0)</f>
        <v>0</v>
      </c>
      <c r="K1829" s="455">
        <f t="shared" ca="1" si="136"/>
        <v>-1379063.3040093388</v>
      </c>
      <c r="L1829" s="455">
        <f t="shared" ca="1" si="137"/>
        <v>-332354256.26625067</v>
      </c>
      <c r="M1829" s="471">
        <f t="shared" si="139"/>
        <v>0.05</v>
      </c>
      <c r="N1829" s="475">
        <f t="shared" si="140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38"/>
        <v>-332354256.26625067</v>
      </c>
      <c r="J1830" s="455">
        <f t="array" ref="J1830">IFERROR(INDEX('Retirement Calculator'!J:J,MATCH('Isaac 401k'!N1830,'Retirement Calculator'!A:A,0),0),0)</f>
        <v>0</v>
      </c>
      <c r="K1830" s="455">
        <f t="shared" ca="1" si="136"/>
        <v>-1384809.4011093779</v>
      </c>
      <c r="L1830" s="455">
        <f t="shared" ca="1" si="137"/>
        <v>-333739065.66736007</v>
      </c>
      <c r="M1830" s="471">
        <f t="shared" si="139"/>
        <v>0.05</v>
      </c>
      <c r="N1830" s="475">
        <f t="shared" si="140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38"/>
        <v>-333739065.66736007</v>
      </c>
      <c r="J1831" s="455">
        <f t="array" ref="J1831">IFERROR(INDEX('Retirement Calculator'!J:J,MATCH('Isaac 401k'!N1831,'Retirement Calculator'!A:A,0),0),0)</f>
        <v>0</v>
      </c>
      <c r="K1831" s="455">
        <f t="shared" ca="1" si="136"/>
        <v>-1390579.440280667</v>
      </c>
      <c r="L1831" s="455">
        <f t="shared" ca="1" si="137"/>
        <v>-335129645.10764074</v>
      </c>
      <c r="M1831" s="471">
        <f t="shared" si="139"/>
        <v>0.05</v>
      </c>
      <c r="N1831" s="475">
        <f t="shared" si="140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38"/>
        <v>-335129645.10764074</v>
      </c>
      <c r="J1832" s="455">
        <f t="array" ref="J1832">IFERROR(INDEX('Retirement Calculator'!J:J,MATCH('Isaac 401k'!N1832,'Retirement Calculator'!A:A,0),0),0)</f>
        <v>0</v>
      </c>
      <c r="K1832" s="455">
        <f t="shared" ca="1" si="136"/>
        <v>-1396373.5212818363</v>
      </c>
      <c r="L1832" s="455">
        <f t="shared" ca="1" si="137"/>
        <v>-336526018.62892258</v>
      </c>
      <c r="M1832" s="471">
        <f t="shared" si="139"/>
        <v>0.05</v>
      </c>
      <c r="N1832" s="475">
        <f t="shared" si="140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38"/>
        <v>-336526018.62892258</v>
      </c>
      <c r="J1833" s="455">
        <f t="array" ref="J1833">IFERROR(INDEX('Retirement Calculator'!J:J,MATCH('Isaac 401k'!N1833,'Retirement Calculator'!A:A,0),0),0)</f>
        <v>0</v>
      </c>
      <c r="K1833" s="455">
        <f t="shared" ca="1" si="136"/>
        <v>-1402191.7442871775</v>
      </c>
      <c r="L1833" s="455">
        <f t="shared" ca="1" si="137"/>
        <v>-337928210.37320977</v>
      </c>
      <c r="M1833" s="471">
        <f t="shared" si="139"/>
        <v>0.05</v>
      </c>
      <c r="N1833" s="475">
        <f t="shared" si="140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38"/>
        <v>-337928210.37320977</v>
      </c>
      <c r="J1834" s="455">
        <f t="array" ref="J1834">IFERROR(INDEX('Retirement Calculator'!J:J,MATCH('Isaac 401k'!N1834,'Retirement Calculator'!A:A,0),0),0)</f>
        <v>0</v>
      </c>
      <c r="K1834" s="455">
        <f t="shared" ca="1" si="136"/>
        <v>-1408034.209888374</v>
      </c>
      <c r="L1834" s="455">
        <f t="shared" ca="1" si="137"/>
        <v>-339336244.58309817</v>
      </c>
      <c r="M1834" s="471">
        <f t="shared" si="139"/>
        <v>0.05</v>
      </c>
      <c r="N1834" s="475">
        <f t="shared" si="140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38"/>
        <v>-339336244.58309817</v>
      </c>
      <c r="J1835" s="455">
        <f t="array" ref="J1835">IFERROR(INDEX('Retirement Calculator'!J:J,MATCH('Isaac 401k'!N1835,'Retirement Calculator'!A:A,0),0),0)</f>
        <v>0</v>
      </c>
      <c r="K1835" s="455">
        <f t="shared" ca="1" si="136"/>
        <v>-1413901.0190962423</v>
      </c>
      <c r="L1835" s="455">
        <f t="shared" ca="1" si="137"/>
        <v>-340750145.60219443</v>
      </c>
      <c r="M1835" s="471">
        <f t="shared" si="139"/>
        <v>0.05</v>
      </c>
      <c r="N1835" s="475">
        <f t="shared" si="140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38"/>
        <v>-340750145.60219443</v>
      </c>
      <c r="J1836" s="455">
        <f t="array" ref="J1836">IFERROR(INDEX('Retirement Calculator'!J:J,MATCH('Isaac 401k'!N1836,'Retirement Calculator'!A:A,0),0),0)</f>
        <v>0</v>
      </c>
      <c r="K1836" s="455">
        <f t="shared" ca="1" si="136"/>
        <v>-1419792.2733424767</v>
      </c>
      <c r="L1836" s="455">
        <f t="shared" ca="1" si="137"/>
        <v>-342169937.87553692</v>
      </c>
      <c r="M1836" s="471">
        <f t="shared" si="139"/>
        <v>0.05</v>
      </c>
      <c r="N1836" s="475">
        <f t="shared" si="140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38"/>
        <v>-342169937.87553692</v>
      </c>
      <c r="J1837" s="455">
        <f t="array" ref="J1837">IFERROR(INDEX('Retirement Calculator'!J:J,MATCH('Isaac 401k'!N1837,'Retirement Calculator'!A:A,0),0),0)</f>
        <v>0</v>
      </c>
      <c r="K1837" s="455">
        <f t="shared" ca="1" si="136"/>
        <v>-1425708.0744814039</v>
      </c>
      <c r="L1837" s="455">
        <f t="shared" ca="1" si="137"/>
        <v>-343595645.95001835</v>
      </c>
      <c r="M1837" s="471">
        <f t="shared" si="139"/>
        <v>0.05</v>
      </c>
      <c r="N1837" s="475">
        <f t="shared" si="140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38"/>
        <v>-343595645.95001835</v>
      </c>
      <c r="J1838" s="455">
        <f t="array" ref="J1838">IFERROR(INDEX('Retirement Calculator'!J:J,MATCH('Isaac 401k'!N1838,'Retirement Calculator'!A:A,0),0),0)</f>
        <v>0</v>
      </c>
      <c r="K1838" s="455">
        <f t="shared" ca="1" si="136"/>
        <v>-1431648.5247917431</v>
      </c>
      <c r="L1838" s="455">
        <f t="shared" ca="1" si="137"/>
        <v>-345027294.47481006</v>
      </c>
      <c r="M1838" s="471">
        <f t="shared" si="139"/>
        <v>0.05</v>
      </c>
      <c r="N1838" s="475">
        <f t="shared" si="140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38"/>
        <v>-345027294.47481006</v>
      </c>
      <c r="J1839" s="455">
        <f t="array" ref="J1839">IFERROR(INDEX('Retirement Calculator'!J:J,MATCH('Isaac 401k'!N1839,'Retirement Calculator'!A:A,0),0),0)</f>
        <v>0</v>
      </c>
      <c r="K1839" s="455">
        <f t="shared" ca="1" si="136"/>
        <v>-1437613.7269783753</v>
      </c>
      <c r="L1839" s="455">
        <f t="shared" ca="1" si="137"/>
        <v>-346464908.20178843</v>
      </c>
      <c r="M1839" s="471">
        <f t="shared" si="139"/>
        <v>0.05</v>
      </c>
      <c r="N1839" s="475">
        <f t="shared" si="140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38"/>
        <v>-346464908.20178843</v>
      </c>
      <c r="J1840" s="455">
        <f t="array" ref="J1840">IFERROR(INDEX('Retirement Calculator'!J:J,MATCH('Isaac 401k'!N1840,'Retirement Calculator'!A:A,0),0),0)</f>
        <v>0</v>
      </c>
      <c r="K1840" s="455">
        <f t="shared" ca="1" si="136"/>
        <v>-1443603.7841741184</v>
      </c>
      <c r="L1840" s="455">
        <f t="shared" ca="1" si="137"/>
        <v>-347908511.98596257</v>
      </c>
      <c r="M1840" s="471">
        <f t="shared" si="139"/>
        <v>0.05</v>
      </c>
      <c r="N1840" s="475">
        <f t="shared" si="140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38"/>
        <v>-347908511.98596257</v>
      </c>
      <c r="J1841" s="455">
        <f t="array" ref="J1841">IFERROR(INDEX('Retirement Calculator'!J:J,MATCH('Isaac 401k'!N1841,'Retirement Calculator'!A:A,0),0),0)</f>
        <v>0</v>
      </c>
      <c r="K1841" s="455">
        <f t="shared" ca="1" si="136"/>
        <v>-1449618.7999415107</v>
      </c>
      <c r="L1841" s="455">
        <f t="shared" ca="1" si="137"/>
        <v>-349358130.78590411</v>
      </c>
      <c r="M1841" s="471">
        <f t="shared" si="139"/>
        <v>0.05</v>
      </c>
      <c r="N1841" s="475">
        <f t="shared" si="140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38"/>
        <v>-349358130.78590411</v>
      </c>
      <c r="J1842" s="455">
        <f t="array" ref="J1842">IFERROR(INDEX('Retirement Calculator'!J:J,MATCH('Isaac 401k'!N1842,'Retirement Calculator'!A:A,0),0),0)</f>
        <v>0</v>
      </c>
      <c r="K1842" s="455">
        <f t="shared" ca="1" si="136"/>
        <v>-1455658.8782746005</v>
      </c>
      <c r="L1842" s="455">
        <f t="shared" ca="1" si="137"/>
        <v>-350813789.66417873</v>
      </c>
      <c r="M1842" s="471">
        <f t="shared" si="139"/>
        <v>0.05</v>
      </c>
      <c r="N1842" s="475">
        <f t="shared" si="140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38"/>
        <v>-350813789.66417873</v>
      </c>
      <c r="J1843" s="455">
        <f t="array" ref="J1843">IFERROR(INDEX('Retirement Calculator'!J:J,MATCH('Isaac 401k'!N1843,'Retirement Calculator'!A:A,0),0),0)</f>
        <v>0</v>
      </c>
      <c r="K1843" s="455">
        <f t="shared" ca="1" si="136"/>
        <v>-1461724.1236007446</v>
      </c>
      <c r="L1843" s="455">
        <f t="shared" ca="1" si="137"/>
        <v>-352275513.78777945</v>
      </c>
      <c r="M1843" s="471">
        <f t="shared" si="139"/>
        <v>0.05</v>
      </c>
      <c r="N1843" s="475">
        <f t="shared" si="140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38"/>
        <v>-352275513.78777945</v>
      </c>
      <c r="J1844" s="455">
        <f t="array" ref="J1844">IFERROR(INDEX('Retirement Calculator'!J:J,MATCH('Isaac 401k'!N1844,'Retirement Calculator'!A:A,0),0),0)</f>
        <v>0</v>
      </c>
      <c r="K1844" s="455">
        <f t="shared" ca="1" si="136"/>
        <v>-1467814.6407824145</v>
      </c>
      <c r="L1844" s="455">
        <f t="shared" ca="1" si="137"/>
        <v>-353743328.42856187</v>
      </c>
      <c r="M1844" s="471">
        <f t="shared" si="139"/>
        <v>0.05</v>
      </c>
      <c r="N1844" s="475">
        <f t="shared" si="140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38"/>
        <v>-353743328.42856187</v>
      </c>
      <c r="J1845" s="455">
        <f t="array" ref="J1845">IFERROR(INDEX('Retirement Calculator'!J:J,MATCH('Isaac 401k'!N1845,'Retirement Calculator'!A:A,0),0),0)</f>
        <v>0</v>
      </c>
      <c r="K1845" s="455">
        <f t="shared" ca="1" si="136"/>
        <v>-1473930.5351190078</v>
      </c>
      <c r="L1845" s="455">
        <f t="shared" ca="1" si="137"/>
        <v>-355217258.96368086</v>
      </c>
      <c r="M1845" s="471">
        <f t="shared" si="139"/>
        <v>0.05</v>
      </c>
      <c r="N1845" s="475">
        <f t="shared" si="140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38"/>
        <v>-355217258.96368086</v>
      </c>
      <c r="J1846" s="455">
        <f t="array" ref="J1846">IFERROR(INDEX('Retirement Calculator'!J:J,MATCH('Isaac 401k'!N1846,'Retirement Calculator'!A:A,0),0),0)</f>
        <v>0</v>
      </c>
      <c r="K1846" s="455">
        <f t="shared" ca="1" si="136"/>
        <v>-1480071.9123486702</v>
      </c>
      <c r="L1846" s="455">
        <f t="shared" ca="1" si="137"/>
        <v>-356697330.87602955</v>
      </c>
      <c r="M1846" s="471">
        <f t="shared" si="139"/>
        <v>0.05</v>
      </c>
      <c r="N1846" s="475">
        <f t="shared" si="140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38"/>
        <v>-356697330.87602955</v>
      </c>
      <c r="J1847" s="455">
        <f t="array" ref="J1847">IFERROR(INDEX('Retirement Calculator'!J:J,MATCH('Isaac 401k'!N1847,'Retirement Calculator'!A:A,0),0),0)</f>
        <v>0</v>
      </c>
      <c r="K1847" s="455">
        <f t="shared" ca="1" si="136"/>
        <v>-1486238.878650123</v>
      </c>
      <c r="L1847" s="455">
        <f t="shared" ca="1" si="137"/>
        <v>-358183569.75467968</v>
      </c>
      <c r="M1847" s="471">
        <f t="shared" si="139"/>
        <v>0.05</v>
      </c>
      <c r="N1847" s="475">
        <f t="shared" si="140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38"/>
        <v>-358183569.75467968</v>
      </c>
      <c r="J1848" s="455">
        <f t="array" ref="J1848">IFERROR(INDEX('Retirement Calculator'!J:J,MATCH('Isaac 401k'!N1848,'Retirement Calculator'!A:A,0),0),0)</f>
        <v>0</v>
      </c>
      <c r="K1848" s="455">
        <f t="shared" ca="1" si="136"/>
        <v>-1492431.5406444985</v>
      </c>
      <c r="L1848" s="455">
        <f t="shared" ca="1" si="137"/>
        <v>-359676001.29532421</v>
      </c>
      <c r="M1848" s="471">
        <f t="shared" si="139"/>
        <v>0.05</v>
      </c>
      <c r="N1848" s="475">
        <f t="shared" si="140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38"/>
        <v>-359676001.29532421</v>
      </c>
      <c r="J1849" s="455">
        <f t="array" ref="J1849">IFERROR(INDEX('Retirement Calculator'!J:J,MATCH('Isaac 401k'!N1849,'Retirement Calculator'!A:A,0),0),0)</f>
        <v>0</v>
      </c>
      <c r="K1849" s="455">
        <f t="shared" ca="1" si="136"/>
        <v>-1498650.0053971843</v>
      </c>
      <c r="L1849" s="455">
        <f t="shared" ca="1" si="137"/>
        <v>-361174651.30072141</v>
      </c>
      <c r="M1849" s="471">
        <f t="shared" si="139"/>
        <v>0.05</v>
      </c>
      <c r="N1849" s="475">
        <f t="shared" si="140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38"/>
        <v>-361174651.30072141</v>
      </c>
      <c r="J1850" s="455">
        <f t="array" ref="J1850">IFERROR(INDEX('Retirement Calculator'!J:J,MATCH('Isaac 401k'!N1850,'Retirement Calculator'!A:A,0),0),0)</f>
        <v>0</v>
      </c>
      <c r="K1850" s="455">
        <f t="shared" ca="1" si="136"/>
        <v>-1504894.3804196725</v>
      </c>
      <c r="L1850" s="455">
        <f t="shared" ca="1" si="137"/>
        <v>-362679545.68114108</v>
      </c>
      <c r="M1850" s="471">
        <f t="shared" si="139"/>
        <v>0.05</v>
      </c>
      <c r="N1850" s="475">
        <f t="shared" si="140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38"/>
        <v>-362679545.68114108</v>
      </c>
      <c r="J1851" s="455">
        <f t="array" ref="J1851">IFERROR(INDEX('Retirement Calculator'!J:J,MATCH('Isaac 401k'!N1851,'Retirement Calculator'!A:A,0),0),0)</f>
        <v>0</v>
      </c>
      <c r="K1851" s="455">
        <f t="shared" ca="1" si="136"/>
        <v>-1511164.7736714212</v>
      </c>
      <c r="L1851" s="455">
        <f t="shared" ca="1" si="137"/>
        <v>-364190710.45481253</v>
      </c>
      <c r="M1851" s="471">
        <f t="shared" si="139"/>
        <v>0.05</v>
      </c>
      <c r="N1851" s="475">
        <f t="shared" si="140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38"/>
        <v>-364190710.45481253</v>
      </c>
      <c r="J1852" s="455">
        <f t="array" ref="J1852">IFERROR(INDEX('Retirement Calculator'!J:J,MATCH('Isaac 401k'!N1852,'Retirement Calculator'!A:A,0),0),0)</f>
        <v>0</v>
      </c>
      <c r="K1852" s="455">
        <f t="shared" ca="1" si="136"/>
        <v>-1517461.2935617189</v>
      </c>
      <c r="L1852" s="455">
        <f t="shared" ca="1" si="137"/>
        <v>-365708171.74837422</v>
      </c>
      <c r="M1852" s="471">
        <f t="shared" si="139"/>
        <v>0.05</v>
      </c>
      <c r="N1852" s="475">
        <f t="shared" si="140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38"/>
        <v>-365708171.74837422</v>
      </c>
      <c r="J1853" s="455">
        <f t="array" ref="J1853">IFERROR(INDEX('Retirement Calculator'!J:J,MATCH('Isaac 401k'!N1853,'Retirement Calculator'!A:A,0),0),0)</f>
        <v>0</v>
      </c>
      <c r="K1853" s="455">
        <f t="shared" ca="1" si="136"/>
        <v>-1523784.0489515592</v>
      </c>
      <c r="L1853" s="455">
        <f t="shared" ca="1" si="137"/>
        <v>-367231955.79732579</v>
      </c>
      <c r="M1853" s="471">
        <f t="shared" si="139"/>
        <v>0.05</v>
      </c>
      <c r="N1853" s="475">
        <f t="shared" si="140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38"/>
        <v>-367231955.79732579</v>
      </c>
      <c r="J1854" s="455">
        <f t="array" ref="J1854">IFERROR(INDEX('Retirement Calculator'!J:J,MATCH('Isaac 401k'!N1854,'Retirement Calculator'!A:A,0),0),0)</f>
        <v>0</v>
      </c>
      <c r="K1854" s="455">
        <f t="shared" ca="1" si="136"/>
        <v>-1530133.1491555241</v>
      </c>
      <c r="L1854" s="455">
        <f t="shared" ca="1" si="137"/>
        <v>-368762088.94648129</v>
      </c>
      <c r="M1854" s="471">
        <f t="shared" si="139"/>
        <v>0.05</v>
      </c>
      <c r="N1854" s="475">
        <f t="shared" si="140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38"/>
        <v>-368762088.94648129</v>
      </c>
      <c r="J1855" s="455">
        <f t="array" ref="J1855">IFERROR(INDEX('Retirement Calculator'!J:J,MATCH('Isaac 401k'!N1855,'Retirement Calculator'!A:A,0),0),0)</f>
        <v>0</v>
      </c>
      <c r="K1855" s="455">
        <f t="shared" ca="1" si="136"/>
        <v>-1536508.7039436721</v>
      </c>
      <c r="L1855" s="455">
        <f t="shared" ca="1" si="137"/>
        <v>-370298597.65042496</v>
      </c>
      <c r="M1855" s="471">
        <f t="shared" si="139"/>
        <v>0.05</v>
      </c>
      <c r="N1855" s="475">
        <f t="shared" si="140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38"/>
        <v>-370298597.65042496</v>
      </c>
      <c r="J1856" s="455">
        <f t="array" ref="J1856">IFERROR(INDEX('Retirement Calculator'!J:J,MATCH('Isaac 401k'!N1856,'Retirement Calculator'!A:A,0),0),0)</f>
        <v>0</v>
      </c>
      <c r="K1856" s="455">
        <f t="shared" ca="1" si="136"/>
        <v>-1542910.8235434373</v>
      </c>
      <c r="L1856" s="455">
        <f t="shared" ca="1" si="137"/>
        <v>-371841508.47396839</v>
      </c>
      <c r="M1856" s="471">
        <f t="shared" si="139"/>
        <v>0.05</v>
      </c>
      <c r="N1856" s="475">
        <f t="shared" si="140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38"/>
        <v>-371841508.47396839</v>
      </c>
      <c r="J1857" s="455">
        <f t="array" ref="J1857">IFERROR(INDEX('Retirement Calculator'!J:J,MATCH('Isaac 401k'!N1857,'Retirement Calculator'!A:A,0),0),0)</f>
        <v>0</v>
      </c>
      <c r="K1857" s="455">
        <f t="shared" ca="1" si="136"/>
        <v>-1549339.6186415348</v>
      </c>
      <c r="L1857" s="455">
        <f t="shared" ca="1" si="137"/>
        <v>-373390848.09260994</v>
      </c>
      <c r="M1857" s="471">
        <f t="shared" si="139"/>
        <v>0.05</v>
      </c>
      <c r="N1857" s="475">
        <f t="shared" si="140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38"/>
        <v>-373390848.09260994</v>
      </c>
      <c r="J1858" s="455">
        <f t="array" ref="J1858">IFERROR(INDEX('Retirement Calculator'!J:J,MATCH('Isaac 401k'!N1858,'Retirement Calculator'!A:A,0),0),0)</f>
        <v>0</v>
      </c>
      <c r="K1858" s="455">
        <f t="shared" ca="1" si="136"/>
        <v>-1555795.2003858748</v>
      </c>
      <c r="L1858" s="455">
        <f t="shared" ca="1" si="137"/>
        <v>-374946643.29299581</v>
      </c>
      <c r="M1858" s="471">
        <f t="shared" si="139"/>
        <v>0.05</v>
      </c>
      <c r="N1858" s="475">
        <f t="shared" si="140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38"/>
        <v>-374946643.29299581</v>
      </c>
      <c r="J1859" s="455">
        <f t="array" ref="J1859">IFERROR(INDEX('Retirement Calculator'!J:J,MATCH('Isaac 401k'!N1859,'Retirement Calculator'!A:A,0),0),0)</f>
        <v>0</v>
      </c>
      <c r="K1859" s="455">
        <f t="shared" ca="1" si="136"/>
        <v>-1562277.6803874825</v>
      </c>
      <c r="L1859" s="455">
        <f t="shared" ca="1" si="137"/>
        <v>-376508920.97338331</v>
      </c>
      <c r="M1859" s="471">
        <f t="shared" si="139"/>
        <v>0.05</v>
      </c>
      <c r="N1859" s="475">
        <f t="shared" si="140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38"/>
        <v>-376508920.97338331</v>
      </c>
      <c r="J1860" s="455">
        <f t="array" ref="J1860">IFERROR(INDEX('Retirement Calculator'!J:J,MATCH('Isaac 401k'!N1860,'Retirement Calculator'!A:A,0),0),0)</f>
        <v>0</v>
      </c>
      <c r="K1860" s="455">
        <f t="shared" ca="1" si="136"/>
        <v>-1568787.1707224303</v>
      </c>
      <c r="L1860" s="455">
        <f t="shared" ca="1" si="137"/>
        <v>-378077708.14410573</v>
      </c>
      <c r="M1860" s="471">
        <f t="shared" si="139"/>
        <v>0.05</v>
      </c>
      <c r="N1860" s="475">
        <f t="shared" si="140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38"/>
        <v>-378077708.14410573</v>
      </c>
      <c r="J1861" s="455">
        <f t="array" ref="J1861">IFERROR(INDEX('Retirement Calculator'!J:J,MATCH('Isaac 401k'!N1861,'Retirement Calculator'!A:A,0),0),0)</f>
        <v>0</v>
      </c>
      <c r="K1861" s="455">
        <f t="shared" ca="1" si="136"/>
        <v>-1575323.7839337739</v>
      </c>
      <c r="L1861" s="455">
        <f t="shared" ca="1" si="137"/>
        <v>-379653031.92803949</v>
      </c>
      <c r="M1861" s="471">
        <f t="shared" si="139"/>
        <v>0.05</v>
      </c>
      <c r="N1861" s="475">
        <f t="shared" si="140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38"/>
        <v>-379653031.92803949</v>
      </c>
      <c r="J1862" s="455">
        <f t="array" ref="J1862">IFERROR(INDEX('Retirement Calculator'!J:J,MATCH('Isaac 401k'!N1862,'Retirement Calculator'!A:A,0),0),0)</f>
        <v>0</v>
      </c>
      <c r="K1862" s="455">
        <f t="shared" ca="1" si="136"/>
        <v>-1581887.633033498</v>
      </c>
      <c r="L1862" s="455">
        <f t="shared" ca="1" si="137"/>
        <v>-381234919.56107301</v>
      </c>
      <c r="M1862" s="471">
        <f t="shared" si="139"/>
        <v>0.05</v>
      </c>
      <c r="N1862" s="475">
        <f t="shared" si="140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38"/>
        <v>-381234919.56107301</v>
      </c>
      <c r="J1863" s="455">
        <f t="array" ref="J1863">IFERROR(INDEX('Retirement Calculator'!J:J,MATCH('Isaac 401k'!N1863,'Retirement Calculator'!A:A,0),0),0)</f>
        <v>0</v>
      </c>
      <c r="K1863" s="455">
        <f t="shared" ca="1" si="136"/>
        <v>-1588478.8315044709</v>
      </c>
      <c r="L1863" s="455">
        <f t="shared" ca="1" si="137"/>
        <v>-382823398.39257747</v>
      </c>
      <c r="M1863" s="471">
        <f t="shared" si="139"/>
        <v>0.05</v>
      </c>
      <c r="N1863" s="475">
        <f t="shared" si="140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38"/>
        <v>-382823398.39257747</v>
      </c>
      <c r="J1864" s="455">
        <f t="array" ref="J1864">IFERROR(INDEX('Retirement Calculator'!J:J,MATCH('Isaac 401k'!N1864,'Retirement Calculator'!A:A,0),0),0)</f>
        <v>0</v>
      </c>
      <c r="K1864" s="455">
        <f t="shared" ca="1" si="136"/>
        <v>-1595097.493302406</v>
      </c>
      <c r="L1864" s="455">
        <f t="shared" ca="1" si="137"/>
        <v>-384418495.88587987</v>
      </c>
      <c r="M1864" s="471">
        <f t="shared" si="139"/>
        <v>0.05</v>
      </c>
      <c r="N1864" s="475">
        <f t="shared" si="140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38"/>
        <v>-384418495.88587987</v>
      </c>
      <c r="J1865" s="455">
        <f t="array" ref="J1865">IFERROR(INDEX('Retirement Calculator'!J:J,MATCH('Isaac 401k'!N1865,'Retirement Calculator'!A:A,0),0),0)</f>
        <v>0</v>
      </c>
      <c r="K1865" s="455">
        <f t="shared" ca="1" si="136"/>
        <v>-1601743.7328578327</v>
      </c>
      <c r="L1865" s="455">
        <f t="shared" ca="1" si="137"/>
        <v>-386020239.6187377</v>
      </c>
      <c r="M1865" s="471">
        <f t="shared" si="139"/>
        <v>0.05</v>
      </c>
      <c r="N1865" s="475">
        <f t="shared" si="140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38"/>
        <v>-386020239.6187377</v>
      </c>
      <c r="J1866" s="455">
        <f t="array" ref="J1866">IFERROR(INDEX('Retirement Calculator'!J:J,MATCH('Isaac 401k'!N1866,'Retirement Calculator'!A:A,0),0),0)</f>
        <v>0</v>
      </c>
      <c r="K1866" s="455">
        <f t="shared" ca="1" si="136"/>
        <v>-1608417.6650780737</v>
      </c>
      <c r="L1866" s="455">
        <f t="shared" ca="1" si="137"/>
        <v>-387628657.28381574</v>
      </c>
      <c r="M1866" s="471">
        <f t="shared" si="139"/>
        <v>0.05</v>
      </c>
      <c r="N1866" s="475">
        <f t="shared" si="140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38"/>
        <v>-387628657.28381574</v>
      </c>
      <c r="J1867" s="455">
        <f t="array" ref="J1867">IFERROR(INDEX('Retirement Calculator'!J:J,MATCH('Isaac 401k'!N1867,'Retirement Calculator'!A:A,0),0),0)</f>
        <v>0</v>
      </c>
      <c r="K1867" s="455">
        <f t="shared" ca="1" si="136"/>
        <v>-1615119.4053492323</v>
      </c>
      <c r="L1867" s="455">
        <f t="shared" ca="1" si="137"/>
        <v>-389243776.689165</v>
      </c>
      <c r="M1867" s="471">
        <f t="shared" si="139"/>
        <v>0.05</v>
      </c>
      <c r="N1867" s="475">
        <f t="shared" si="140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38"/>
        <v>-389243776.689165</v>
      </c>
      <c r="J1868" s="455">
        <f t="array" ref="J1868">IFERROR(INDEX('Retirement Calculator'!J:J,MATCH('Isaac 401k'!N1868,'Retirement Calculator'!A:A,0),0),0)</f>
        <v>0</v>
      </c>
      <c r="K1868" s="455">
        <f t="shared" ca="1" si="136"/>
        <v>-1621849.0695381875</v>
      </c>
      <c r="L1868" s="455">
        <f t="shared" ca="1" si="137"/>
        <v>-390865625.75870317</v>
      </c>
      <c r="M1868" s="471">
        <f t="shared" si="139"/>
        <v>0.05</v>
      </c>
      <c r="N1868" s="475">
        <f t="shared" si="140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38"/>
        <v>-390865625.75870317</v>
      </c>
      <c r="J1869" s="455">
        <f t="array" ref="J1869">IFERROR(INDEX('Retirement Calculator'!J:J,MATCH('Isaac 401k'!N1869,'Retirement Calculator'!A:A,0),0),0)</f>
        <v>0</v>
      </c>
      <c r="K1869" s="455">
        <f t="shared" ca="1" si="136"/>
        <v>-1628606.7739945964</v>
      </c>
      <c r="L1869" s="455">
        <f t="shared" ca="1" si="137"/>
        <v>-392494232.5326978</v>
      </c>
      <c r="M1869" s="471">
        <f t="shared" si="139"/>
        <v>0.05</v>
      </c>
      <c r="N1869" s="475">
        <f t="shared" si="140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38"/>
        <v>-392494232.5326978</v>
      </c>
      <c r="J1870" s="455">
        <f t="array" ref="J1870">IFERROR(INDEX('Retirement Calculator'!J:J,MATCH('Isaac 401k'!N1870,'Retirement Calculator'!A:A,0),0),0)</f>
        <v>0</v>
      </c>
      <c r="K1870" s="455">
        <f t="shared" ca="1" si="136"/>
        <v>-1635392.6355529074</v>
      </c>
      <c r="L1870" s="455">
        <f t="shared" ca="1" si="137"/>
        <v>-394129625.16825068</v>
      </c>
      <c r="M1870" s="471">
        <f t="shared" si="139"/>
        <v>0.05</v>
      </c>
      <c r="N1870" s="475">
        <f t="shared" si="140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38"/>
        <v>-394129625.16825068</v>
      </c>
      <c r="J1871" s="455">
        <f t="array" ref="J1871">IFERROR(INDEX('Retirement Calculator'!J:J,MATCH('Isaac 401k'!N1871,'Retirement Calculator'!A:A,0),0),0)</f>
        <v>0</v>
      </c>
      <c r="K1871" s="455">
        <f t="shared" ca="1" si="136"/>
        <v>-1642206.7715343777</v>
      </c>
      <c r="L1871" s="455">
        <f t="shared" ca="1" si="137"/>
        <v>-395771831.93978506</v>
      </c>
      <c r="M1871" s="471">
        <f t="shared" si="139"/>
        <v>0.05</v>
      </c>
      <c r="N1871" s="475">
        <f t="shared" si="140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38"/>
        <v>-395771831.93978506</v>
      </c>
      <c r="J1872" s="455">
        <f t="array" ref="J1872">IFERROR(INDEX('Retirement Calculator'!J:J,MATCH('Isaac 401k'!N1872,'Retirement Calculator'!A:A,0),0),0)</f>
        <v>0</v>
      </c>
      <c r="K1872" s="455">
        <f t="shared" ca="1" si="136"/>
        <v>-1649049.2997491043</v>
      </c>
      <c r="L1872" s="455">
        <f t="shared" ca="1" si="137"/>
        <v>-397420881.23953414</v>
      </c>
      <c r="M1872" s="471">
        <f t="shared" si="139"/>
        <v>0.05</v>
      </c>
      <c r="N1872" s="475">
        <f t="shared" si="140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38"/>
        <v>-397420881.23953414</v>
      </c>
      <c r="J1873" s="455">
        <f t="array" ref="J1873">IFERROR(INDEX('Retirement Calculator'!J:J,MATCH('Isaac 401k'!N1873,'Retirement Calculator'!A:A,0),0),0)</f>
        <v>0</v>
      </c>
      <c r="K1873" s="455">
        <f t="shared" ca="1" si="136"/>
        <v>-1655920.338498059</v>
      </c>
      <c r="L1873" s="455">
        <f t="shared" ca="1" si="137"/>
        <v>-399076801.5780322</v>
      </c>
      <c r="M1873" s="471">
        <f t="shared" si="139"/>
        <v>0.05</v>
      </c>
      <c r="N1873" s="475">
        <f t="shared" si="140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38"/>
        <v>-399076801.5780322</v>
      </c>
      <c r="J1874" s="455">
        <f t="array" ref="J1874">IFERROR(INDEX('Retirement Calculator'!J:J,MATCH('Isaac 401k'!N1874,'Retirement Calculator'!A:A,0),0),0)</f>
        <v>0</v>
      </c>
      <c r="K1874" s="455">
        <f t="shared" ca="1" si="136"/>
        <v>-1662820.0065751341</v>
      </c>
      <c r="L1874" s="455">
        <f t="shared" ca="1" si="137"/>
        <v>-400739621.5846073</v>
      </c>
      <c r="M1874" s="471">
        <f t="shared" si="139"/>
        <v>0.05</v>
      </c>
      <c r="N1874" s="475">
        <f t="shared" si="140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38"/>
        <v>-400739621.5846073</v>
      </c>
      <c r="J1875" s="455">
        <f t="array" ref="J1875">IFERROR(INDEX('Retirement Calculator'!J:J,MATCH('Isaac 401k'!N1875,'Retirement Calculator'!A:A,0),0),0)</f>
        <v>0</v>
      </c>
      <c r="K1875" s="455">
        <f t="shared" ca="1" si="136"/>
        <v>-1669748.4232691971</v>
      </c>
      <c r="L1875" s="455">
        <f t="shared" ca="1" si="137"/>
        <v>-402409370.00787652</v>
      </c>
      <c r="M1875" s="471">
        <f t="shared" si="139"/>
        <v>0.05</v>
      </c>
      <c r="N1875" s="475">
        <f t="shared" si="140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38"/>
        <v>-402409370.00787652</v>
      </c>
      <c r="J1876" s="455">
        <f t="array" ref="J1876">IFERROR(INDEX('Retirement Calculator'!J:J,MATCH('Isaac 401k'!N1876,'Retirement Calculator'!A:A,0),0),0)</f>
        <v>0</v>
      </c>
      <c r="K1876" s="455">
        <f t="shared" ca="1" si="136"/>
        <v>-1676705.7083661521</v>
      </c>
      <c r="L1876" s="455">
        <f t="shared" ca="1" si="137"/>
        <v>-404086075.71624267</v>
      </c>
      <c r="M1876" s="471">
        <f t="shared" si="139"/>
        <v>0.05</v>
      </c>
      <c r="N1876" s="475">
        <f t="shared" si="140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38"/>
        <v>-404086075.71624267</v>
      </c>
      <c r="J1877" s="455">
        <f t="array" ref="J1877">IFERROR(INDEX('Retirement Calculator'!J:J,MATCH('Isaac 401k'!N1877,'Retirement Calculator'!A:A,0),0),0)</f>
        <v>0</v>
      </c>
      <c r="K1877" s="455">
        <f t="shared" ca="1" si="136"/>
        <v>-1683691.982151011</v>
      </c>
      <c r="L1877" s="455">
        <f t="shared" ca="1" si="137"/>
        <v>-405769767.6983937</v>
      </c>
      <c r="M1877" s="471">
        <f t="shared" si="139"/>
        <v>0.05</v>
      </c>
      <c r="N1877" s="475">
        <f t="shared" si="140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38"/>
        <v>-405769767.6983937</v>
      </c>
      <c r="J1878" s="455">
        <f t="array" ref="J1878">IFERROR(INDEX('Retirement Calculator'!J:J,MATCH('Isaac 401k'!N1878,'Retirement Calculator'!A:A,0),0),0)</f>
        <v>0</v>
      </c>
      <c r="K1878" s="455">
        <f t="shared" ca="1" si="136"/>
        <v>-1690707.3654099738</v>
      </c>
      <c r="L1878" s="455">
        <f t="shared" ca="1" si="137"/>
        <v>-407460475.06380367</v>
      </c>
      <c r="M1878" s="471">
        <f t="shared" si="139"/>
        <v>0.05</v>
      </c>
      <c r="N1878" s="475">
        <f t="shared" si="140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38"/>
        <v>-407460475.06380367</v>
      </c>
      <c r="J1879" s="455">
        <f t="array" ref="J1879">IFERROR(INDEX('Retirement Calculator'!J:J,MATCH('Isaac 401k'!N1879,'Retirement Calculator'!A:A,0),0),0)</f>
        <v>0</v>
      </c>
      <c r="K1879" s="455">
        <f t="shared" ca="1" si="136"/>
        <v>-1697751.9794325153</v>
      </c>
      <c r="L1879" s="455">
        <f t="shared" ca="1" si="137"/>
        <v>-409158227.0432362</v>
      </c>
      <c r="M1879" s="471">
        <f t="shared" si="139"/>
        <v>0.05</v>
      </c>
      <c r="N1879" s="475">
        <f t="shared" si="140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38"/>
        <v>-409158227.0432362</v>
      </c>
      <c r="J1880" s="455">
        <f t="array" ref="J1880">IFERROR(INDEX('Retirement Calculator'!J:J,MATCH('Isaac 401k'!N1880,'Retirement Calculator'!A:A,0),0),0)</f>
        <v>0</v>
      </c>
      <c r="K1880" s="455">
        <f t="shared" ca="1" si="136"/>
        <v>-1704825.9460134842</v>
      </c>
      <c r="L1880" s="455">
        <f t="shared" ca="1" si="137"/>
        <v>-410863052.98924971</v>
      </c>
      <c r="M1880" s="471">
        <f t="shared" si="139"/>
        <v>0.05</v>
      </c>
      <c r="N1880" s="475">
        <f t="shared" si="140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38"/>
        <v>-410863052.98924971</v>
      </c>
      <c r="J1881" s="455">
        <f t="array" ref="J1881">IFERROR(INDEX('Retirement Calculator'!J:J,MATCH('Isaac 401k'!N1881,'Retirement Calculator'!A:A,0),0),0)</f>
        <v>0</v>
      </c>
      <c r="K1881" s="455">
        <f t="shared" ca="1" si="136"/>
        <v>-1711929.3874552071</v>
      </c>
      <c r="L1881" s="455">
        <f t="shared" ca="1" si="137"/>
        <v>-412574982.37670493</v>
      </c>
      <c r="M1881" s="471">
        <f t="shared" si="139"/>
        <v>0.05</v>
      </c>
      <c r="N1881" s="475">
        <f t="shared" si="140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38"/>
        <v>-412574982.37670493</v>
      </c>
      <c r="J1882" s="455">
        <f t="array" ref="J1882">IFERROR(INDEX('Retirement Calculator'!J:J,MATCH('Isaac 401k'!N1882,'Retirement Calculator'!A:A,0),0),0)</f>
        <v>0</v>
      </c>
      <c r="K1882" s="455">
        <f t="shared" ca="1" si="136"/>
        <v>-1719062.4265696038</v>
      </c>
      <c r="L1882" s="455">
        <f t="shared" ca="1" si="137"/>
        <v>-414294044.80327451</v>
      </c>
      <c r="M1882" s="471">
        <f t="shared" si="139"/>
        <v>0.05</v>
      </c>
      <c r="N1882" s="475">
        <f t="shared" si="140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38"/>
        <v>-414294044.80327451</v>
      </c>
      <c r="J1883" s="455">
        <f t="array" ref="J1883">IFERROR(INDEX('Retirement Calculator'!J:J,MATCH('Isaac 401k'!N1883,'Retirement Calculator'!A:A,0),0),0)</f>
        <v>0</v>
      </c>
      <c r="K1883" s="455">
        <f t="shared" ca="1" si="136"/>
        <v>-1726225.1866803104</v>
      </c>
      <c r="L1883" s="455">
        <f t="shared" ca="1" si="137"/>
        <v>-416020269.98995483</v>
      </c>
      <c r="M1883" s="471">
        <f t="shared" si="139"/>
        <v>0.05</v>
      </c>
      <c r="N1883" s="475">
        <f t="shared" si="140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38"/>
        <v>-416020269.98995483</v>
      </c>
      <c r="J1884" s="455">
        <f t="array" ref="J1884">IFERROR(INDEX('Retirement Calculator'!J:J,MATCH('Isaac 401k'!N1884,'Retirement Calculator'!A:A,0),0),0)</f>
        <v>0</v>
      </c>
      <c r="K1884" s="455">
        <f t="shared" ca="1" si="136"/>
        <v>-1733417.7916248117</v>
      </c>
      <c r="L1884" s="455">
        <f t="shared" ca="1" si="137"/>
        <v>-417753687.78157961</v>
      </c>
      <c r="M1884" s="471">
        <f t="shared" si="139"/>
        <v>0.05</v>
      </c>
      <c r="N1884" s="475">
        <f t="shared" si="140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38"/>
        <v>-417753687.78157961</v>
      </c>
      <c r="J1885" s="455">
        <f t="array" ref="J1885">IFERROR(INDEX('Retirement Calculator'!J:J,MATCH('Isaac 401k'!N1885,'Retirement Calculator'!A:A,0),0),0)</f>
        <v>0</v>
      </c>
      <c r="K1885" s="455">
        <f t="shared" ca="1" si="136"/>
        <v>-1740640.3657565818</v>
      </c>
      <c r="L1885" s="455">
        <f t="shared" ca="1" si="137"/>
        <v>-419494328.14733618</v>
      </c>
      <c r="M1885" s="471">
        <f t="shared" si="139"/>
        <v>0.05</v>
      </c>
      <c r="N1885" s="475">
        <f t="shared" si="140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38"/>
        <v>-419494328.14733618</v>
      </c>
      <c r="J1886" s="455">
        <f t="array" ref="J1886">IFERROR(INDEX('Retirement Calculator'!J:J,MATCH('Isaac 401k'!N1886,'Retirement Calculator'!A:A,0),0),0)</f>
        <v>0</v>
      </c>
      <c r="K1886" s="455">
        <f t="shared" ca="1" si="136"/>
        <v>-1747893.0339472338</v>
      </c>
      <c r="L1886" s="455">
        <f t="shared" ca="1" si="137"/>
        <v>-421242221.18128341</v>
      </c>
      <c r="M1886" s="471">
        <f t="shared" si="139"/>
        <v>0.05</v>
      </c>
      <c r="N1886" s="475">
        <f t="shared" si="140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38"/>
        <v>-421242221.18128341</v>
      </c>
      <c r="J1887" s="455">
        <f t="array" ref="J1887">IFERROR(INDEX('Retirement Calculator'!J:J,MATCH('Isaac 401k'!N1887,'Retirement Calculator'!A:A,0),0),0)</f>
        <v>0</v>
      </c>
      <c r="K1887" s="455">
        <f t="shared" ca="1" si="136"/>
        <v>-1755175.9215886809</v>
      </c>
      <c r="L1887" s="455">
        <f t="shared" ca="1" si="137"/>
        <v>-422997397.10287207</v>
      </c>
      <c r="M1887" s="471">
        <f t="shared" si="139"/>
        <v>0.05</v>
      </c>
      <c r="N1887" s="475">
        <f t="shared" si="140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38"/>
        <v>-422997397.10287207</v>
      </c>
      <c r="J1888" s="455">
        <f t="array" ref="J1888">IFERROR(INDEX('Retirement Calculator'!J:J,MATCH('Isaac 401k'!N1888,'Retirement Calculator'!A:A,0),0),0)</f>
        <v>0</v>
      </c>
      <c r="K1888" s="455">
        <f t="shared" ca="1" si="136"/>
        <v>-1762489.1545953003</v>
      </c>
      <c r="L1888" s="455">
        <f t="shared" ca="1" si="137"/>
        <v>-424759886.25746739</v>
      </c>
      <c r="M1888" s="471">
        <f t="shared" si="139"/>
        <v>0.05</v>
      </c>
      <c r="N1888" s="475">
        <f t="shared" si="140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38"/>
        <v>-424759886.25746739</v>
      </c>
      <c r="J1889" s="455">
        <f t="array" ref="J1889">IFERROR(INDEX('Retirement Calculator'!J:J,MATCH('Isaac 401k'!N1889,'Retirement Calculator'!A:A,0),0),0)</f>
        <v>0</v>
      </c>
      <c r="K1889" s="455">
        <f t="shared" ca="1" si="136"/>
        <v>-1769832.8594061139</v>
      </c>
      <c r="L1889" s="455">
        <f t="shared" ca="1" si="137"/>
        <v>-426529719.1168735</v>
      </c>
      <c r="M1889" s="471">
        <f t="shared" si="139"/>
        <v>0.05</v>
      </c>
      <c r="N1889" s="475">
        <f t="shared" si="140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38"/>
        <v>-426529719.1168735</v>
      </c>
      <c r="J1890" s="455">
        <f t="array" ref="J1890">IFERROR(INDEX('Retirement Calculator'!J:J,MATCH('Isaac 401k'!N1890,'Retirement Calculator'!A:A,0),0),0)</f>
        <v>0</v>
      </c>
      <c r="K1890" s="455">
        <f t="shared" ca="1" si="136"/>
        <v>-1777207.1629869728</v>
      </c>
      <c r="L1890" s="455">
        <f t="shared" ca="1" si="137"/>
        <v>-428306926.2798605</v>
      </c>
      <c r="M1890" s="471">
        <f t="shared" si="139"/>
        <v>0.05</v>
      </c>
      <c r="N1890" s="475">
        <f t="shared" si="140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38"/>
        <v>-428306926.2798605</v>
      </c>
      <c r="J1891" s="455">
        <f t="array" ref="J1891">IFERROR(INDEX('Retirement Calculator'!J:J,MATCH('Isaac 401k'!N1891,'Retirement Calculator'!A:A,0),0),0)</f>
        <v>0</v>
      </c>
      <c r="K1891" s="455">
        <f t="shared" ca="1" si="136"/>
        <v>-1784612.1928327521</v>
      </c>
      <c r="L1891" s="455">
        <f t="shared" ca="1" si="137"/>
        <v>-430091538.47269326</v>
      </c>
      <c r="M1891" s="471">
        <f t="shared" si="139"/>
        <v>0.05</v>
      </c>
      <c r="N1891" s="475">
        <f t="shared" si="140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38"/>
        <v>-430091538.47269326</v>
      </c>
      <c r="J1892" s="455">
        <f t="array" ref="J1892">IFERROR(INDEX('Retirement Calculator'!J:J,MATCH('Isaac 401k'!N1892,'Retirement Calculator'!A:A,0),0),0)</f>
        <v>0</v>
      </c>
      <c r="K1892" s="455">
        <f t="shared" ca="1" si="136"/>
        <v>-1792048.0769695553</v>
      </c>
      <c r="L1892" s="455">
        <f t="shared" ca="1" si="137"/>
        <v>-431883586.54966283</v>
      </c>
      <c r="M1892" s="471">
        <f t="shared" si="139"/>
        <v>0.05</v>
      </c>
      <c r="N1892" s="475">
        <f t="shared" si="140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38"/>
        <v>-431883586.54966283</v>
      </c>
      <c r="J1893" s="455">
        <f t="array" ref="J1893">IFERROR(INDEX('Retirement Calculator'!J:J,MATCH('Isaac 401k'!N1893,'Retirement Calculator'!A:A,0),0),0)</f>
        <v>0</v>
      </c>
      <c r="K1893" s="455">
        <f t="shared" ca="1" si="136"/>
        <v>-1799514.9439569283</v>
      </c>
      <c r="L1893" s="455">
        <f t="shared" ca="1" si="137"/>
        <v>-433683101.49361974</v>
      </c>
      <c r="M1893" s="471">
        <f t="shared" si="139"/>
        <v>0.05</v>
      </c>
      <c r="N1893" s="475">
        <f t="shared" si="140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38"/>
        <v>-433683101.49361974</v>
      </c>
      <c r="J1894" s="455">
        <f t="array" ref="J1894">IFERROR(INDEX('Retirement Calculator'!J:J,MATCH('Isaac 401k'!N1894,'Retirement Calculator'!A:A,0),0),0)</f>
        <v>0</v>
      </c>
      <c r="K1894" s="455">
        <f t="shared" ca="1" si="136"/>
        <v>-1807012.9228900822</v>
      </c>
      <c r="L1894" s="455">
        <f t="shared" ca="1" si="137"/>
        <v>-435490114.41650981</v>
      </c>
      <c r="M1894" s="471">
        <f t="shared" si="139"/>
        <v>0.05</v>
      </c>
      <c r="N1894" s="475">
        <f t="shared" si="140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38"/>
        <v>-435490114.41650981</v>
      </c>
      <c r="J1895" s="455">
        <f t="array" ref="J1895">IFERROR(INDEX('Retirement Calculator'!J:J,MATCH('Isaac 401k'!N1895,'Retirement Calculator'!A:A,0),0),0)</f>
        <v>0</v>
      </c>
      <c r="K1895" s="455">
        <f t="shared" ca="1" si="136"/>
        <v>-1814542.1434021245</v>
      </c>
      <c r="L1895" s="455">
        <f t="shared" ca="1" si="137"/>
        <v>-437304656.55991191</v>
      </c>
      <c r="M1895" s="471">
        <f t="shared" si="139"/>
        <v>0.05</v>
      </c>
      <c r="N1895" s="475">
        <f t="shared" si="140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38"/>
        <v>-437304656.55991191</v>
      </c>
      <c r="J1896" s="455">
        <f t="array" ref="J1896">IFERROR(INDEX('Retirement Calculator'!J:J,MATCH('Isaac 401k'!N1896,'Retirement Calculator'!A:A,0),0),0)</f>
        <v>0</v>
      </c>
      <c r="K1896" s="455">
        <f t="shared" ca="1" si="136"/>
        <v>-1822102.7356662995</v>
      </c>
      <c r="L1896" s="455">
        <f t="shared" ca="1" si="137"/>
        <v>-439126759.29557818</v>
      </c>
      <c r="M1896" s="471">
        <f t="shared" si="139"/>
        <v>0.05</v>
      </c>
      <c r="N1896" s="475">
        <f t="shared" si="140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38"/>
        <v>-439126759.29557818</v>
      </c>
      <c r="J1897" s="455">
        <f t="array" ref="J1897">IFERROR(INDEX('Retirement Calculator'!J:J,MATCH('Isaac 401k'!N1897,'Retirement Calculator'!A:A,0),0),0)</f>
        <v>0</v>
      </c>
      <c r="K1897" s="455">
        <f t="shared" ca="1" si="136"/>
        <v>-1829694.8303982425</v>
      </c>
      <c r="L1897" s="455">
        <f t="shared" ca="1" si="137"/>
        <v>-440956454.12597644</v>
      </c>
      <c r="M1897" s="471">
        <f t="shared" si="139"/>
        <v>0.05</v>
      </c>
      <c r="N1897" s="475">
        <f t="shared" si="140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38"/>
        <v>-440956454.12597644</v>
      </c>
      <c r="J1898" s="455">
        <f t="array" ref="J1898">IFERROR(INDEX('Retirement Calculator'!J:J,MATCH('Isaac 401k'!N1898,'Retirement Calculator'!A:A,0),0),0)</f>
        <v>0</v>
      </c>
      <c r="K1898" s="455">
        <f t="shared" ca="1" si="136"/>
        <v>-1837318.5588582351</v>
      </c>
      <c r="L1898" s="455">
        <f t="shared" ca="1" si="137"/>
        <v>-442793772.68483466</v>
      </c>
      <c r="M1898" s="471">
        <f t="shared" si="139"/>
        <v>0.05</v>
      </c>
      <c r="N1898" s="475">
        <f t="shared" si="140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38"/>
        <v>-442793772.68483466</v>
      </c>
      <c r="J1899" s="455">
        <f t="array" ref="J1899">IFERROR(INDEX('Retirement Calculator'!J:J,MATCH('Isaac 401k'!N1899,'Retirement Calculator'!A:A,0),0),0)</f>
        <v>0</v>
      </c>
      <c r="K1899" s="455">
        <f t="shared" ca="1" si="136"/>
        <v>-1844974.0528534777</v>
      </c>
      <c r="L1899" s="455">
        <f t="shared" ca="1" si="137"/>
        <v>-444638746.73768812</v>
      </c>
      <c r="M1899" s="471">
        <f t="shared" si="139"/>
        <v>0.05</v>
      </c>
      <c r="N1899" s="475">
        <f t="shared" si="140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38"/>
        <v>-444638746.73768812</v>
      </c>
      <c r="J1900" s="455">
        <f t="array" ref="J1900">IFERROR(INDEX('Retirement Calculator'!J:J,MATCH('Isaac 401k'!N1900,'Retirement Calculator'!A:A,0),0),0)</f>
        <v>0</v>
      </c>
      <c r="K1900" s="455">
        <f t="shared" ca="1" si="136"/>
        <v>-1852661.4447403671</v>
      </c>
      <c r="L1900" s="455">
        <f t="shared" ca="1" si="137"/>
        <v>-446491408.18242848</v>
      </c>
      <c r="M1900" s="471">
        <f t="shared" si="139"/>
        <v>0.05</v>
      </c>
      <c r="N1900" s="475">
        <f t="shared" si="140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38"/>
        <v>-446491408.18242848</v>
      </c>
      <c r="J1901" s="455">
        <f t="array" ref="J1901">IFERROR(INDEX('Retirement Calculator'!J:J,MATCH('Isaac 401k'!N1901,'Retirement Calculator'!A:A,0),0),0)</f>
        <v>0</v>
      </c>
      <c r="K1901" s="455">
        <f t="shared" ca="1" si="136"/>
        <v>-1860380.8674267854</v>
      </c>
      <c r="L1901" s="455">
        <f t="shared" ca="1" si="137"/>
        <v>-448351789.04985529</v>
      </c>
      <c r="M1901" s="471">
        <f t="shared" si="139"/>
        <v>0.05</v>
      </c>
      <c r="N1901" s="475">
        <f t="shared" si="140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38"/>
        <v>-448351789.04985529</v>
      </c>
      <c r="J1902" s="455">
        <f t="array" ref="J1902">IFERROR(INDEX('Retirement Calculator'!J:J,MATCH('Isaac 401k'!N1902,'Retirement Calculator'!A:A,0),0),0)</f>
        <v>0</v>
      </c>
      <c r="K1902" s="455">
        <f t="shared" ca="1" si="136"/>
        <v>-1868132.4543743969</v>
      </c>
      <c r="L1902" s="455">
        <f t="shared" ca="1" si="137"/>
        <v>-450219921.50422966</v>
      </c>
      <c r="M1902" s="471">
        <f t="shared" si="139"/>
        <v>0.05</v>
      </c>
      <c r="N1902" s="475">
        <f t="shared" si="140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38"/>
        <v>-450219921.50422966</v>
      </c>
      <c r="J1903" s="455">
        <f t="array" ref="J1903">IFERROR(INDEX('Retirement Calculator'!J:J,MATCH('Isaac 401k'!N1903,'Retirement Calculator'!A:A,0),0),0)</f>
        <v>0</v>
      </c>
      <c r="K1903" s="455">
        <f t="shared" ca="1" si="136"/>
        <v>-1875916.339600957</v>
      </c>
      <c r="L1903" s="455">
        <f t="shared" ca="1" si="137"/>
        <v>-452095837.84383065</v>
      </c>
      <c r="M1903" s="471">
        <f t="shared" si="139"/>
        <v>0.05</v>
      </c>
      <c r="N1903" s="475">
        <f t="shared" si="140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38"/>
        <v>-452095837.84383065</v>
      </c>
      <c r="J1904" s="455">
        <f t="array" ref="J1904">IFERROR(INDEX('Retirement Calculator'!J:J,MATCH('Isaac 401k'!N1904,'Retirement Calculator'!A:A,0),0),0)</f>
        <v>0</v>
      </c>
      <c r="K1904" s="455">
        <f t="shared" ca="1" si="136"/>
        <v>-1883732.6576826279</v>
      </c>
      <c r="L1904" s="455">
        <f t="shared" ca="1" si="137"/>
        <v>-453979570.5015133</v>
      </c>
      <c r="M1904" s="471">
        <f t="shared" si="139"/>
        <v>0.05</v>
      </c>
      <c r="N1904" s="475">
        <f t="shared" si="140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38"/>
        <v>-453979570.5015133</v>
      </c>
      <c r="J1905" s="455">
        <f t="array" ref="J1905">IFERROR(INDEX('Retirement Calculator'!J:J,MATCH('Isaac 401k'!N1905,'Retirement Calculator'!A:A,0),0),0)</f>
        <v>0</v>
      </c>
      <c r="K1905" s="455">
        <f t="shared" ca="1" si="136"/>
        <v>-1891581.5437563055</v>
      </c>
      <c r="L1905" s="455">
        <f t="shared" ca="1" si="137"/>
        <v>-455871152.04526961</v>
      </c>
      <c r="M1905" s="471">
        <f t="shared" si="139"/>
        <v>0.05</v>
      </c>
      <c r="N1905" s="475">
        <f t="shared" si="140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38"/>
        <v>-455871152.04526961</v>
      </c>
      <c r="J1906" s="455">
        <f t="array" ref="J1906">IFERROR(INDEX('Retirement Calculator'!J:J,MATCH('Isaac 401k'!N1906,'Retirement Calculator'!A:A,0),0),0)</f>
        <v>0</v>
      </c>
      <c r="K1906" s="455">
        <f t="shared" ca="1" si="136"/>
        <v>-1899463.1335219566</v>
      </c>
      <c r="L1906" s="455">
        <f t="shared" ca="1" si="137"/>
        <v>-457770615.17879158</v>
      </c>
      <c r="M1906" s="471">
        <f t="shared" si="139"/>
        <v>0.05</v>
      </c>
      <c r="N1906" s="475">
        <f t="shared" si="140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38"/>
        <v>-457770615.17879158</v>
      </c>
      <c r="J1907" s="455">
        <f t="array" ref="J1907">IFERROR(INDEX('Retirement Calculator'!J:J,MATCH('Isaac 401k'!N1907,'Retirement Calculator'!A:A,0),0),0)</f>
        <v>0</v>
      </c>
      <c r="K1907" s="455">
        <f t="shared" ca="1" si="136"/>
        <v>-1907377.5632449649</v>
      </c>
      <c r="L1907" s="455">
        <f t="shared" ca="1" si="137"/>
        <v>-459677992.74203652</v>
      </c>
      <c r="M1907" s="471">
        <f t="shared" si="139"/>
        <v>0.05</v>
      </c>
      <c r="N1907" s="475">
        <f t="shared" si="140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38"/>
        <v>-459677992.74203652</v>
      </c>
      <c r="J1908" s="455">
        <f t="array" ref="J1908">IFERROR(INDEX('Retirement Calculator'!J:J,MATCH('Isaac 401k'!N1908,'Retirement Calculator'!A:A,0),0),0)</f>
        <v>0</v>
      </c>
      <c r="K1908" s="455">
        <f t="shared" ca="1" si="136"/>
        <v>-1915324.9697584854</v>
      </c>
      <c r="L1908" s="455">
        <f t="shared" ca="1" si="137"/>
        <v>-461593317.71179503</v>
      </c>
      <c r="M1908" s="471">
        <f t="shared" si="139"/>
        <v>0.05</v>
      </c>
      <c r="N1908" s="475">
        <f t="shared" si="140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38"/>
        <v>-461593317.71179503</v>
      </c>
      <c r="J1909" s="455">
        <f t="array" ref="J1909">IFERROR(INDEX('Retirement Calculator'!J:J,MATCH('Isaac 401k'!N1909,'Retirement Calculator'!A:A,0),0),0)</f>
        <v>0</v>
      </c>
      <c r="K1909" s="455">
        <f t="shared" ca="1" si="136"/>
        <v>-1923305.4904658126</v>
      </c>
      <c r="L1909" s="455">
        <f t="shared" ca="1" si="137"/>
        <v>-463516623.20226085</v>
      </c>
      <c r="M1909" s="471">
        <f t="shared" si="139"/>
        <v>0.05</v>
      </c>
      <c r="N1909" s="475">
        <f t="shared" si="140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38"/>
        <v>-463516623.20226085</v>
      </c>
      <c r="J1910" s="455">
        <f t="array" ref="J1910">IFERROR(INDEX('Retirement Calculator'!J:J,MATCH('Isaac 401k'!N1910,'Retirement Calculator'!A:A,0),0),0)</f>
        <v>0</v>
      </c>
      <c r="K1910" s="455">
        <f t="shared" ca="1" si="136"/>
        <v>-1931319.2633427538</v>
      </c>
      <c r="L1910" s="455">
        <f t="shared" ca="1" si="137"/>
        <v>-465447942.46560359</v>
      </c>
      <c r="M1910" s="471">
        <f t="shared" si="139"/>
        <v>0.05</v>
      </c>
      <c r="N1910" s="475">
        <f t="shared" si="140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38"/>
        <v>-465447942.46560359</v>
      </c>
      <c r="J1911" s="455">
        <f t="array" ref="J1911">IFERROR(INDEX('Retirement Calculator'!J:J,MATCH('Isaac 401k'!N1911,'Retirement Calculator'!A:A,0),0),0)</f>
        <v>0</v>
      </c>
      <c r="K1911" s="455">
        <f t="shared" ca="1" si="136"/>
        <v>-1939366.4269400148</v>
      </c>
      <c r="L1911" s="455">
        <f t="shared" ca="1" si="137"/>
        <v>-467387308.89254361</v>
      </c>
      <c r="M1911" s="471">
        <f t="shared" si="139"/>
        <v>0.05</v>
      </c>
      <c r="N1911" s="475">
        <f t="shared" si="140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38"/>
        <v>-467387308.89254361</v>
      </c>
      <c r="J1912" s="455">
        <f t="array" ref="J1912">IFERROR(INDEX('Retirement Calculator'!J:J,MATCH('Isaac 401k'!N1912,'Retirement Calculator'!A:A,0),0),0)</f>
        <v>0</v>
      </c>
      <c r="K1912" s="455">
        <f t="shared" ca="1" si="136"/>
        <v>-1947447.1203855986</v>
      </c>
      <c r="L1912" s="455">
        <f t="shared" ca="1" si="137"/>
        <v>-469334756.0129292</v>
      </c>
      <c r="M1912" s="471">
        <f t="shared" si="139"/>
        <v>0.05</v>
      </c>
      <c r="N1912" s="475">
        <f t="shared" si="140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38"/>
        <v>-469334756.0129292</v>
      </c>
      <c r="J1913" s="455">
        <f t="array" ref="J1913">IFERROR(INDEX('Retirement Calculator'!J:J,MATCH('Isaac 401k'!N1913,'Retirement Calculator'!A:A,0),0),0)</f>
        <v>0</v>
      </c>
      <c r="K1913" s="455">
        <f t="shared" ca="1" si="136"/>
        <v>-1955561.4833872051</v>
      </c>
      <c r="L1913" s="455">
        <f t="shared" ca="1" si="137"/>
        <v>-471290317.49631643</v>
      </c>
      <c r="M1913" s="471">
        <f t="shared" si="139"/>
        <v>0.05</v>
      </c>
      <c r="N1913" s="475">
        <f t="shared" si="140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38"/>
        <v>-471290317.49631643</v>
      </c>
      <c r="J1914" s="455">
        <f t="array" ref="J1914">IFERROR(INDEX('Retirement Calculator'!J:J,MATCH('Isaac 401k'!N1914,'Retirement Calculator'!A:A,0),0),0)</f>
        <v>0</v>
      </c>
      <c r="K1914" s="455">
        <f t="shared" ca="1" si="136"/>
        <v>-1963709.6562346516</v>
      </c>
      <c r="L1914" s="455">
        <f t="shared" ca="1" si="137"/>
        <v>-473254027.15255105</v>
      </c>
      <c r="M1914" s="471">
        <f t="shared" si="139"/>
        <v>0.05</v>
      </c>
      <c r="N1914" s="475">
        <f t="shared" si="140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38"/>
        <v>-473254027.15255105</v>
      </c>
      <c r="J1915" s="455">
        <f t="array" ref="J1915">IFERROR(INDEX('Retirement Calculator'!J:J,MATCH('Isaac 401k'!N1915,'Retirement Calculator'!A:A,0),0),0)</f>
        <v>0</v>
      </c>
      <c r="K1915" s="455">
        <f t="shared" ca="1" si="136"/>
        <v>-1971891.7798022958</v>
      </c>
      <c r="L1915" s="455">
        <f t="shared" ca="1" si="137"/>
        <v>-475225918.93235338</v>
      </c>
      <c r="M1915" s="471">
        <f t="shared" si="139"/>
        <v>0.05</v>
      </c>
      <c r="N1915" s="475">
        <f t="shared" si="140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38"/>
        <v>-475225918.93235338</v>
      </c>
      <c r="J1916" s="455">
        <f t="array" ref="J1916">IFERROR(INDEX('Retirement Calculator'!J:J,MATCH('Isaac 401k'!N1916,'Retirement Calculator'!A:A,0),0),0)</f>
        <v>0</v>
      </c>
      <c r="K1916" s="455">
        <f t="shared" ca="1" si="136"/>
        <v>-1980107.9955514723</v>
      </c>
      <c r="L1916" s="455">
        <f t="shared" ca="1" si="137"/>
        <v>-477206026.92790484</v>
      </c>
      <c r="M1916" s="471">
        <f t="shared" si="139"/>
        <v>0.05</v>
      </c>
      <c r="N1916" s="475">
        <f t="shared" si="140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38"/>
        <v>-477206026.92790484</v>
      </c>
      <c r="J1917" s="455">
        <f t="array" ref="J1917">IFERROR(INDEX('Retirement Calculator'!J:J,MATCH('Isaac 401k'!N1917,'Retirement Calculator'!A:A,0),0),0)</f>
        <v>0</v>
      </c>
      <c r="K1917" s="455">
        <f t="shared" ca="1" si="136"/>
        <v>-1988358.4455329368</v>
      </c>
      <c r="L1917" s="455">
        <f t="shared" ca="1" si="137"/>
        <v>-479194385.37343776</v>
      </c>
      <c r="M1917" s="471">
        <f t="shared" si="139"/>
        <v>0.05</v>
      </c>
      <c r="N1917" s="475">
        <f t="shared" si="140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38"/>
        <v>-479194385.37343776</v>
      </c>
      <c r="J1918" s="455">
        <f t="array" ref="J1918">IFERROR(INDEX('Retirement Calculator'!J:J,MATCH('Isaac 401k'!N1918,'Retirement Calculator'!A:A,0),0),0)</f>
        <v>0</v>
      </c>
      <c r="K1918" s="455">
        <f t="shared" ca="1" si="136"/>
        <v>-1996643.2723893239</v>
      </c>
      <c r="L1918" s="455">
        <f t="shared" ca="1" si="137"/>
        <v>-481191028.64582711</v>
      </c>
      <c r="M1918" s="471">
        <f t="shared" si="139"/>
        <v>0.05</v>
      </c>
      <c r="N1918" s="475">
        <f t="shared" si="140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38"/>
        <v>-481191028.64582711</v>
      </c>
      <c r="J1919" s="455">
        <f t="array" ref="J1919">IFERROR(INDEX('Retirement Calculator'!J:J,MATCH('Isaac 401k'!N1919,'Retirement Calculator'!A:A,0),0),0)</f>
        <v>0</v>
      </c>
      <c r="K1919" s="455">
        <f t="shared" ca="1" si="136"/>
        <v>-2004962.6193576127</v>
      </c>
      <c r="L1919" s="455">
        <f t="shared" ca="1" si="137"/>
        <v>-483195991.2651847</v>
      </c>
      <c r="M1919" s="471">
        <f t="shared" si="139"/>
        <v>0.05</v>
      </c>
      <c r="N1919" s="475">
        <f t="shared" si="140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38"/>
        <v>-483195991.2651847</v>
      </c>
      <c r="J1920" s="455">
        <f t="array" ref="J1920">IFERROR(INDEX('Retirement Calculator'!J:J,MATCH('Isaac 401k'!N1920,'Retirement Calculator'!A:A,0),0),0)</f>
        <v>0</v>
      </c>
      <c r="K1920" s="455">
        <f t="shared" ca="1" si="136"/>
        <v>-2013316.6302716027</v>
      </c>
      <c r="L1920" s="455">
        <f t="shared" ca="1" si="137"/>
        <v>-485209307.89545631</v>
      </c>
      <c r="M1920" s="471">
        <f t="shared" si="139"/>
        <v>0.05</v>
      </c>
      <c r="N1920" s="475">
        <f t="shared" si="140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38"/>
        <v>-485209307.89545631</v>
      </c>
      <c r="J1921" s="455">
        <f t="array" ref="J1921">IFERROR(INDEX('Retirement Calculator'!J:J,MATCH('Isaac 401k'!N1921,'Retirement Calculator'!A:A,0),0),0)</f>
        <v>0</v>
      </c>
      <c r="K1921" s="455">
        <f t="shared" ca="1" si="136"/>
        <v>-2021705.4495644013</v>
      </c>
      <c r="L1921" s="455">
        <f t="shared" ca="1" si="137"/>
        <v>-487231013.34502071</v>
      </c>
      <c r="M1921" s="471">
        <f t="shared" si="139"/>
        <v>0.05</v>
      </c>
      <c r="N1921" s="475">
        <f t="shared" si="140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38"/>
        <v>-487231013.34502071</v>
      </c>
      <c r="J1922" s="455">
        <f t="array" ref="J1922">IFERROR(INDEX('Retirement Calculator'!J:J,MATCH('Isaac 401k'!N1922,'Retirement Calculator'!A:A,0),0),0)</f>
        <v>0</v>
      </c>
      <c r="K1922" s="455">
        <f t="shared" ca="1" si="136"/>
        <v>-2030129.2222709197</v>
      </c>
      <c r="L1922" s="455">
        <f t="shared" ca="1" si="137"/>
        <v>-489261142.56729162</v>
      </c>
      <c r="M1922" s="471">
        <f t="shared" si="139"/>
        <v>0.05</v>
      </c>
      <c r="N1922" s="475">
        <f t="shared" si="140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38"/>
        <v>-489261142.56729162</v>
      </c>
      <c r="J1923" s="455">
        <f t="array" ref="J1923">IFERROR(INDEX('Retirement Calculator'!J:J,MATCH('Isaac 401k'!N1923,'Retirement Calculator'!A:A,0),0),0)</f>
        <v>0</v>
      </c>
      <c r="K1923" s="455">
        <f t="shared" ca="1" si="136"/>
        <v>-2038588.0940303816</v>
      </c>
      <c r="L1923" s="455">
        <f t="shared" ca="1" si="137"/>
        <v>-491299730.661322</v>
      </c>
      <c r="M1923" s="471">
        <f t="shared" si="139"/>
        <v>0.05</v>
      </c>
      <c r="N1923" s="475">
        <f t="shared" si="140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38"/>
        <v>-491299730.661322</v>
      </c>
      <c r="J1924" s="455">
        <f t="array" ref="J1924">IFERROR(INDEX('Retirement Calculator'!J:J,MATCH('Isaac 401k'!N1924,'Retirement Calculator'!A:A,0),0),0)</f>
        <v>0</v>
      </c>
      <c r="K1924" s="455">
        <f t="shared" ca="1" si="136"/>
        <v>-2047082.2110888418</v>
      </c>
      <c r="L1924" s="455">
        <f t="shared" ca="1" si="137"/>
        <v>-493346812.87241083</v>
      </c>
      <c r="M1924" s="471">
        <f t="shared" si="139"/>
        <v>0.05</v>
      </c>
      <c r="N1924" s="475">
        <f t="shared" si="140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38"/>
        <v>-493346812.87241083</v>
      </c>
      <c r="J1925" s="455">
        <f t="array" ref="J1925">IFERROR(INDEX('Retirement Calculator'!J:J,MATCH('Isaac 401k'!N1925,'Retirement Calculator'!A:A,0),0),0)</f>
        <v>0</v>
      </c>
      <c r="K1925" s="455">
        <f t="shared" ca="1" si="136"/>
        <v>-2055611.7203017119</v>
      </c>
      <c r="L1925" s="455">
        <f t="shared" ca="1" si="137"/>
        <v>-495402424.59271252</v>
      </c>
      <c r="M1925" s="471">
        <f t="shared" si="139"/>
        <v>0.05</v>
      </c>
      <c r="N1925" s="475">
        <f t="shared" si="140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38"/>
        <v>-495402424.59271252</v>
      </c>
      <c r="J1926" s="455">
        <f t="array" ref="J1926">IFERROR(INDEX('Retirement Calculator'!J:J,MATCH('Isaac 401k'!N1926,'Retirement Calculator'!A:A,0),0),0)</f>
        <v>0</v>
      </c>
      <c r="K1926" s="455">
        <f t="shared" ca="1" si="136"/>
        <v>-2064176.7691363022</v>
      </c>
      <c r="L1926" s="455">
        <f t="shared" ca="1" si="137"/>
        <v>-497466601.36184883</v>
      </c>
      <c r="M1926" s="471">
        <f t="shared" si="139"/>
        <v>0.05</v>
      </c>
      <c r="N1926" s="475">
        <f t="shared" si="140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38"/>
        <v>-497466601.36184883</v>
      </c>
      <c r="J1927" s="455">
        <f t="array" ref="J1927">IFERROR(INDEX('Retirement Calculator'!J:J,MATCH('Isaac 401k'!N1927,'Retirement Calculator'!A:A,0),0),0)</f>
        <v>0</v>
      </c>
      <c r="K1927" s="455">
        <f t="shared" ca="1" si="136"/>
        <v>-2072777.5056743701</v>
      </c>
      <c r="L1927" s="455">
        <f t="shared" ca="1" si="137"/>
        <v>-499539378.86752319</v>
      </c>
      <c r="M1927" s="471">
        <f t="shared" si="139"/>
        <v>0.05</v>
      </c>
      <c r="N1927" s="475">
        <f t="shared" si="140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38"/>
        <v>-499539378.86752319</v>
      </c>
      <c r="J1928" s="455">
        <f t="array" ref="J1928">IFERROR(INDEX('Retirement Calculator'!J:J,MATCH('Isaac 401k'!N1928,'Retirement Calculator'!A:A,0),0),0)</f>
        <v>0</v>
      </c>
      <c r="K1928" s="455">
        <f t="shared" ca="1" si="136"/>
        <v>-2081414.0786146799</v>
      </c>
      <c r="L1928" s="455">
        <f t="shared" ca="1" si="137"/>
        <v>-501620792.94613785</v>
      </c>
      <c r="M1928" s="471">
        <f t="shared" si="139"/>
        <v>0.05</v>
      </c>
      <c r="N1928" s="475">
        <f t="shared" si="140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38"/>
        <v>-501620792.94613785</v>
      </c>
      <c r="J1929" s="455">
        <f t="array" ref="J1929">IFERROR(INDEX('Retirement Calculator'!J:J,MATCH('Isaac 401k'!N1929,'Retirement Calculator'!A:A,0),0),0)</f>
        <v>0</v>
      </c>
      <c r="K1929" s="455">
        <f t="shared" ca="1" si="136"/>
        <v>-2090086.6372755743</v>
      </c>
      <c r="L1929" s="455">
        <f t="shared" ca="1" si="137"/>
        <v>-503710879.58341342</v>
      </c>
      <c r="M1929" s="471">
        <f t="shared" si="139"/>
        <v>0.05</v>
      </c>
      <c r="N1929" s="475">
        <f t="shared" si="140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38"/>
        <v>-503710879.58341342</v>
      </c>
      <c r="J1930" s="455">
        <f t="array" ref="J1930">IFERROR(INDEX('Retirement Calculator'!J:J,MATCH('Isaac 401k'!N1930,'Retirement Calculator'!A:A,0),0),0)</f>
        <v>0</v>
      </c>
      <c r="K1930" s="455">
        <f t="shared" ca="1" si="136"/>
        <v>-2098795.3315975559</v>
      </c>
      <c r="L1930" s="455">
        <f t="shared" ca="1" si="137"/>
        <v>-505809674.91501099</v>
      </c>
      <c r="M1930" s="471">
        <f t="shared" si="139"/>
        <v>0.05</v>
      </c>
      <c r="N1930" s="475">
        <f t="shared" si="140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38"/>
        <v>-505809674.91501099</v>
      </c>
      <c r="J1931" s="455">
        <f t="array" ref="J1931">IFERROR(INDEX('Retirement Calculator'!J:J,MATCH('Isaac 401k'!N1931,'Retirement Calculator'!A:A,0),0),0)</f>
        <v>0</v>
      </c>
      <c r="K1931" s="455">
        <f t="shared" ca="1" si="136"/>
        <v>-2107540.312145879</v>
      </c>
      <c r="L1931" s="455">
        <f t="shared" ca="1" si="137"/>
        <v>-507917215.22715688</v>
      </c>
      <c r="M1931" s="471">
        <f t="shared" si="139"/>
        <v>0.05</v>
      </c>
      <c r="N1931" s="475">
        <f t="shared" si="140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38"/>
        <v>-507917215.22715688</v>
      </c>
      <c r="J1932" s="455">
        <f t="array" ref="J1932">IFERROR(INDEX('Retirement Calculator'!J:J,MATCH('Isaac 401k'!N1932,'Retirement Calculator'!A:A,0),0),0)</f>
        <v>0</v>
      </c>
      <c r="K1932" s="455">
        <f t="shared" ca="1" si="136"/>
        <v>-2116321.7301131538</v>
      </c>
      <c r="L1932" s="455">
        <f t="shared" ca="1" si="137"/>
        <v>-510033536.95727003</v>
      </c>
      <c r="M1932" s="471">
        <f t="shared" si="139"/>
        <v>0.05</v>
      </c>
      <c r="N1932" s="475">
        <f t="shared" si="140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38"/>
        <v>-510033536.95727003</v>
      </c>
      <c r="J1933" s="455">
        <f t="array" ref="J1933">IFERROR(INDEX('Retirement Calculator'!J:J,MATCH('Isaac 401k'!N1933,'Retirement Calculator'!A:A,0),0),0)</f>
        <v>0</v>
      </c>
      <c r="K1933" s="455">
        <f t="shared" ca="1" si="136"/>
        <v>-2125139.7373219584</v>
      </c>
      <c r="L1933" s="455">
        <f t="shared" ca="1" si="137"/>
        <v>-512158676.694592</v>
      </c>
      <c r="M1933" s="471">
        <f t="shared" si="139"/>
        <v>0.05</v>
      </c>
      <c r="N1933" s="475">
        <f t="shared" si="140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38"/>
        <v>-512158676.694592</v>
      </c>
      <c r="J1934" s="455">
        <f t="array" ref="J1934">IFERROR(INDEX('Retirement Calculator'!J:J,MATCH('Isaac 401k'!N1934,'Retirement Calculator'!A:A,0),0),0)</f>
        <v>0</v>
      </c>
      <c r="K1934" s="455">
        <f t="shared" ca="1" si="136"/>
        <v>-2133994.4862274667</v>
      </c>
      <c r="L1934" s="455">
        <f t="shared" ca="1" si="137"/>
        <v>-514292671.18081945</v>
      </c>
      <c r="M1934" s="471">
        <f t="shared" si="139"/>
        <v>0.05</v>
      </c>
      <c r="N1934" s="475">
        <f t="shared" si="140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38"/>
        <v>-514292671.18081945</v>
      </c>
      <c r="J1935" s="455">
        <f t="array" ref="J1935">IFERROR(INDEX('Retirement Calculator'!J:J,MATCH('Isaac 401k'!N1935,'Retirement Calculator'!A:A,0),0),0)</f>
        <v>0</v>
      </c>
      <c r="K1935" s="455">
        <f t="shared" ca="1" si="136"/>
        <v>-2142886.1299200812</v>
      </c>
      <c r="L1935" s="455">
        <f t="shared" ca="1" si="137"/>
        <v>-516435557.31073952</v>
      </c>
      <c r="M1935" s="471">
        <f t="shared" si="139"/>
        <v>0.05</v>
      </c>
      <c r="N1935" s="475">
        <f t="shared" si="140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38"/>
        <v>-516435557.31073952</v>
      </c>
      <c r="J1936" s="455">
        <f t="array" ref="J1936">IFERROR(INDEX('Retirement Calculator'!J:J,MATCH('Isaac 401k'!N1936,'Retirement Calculator'!A:A,0),0),0)</f>
        <v>0</v>
      </c>
      <c r="K1936" s="455">
        <f t="shared" ca="1" si="136"/>
        <v>-2151814.8221280812</v>
      </c>
      <c r="L1936" s="455">
        <f t="shared" ca="1" si="137"/>
        <v>-518587372.13286757</v>
      </c>
      <c r="M1936" s="471">
        <f t="shared" si="139"/>
        <v>0.05</v>
      </c>
      <c r="N1936" s="475">
        <f t="shared" si="140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38"/>
        <v>-518587372.13286757</v>
      </c>
      <c r="J1937" s="455">
        <f t="array" ref="J1937">IFERROR(INDEX('Retirement Calculator'!J:J,MATCH('Isaac 401k'!N1937,'Retirement Calculator'!A:A,0),0),0)</f>
        <v>0</v>
      </c>
      <c r="K1937" s="455">
        <f t="shared" ca="1" si="136"/>
        <v>-2160780.7172202817</v>
      </c>
      <c r="L1937" s="455">
        <f t="shared" ca="1" si="137"/>
        <v>-520748152.85008788</v>
      </c>
      <c r="M1937" s="471">
        <f t="shared" si="139"/>
        <v>0.05</v>
      </c>
      <c r="N1937" s="475">
        <f t="shared" si="140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38"/>
        <v>-520748152.85008788</v>
      </c>
      <c r="J1938" s="455">
        <f t="array" ref="J1938">IFERROR(INDEX('Retirement Calculator'!J:J,MATCH('Isaac 401k'!N1938,'Retirement Calculator'!A:A,0),0),0)</f>
        <v>0</v>
      </c>
      <c r="K1938" s="455">
        <f t="shared" ca="1" si="136"/>
        <v>-2169783.9702086993</v>
      </c>
      <c r="L1938" s="455">
        <f t="shared" ca="1" si="137"/>
        <v>-522917936.82029659</v>
      </c>
      <c r="M1938" s="471">
        <f t="shared" si="139"/>
        <v>0.05</v>
      </c>
      <c r="N1938" s="475">
        <f t="shared" si="140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38"/>
        <v>-522917936.82029659</v>
      </c>
      <c r="J1939" s="455">
        <f t="array" ref="J1939">IFERROR(INDEX('Retirement Calculator'!J:J,MATCH('Isaac 401k'!N1939,'Retirement Calculator'!A:A,0),0),0)</f>
        <v>0</v>
      </c>
      <c r="K1939" s="455">
        <f t="shared" ca="1" si="136"/>
        <v>-2178824.736751236</v>
      </c>
      <c r="L1939" s="455">
        <f t="shared" ca="1" si="137"/>
        <v>-525096761.55704784</v>
      </c>
      <c r="M1939" s="471">
        <f t="shared" si="139"/>
        <v>0.05</v>
      </c>
      <c r="N1939" s="475">
        <f t="shared" si="140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38"/>
        <v>-525096761.55704784</v>
      </c>
      <c r="J1940" s="455">
        <f t="array" ref="J1940">IFERROR(INDEX('Retirement Calculator'!J:J,MATCH('Isaac 401k'!N1940,'Retirement Calculator'!A:A,0),0),0)</f>
        <v>0</v>
      </c>
      <c r="K1940" s="455">
        <f t="shared" ca="1" si="136"/>
        <v>-2187903.1731543662</v>
      </c>
      <c r="L1940" s="455">
        <f t="shared" ca="1" si="137"/>
        <v>-527284664.7302022</v>
      </c>
      <c r="M1940" s="471">
        <f t="shared" si="139"/>
        <v>0.05</v>
      </c>
      <c r="N1940" s="475">
        <f t="shared" si="140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38"/>
        <v>-527284664.7302022</v>
      </c>
      <c r="J1941" s="455">
        <f t="array" ref="J1941">IFERROR(INDEX('Retirement Calculator'!J:J,MATCH('Isaac 401k'!N1941,'Retirement Calculator'!A:A,0),0),0)</f>
        <v>0</v>
      </c>
      <c r="K1941" s="455">
        <f t="shared" ca="1" si="136"/>
        <v>-2197019.4363758424</v>
      </c>
      <c r="L1941" s="455">
        <f t="shared" ca="1" si="137"/>
        <v>-529481684.16657805</v>
      </c>
      <c r="M1941" s="471">
        <f t="shared" si="139"/>
        <v>0.05</v>
      </c>
      <c r="N1941" s="475">
        <f t="shared" si="140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38"/>
        <v>-529481684.16657805</v>
      </c>
      <c r="J1942" s="455">
        <f t="array" ref="J1942">IFERROR(INDEX('Retirement Calculator'!J:J,MATCH('Isaac 401k'!N1942,'Retirement Calculator'!A:A,0),0),0)</f>
        <v>0</v>
      </c>
      <c r="K1942" s="455">
        <f t="shared" ca="1" si="136"/>
        <v>-2206173.6840274087</v>
      </c>
      <c r="L1942" s="455">
        <f t="shared" ca="1" si="137"/>
        <v>-531687857.85060549</v>
      </c>
      <c r="M1942" s="471">
        <f t="shared" si="139"/>
        <v>0.05</v>
      </c>
      <c r="N1942" s="475">
        <f t="shared" si="140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38"/>
        <v>-531687857.85060549</v>
      </c>
      <c r="J1943" s="455">
        <f t="array" ref="J1943">IFERROR(INDEX('Retirement Calculator'!J:J,MATCH('Isaac 401k'!N1943,'Retirement Calculator'!A:A,0),0),0)</f>
        <v>0</v>
      </c>
      <c r="K1943" s="455">
        <f t="shared" ca="1" si="136"/>
        <v>-2215366.0743775228</v>
      </c>
      <c r="L1943" s="455">
        <f t="shared" ca="1" si="137"/>
        <v>-533903223.92498302</v>
      </c>
      <c r="M1943" s="471">
        <f t="shared" si="139"/>
        <v>0.05</v>
      </c>
      <c r="N1943" s="475">
        <f t="shared" si="140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38"/>
        <v>-533903223.92498302</v>
      </c>
      <c r="J1944" s="455">
        <f t="array" ref="J1944">IFERROR(INDEX('Retirement Calculator'!J:J,MATCH('Isaac 401k'!N1944,'Retirement Calculator'!A:A,0),0),0)</f>
        <v>0</v>
      </c>
      <c r="K1944" s="455">
        <f t="shared" ca="1" si="136"/>
        <v>-2224596.7663540961</v>
      </c>
      <c r="L1944" s="455">
        <f t="shared" ca="1" si="137"/>
        <v>-536127820.69133711</v>
      </c>
      <c r="M1944" s="471">
        <f t="shared" si="139"/>
        <v>0.05</v>
      </c>
      <c r="N1944" s="475">
        <f t="shared" si="140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38"/>
        <v>-536127820.69133711</v>
      </c>
      <c r="J1945" s="455">
        <f t="array" ref="J1945">IFERROR(INDEX('Retirement Calculator'!J:J,MATCH('Isaac 401k'!N1945,'Retirement Calculator'!A:A,0),0),0)</f>
        <v>0</v>
      </c>
      <c r="K1945" s="455">
        <f t="shared" ca="1" si="136"/>
        <v>-2233865.9195472379</v>
      </c>
      <c r="L1945" s="455">
        <f t="shared" ca="1" si="137"/>
        <v>-538361686.61088431</v>
      </c>
      <c r="M1945" s="471">
        <f t="shared" si="139"/>
        <v>0.05</v>
      </c>
      <c r="N1945" s="475">
        <f t="shared" si="140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38"/>
        <v>-538361686.61088431</v>
      </c>
      <c r="J1946" s="455">
        <f t="array" ref="J1946">IFERROR(INDEX('Retirement Calculator'!J:J,MATCH('Isaac 401k'!N1946,'Retirement Calculator'!A:A,0),0),0)</f>
        <v>0</v>
      </c>
      <c r="K1946" s="455">
        <f t="shared" ca="1" si="136"/>
        <v>-2243173.694212018</v>
      </c>
      <c r="L1946" s="455">
        <f t="shared" ca="1" si="137"/>
        <v>-540604860.30509627</v>
      </c>
      <c r="M1946" s="471">
        <f t="shared" si="139"/>
        <v>0.05</v>
      </c>
      <c r="N1946" s="475">
        <f t="shared" si="140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38"/>
        <v>-540604860.30509627</v>
      </c>
      <c r="J1947" s="455">
        <f t="array" ref="J1947">IFERROR(INDEX('Retirement Calculator'!J:J,MATCH('Isaac 401k'!N1947,'Retirement Calculator'!A:A,0),0),0)</f>
        <v>0</v>
      </c>
      <c r="K1947" s="455">
        <f t="shared" ca="1" si="136"/>
        <v>-2252520.2512712344</v>
      </c>
      <c r="L1947" s="455">
        <f t="shared" ca="1" si="137"/>
        <v>-542857380.55636752</v>
      </c>
      <c r="M1947" s="471">
        <f t="shared" si="139"/>
        <v>0.05</v>
      </c>
      <c r="N1947" s="475">
        <f t="shared" si="140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38"/>
        <v>-542857380.55636752</v>
      </c>
      <c r="J1948" s="455">
        <f t="array" ref="J1948">IFERROR(INDEX('Retirement Calculator'!J:J,MATCH('Isaac 401k'!N1948,'Retirement Calculator'!A:A,0),0),0)</f>
        <v>0</v>
      </c>
      <c r="K1948" s="455">
        <f t="shared" ca="1" si="136"/>
        <v>-2261905.7523181979</v>
      </c>
      <c r="L1948" s="455">
        <f t="shared" ca="1" si="137"/>
        <v>-545119286.30868566</v>
      </c>
      <c r="M1948" s="471">
        <f t="shared" si="139"/>
        <v>0.05</v>
      </c>
      <c r="N1948" s="475">
        <f t="shared" si="140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38"/>
        <v>-545119286.30868566</v>
      </c>
      <c r="J1949" s="455">
        <f t="array" ref="J1949">IFERROR(INDEX('Retirement Calculator'!J:J,MATCH('Isaac 401k'!N1949,'Retirement Calculator'!A:A,0),0),0)</f>
        <v>0</v>
      </c>
      <c r="K1949" s="455">
        <f t="shared" ca="1" si="136"/>
        <v>-2271330.3596195234</v>
      </c>
      <c r="L1949" s="455">
        <f t="shared" ca="1" si="137"/>
        <v>-547390616.66830516</v>
      </c>
      <c r="M1949" s="471">
        <f t="shared" si="139"/>
        <v>0.05</v>
      </c>
      <c r="N1949" s="475">
        <f t="shared" si="140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38"/>
        <v>-547390616.66830516</v>
      </c>
      <c r="J1950" s="455">
        <f t="array" ref="J1950">IFERROR(INDEX('Retirement Calculator'!J:J,MATCH('Isaac 401k'!N1950,'Retirement Calculator'!A:A,0),0),0)</f>
        <v>0</v>
      </c>
      <c r="K1950" s="455">
        <f t="shared" ca="1" si="136"/>
        <v>-2280794.2361179381</v>
      </c>
      <c r="L1950" s="455">
        <f t="shared" ca="1" si="137"/>
        <v>-549671410.90442312</v>
      </c>
      <c r="M1950" s="471">
        <f t="shared" si="139"/>
        <v>0.05</v>
      </c>
      <c r="N1950" s="475">
        <f t="shared" si="140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38"/>
        <v>-549671410.90442312</v>
      </c>
      <c r="J1951" s="455">
        <f t="array" ref="J1951">IFERROR(INDEX('Retirement Calculator'!J:J,MATCH('Isaac 401k'!N1951,'Retirement Calculator'!A:A,0),0),0)</f>
        <v>0</v>
      </c>
      <c r="K1951" s="455">
        <f t="shared" ca="1" si="136"/>
        <v>-2290297.5454350961</v>
      </c>
      <c r="L1951" s="455">
        <f t="shared" ca="1" si="137"/>
        <v>-551961708.44985819</v>
      </c>
      <c r="M1951" s="471">
        <f t="shared" si="139"/>
        <v>0.05</v>
      </c>
      <c r="N1951" s="475">
        <f t="shared" si="140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38"/>
        <v>-551961708.44985819</v>
      </c>
      <c r="J1952" s="455">
        <f t="array" ref="J1952">IFERROR(INDEX('Retirement Calculator'!J:J,MATCH('Isaac 401k'!N1952,'Retirement Calculator'!A:A,0),0),0)</f>
        <v>0</v>
      </c>
      <c r="K1952" s="455">
        <f t="shared" ca="1" si="136"/>
        <v>-2299840.4518744089</v>
      </c>
      <c r="L1952" s="455">
        <f t="shared" ca="1" si="137"/>
        <v>-554261548.90173256</v>
      </c>
      <c r="M1952" s="471">
        <f t="shared" si="139"/>
        <v>0.05</v>
      </c>
      <c r="N1952" s="475">
        <f t="shared" si="140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38"/>
        <v>-554261548.90173256</v>
      </c>
      <c r="J1953" s="455">
        <f t="array" ref="J1953">IFERROR(INDEX('Retirement Calculator'!J:J,MATCH('Isaac 401k'!N1953,'Retirement Calculator'!A:A,0),0),0)</f>
        <v>0</v>
      </c>
      <c r="K1953" s="455">
        <f t="shared" ca="1" si="136"/>
        <v>-2309423.1204238855</v>
      </c>
      <c r="L1953" s="455">
        <f t="shared" ca="1" si="137"/>
        <v>-556570972.02215648</v>
      </c>
      <c r="M1953" s="471">
        <f t="shared" si="139"/>
        <v>0.05</v>
      </c>
      <c r="N1953" s="475">
        <f t="shared" si="140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38"/>
        <v>-556570972.02215648</v>
      </c>
      <c r="J1954" s="455">
        <f t="array" ref="J1954">IFERROR(INDEX('Retirement Calculator'!J:J,MATCH('Isaac 401k'!N1954,'Retirement Calculator'!A:A,0),0),0)</f>
        <v>0</v>
      </c>
      <c r="K1954" s="455">
        <f t="shared" ca="1" si="136"/>
        <v>-2319045.7167589851</v>
      </c>
      <c r="L1954" s="455">
        <f t="shared" ca="1" si="137"/>
        <v>-558890017.73891544</v>
      </c>
      <c r="M1954" s="471">
        <f t="shared" si="139"/>
        <v>0.05</v>
      </c>
      <c r="N1954" s="475">
        <f t="shared" si="140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38"/>
        <v>-558890017.73891544</v>
      </c>
      <c r="J1955" s="455">
        <f t="array" ref="J1955">IFERROR(INDEX('Retirement Calculator'!J:J,MATCH('Isaac 401k'!N1955,'Retirement Calculator'!A:A,0),0),0)</f>
        <v>0</v>
      </c>
      <c r="K1955" s="455">
        <f t="shared" ca="1" si="136"/>
        <v>-2328708.4072454809</v>
      </c>
      <c r="L1955" s="455">
        <f t="shared" ca="1" si="137"/>
        <v>-561218726.14616096</v>
      </c>
      <c r="M1955" s="471">
        <f t="shared" si="139"/>
        <v>0.05</v>
      </c>
      <c r="N1955" s="475">
        <f t="shared" si="140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38"/>
        <v>-561218726.14616096</v>
      </c>
      <c r="J1956" s="455">
        <f t="array" ref="J1956">IFERROR(INDEX('Retirement Calculator'!J:J,MATCH('Isaac 401k'!N1956,'Retirement Calculator'!A:A,0),0),0)</f>
        <v>0</v>
      </c>
      <c r="K1956" s="455">
        <f t="shared" ca="1" si="136"/>
        <v>-2338411.3589423373</v>
      </c>
      <c r="L1956" s="455">
        <f t="shared" ca="1" si="137"/>
        <v>-563557137.50510335</v>
      </c>
      <c r="M1956" s="471">
        <f t="shared" si="139"/>
        <v>0.05</v>
      </c>
      <c r="N1956" s="475">
        <f t="shared" si="140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38"/>
        <v>-563557137.50510335</v>
      </c>
      <c r="J1957" s="455">
        <f t="array" ref="J1957">IFERROR(INDEX('Retirement Calculator'!J:J,MATCH('Isaac 401k'!N1957,'Retirement Calculator'!A:A,0),0),0)</f>
        <v>0</v>
      </c>
      <c r="K1957" s="455">
        <f t="shared" ca="1" si="136"/>
        <v>-2348154.7396045974</v>
      </c>
      <c r="L1957" s="455">
        <f t="shared" ca="1" si="137"/>
        <v>-565905292.24470794</v>
      </c>
      <c r="M1957" s="471">
        <f t="shared" si="139"/>
        <v>0.05</v>
      </c>
      <c r="N1957" s="475">
        <f t="shared" si="140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38"/>
        <v>-565905292.24470794</v>
      </c>
      <c r="J1958" s="455">
        <f t="array" ref="J1958">IFERROR(INDEX('Retirement Calculator'!J:J,MATCH('Isaac 401k'!N1958,'Retirement Calculator'!A:A,0),0),0)</f>
        <v>0</v>
      </c>
      <c r="K1958" s="455">
        <f t="shared" ca="1" si="136"/>
        <v>-2357938.7176862829</v>
      </c>
      <c r="L1958" s="455">
        <f t="shared" ca="1" si="137"/>
        <v>-568263230.96239424</v>
      </c>
      <c r="M1958" s="471">
        <f t="shared" si="139"/>
        <v>0.05</v>
      </c>
      <c r="N1958" s="475">
        <f t="shared" si="140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38"/>
        <v>-568263230.96239424</v>
      </c>
      <c r="J1959" s="455">
        <f t="array" ref="J1959">IFERROR(INDEX('Retirement Calculator'!J:J,MATCH('Isaac 401k'!N1959,'Retirement Calculator'!A:A,0),0),0)</f>
        <v>0</v>
      </c>
      <c r="K1959" s="455">
        <f t="shared" ca="1" si="136"/>
        <v>-2367763.4623433091</v>
      </c>
      <c r="L1959" s="455">
        <f t="shared" ca="1" si="137"/>
        <v>-570630994.42473757</v>
      </c>
      <c r="M1959" s="471">
        <f t="shared" si="139"/>
        <v>0.05</v>
      </c>
      <c r="N1959" s="475">
        <f t="shared" si="140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38"/>
        <v>-570630994.42473757</v>
      </c>
      <c r="J1960" s="455">
        <f t="array" ref="J1960">IFERROR(INDEX('Retirement Calculator'!J:J,MATCH('Isaac 401k'!N1960,'Retirement Calculator'!A:A,0),0),0)</f>
        <v>0</v>
      </c>
      <c r="K1960" s="455">
        <f t="shared" ca="1" si="136"/>
        <v>-2377629.1434364067</v>
      </c>
      <c r="L1960" s="455">
        <f t="shared" ca="1" si="137"/>
        <v>-573008623.568174</v>
      </c>
      <c r="M1960" s="471">
        <f t="shared" si="139"/>
        <v>0.05</v>
      </c>
      <c r="N1960" s="475">
        <f t="shared" si="140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38"/>
        <v>-573008623.568174</v>
      </c>
      <c r="J1961" s="455">
        <f t="array" ref="J1961">IFERROR(INDEX('Retirement Calculator'!J:J,MATCH('Isaac 401k'!N1961,'Retirement Calculator'!A:A,0),0),0)</f>
        <v>0</v>
      </c>
      <c r="K1961" s="455">
        <f t="shared" ca="1" si="136"/>
        <v>-2387535.9315340584</v>
      </c>
      <c r="L1961" s="455">
        <f t="shared" ca="1" si="137"/>
        <v>-575396159.49970806</v>
      </c>
      <c r="M1961" s="471">
        <f t="shared" si="139"/>
        <v>0.05</v>
      </c>
      <c r="N1961" s="475">
        <f t="shared" si="140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38"/>
        <v>-575396159.49970806</v>
      </c>
      <c r="J1962" s="455">
        <f t="array" ref="J1962">IFERROR(INDEX('Retirement Calculator'!J:J,MATCH('Isaac 401k'!N1962,'Retirement Calculator'!A:A,0),0),0)</f>
        <v>0</v>
      </c>
      <c r="K1962" s="455">
        <f t="shared" ca="1" si="136"/>
        <v>-2397483.99791545</v>
      </c>
      <c r="L1962" s="455">
        <f t="shared" ca="1" si="137"/>
        <v>-577793643.49762356</v>
      </c>
      <c r="M1962" s="471">
        <f t="shared" si="139"/>
        <v>0.05</v>
      </c>
      <c r="N1962" s="475">
        <f t="shared" si="140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38"/>
        <v>-577793643.49762356</v>
      </c>
      <c r="J1963" s="455">
        <f t="array" ref="J1963">IFERROR(INDEX('Retirement Calculator'!J:J,MATCH('Isaac 401k'!N1963,'Retirement Calculator'!A:A,0),0),0)</f>
        <v>0</v>
      </c>
      <c r="K1963" s="455">
        <f t="shared" ca="1" si="136"/>
        <v>-2407473.5145734316</v>
      </c>
      <c r="L1963" s="455">
        <f t="shared" ca="1" si="137"/>
        <v>-580201117.01219702</v>
      </c>
      <c r="M1963" s="471">
        <f t="shared" si="139"/>
        <v>0.05</v>
      </c>
      <c r="N1963" s="475">
        <f t="shared" si="140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38"/>
        <v>-580201117.01219702</v>
      </c>
      <c r="J1964" s="455">
        <f t="array" ref="J1964">IFERROR(INDEX('Retirement Calculator'!J:J,MATCH('Isaac 401k'!N1964,'Retirement Calculator'!A:A,0),0),0)</f>
        <v>0</v>
      </c>
      <c r="K1964" s="455">
        <f t="shared" ca="1" si="136"/>
        <v>-2417504.6542174877</v>
      </c>
      <c r="L1964" s="455">
        <f t="shared" ca="1" si="137"/>
        <v>-582618621.6664145</v>
      </c>
      <c r="M1964" s="471">
        <f t="shared" si="139"/>
        <v>0.05</v>
      </c>
      <c r="N1964" s="475">
        <f t="shared" si="140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38"/>
        <v>-582618621.6664145</v>
      </c>
      <c r="J1965" s="455">
        <f t="array" ref="J1965">IFERROR(INDEX('Retirement Calculator'!J:J,MATCH('Isaac 401k'!N1965,'Retirement Calculator'!A:A,0),0),0)</f>
        <v>0</v>
      </c>
      <c r="K1965" s="455">
        <f t="shared" ca="1" si="136"/>
        <v>-2427577.590276727</v>
      </c>
      <c r="L1965" s="455">
        <f t="shared" ca="1" si="137"/>
        <v>-585046199.25669122</v>
      </c>
      <c r="M1965" s="471">
        <f t="shared" si="139"/>
        <v>0.05</v>
      </c>
      <c r="N1965" s="475">
        <f t="shared" si="140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38"/>
        <v>-585046199.25669122</v>
      </c>
      <c r="J1966" s="455">
        <f t="array" ref="J1966">IFERROR(INDEX('Retirement Calculator'!J:J,MATCH('Isaac 401k'!N1966,'Retirement Calculator'!A:A,0),0),0)</f>
        <v>0</v>
      </c>
      <c r="K1966" s="455">
        <f t="shared" ca="1" si="136"/>
        <v>-2437692.4969028803</v>
      </c>
      <c r="L1966" s="455">
        <f t="shared" ca="1" si="137"/>
        <v>-587483891.75359404</v>
      </c>
      <c r="M1966" s="471">
        <f t="shared" si="139"/>
        <v>0.05</v>
      </c>
      <c r="N1966" s="475">
        <f t="shared" si="140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38"/>
        <v>-587483891.75359404</v>
      </c>
      <c r="J1967" s="455">
        <f t="array" ref="J1967">IFERROR(INDEX('Retirement Calculator'!J:J,MATCH('Isaac 401k'!N1967,'Retirement Calculator'!A:A,0),0),0)</f>
        <v>0</v>
      </c>
      <c r="K1967" s="455">
        <f t="shared" ca="1" si="136"/>
        <v>-2447849.5489733084</v>
      </c>
      <c r="L1967" s="455">
        <f t="shared" ca="1" si="137"/>
        <v>-589931741.30256736</v>
      </c>
      <c r="M1967" s="471">
        <f t="shared" si="139"/>
        <v>0.05</v>
      </c>
      <c r="N1967" s="475">
        <f t="shared" si="140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38"/>
        <v>-589931741.30256736</v>
      </c>
      <c r="J1968" s="455">
        <f t="array" ref="J1968">IFERROR(INDEX('Retirement Calculator'!J:J,MATCH('Isaac 401k'!N1968,'Retirement Calculator'!A:A,0),0),0)</f>
        <v>0</v>
      </c>
      <c r="K1968" s="455">
        <f t="shared" ca="1" si="136"/>
        <v>-2458048.9220940308</v>
      </c>
      <c r="L1968" s="455">
        <f t="shared" ca="1" si="137"/>
        <v>-592389790.22466135</v>
      </c>
      <c r="M1968" s="471">
        <f t="shared" si="139"/>
        <v>0.05</v>
      </c>
      <c r="N1968" s="475">
        <f t="shared" si="140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38"/>
        <v>-592389790.22466135</v>
      </c>
      <c r="J1969" s="455">
        <f t="array" ref="J1969">IFERROR(INDEX('Retirement Calculator'!J:J,MATCH('Isaac 401k'!N1969,'Retirement Calculator'!A:A,0),0),0)</f>
        <v>0</v>
      </c>
      <c r="K1969" s="455">
        <f t="shared" ca="1" si="136"/>
        <v>-2468290.7926027556</v>
      </c>
      <c r="L1969" s="455">
        <f t="shared" ca="1" si="137"/>
        <v>-594858081.01726413</v>
      </c>
      <c r="M1969" s="471">
        <f t="shared" si="139"/>
        <v>0.05</v>
      </c>
      <c r="N1969" s="475">
        <f t="shared" si="140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38"/>
        <v>-594858081.01726413</v>
      </c>
      <c r="J1970" s="455">
        <f t="array" ref="J1970">IFERROR(INDEX('Retirement Calculator'!J:J,MATCH('Isaac 401k'!N1970,'Retirement Calculator'!A:A,0),0),0)</f>
        <v>0</v>
      </c>
      <c r="K1970" s="455">
        <f t="shared" ca="1" si="136"/>
        <v>-2478575.3375719339</v>
      </c>
      <c r="L1970" s="455">
        <f t="shared" ca="1" si="137"/>
        <v>-597336656.35483611</v>
      </c>
      <c r="M1970" s="471">
        <f t="shared" si="139"/>
        <v>0.05</v>
      </c>
      <c r="N1970" s="475">
        <f t="shared" si="140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38"/>
        <v>-597336656.35483611</v>
      </c>
      <c r="J1971" s="455">
        <f t="array" ref="J1971">IFERROR(INDEX('Retirement Calculator'!J:J,MATCH('Isaac 401k'!N1971,'Retirement Calculator'!A:A,0),0),0)</f>
        <v>0</v>
      </c>
      <c r="K1971" s="455">
        <f t="shared" ca="1" si="136"/>
        <v>-2488902.7348118173</v>
      </c>
      <c r="L1971" s="455">
        <f t="shared" ca="1" si="137"/>
        <v>-599825559.08964789</v>
      </c>
      <c r="M1971" s="471">
        <f t="shared" si="139"/>
        <v>0.05</v>
      </c>
      <c r="N1971" s="475">
        <f t="shared" si="140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38"/>
        <v>-599825559.08964789</v>
      </c>
      <c r="J1972" s="455">
        <f t="array" ref="J1972">IFERROR(INDEX('Retirement Calculator'!J:J,MATCH('Isaac 401k'!N1972,'Retirement Calculator'!A:A,0),0),0)</f>
        <v>0</v>
      </c>
      <c r="K1972" s="455">
        <f t="shared" ca="1" si="136"/>
        <v>-2499273.1628735326</v>
      </c>
      <c r="L1972" s="455">
        <f t="shared" ca="1" si="137"/>
        <v>-602324832.2525214</v>
      </c>
      <c r="M1972" s="471">
        <f t="shared" si="139"/>
        <v>0.05</v>
      </c>
      <c r="N1972" s="475">
        <f t="shared" si="140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38"/>
        <v>-602324832.2525214</v>
      </c>
      <c r="J1973" s="455">
        <f t="array" ref="J1973">IFERROR(INDEX('Retirement Calculator'!J:J,MATCH('Isaac 401k'!N1973,'Retirement Calculator'!A:A,0),0),0)</f>
        <v>0</v>
      </c>
      <c r="K1973" s="455">
        <f t="shared" ca="1" si="136"/>
        <v>-2509686.8010521727</v>
      </c>
      <c r="L1973" s="455">
        <f t="shared" ca="1" si="137"/>
        <v>-604834519.05357361</v>
      </c>
      <c r="M1973" s="471">
        <f t="shared" si="139"/>
        <v>0.05</v>
      </c>
      <c r="N1973" s="475">
        <f t="shared" si="140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38"/>
        <v>-604834519.05357361</v>
      </c>
      <c r="J1974" s="455">
        <f t="array" ref="J1974">IFERROR(INDEX('Retirement Calculator'!J:J,MATCH('Isaac 401k'!N1974,'Retirement Calculator'!A:A,0),0),0)</f>
        <v>0</v>
      </c>
      <c r="K1974" s="455">
        <f t="shared" ca="1" si="136"/>
        <v>-2520143.8293898902</v>
      </c>
      <c r="L1974" s="455">
        <f t="shared" ca="1" si="137"/>
        <v>-607354662.88296354</v>
      </c>
      <c r="M1974" s="471">
        <f t="shared" si="139"/>
        <v>0.05</v>
      </c>
      <c r="N1974" s="475">
        <f t="shared" si="140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38"/>
        <v>-607354662.88296354</v>
      </c>
      <c r="J1975" s="455">
        <f t="array" ref="J1975">IFERROR(INDEX('Retirement Calculator'!J:J,MATCH('Isaac 401k'!N1975,'Retirement Calculator'!A:A,0),0),0)</f>
        <v>0</v>
      </c>
      <c r="K1975" s="455">
        <f t="shared" ca="1" si="136"/>
        <v>-2530644.4286790146</v>
      </c>
      <c r="L1975" s="455">
        <f t="shared" ca="1" si="137"/>
        <v>-609885307.31164253</v>
      </c>
      <c r="M1975" s="471">
        <f t="shared" si="139"/>
        <v>0.05</v>
      </c>
      <c r="N1975" s="475">
        <f t="shared" si="140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38"/>
        <v>-609885307.31164253</v>
      </c>
      <c r="J1976" s="455">
        <f t="array" ref="J1976">IFERROR(INDEX('Retirement Calculator'!J:J,MATCH('Isaac 401k'!N1976,'Retirement Calculator'!A:A,0),0),0)</f>
        <v>0</v>
      </c>
      <c r="K1976" s="455">
        <f t="shared" ca="1" si="136"/>
        <v>-2541188.7804651773</v>
      </c>
      <c r="L1976" s="455">
        <f t="shared" ca="1" si="137"/>
        <v>-612426496.09210765</v>
      </c>
      <c r="M1976" s="471">
        <f t="shared" si="139"/>
        <v>0.05</v>
      </c>
      <c r="N1976" s="475">
        <f t="shared" si="140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38"/>
        <v>-612426496.09210765</v>
      </c>
      <c r="J1977" s="455">
        <f t="array" ref="J1977">IFERROR(INDEX('Retirement Calculator'!J:J,MATCH('Isaac 401k'!N1977,'Retirement Calculator'!A:A,0),0),0)</f>
        <v>0</v>
      </c>
      <c r="K1977" s="455">
        <f t="shared" ca="1" si="136"/>
        <v>-2551777.0670504486</v>
      </c>
      <c r="L1977" s="455">
        <f t="shared" ca="1" si="137"/>
        <v>-614978273.15915811</v>
      </c>
      <c r="M1977" s="471">
        <f t="shared" si="139"/>
        <v>0.05</v>
      </c>
      <c r="N1977" s="475">
        <f t="shared" si="140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38"/>
        <v>-614978273.15915811</v>
      </c>
      <c r="J1978" s="455">
        <f t="array" ref="J1978">IFERROR(INDEX('Retirement Calculator'!J:J,MATCH('Isaac 401k'!N1978,'Retirement Calculator'!A:A,0),0),0)</f>
        <v>0</v>
      </c>
      <c r="K1978" s="455">
        <f t="shared" ca="1" si="136"/>
        <v>-2562409.4714964922</v>
      </c>
      <c r="L1978" s="455">
        <f t="shared" ca="1" si="137"/>
        <v>-617540682.63065457</v>
      </c>
      <c r="M1978" s="471">
        <f t="shared" si="139"/>
        <v>0.05</v>
      </c>
      <c r="N1978" s="475">
        <f t="shared" si="140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38"/>
        <v>-617540682.63065457</v>
      </c>
      <c r="J1979" s="455">
        <f t="array" ref="J1979">IFERROR(INDEX('Retirement Calculator'!J:J,MATCH('Isaac 401k'!N1979,'Retirement Calculator'!A:A,0),0),0)</f>
        <v>0</v>
      </c>
      <c r="K1979" s="455">
        <f t="shared" ca="1" si="136"/>
        <v>-2573086.1776277274</v>
      </c>
      <c r="L1979" s="455">
        <f t="shared" ca="1" si="137"/>
        <v>-620113768.80828226</v>
      </c>
      <c r="M1979" s="471">
        <f t="shared" si="139"/>
        <v>0.05</v>
      </c>
      <c r="N1979" s="475">
        <f t="shared" si="140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38"/>
        <v>-620113768.80828226</v>
      </c>
      <c r="J1980" s="455">
        <f t="array" ref="J1980">IFERROR(INDEX('Retirement Calculator'!J:J,MATCH('Isaac 401k'!N1980,'Retirement Calculator'!A:A,0),0),0)</f>
        <v>0</v>
      </c>
      <c r="K1980" s="455">
        <f t="shared" ca="1" si="136"/>
        <v>-2583807.3700345093</v>
      </c>
      <c r="L1980" s="455">
        <f t="shared" ca="1" si="137"/>
        <v>-622697576.17831671</v>
      </c>
      <c r="M1980" s="471">
        <f t="shared" si="139"/>
        <v>0.05</v>
      </c>
      <c r="N1980" s="475">
        <f t="shared" si="140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38"/>
        <v>-622697576.17831671</v>
      </c>
      <c r="J1981" s="455">
        <f t="array" ref="J1981">IFERROR(INDEX('Retirement Calculator'!J:J,MATCH('Isaac 401k'!N1981,'Retirement Calculator'!A:A,0),0),0)</f>
        <v>0</v>
      </c>
      <c r="K1981" s="455">
        <f t="shared" ca="1" si="136"/>
        <v>-2594573.2340763197</v>
      </c>
      <c r="L1981" s="455">
        <f t="shared" ca="1" si="137"/>
        <v>-625292149.41239297</v>
      </c>
      <c r="M1981" s="471">
        <f t="shared" si="139"/>
        <v>0.05</v>
      </c>
      <c r="N1981" s="475">
        <f t="shared" si="140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38"/>
        <v>-625292149.41239297</v>
      </c>
      <c r="J1982" s="455">
        <f t="array" ref="J1982">IFERROR(INDEX('Retirement Calculator'!J:J,MATCH('Isaac 401k'!N1982,'Retirement Calculator'!A:A,0),0),0)</f>
        <v>0</v>
      </c>
      <c r="K1982" s="455">
        <f t="shared" ca="1" si="136"/>
        <v>-2605383.9558849707</v>
      </c>
      <c r="L1982" s="455">
        <f t="shared" ca="1" si="137"/>
        <v>-627897533.36827791</v>
      </c>
      <c r="M1982" s="471">
        <f t="shared" si="139"/>
        <v>0.05</v>
      </c>
      <c r="N1982" s="475">
        <f t="shared" si="140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38"/>
        <v>-627897533.36827791</v>
      </c>
      <c r="J1983" s="455">
        <f t="array" ref="J1983">IFERROR(INDEX('Retirement Calculator'!J:J,MATCH('Isaac 401k'!N1983,'Retirement Calculator'!A:A,0),0),0)</f>
        <v>0</v>
      </c>
      <c r="K1983" s="455">
        <f t="shared" ca="1" si="136"/>
        <v>-2616239.7223678245</v>
      </c>
      <c r="L1983" s="455">
        <f t="shared" ca="1" si="137"/>
        <v>-630513773.09064579</v>
      </c>
      <c r="M1983" s="471">
        <f t="shared" si="139"/>
        <v>0.05</v>
      </c>
      <c r="N1983" s="475">
        <f t="shared" si="140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38"/>
        <v>-630513773.09064579</v>
      </c>
      <c r="J1984" s="455">
        <f t="array" ref="J1984">IFERROR(INDEX('Retirement Calculator'!J:J,MATCH('Isaac 401k'!N1984,'Retirement Calculator'!A:A,0),0),0)</f>
        <v>0</v>
      </c>
      <c r="K1984" s="455">
        <f t="shared" ca="1" si="136"/>
        <v>-2627140.7212110241</v>
      </c>
      <c r="L1984" s="455">
        <f t="shared" ca="1" si="137"/>
        <v>-633140913.81185687</v>
      </c>
      <c r="M1984" s="471">
        <f t="shared" si="139"/>
        <v>0.05</v>
      </c>
      <c r="N1984" s="475">
        <f t="shared" si="140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38"/>
        <v>-633140913.81185687</v>
      </c>
      <c r="J1985" s="455">
        <f t="array" ref="J1985">IFERROR(INDEX('Retirement Calculator'!J:J,MATCH('Isaac 401k'!N1985,'Retirement Calculator'!A:A,0),0),0)</f>
        <v>0</v>
      </c>
      <c r="K1985" s="455">
        <f t="shared" ca="1" si="136"/>
        <v>-2638087.140882737</v>
      </c>
      <c r="L1985" s="455">
        <f t="shared" ca="1" si="137"/>
        <v>-635779000.9527396</v>
      </c>
      <c r="M1985" s="471">
        <f t="shared" si="139"/>
        <v>0.05</v>
      </c>
      <c r="N1985" s="475">
        <f t="shared" si="140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38"/>
        <v>-635779000.9527396</v>
      </c>
      <c r="J1986" s="455">
        <f t="array" ref="J1986">IFERROR(INDEX('Retirement Calculator'!J:J,MATCH('Isaac 401k'!N1986,'Retirement Calculator'!A:A,0),0),0)</f>
        <v>0</v>
      </c>
      <c r="K1986" s="455">
        <f t="shared" ca="1" si="136"/>
        <v>-2649079.170636415</v>
      </c>
      <c r="L1986" s="455">
        <f t="shared" ca="1" si="137"/>
        <v>-638428080.12337601</v>
      </c>
      <c r="M1986" s="471">
        <f t="shared" si="139"/>
        <v>0.05</v>
      </c>
      <c r="N1986" s="475">
        <f t="shared" si="140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38"/>
        <v>-638428080.12337601</v>
      </c>
      <c r="J1987" s="455">
        <f t="array" ref="J1987">IFERROR(INDEX('Retirement Calculator'!J:J,MATCH('Isaac 401k'!N1987,'Retirement Calculator'!A:A,0),0),0)</f>
        <v>0</v>
      </c>
      <c r="K1987" s="455">
        <f t="shared" ca="1" si="136"/>
        <v>-2660117.0005140668</v>
      </c>
      <c r="L1987" s="455">
        <f t="shared" ca="1" si="137"/>
        <v>-641088197.12389004</v>
      </c>
      <c r="M1987" s="471">
        <f t="shared" si="139"/>
        <v>0.05</v>
      </c>
      <c r="N1987" s="475">
        <f t="shared" si="140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38"/>
        <v>-641088197.12389004</v>
      </c>
      <c r="J1988" s="455">
        <f t="array" ref="J1988">IFERROR(INDEX('Retirement Calculator'!J:J,MATCH('Isaac 401k'!N1988,'Retirement Calculator'!A:A,0),0),0)</f>
        <v>0</v>
      </c>
      <c r="K1988" s="455">
        <f t="shared" ca="1" si="136"/>
        <v>-2671200.8213495417</v>
      </c>
      <c r="L1988" s="455">
        <f t="shared" ca="1" si="137"/>
        <v>-643759397.94523954</v>
      </c>
      <c r="M1988" s="471">
        <f t="shared" si="139"/>
        <v>0.05</v>
      </c>
      <c r="N1988" s="475">
        <f t="shared" si="140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38"/>
        <v>-643759397.94523954</v>
      </c>
      <c r="J1989" s="455">
        <f t="array" ref="J1989">IFERROR(INDEX('Retirement Calculator'!J:J,MATCH('Isaac 401k'!N1989,'Retirement Calculator'!A:A,0),0),0)</f>
        <v>0</v>
      </c>
      <c r="K1989" s="455">
        <f t="shared" ca="1" si="136"/>
        <v>-2682330.8247718313</v>
      </c>
      <c r="L1989" s="455">
        <f t="shared" ca="1" si="137"/>
        <v>-646441728.77001143</v>
      </c>
      <c r="M1989" s="471">
        <f t="shared" si="139"/>
        <v>0.05</v>
      </c>
      <c r="N1989" s="475">
        <f t="shared" si="140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38"/>
        <v>-646441728.77001143</v>
      </c>
      <c r="J1990" s="455">
        <f t="array" ref="J1990">IFERROR(INDEX('Retirement Calculator'!J:J,MATCH('Isaac 401k'!N1990,'Retirement Calculator'!A:A,0),0),0)</f>
        <v>0</v>
      </c>
      <c r="K1990" s="455">
        <f t="shared" ca="1" si="136"/>
        <v>-2693507.2032083808</v>
      </c>
      <c r="L1990" s="455">
        <f t="shared" ca="1" si="137"/>
        <v>-649135235.97321975</v>
      </c>
      <c r="M1990" s="471">
        <f t="shared" si="139"/>
        <v>0.05</v>
      </c>
      <c r="N1990" s="475">
        <f t="shared" si="140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38"/>
        <v>-649135235.97321975</v>
      </c>
      <c r="J1991" s="455">
        <f t="array" ref="J1991">IFERROR(INDEX('Retirement Calculator'!J:J,MATCH('Isaac 401k'!N1991,'Retirement Calculator'!A:A,0),0),0)</f>
        <v>0</v>
      </c>
      <c r="K1991" s="455">
        <f t="shared" ca="1" si="136"/>
        <v>-2704730.1498884158</v>
      </c>
      <c r="L1991" s="455">
        <f t="shared" ca="1" si="137"/>
        <v>-651839966.12310815</v>
      </c>
      <c r="M1991" s="471">
        <f t="shared" si="139"/>
        <v>0.05</v>
      </c>
      <c r="N1991" s="475">
        <f t="shared" si="140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38"/>
        <v>-651839966.12310815</v>
      </c>
      <c r="J1992" s="455">
        <f t="array" ref="J1992">IFERROR(INDEX('Retirement Calculator'!J:J,MATCH('Isaac 401k'!N1992,'Retirement Calculator'!A:A,0),0),0)</f>
        <v>0</v>
      </c>
      <c r="K1992" s="455">
        <f t="shared" ca="1" si="136"/>
        <v>-2715999.858846284</v>
      </c>
      <c r="L1992" s="455">
        <f t="shared" ca="1" si="137"/>
        <v>-654555965.98195446</v>
      </c>
      <c r="M1992" s="471">
        <f t="shared" si="139"/>
        <v>0.05</v>
      </c>
      <c r="N1992" s="475">
        <f t="shared" si="140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38"/>
        <v>-654555965.98195446</v>
      </c>
      <c r="J1993" s="455">
        <f t="array" ref="J1993">IFERROR(INDEX('Retirement Calculator'!J:J,MATCH('Isaac 401k'!N1993,'Retirement Calculator'!A:A,0),0),0)</f>
        <v>0</v>
      </c>
      <c r="K1993" s="455">
        <f t="shared" ca="1" si="136"/>
        <v>-2727316.52492481</v>
      </c>
      <c r="L1993" s="455">
        <f t="shared" ca="1" si="137"/>
        <v>-657283282.50687921</v>
      </c>
      <c r="M1993" s="471">
        <f t="shared" si="139"/>
        <v>0.05</v>
      </c>
      <c r="N1993" s="475">
        <f t="shared" si="140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38"/>
        <v>-657283282.50687921</v>
      </c>
      <c r="J1994" s="455">
        <f t="array" ref="J1994">IFERROR(INDEX('Retirement Calculator'!J:J,MATCH('Isaac 401k'!N1994,'Retirement Calculator'!A:A,0),0),0)</f>
        <v>0</v>
      </c>
      <c r="K1994" s="455">
        <f t="shared" ca="1" si="136"/>
        <v>-2738680.3437786633</v>
      </c>
      <c r="L1994" s="455">
        <f t="shared" ca="1" si="137"/>
        <v>-660021962.85065782</v>
      </c>
      <c r="M1994" s="471">
        <f t="shared" si="139"/>
        <v>0.05</v>
      </c>
      <c r="N1994" s="475">
        <f t="shared" si="140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38"/>
        <v>-660021962.85065782</v>
      </c>
      <c r="J1995" s="455">
        <f t="array" ref="J1995">IFERROR(INDEX('Retirement Calculator'!J:J,MATCH('Isaac 401k'!N1995,'Retirement Calculator'!A:A,0),0),0)</f>
        <v>0</v>
      </c>
      <c r="K1995" s="455">
        <f t="shared" ca="1" si="136"/>
        <v>-2750091.5118777407</v>
      </c>
      <c r="L1995" s="455">
        <f t="shared" ca="1" si="137"/>
        <v>-662772054.3625356</v>
      </c>
      <c r="M1995" s="471">
        <f t="shared" si="139"/>
        <v>0.05</v>
      </c>
      <c r="N1995" s="475">
        <f t="shared" si="140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38"/>
        <v>-662772054.3625356</v>
      </c>
      <c r="J1996" s="455">
        <f t="array" ref="J1996">IFERROR(INDEX('Retirement Calculator'!J:J,MATCH('Isaac 401k'!N1996,'Retirement Calculator'!A:A,0),0),0)</f>
        <v>0</v>
      </c>
      <c r="K1996" s="455">
        <f t="shared" ca="1" si="136"/>
        <v>-2761550.2265105648</v>
      </c>
      <c r="L1996" s="455">
        <f t="shared" ca="1" si="137"/>
        <v>-665533604.58904612</v>
      </c>
      <c r="M1996" s="471">
        <f t="shared" si="139"/>
        <v>0.05</v>
      </c>
      <c r="N1996" s="475">
        <f t="shared" si="140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38"/>
        <v>-665533604.58904612</v>
      </c>
      <c r="J1997" s="455">
        <f t="array" ref="J1997">IFERROR(INDEX('Retirement Calculator'!J:J,MATCH('Isaac 401k'!N1997,'Retirement Calculator'!A:A,0),0),0)</f>
        <v>0</v>
      </c>
      <c r="K1997" s="455">
        <f t="shared" ca="1" si="136"/>
        <v>-2773056.6857876922</v>
      </c>
      <c r="L1997" s="455">
        <f t="shared" ca="1" si="137"/>
        <v>-668306661.2748338</v>
      </c>
      <c r="M1997" s="471">
        <f t="shared" si="139"/>
        <v>0.05</v>
      </c>
      <c r="N1997" s="475">
        <f t="shared" si="140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38"/>
        <v>-668306661.2748338</v>
      </c>
      <c r="J1998" s="455">
        <f t="array" ref="J1998">IFERROR(INDEX('Retirement Calculator'!J:J,MATCH('Isaac 401k'!N1998,'Retirement Calculator'!A:A,0),0),0)</f>
        <v>0</v>
      </c>
      <c r="K1998" s="455">
        <f t="shared" ca="1" si="136"/>
        <v>-2784611.0886451406</v>
      </c>
      <c r="L1998" s="455">
        <f t="shared" ca="1" si="137"/>
        <v>-671091272.3634789</v>
      </c>
      <c r="M1998" s="471">
        <f t="shared" si="139"/>
        <v>0.05</v>
      </c>
      <c r="N1998" s="475">
        <f t="shared" si="140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38"/>
        <v>-671091272.3634789</v>
      </c>
      <c r="J1999" s="455">
        <f t="array" ref="J1999">IFERROR(INDEX('Retirement Calculator'!J:J,MATCH('Isaac 401k'!N1999,'Retirement Calculator'!A:A,0),0),0)</f>
        <v>0</v>
      </c>
      <c r="K1999" s="455">
        <f t="shared" ca="1" si="136"/>
        <v>-2796213.6348478287</v>
      </c>
      <c r="L1999" s="455">
        <f t="shared" ca="1" si="137"/>
        <v>-673887485.99832678</v>
      </c>
      <c r="M1999" s="471">
        <f t="shared" si="139"/>
        <v>0.05</v>
      </c>
      <c r="N1999" s="475">
        <f t="shared" si="140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38"/>
        <v>-673887485.99832678</v>
      </c>
      <c r="J2000" s="455">
        <f t="array" ref="J2000">IFERROR(INDEX('Retirement Calculator'!J:J,MATCH('Isaac 401k'!N2000,'Retirement Calculator'!A:A,0),0),0)</f>
        <v>0</v>
      </c>
      <c r="K2000" s="455">
        <f t="shared" ca="1" si="136"/>
        <v>-2807864.524993028</v>
      </c>
      <c r="L2000" s="455">
        <f t="shared" ca="1" si="137"/>
        <v>-676695350.52331984</v>
      </c>
      <c r="M2000" s="471">
        <f t="shared" si="139"/>
        <v>0.05</v>
      </c>
      <c r="N2000" s="475">
        <f t="shared" si="140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38"/>
        <v>-676695350.52331984</v>
      </c>
      <c r="J2001" s="455">
        <f t="array" ref="J2001">IFERROR(INDEX('Retirement Calculator'!J:J,MATCH('Isaac 401k'!N2001,'Retirement Calculator'!A:A,0),0),0)</f>
        <v>0</v>
      </c>
      <c r="K2001" s="455">
        <f t="shared" ca="1" si="136"/>
        <v>-2819563.9605138325</v>
      </c>
      <c r="L2001" s="455">
        <f t="shared" ca="1" si="137"/>
        <v>-679514914.48383367</v>
      </c>
      <c r="M2001" s="471">
        <f t="shared" si="139"/>
        <v>0.05</v>
      </c>
      <c r="N2001" s="475">
        <f t="shared" si="140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38"/>
        <v>-679514914.48383367</v>
      </c>
      <c r="J2002" s="455">
        <f t="array" ref="J2002">IFERROR(INDEX('Retirement Calculator'!J:J,MATCH('Isaac 401k'!N2002,'Retirement Calculator'!A:A,0),0),0)</f>
        <v>0</v>
      </c>
      <c r="K2002" s="455">
        <f t="shared" ca="1" si="136"/>
        <v>-2831312.14368264</v>
      </c>
      <c r="L2002" s="455">
        <f t="shared" ca="1" si="137"/>
        <v>-682346226.62751627</v>
      </c>
      <c r="M2002" s="471">
        <f t="shared" si="139"/>
        <v>0.05</v>
      </c>
      <c r="N2002" s="475">
        <f t="shared" si="140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38"/>
        <v>-682346226.62751627</v>
      </c>
      <c r="J2003" s="455">
        <f t="array" ref="J2003">IFERROR(INDEX('Retirement Calculator'!J:J,MATCH('Isaac 401k'!N2003,'Retirement Calculator'!A:A,0),0),0)</f>
        <v>0</v>
      </c>
      <c r="K2003" s="455">
        <f t="shared" ca="1" si="136"/>
        <v>-2843109.2776146512</v>
      </c>
      <c r="L2003" s="455">
        <f t="shared" ca="1" si="137"/>
        <v>-685189335.90513086</v>
      </c>
      <c r="M2003" s="471">
        <f t="shared" si="139"/>
        <v>0.05</v>
      </c>
      <c r="N2003" s="475">
        <f t="shared" si="140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38"/>
        <v>-685189335.90513086</v>
      </c>
      <c r="J2004" s="455">
        <f t="array" ref="J2004">IFERROR(INDEX('Retirement Calculator'!J:J,MATCH('Isaac 401k'!N2004,'Retirement Calculator'!A:A,0),0),0)</f>
        <v>0</v>
      </c>
      <c r="K2004" s="455">
        <f t="shared" ca="1" si="136"/>
        <v>-2854955.5662713787</v>
      </c>
      <c r="L2004" s="455">
        <f t="shared" ca="1" si="137"/>
        <v>-688044291.47140229</v>
      </c>
      <c r="M2004" s="471">
        <f t="shared" si="139"/>
        <v>0.05</v>
      </c>
      <c r="N2004" s="475">
        <f t="shared" si="140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38"/>
        <v>-688044291.47140229</v>
      </c>
      <c r="J2005" s="455">
        <f t="array" ref="J2005">IFERROR(INDEX('Retirement Calculator'!J:J,MATCH('Isaac 401k'!N2005,'Retirement Calculator'!A:A,0),0),0)</f>
        <v>0</v>
      </c>
      <c r="K2005" s="455">
        <f t="shared" ca="1" si="136"/>
        <v>-2866851.214464176</v>
      </c>
      <c r="L2005" s="455">
        <f t="shared" ca="1" si="137"/>
        <v>-690911142.68586648</v>
      </c>
      <c r="M2005" s="471">
        <f t="shared" si="139"/>
        <v>0.05</v>
      </c>
      <c r="N2005" s="475">
        <f t="shared" si="140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38"/>
        <v>-690911142.68586648</v>
      </c>
      <c r="J2006" s="455">
        <f t="array" ref="J2006">IFERROR(INDEX('Retirement Calculator'!J:J,MATCH('Isaac 401k'!N2006,'Retirement Calculator'!A:A,0),0),0)</f>
        <v>0</v>
      </c>
      <c r="K2006" s="455">
        <f t="shared" ca="1" si="136"/>
        <v>-2878796.4278577771</v>
      </c>
      <c r="L2006" s="455">
        <f t="shared" ca="1" si="137"/>
        <v>-693789939.11372423</v>
      </c>
      <c r="M2006" s="471">
        <f t="shared" si="139"/>
        <v>0.05</v>
      </c>
      <c r="N2006" s="475">
        <f t="shared" si="140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38"/>
        <v>-693789939.11372423</v>
      </c>
      <c r="J2007" s="455">
        <f t="array" ref="J2007">IFERROR(INDEX('Retirement Calculator'!J:J,MATCH('Isaac 401k'!N2007,'Retirement Calculator'!A:A,0),0),0)</f>
        <v>0</v>
      </c>
      <c r="K2007" s="455">
        <f t="shared" ca="1" si="136"/>
        <v>-2890791.412973851</v>
      </c>
      <c r="L2007" s="455">
        <f t="shared" ca="1" si="137"/>
        <v>-696680730.52669811</v>
      </c>
      <c r="M2007" s="471">
        <f t="shared" si="139"/>
        <v>0.05</v>
      </c>
      <c r="N2007" s="475">
        <f t="shared" si="140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38"/>
        <v>-696680730.52669811</v>
      </c>
      <c r="J2008" s="455">
        <f t="array" ref="J2008">IFERROR(INDEX('Retirement Calculator'!J:J,MATCH('Isaac 401k'!N2008,'Retirement Calculator'!A:A,0),0),0)</f>
        <v>0</v>
      </c>
      <c r="K2008" s="455">
        <f t="shared" ca="1" si="136"/>
        <v>-2902836.3771945755</v>
      </c>
      <c r="L2008" s="455">
        <f t="shared" ca="1" si="137"/>
        <v>-699583566.90389264</v>
      </c>
      <c r="M2008" s="471">
        <f t="shared" si="139"/>
        <v>0.05</v>
      </c>
      <c r="N2008" s="475">
        <f t="shared" si="140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38"/>
        <v>-699583566.90389264</v>
      </c>
      <c r="J2009" s="455">
        <f t="array" ref="J2009">IFERROR(INDEX('Retirement Calculator'!J:J,MATCH('Isaac 401k'!N2009,'Retirement Calculator'!A:A,0),0),0)</f>
        <v>0</v>
      </c>
      <c r="K2009" s="455">
        <f t="shared" ca="1" si="136"/>
        <v>-2914931.5287662195</v>
      </c>
      <c r="L2009" s="455">
        <f t="shared" ca="1" si="137"/>
        <v>-702498498.43265891</v>
      </c>
      <c r="M2009" s="471">
        <f t="shared" si="139"/>
        <v>0.05</v>
      </c>
      <c r="N2009" s="475">
        <f t="shared" si="140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38"/>
        <v>-702498498.43265891</v>
      </c>
      <c r="J2010" s="455">
        <f t="array" ref="J2010">IFERROR(INDEX('Retirement Calculator'!J:J,MATCH('Isaac 401k'!N2010,'Retirement Calculator'!A:A,0),0),0)</f>
        <v>0</v>
      </c>
      <c r="K2010" s="455">
        <f t="shared" ca="1" si="136"/>
        <v>-2927077.0768027455</v>
      </c>
      <c r="L2010" s="455">
        <f t="shared" ca="1" si="137"/>
        <v>-705425575.50946164</v>
      </c>
      <c r="M2010" s="471">
        <f t="shared" si="139"/>
        <v>0.05</v>
      </c>
      <c r="N2010" s="475">
        <f t="shared" si="140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38"/>
        <v>-705425575.50946164</v>
      </c>
      <c r="J2011" s="455">
        <f t="array" ref="J2011">IFERROR(INDEX('Retirement Calculator'!J:J,MATCH('Isaac 401k'!N2011,'Retirement Calculator'!A:A,0),0),0)</f>
        <v>0</v>
      </c>
      <c r="K2011" s="455">
        <f t="shared" ca="1" si="136"/>
        <v>-2939273.2312894235</v>
      </c>
      <c r="L2011" s="455">
        <f t="shared" ca="1" si="137"/>
        <v>-708364848.74075103</v>
      </c>
      <c r="M2011" s="471">
        <f t="shared" si="139"/>
        <v>0.05</v>
      </c>
      <c r="N2011" s="475">
        <f t="shared" si="140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38"/>
        <v>-708364848.74075103</v>
      </c>
      <c r="J2012" s="455">
        <f t="array" ref="J2012">IFERROR(INDEX('Retirement Calculator'!J:J,MATCH('Isaac 401k'!N2012,'Retirement Calculator'!A:A,0),0),0)</f>
        <v>0</v>
      </c>
      <c r="K2012" s="455">
        <f t="shared" ca="1" si="136"/>
        <v>-2951520.2030864628</v>
      </c>
      <c r="L2012" s="455">
        <f t="shared" ca="1" si="137"/>
        <v>-711316368.94383752</v>
      </c>
      <c r="M2012" s="471">
        <f t="shared" si="139"/>
        <v>0.05</v>
      </c>
      <c r="N2012" s="475">
        <f t="shared" si="140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38"/>
        <v>-711316368.94383752</v>
      </c>
      <c r="J2013" s="455">
        <f t="array" ref="J2013">IFERROR(INDEX('Retirement Calculator'!J:J,MATCH('Isaac 401k'!N2013,'Retirement Calculator'!A:A,0),0),0)</f>
        <v>0</v>
      </c>
      <c r="K2013" s="455">
        <f t="shared" ca="1" si="136"/>
        <v>-2963818.2039326564</v>
      </c>
      <c r="L2013" s="455">
        <f t="shared" ca="1" si="137"/>
        <v>-714280187.14777017</v>
      </c>
      <c r="M2013" s="471">
        <f t="shared" si="139"/>
        <v>0.05</v>
      </c>
      <c r="N2013" s="475">
        <f t="shared" si="140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38"/>
        <v>-714280187.14777017</v>
      </c>
      <c r="J2014" s="455">
        <f t="array" ref="J2014">IFERROR(INDEX('Retirement Calculator'!J:J,MATCH('Isaac 401k'!N2014,'Retirement Calculator'!A:A,0),0),0)</f>
        <v>0</v>
      </c>
      <c r="K2014" s="455">
        <f t="shared" ca="1" si="136"/>
        <v>-2976167.4464490423</v>
      </c>
      <c r="L2014" s="455">
        <f t="shared" ca="1" si="137"/>
        <v>-717256354.59421921</v>
      </c>
      <c r="M2014" s="471">
        <f t="shared" si="139"/>
        <v>0.05</v>
      </c>
      <c r="N2014" s="475">
        <f t="shared" si="140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38"/>
        <v>-717256354.59421921</v>
      </c>
      <c r="J2015" s="455">
        <f t="array" ref="J2015">IFERROR(INDEX('Retirement Calculator'!J:J,MATCH('Isaac 401k'!N2015,'Retirement Calculator'!A:A,0),0),0)</f>
        <v>0</v>
      </c>
      <c r="K2015" s="455">
        <f t="shared" ca="1" si="136"/>
        <v>-2988568.1441425802</v>
      </c>
      <c r="L2015" s="455">
        <f t="shared" ca="1" si="137"/>
        <v>-720244922.73836184</v>
      </c>
      <c r="M2015" s="471">
        <f t="shared" si="139"/>
        <v>0.05</v>
      </c>
      <c r="N2015" s="475">
        <f t="shared" si="140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38"/>
        <v>-720244922.73836184</v>
      </c>
      <c r="J2016" s="455">
        <f t="array" ref="J2016">IFERROR(INDEX('Retirement Calculator'!J:J,MATCH('Isaac 401k'!N2016,'Retirement Calculator'!A:A,0),0),0)</f>
        <v>0</v>
      </c>
      <c r="K2016" s="455">
        <f t="shared" ca="1" si="136"/>
        <v>-3001020.511409841</v>
      </c>
      <c r="L2016" s="455">
        <f t="shared" ca="1" si="137"/>
        <v>-723245943.24977171</v>
      </c>
      <c r="M2016" s="471">
        <f t="shared" si="139"/>
        <v>0.05</v>
      </c>
      <c r="N2016" s="475">
        <f t="shared" si="140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38"/>
        <v>-723245943.24977171</v>
      </c>
      <c r="J2017" s="455">
        <f t="array" ref="J2017">IFERROR(INDEX('Retirement Calculator'!J:J,MATCH('Isaac 401k'!N2017,'Retirement Calculator'!A:A,0),0),0)</f>
        <v>0</v>
      </c>
      <c r="K2017" s="455">
        <f t="shared" ca="1" si="136"/>
        <v>-3013524.7635407154</v>
      </c>
      <c r="L2017" s="455">
        <f t="shared" ca="1" si="137"/>
        <v>-726259468.01331246</v>
      </c>
      <c r="M2017" s="471">
        <f t="shared" si="139"/>
        <v>0.05</v>
      </c>
      <c r="N2017" s="475">
        <f t="shared" si="140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38"/>
        <v>-726259468.01331246</v>
      </c>
      <c r="J2018" s="455">
        <f t="array" ref="J2018">IFERROR(INDEX('Retirement Calculator'!J:J,MATCH('Isaac 401k'!N2018,'Retirement Calculator'!A:A,0),0),0)</f>
        <v>0</v>
      </c>
      <c r="K2018" s="455">
        <f t="shared" ca="1" si="136"/>
        <v>-3026081.1167221353</v>
      </c>
      <c r="L2018" s="455">
        <f t="shared" ca="1" si="137"/>
        <v>-729285549.13003457</v>
      </c>
      <c r="M2018" s="471">
        <f t="shared" si="139"/>
        <v>0.05</v>
      </c>
      <c r="N2018" s="475">
        <f t="shared" si="140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38"/>
        <v>-729285549.13003457</v>
      </c>
      <c r="J2019" s="455">
        <f t="array" ref="J2019">IFERROR(INDEX('Retirement Calculator'!J:J,MATCH('Isaac 401k'!N2019,'Retirement Calculator'!A:A,0),0),0)</f>
        <v>0</v>
      </c>
      <c r="K2019" s="455">
        <f t="shared" ca="1" si="136"/>
        <v>-3038689.7880418105</v>
      </c>
      <c r="L2019" s="455">
        <f t="shared" ca="1" si="137"/>
        <v>-732324238.9180764</v>
      </c>
      <c r="M2019" s="471">
        <f t="shared" si="139"/>
        <v>0.05</v>
      </c>
      <c r="N2019" s="475">
        <f t="shared" si="140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38"/>
        <v>-732324238.9180764</v>
      </c>
      <c r="J2020" s="455">
        <f t="array" ref="J2020">IFERROR(INDEX('Retirement Calculator'!J:J,MATCH('Isaac 401k'!N2020,'Retirement Calculator'!A:A,0),0),0)</f>
        <v>0</v>
      </c>
      <c r="K2020" s="455">
        <f t="shared" ca="1" si="136"/>
        <v>-3051350.9954919848</v>
      </c>
      <c r="L2020" s="455">
        <f t="shared" ca="1" si="137"/>
        <v>-735375589.91356838</v>
      </c>
      <c r="M2020" s="471">
        <f t="shared" si="139"/>
        <v>0.05</v>
      </c>
      <c r="N2020" s="475">
        <f t="shared" si="140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38"/>
        <v>-735375589.91356838</v>
      </c>
      <c r="J2021" s="455">
        <f t="array" ref="J2021">IFERROR(INDEX('Retirement Calculator'!J:J,MATCH('Isaac 401k'!N2021,'Retirement Calculator'!A:A,0),0),0)</f>
        <v>0</v>
      </c>
      <c r="K2021" s="455">
        <f t="shared" ca="1" si="136"/>
        <v>-3064064.9579732018</v>
      </c>
      <c r="L2021" s="455">
        <f t="shared" ca="1" si="137"/>
        <v>-738439654.87154162</v>
      </c>
      <c r="M2021" s="471">
        <f t="shared" si="139"/>
        <v>0.05</v>
      </c>
      <c r="N2021" s="475">
        <f t="shared" si="140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38"/>
        <v>-738439654.87154162</v>
      </c>
      <c r="J2022" s="455">
        <f t="array" ref="J2022">IFERROR(INDEX('Retirement Calculator'!J:J,MATCH('Isaac 401k'!N2022,'Retirement Calculator'!A:A,0),0),0)</f>
        <v>0</v>
      </c>
      <c r="K2022" s="455">
        <f t="shared" ca="1" si="136"/>
        <v>-3076831.8952980898</v>
      </c>
      <c r="L2022" s="455">
        <f t="shared" ca="1" si="137"/>
        <v>-741516486.76683974</v>
      </c>
      <c r="M2022" s="471">
        <f t="shared" si="139"/>
        <v>0.05</v>
      </c>
      <c r="N2022" s="475">
        <f t="shared" si="140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38"/>
        <v>-741516486.76683974</v>
      </c>
      <c r="J2023" s="455">
        <f t="array" ref="J2023">IFERROR(INDEX('Retirement Calculator'!J:J,MATCH('Isaac 401k'!N2023,'Retirement Calculator'!A:A,0),0),0)</f>
        <v>0</v>
      </c>
      <c r="K2023" s="455">
        <f t="shared" ca="1" si="136"/>
        <v>-3089652.0281951656</v>
      </c>
      <c r="L2023" s="455">
        <f t="shared" ca="1" si="137"/>
        <v>-744606138.79503489</v>
      </c>
      <c r="M2023" s="471">
        <f t="shared" si="139"/>
        <v>0.05</v>
      </c>
      <c r="N2023" s="475">
        <f t="shared" si="140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38"/>
        <v>-744606138.79503489</v>
      </c>
      <c r="J2024" s="455">
        <f t="array" ref="J2024">IFERROR(INDEX('Retirement Calculator'!J:J,MATCH('Isaac 401k'!N2024,'Retirement Calculator'!A:A,0),0),0)</f>
        <v>0</v>
      </c>
      <c r="K2024" s="455">
        <f t="shared" ca="1" si="136"/>
        <v>-3102525.5783126452</v>
      </c>
      <c r="L2024" s="455">
        <f t="shared" ca="1" si="137"/>
        <v>-747708664.37334752</v>
      </c>
      <c r="M2024" s="471">
        <f t="shared" si="139"/>
        <v>0.05</v>
      </c>
      <c r="N2024" s="475">
        <f t="shared" si="140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38"/>
        <v>-747708664.37334752</v>
      </c>
      <c r="J2025" s="455">
        <f t="array" ref="J2025">IFERROR(INDEX('Retirement Calculator'!J:J,MATCH('Isaac 401k'!N2025,'Retirement Calculator'!A:A,0),0),0)</f>
        <v>0</v>
      </c>
      <c r="K2025" s="455">
        <f t="shared" ca="1" si="136"/>
        <v>-3115452.7682222812</v>
      </c>
      <c r="L2025" s="455">
        <f t="shared" ca="1" si="137"/>
        <v>-750824117.14156985</v>
      </c>
      <c r="M2025" s="471">
        <f t="shared" si="139"/>
        <v>0.05</v>
      </c>
      <c r="N2025" s="475">
        <f t="shared" si="140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38"/>
        <v>-750824117.14156985</v>
      </c>
      <c r="J2026" s="455">
        <f t="array" ref="J2026">IFERROR(INDEX('Retirement Calculator'!J:J,MATCH('Isaac 401k'!N2026,'Retirement Calculator'!A:A,0),0),0)</f>
        <v>0</v>
      </c>
      <c r="K2026" s="455">
        <f t="shared" ca="1" si="136"/>
        <v>-3128433.8214232079</v>
      </c>
      <c r="L2026" s="455">
        <f t="shared" ca="1" si="137"/>
        <v>-753952550.96299303</v>
      </c>
      <c r="M2026" s="471">
        <f t="shared" si="139"/>
        <v>0.05</v>
      </c>
      <c r="N2026" s="475">
        <f t="shared" si="140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38"/>
        <v>-753952550.96299303</v>
      </c>
      <c r="J2027" s="455">
        <f t="array" ref="J2027">IFERROR(INDEX('Retirement Calculator'!J:J,MATCH('Isaac 401k'!N2027,'Retirement Calculator'!A:A,0),0),0)</f>
        <v>0</v>
      </c>
      <c r="K2027" s="455">
        <f t="shared" ca="1" si="136"/>
        <v>-3141468.9623458041</v>
      </c>
      <c r="L2027" s="455">
        <f t="shared" ca="1" si="137"/>
        <v>-757094019.92533886</v>
      </c>
      <c r="M2027" s="471">
        <f t="shared" si="139"/>
        <v>0.05</v>
      </c>
      <c r="N2027" s="475">
        <f t="shared" si="140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38"/>
        <v>-757094019.92533886</v>
      </c>
      <c r="J2028" s="455">
        <f t="array" ref="J2028">IFERROR(INDEX('Retirement Calculator'!J:J,MATCH('Isaac 401k'!N2028,'Retirement Calculator'!A:A,0),0),0)</f>
        <v>0</v>
      </c>
      <c r="K2028" s="455">
        <f t="shared" ca="1" si="136"/>
        <v>-3154558.4163555787</v>
      </c>
      <c r="L2028" s="455">
        <f t="shared" ca="1" si="137"/>
        <v>-760248578.34169447</v>
      </c>
      <c r="M2028" s="471">
        <f t="shared" si="139"/>
        <v>0.05</v>
      </c>
      <c r="N2028" s="475">
        <f t="shared" si="140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38"/>
        <v>-760248578.34169447</v>
      </c>
      <c r="J2029" s="455">
        <f t="array" ref="J2029">IFERROR(INDEX('Retirement Calculator'!J:J,MATCH('Isaac 401k'!N2029,'Retirement Calculator'!A:A,0),0),0)</f>
        <v>0</v>
      </c>
      <c r="K2029" s="455">
        <f t="shared" ca="1" si="136"/>
        <v>-3167702.4097570605</v>
      </c>
      <c r="L2029" s="455">
        <f t="shared" ca="1" si="137"/>
        <v>-763416280.75145149</v>
      </c>
      <c r="M2029" s="471">
        <f t="shared" si="139"/>
        <v>0.05</v>
      </c>
      <c r="N2029" s="475">
        <f t="shared" si="140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38"/>
        <v>-763416280.75145149</v>
      </c>
      <c r="J2030" s="455">
        <f t="array" ref="J2030">IFERROR(INDEX('Retirement Calculator'!J:J,MATCH('Isaac 401k'!N2030,'Retirement Calculator'!A:A,0),0),0)</f>
        <v>0</v>
      </c>
      <c r="K2030" s="455">
        <f t="shared" ca="1" si="136"/>
        <v>-3180901.1697977143</v>
      </c>
      <c r="L2030" s="455">
        <f t="shared" ca="1" si="137"/>
        <v>-766597181.92124915</v>
      </c>
      <c r="M2030" s="471">
        <f t="shared" si="139"/>
        <v>0.05</v>
      </c>
      <c r="N2030" s="475">
        <f t="shared" si="140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38"/>
        <v>-766597181.92124915</v>
      </c>
      <c r="J2031" s="455">
        <f t="array" ref="J2031">IFERROR(INDEX('Retirement Calculator'!J:J,MATCH('Isaac 401k'!N2031,'Retirement Calculator'!A:A,0),0),0)</f>
        <v>0</v>
      </c>
      <c r="K2031" s="455">
        <f t="shared" ca="1" si="136"/>
        <v>-3194154.9246718716</v>
      </c>
      <c r="L2031" s="455">
        <f t="shared" ca="1" si="137"/>
        <v>-769791336.84592104</v>
      </c>
      <c r="M2031" s="471">
        <f t="shared" si="139"/>
        <v>0.05</v>
      </c>
      <c r="N2031" s="475">
        <f t="shared" si="140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38"/>
        <v>-769791336.84592104</v>
      </c>
      <c r="J2032" s="455">
        <f t="array" ref="J2032">IFERROR(INDEX('Retirement Calculator'!J:J,MATCH('Isaac 401k'!N2032,'Retirement Calculator'!A:A,0),0),0)</f>
        <v>0</v>
      </c>
      <c r="K2032" s="455">
        <f t="shared" ca="1" si="136"/>
        <v>-3207463.9035246707</v>
      </c>
      <c r="L2032" s="455">
        <f t="shared" ca="1" si="137"/>
        <v>-772998800.74944568</v>
      </c>
      <c r="M2032" s="471">
        <f t="shared" si="139"/>
        <v>0.05</v>
      </c>
      <c r="N2032" s="475">
        <f t="shared" si="140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38"/>
        <v>-772998800.74944568</v>
      </c>
      <c r="J2033" s="455">
        <f t="array" ref="J2033">IFERROR(INDEX('Retirement Calculator'!J:J,MATCH('Isaac 401k'!N2033,'Retirement Calculator'!A:A,0),0),0)</f>
        <v>0</v>
      </c>
      <c r="K2033" s="455">
        <f t="shared" ca="1" si="136"/>
        <v>-3220828.3364560236</v>
      </c>
      <c r="L2033" s="455">
        <f t="shared" ca="1" si="137"/>
        <v>-776219629.08590174</v>
      </c>
      <c r="M2033" s="471">
        <f t="shared" si="139"/>
        <v>0.05</v>
      </c>
      <c r="N2033" s="475">
        <f t="shared" si="140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38"/>
        <v>-776219629.08590174</v>
      </c>
      <c r="J2034" s="455">
        <f t="array" ref="J2034">IFERROR(INDEX('Retirement Calculator'!J:J,MATCH('Isaac 401k'!N2034,'Retirement Calculator'!A:A,0),0),0)</f>
        <v>0</v>
      </c>
      <c r="K2034" s="455">
        <f t="shared" ca="1" si="136"/>
        <v>-3234248.4545245906</v>
      </c>
      <c r="L2034" s="455">
        <f t="shared" ca="1" si="137"/>
        <v>-779453877.54042637</v>
      </c>
      <c r="M2034" s="471">
        <f t="shared" si="139"/>
        <v>0.05</v>
      </c>
      <c r="N2034" s="475">
        <f t="shared" si="140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38"/>
        <v>-779453877.54042637</v>
      </c>
      <c r="J2035" s="455">
        <f t="array" ref="J2035">IFERROR(INDEX('Retirement Calculator'!J:J,MATCH('Isaac 401k'!N2035,'Retirement Calculator'!A:A,0),0),0)</f>
        <v>0</v>
      </c>
      <c r="K2035" s="455">
        <f t="shared" ca="1" si="136"/>
        <v>-3247724.4897517767</v>
      </c>
      <c r="L2035" s="455">
        <f t="shared" ca="1" si="137"/>
        <v>-782701602.03017819</v>
      </c>
      <c r="M2035" s="471">
        <f t="shared" si="139"/>
        <v>0.05</v>
      </c>
      <c r="N2035" s="475">
        <f t="shared" si="140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38"/>
        <v>-782701602.03017819</v>
      </c>
      <c r="J2036" s="455">
        <f t="array" ref="J2036">IFERROR(INDEX('Retirement Calculator'!J:J,MATCH('Isaac 401k'!N2036,'Retirement Calculator'!A:A,0),0),0)</f>
        <v>0</v>
      </c>
      <c r="K2036" s="455">
        <f t="shared" ca="1" si="136"/>
        <v>-3261256.6751257423</v>
      </c>
      <c r="L2036" s="455">
        <f t="shared" ca="1" si="137"/>
        <v>-785962858.70530391</v>
      </c>
      <c r="M2036" s="471">
        <f t="shared" si="139"/>
        <v>0.05</v>
      </c>
      <c r="N2036" s="475">
        <f t="shared" si="140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38"/>
        <v>-785962858.70530391</v>
      </c>
      <c r="J2037" s="455">
        <f t="array" ref="J2037">IFERROR(INDEX('Retirement Calculator'!J:J,MATCH('Isaac 401k'!N2037,'Retirement Calculator'!A:A,0),0),0)</f>
        <v>0</v>
      </c>
      <c r="K2037" s="455">
        <f t="shared" ca="1" si="136"/>
        <v>-3274845.2446054327</v>
      </c>
      <c r="L2037" s="455">
        <f t="shared" ca="1" si="137"/>
        <v>-789237703.94990933</v>
      </c>
      <c r="M2037" s="471">
        <f t="shared" si="139"/>
        <v>0.05</v>
      </c>
      <c r="N2037" s="475">
        <f t="shared" si="140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38"/>
        <v>-789237703.94990933</v>
      </c>
      <c r="J2038" s="455">
        <f t="array" ref="J2038">IFERROR(INDEX('Retirement Calculator'!J:J,MATCH('Isaac 401k'!N2038,'Retirement Calculator'!A:A,0),0),0)</f>
        <v>0</v>
      </c>
      <c r="K2038" s="455">
        <f t="shared" ca="1" si="136"/>
        <v>-3288490.4331246223</v>
      </c>
      <c r="L2038" s="455">
        <f t="shared" ca="1" si="137"/>
        <v>-792526194.38303399</v>
      </c>
      <c r="M2038" s="471">
        <f t="shared" si="139"/>
        <v>0.05</v>
      </c>
      <c r="N2038" s="475">
        <f t="shared" si="140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38"/>
        <v>-792526194.38303399</v>
      </c>
      <c r="J2039" s="455">
        <f t="array" ref="J2039">IFERROR(INDEX('Retirement Calculator'!J:J,MATCH('Isaac 401k'!N2039,'Retirement Calculator'!A:A,0),0),0)</f>
        <v>0</v>
      </c>
      <c r="K2039" s="455">
        <f t="shared" ca="1" si="136"/>
        <v>-3302192.476595975</v>
      </c>
      <c r="L2039" s="455">
        <f t="shared" ca="1" si="137"/>
        <v>-795828386.85962999</v>
      </c>
      <c r="M2039" s="471">
        <f t="shared" si="139"/>
        <v>0.05</v>
      </c>
      <c r="N2039" s="475">
        <f t="shared" si="140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38"/>
        <v>-795828386.85962999</v>
      </c>
      <c r="J2040" s="455">
        <f t="array" ref="J2040">IFERROR(INDEX('Retirement Calculator'!J:J,MATCH('Isaac 401k'!N2040,'Retirement Calculator'!A:A,0),0),0)</f>
        <v>0</v>
      </c>
      <c r="K2040" s="455">
        <f t="shared" ca="1" si="136"/>
        <v>-3315951.611915125</v>
      </c>
      <c r="L2040" s="455">
        <f t="shared" ca="1" si="137"/>
        <v>-799144338.4715451</v>
      </c>
      <c r="M2040" s="471">
        <f t="shared" si="139"/>
        <v>0.05</v>
      </c>
      <c r="N2040" s="475">
        <f t="shared" si="140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38"/>
        <v>-799144338.4715451</v>
      </c>
      <c r="J2041" s="455">
        <f t="array" ref="J2041">IFERROR(INDEX('Retirement Calculator'!J:J,MATCH('Isaac 401k'!N2041,'Retirement Calculator'!A:A,0),0),0)</f>
        <v>0</v>
      </c>
      <c r="K2041" s="455">
        <f t="shared" ca="1" si="136"/>
        <v>-3329768.0769647714</v>
      </c>
      <c r="L2041" s="455">
        <f t="shared" ca="1" si="137"/>
        <v>-802474106.54850984</v>
      </c>
      <c r="M2041" s="471">
        <f t="shared" si="139"/>
        <v>0.05</v>
      </c>
      <c r="N2041" s="475">
        <f t="shared" si="140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38"/>
        <v>-802474106.54850984</v>
      </c>
      <c r="J2042" s="455">
        <f t="array" ref="J2042">IFERROR(INDEX('Retirement Calculator'!J:J,MATCH('Isaac 401k'!N2042,'Retirement Calculator'!A:A,0),0),0)</f>
        <v>0</v>
      </c>
      <c r="K2042" s="455">
        <f t="shared" ca="1" si="136"/>
        <v>-3343642.1106187911</v>
      </c>
      <c r="L2042" s="455">
        <f t="shared" ca="1" si="137"/>
        <v>-805817748.65912867</v>
      </c>
      <c r="M2042" s="471">
        <f t="shared" si="139"/>
        <v>0.05</v>
      </c>
      <c r="N2042" s="475">
        <f t="shared" si="140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38"/>
        <v>-805817748.65912867</v>
      </c>
      <c r="J2043" s="455">
        <f t="array" ref="J2043">IFERROR(INDEX('Retirement Calculator'!J:J,MATCH('Isaac 401k'!N2043,'Retirement Calculator'!A:A,0),0),0)</f>
        <v>0</v>
      </c>
      <c r="K2043" s="455">
        <f t="shared" ca="1" si="136"/>
        <v>-3357573.9527463694</v>
      </c>
      <c r="L2043" s="455">
        <f t="shared" ca="1" si="137"/>
        <v>-809175322.61187506</v>
      </c>
      <c r="M2043" s="471">
        <f t="shared" si="139"/>
        <v>0.05</v>
      </c>
      <c r="N2043" s="475">
        <f t="shared" si="140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38"/>
        <v>-809175322.61187506</v>
      </c>
      <c r="J2044" s="455">
        <f t="array" ref="J2044">IFERROR(INDEX('Retirement Calculator'!J:J,MATCH('Isaac 401k'!N2044,'Retirement Calculator'!A:A,0),0),0)</f>
        <v>0</v>
      </c>
      <c r="K2044" s="455">
        <f t="shared" ca="1" si="136"/>
        <v>-3371563.844216146</v>
      </c>
      <c r="L2044" s="455">
        <f t="shared" ca="1" si="137"/>
        <v>-812546886.45609117</v>
      </c>
      <c r="M2044" s="471">
        <f t="shared" si="139"/>
        <v>0.05</v>
      </c>
      <c r="N2044" s="475">
        <f t="shared" si="140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38"/>
        <v>-812546886.45609117</v>
      </c>
      <c r="J2045" s="455">
        <f t="array" ref="J2045">IFERROR(INDEX('Retirement Calculator'!J:J,MATCH('Isaac 401k'!N2045,'Retirement Calculator'!A:A,0),0),0)</f>
        <v>0</v>
      </c>
      <c r="K2045" s="455">
        <f t="shared" ca="1" si="136"/>
        <v>-3385612.0269003799</v>
      </c>
      <c r="L2045" s="455">
        <f t="shared" ca="1" si="137"/>
        <v>-815932498.48299158</v>
      </c>
      <c r="M2045" s="471">
        <f t="shared" si="139"/>
        <v>0.05</v>
      </c>
      <c r="N2045" s="475">
        <f t="shared" si="140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38"/>
        <v>-815932498.48299158</v>
      </c>
      <c r="J2046" s="455">
        <f t="array" ref="J2046">IFERROR(INDEX('Retirement Calculator'!J:J,MATCH('Isaac 401k'!N2046,'Retirement Calculator'!A:A,0),0),0)</f>
        <v>0</v>
      </c>
      <c r="K2046" s="455">
        <f t="shared" ca="1" si="136"/>
        <v>-3399718.7436791314</v>
      </c>
      <c r="L2046" s="455">
        <f t="shared" ca="1" si="137"/>
        <v>-819332217.22667074</v>
      </c>
      <c r="M2046" s="471">
        <f t="shared" si="139"/>
        <v>0.05</v>
      </c>
      <c r="N2046" s="475">
        <f t="shared" si="140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38"/>
        <v>-819332217.22667074</v>
      </c>
      <c r="J2047" s="455">
        <f t="array" ref="J2047">IFERROR(INDEX('Retirement Calculator'!J:J,MATCH('Isaac 401k'!N2047,'Retirement Calculator'!A:A,0),0),0)</f>
        <v>0</v>
      </c>
      <c r="K2047" s="455">
        <f t="shared" ca="1" si="136"/>
        <v>-3413884.2384444615</v>
      </c>
      <c r="L2047" s="455">
        <f t="shared" ca="1" si="137"/>
        <v>-822746101.46511519</v>
      </c>
      <c r="M2047" s="471">
        <f t="shared" si="139"/>
        <v>0.05</v>
      </c>
      <c r="N2047" s="475">
        <f t="shared" si="140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38"/>
        <v>-822746101.46511519</v>
      </c>
      <c r="J2048" s="455">
        <f t="array" ref="J2048">IFERROR(INDEX('Retirement Calculator'!J:J,MATCH('Isaac 401k'!N2048,'Retirement Calculator'!A:A,0),0),0)</f>
        <v>0</v>
      </c>
      <c r="K2048" s="455">
        <f t="shared" ref="K2048:K2302" ca="1" si="141">IPMT(M2048/12,1,12,-I2048+J2048,,0)</f>
        <v>-3428108.7561046467</v>
      </c>
      <c r="L2048" s="455">
        <f t="shared" ref="L2048:L2302" ca="1" si="142">I2048-J2048+K2048</f>
        <v>-826174210.22121978</v>
      </c>
      <c r="M2048" s="471">
        <f t="shared" si="139"/>
        <v>0.05</v>
      </c>
      <c r="N2048" s="475">
        <f t="shared" si="140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43">L2048</f>
        <v>-826174210.22121978</v>
      </c>
      <c r="J2049" s="455">
        <f t="array" ref="J2049">IFERROR(INDEX('Retirement Calculator'!J:J,MATCH('Isaac 401k'!N2049,'Retirement Calculator'!A:A,0),0),0)</f>
        <v>0</v>
      </c>
      <c r="K2049" s="455">
        <f t="shared" ca="1" si="141"/>
        <v>-3442392.5425884156</v>
      </c>
      <c r="L2049" s="455">
        <f t="shared" ca="1" si="142"/>
        <v>-829616602.76380825</v>
      </c>
      <c r="M2049" s="471">
        <f t="shared" ref="M2049:M2303" si="144">M2048</f>
        <v>0.05</v>
      </c>
      <c r="N2049" s="475">
        <f t="shared" ref="N2049:N2303" si="145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43"/>
        <v>-829616602.76380825</v>
      </c>
      <c r="J2050" s="455">
        <f t="array" ref="J2050">IFERROR(INDEX('Retirement Calculator'!J:J,MATCH('Isaac 401k'!N2050,'Retirement Calculator'!A:A,0),0),0)</f>
        <v>0</v>
      </c>
      <c r="K2050" s="455">
        <f t="shared" ca="1" si="141"/>
        <v>-3456735.8448492009</v>
      </c>
      <c r="L2050" s="455">
        <f t="shared" ca="1" si="142"/>
        <v>-833073338.60865748</v>
      </c>
      <c r="M2050" s="471">
        <f t="shared" si="144"/>
        <v>0.05</v>
      </c>
      <c r="N2050" s="475">
        <f t="shared" si="145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43"/>
        <v>-833073338.60865748</v>
      </c>
      <c r="J2051" s="455">
        <f t="array" ref="J2051">IFERROR(INDEX('Retirement Calculator'!J:J,MATCH('Isaac 401k'!N2051,'Retirement Calculator'!A:A,0),0),0)</f>
        <v>0</v>
      </c>
      <c r="K2051" s="455">
        <f t="shared" ca="1" si="141"/>
        <v>-3471138.9108694061</v>
      </c>
      <c r="L2051" s="455">
        <f t="shared" ca="1" si="142"/>
        <v>-836544477.51952684</v>
      </c>
      <c r="M2051" s="471">
        <f t="shared" si="144"/>
        <v>0.05</v>
      </c>
      <c r="N2051" s="475">
        <f t="shared" si="145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43"/>
        <v>-836544477.51952684</v>
      </c>
      <c r="J2052" s="455">
        <f t="array" ref="J2052">IFERROR(INDEX('Retirement Calculator'!J:J,MATCH('Isaac 401k'!N2052,'Retirement Calculator'!A:A,0),0),0)</f>
        <v>0</v>
      </c>
      <c r="K2052" s="455">
        <f t="shared" ca="1" si="141"/>
        <v>-3485601.9896646957</v>
      </c>
      <c r="L2052" s="455">
        <f t="shared" ca="1" si="142"/>
        <v>-840030079.50919151</v>
      </c>
      <c r="M2052" s="471">
        <f t="shared" si="144"/>
        <v>0.05</v>
      </c>
      <c r="N2052" s="475">
        <f t="shared" si="145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43"/>
        <v>-840030079.50919151</v>
      </c>
      <c r="J2053" s="455">
        <f t="array" ref="J2053">IFERROR(INDEX('Retirement Calculator'!J:J,MATCH('Isaac 401k'!N2053,'Retirement Calculator'!A:A,0),0),0)</f>
        <v>0</v>
      </c>
      <c r="K2053" s="455">
        <f t="shared" ca="1" si="141"/>
        <v>-3500125.3312882972</v>
      </c>
      <c r="L2053" s="455">
        <f t="shared" ca="1" si="142"/>
        <v>-843530204.84047985</v>
      </c>
      <c r="M2053" s="471">
        <f t="shared" si="144"/>
        <v>0.05</v>
      </c>
      <c r="N2053" s="475">
        <f t="shared" si="145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43"/>
        <v>-843530204.84047985</v>
      </c>
      <c r="J2054" s="455">
        <f t="array" ref="J2054">IFERROR(INDEX('Retirement Calculator'!J:J,MATCH('Isaac 401k'!N2054,'Retirement Calculator'!A:A,0),0),0)</f>
        <v>0</v>
      </c>
      <c r="K2054" s="455">
        <f t="shared" ca="1" si="141"/>
        <v>-3514709.1868353328</v>
      </c>
      <c r="L2054" s="455">
        <f t="shared" ca="1" si="142"/>
        <v>-847044914.02731514</v>
      </c>
      <c r="M2054" s="471">
        <f t="shared" si="144"/>
        <v>0.05</v>
      </c>
      <c r="N2054" s="475">
        <f t="shared" si="145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43"/>
        <v>-847044914.02731514</v>
      </c>
      <c r="J2055" s="455">
        <f t="array" ref="J2055">IFERROR(INDEX('Retirement Calculator'!J:J,MATCH('Isaac 401k'!N2055,'Retirement Calculator'!A:A,0),0),0)</f>
        <v>0</v>
      </c>
      <c r="K2055" s="455">
        <f t="shared" ca="1" si="141"/>
        <v>-3529353.8084471463</v>
      </c>
      <c r="L2055" s="455">
        <f t="shared" ca="1" si="142"/>
        <v>-850574267.83576226</v>
      </c>
      <c r="M2055" s="471">
        <f t="shared" si="144"/>
        <v>0.05</v>
      </c>
      <c r="N2055" s="475">
        <f t="shared" si="145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43"/>
        <v>-850574267.83576226</v>
      </c>
      <c r="J2056" s="455">
        <f t="array" ref="J2056">IFERROR(INDEX('Retirement Calculator'!J:J,MATCH('Isaac 401k'!N2056,'Retirement Calculator'!A:A,0),0),0)</f>
        <v>0</v>
      </c>
      <c r="K2056" s="455">
        <f t="shared" ca="1" si="141"/>
        <v>-3544059.4493156755</v>
      </c>
      <c r="L2056" s="455">
        <f t="shared" ca="1" si="142"/>
        <v>-854118327.28507793</v>
      </c>
      <c r="M2056" s="471">
        <f t="shared" si="144"/>
        <v>0.05</v>
      </c>
      <c r="N2056" s="475">
        <f t="shared" si="145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43"/>
        <v>-854118327.28507793</v>
      </c>
      <c r="J2057" s="455">
        <f t="array" ref="J2057">IFERROR(INDEX('Retirement Calculator'!J:J,MATCH('Isaac 401k'!N2057,'Retirement Calculator'!A:A,0),0),0)</f>
        <v>0</v>
      </c>
      <c r="K2057" s="455">
        <f t="shared" ca="1" si="141"/>
        <v>-3558826.3636878245</v>
      </c>
      <c r="L2057" s="455">
        <f t="shared" ca="1" si="142"/>
        <v>-857677153.6487658</v>
      </c>
      <c r="M2057" s="471">
        <f t="shared" si="144"/>
        <v>0.05</v>
      </c>
      <c r="N2057" s="475">
        <f t="shared" si="145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43"/>
        <v>-857677153.6487658</v>
      </c>
      <c r="J2058" s="455">
        <f t="array" ref="J2058">IFERROR(INDEX('Retirement Calculator'!J:J,MATCH('Isaac 401k'!N2058,'Retirement Calculator'!A:A,0),0),0)</f>
        <v>0</v>
      </c>
      <c r="K2058" s="455">
        <f t="shared" ca="1" si="141"/>
        <v>-3573654.8068698575</v>
      </c>
      <c r="L2058" s="455">
        <f t="shared" ca="1" si="142"/>
        <v>-861250808.45563567</v>
      </c>
      <c r="M2058" s="471">
        <f t="shared" si="144"/>
        <v>0.05</v>
      </c>
      <c r="N2058" s="475">
        <f t="shared" si="145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43"/>
        <v>-861250808.45563567</v>
      </c>
      <c r="J2059" s="455">
        <f t="array" ref="J2059">IFERROR(INDEX('Retirement Calculator'!J:J,MATCH('Isaac 401k'!N2059,'Retirement Calculator'!A:A,0),0),0)</f>
        <v>0</v>
      </c>
      <c r="K2059" s="455">
        <f t="shared" ca="1" si="141"/>
        <v>-3588545.0352318152</v>
      </c>
      <c r="L2059" s="455">
        <f t="shared" ca="1" si="142"/>
        <v>-864839353.4908675</v>
      </c>
      <c r="M2059" s="471">
        <f t="shared" si="144"/>
        <v>0.05</v>
      </c>
      <c r="N2059" s="475">
        <f t="shared" si="145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43"/>
        <v>-864839353.4908675</v>
      </c>
      <c r="J2060" s="455">
        <f t="array" ref="J2060">IFERROR(INDEX('Retirement Calculator'!J:J,MATCH('Isaac 401k'!N2060,'Retirement Calculator'!A:A,0),0),0)</f>
        <v>0</v>
      </c>
      <c r="K2060" s="455">
        <f t="shared" ca="1" si="141"/>
        <v>-3603497.3062119479</v>
      </c>
      <c r="L2060" s="455">
        <f t="shared" ca="1" si="142"/>
        <v>-868442850.79707944</v>
      </c>
      <c r="M2060" s="471">
        <f t="shared" si="144"/>
        <v>0.05</v>
      </c>
      <c r="N2060" s="475">
        <f t="shared" si="145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43"/>
        <v>-868442850.79707944</v>
      </c>
      <c r="J2061" s="455">
        <f t="array" ref="J2061">IFERROR(INDEX('Retirement Calculator'!J:J,MATCH('Isaac 401k'!N2061,'Retirement Calculator'!A:A,0),0),0)</f>
        <v>0</v>
      </c>
      <c r="K2061" s="455">
        <f t="shared" ca="1" si="141"/>
        <v>-3618511.8783211643</v>
      </c>
      <c r="L2061" s="455">
        <f t="shared" ca="1" si="142"/>
        <v>-872061362.67540061</v>
      </c>
      <c r="M2061" s="471">
        <f t="shared" si="144"/>
        <v>0.05</v>
      </c>
      <c r="N2061" s="475">
        <f t="shared" si="145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43"/>
        <v>-872061362.67540061</v>
      </c>
      <c r="J2062" s="455">
        <f t="array" ref="J2062">IFERROR(INDEX('Retirement Calculator'!J:J,MATCH('Isaac 401k'!N2062,'Retirement Calculator'!A:A,0),0),0)</f>
        <v>0</v>
      </c>
      <c r="K2062" s="455">
        <f t="shared" ca="1" si="141"/>
        <v>-3633589.0111475023</v>
      </c>
      <c r="L2062" s="455">
        <f t="shared" ca="1" si="142"/>
        <v>-875694951.68654811</v>
      </c>
      <c r="M2062" s="471">
        <f t="shared" si="144"/>
        <v>0.05</v>
      </c>
      <c r="N2062" s="475">
        <f t="shared" si="145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43"/>
        <v>-875694951.68654811</v>
      </c>
      <c r="J2063" s="455">
        <f t="array" ref="J2063">IFERROR(INDEX('Retirement Calculator'!J:J,MATCH('Isaac 401k'!N2063,'Retirement Calculator'!A:A,0),0),0)</f>
        <v>0</v>
      </c>
      <c r="K2063" s="455">
        <f t="shared" ca="1" si="141"/>
        <v>-3648728.9653606168</v>
      </c>
      <c r="L2063" s="455">
        <f t="shared" ca="1" si="142"/>
        <v>-879343680.65190876</v>
      </c>
      <c r="M2063" s="471">
        <f t="shared" si="144"/>
        <v>0.05</v>
      </c>
      <c r="N2063" s="475">
        <f t="shared" si="145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43"/>
        <v>-879343680.65190876</v>
      </c>
      <c r="J2064" s="455">
        <f t="array" ref="J2064">IFERROR(INDEX('Retirement Calculator'!J:J,MATCH('Isaac 401k'!N2064,'Retirement Calculator'!A:A,0),0),0)</f>
        <v>0</v>
      </c>
      <c r="K2064" s="455">
        <f t="shared" ca="1" si="141"/>
        <v>-3663932.0027162866</v>
      </c>
      <c r="L2064" s="455">
        <f t="shared" ca="1" si="142"/>
        <v>-883007612.65462506</v>
      </c>
      <c r="M2064" s="471">
        <f t="shared" si="144"/>
        <v>0.05</v>
      </c>
      <c r="N2064" s="475">
        <f t="shared" si="145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43"/>
        <v>-883007612.65462506</v>
      </c>
      <c r="J2065" s="455">
        <f t="array" ref="J2065">IFERROR(INDEX('Retirement Calculator'!J:J,MATCH('Isaac 401k'!N2065,'Retirement Calculator'!A:A,0),0),0)</f>
        <v>0</v>
      </c>
      <c r="K2065" s="455">
        <f t="shared" ca="1" si="141"/>
        <v>-3679198.3860609378</v>
      </c>
      <c r="L2065" s="455">
        <f t="shared" ca="1" si="142"/>
        <v>-886686811.04068601</v>
      </c>
      <c r="M2065" s="471">
        <f t="shared" si="144"/>
        <v>0.05</v>
      </c>
      <c r="N2065" s="475">
        <f t="shared" si="145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43"/>
        <v>-886686811.04068601</v>
      </c>
      <c r="J2066" s="455">
        <f t="array" ref="J2066">IFERROR(INDEX('Retirement Calculator'!J:J,MATCH('Isaac 401k'!N2066,'Retirement Calculator'!A:A,0),0),0)</f>
        <v>0</v>
      </c>
      <c r="K2066" s="455">
        <f t="shared" ca="1" si="141"/>
        <v>-3694528.3793361918</v>
      </c>
      <c r="L2066" s="455">
        <f t="shared" ca="1" si="142"/>
        <v>-890381339.42002225</v>
      </c>
      <c r="M2066" s="471">
        <f t="shared" si="144"/>
        <v>0.05</v>
      </c>
      <c r="N2066" s="475">
        <f t="shared" si="145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43"/>
        <v>-890381339.42002225</v>
      </c>
      <c r="J2067" s="455">
        <f t="array" ref="J2067">IFERROR(INDEX('Retirement Calculator'!J:J,MATCH('Isaac 401k'!N2067,'Retirement Calculator'!A:A,0),0),0)</f>
        <v>0</v>
      </c>
      <c r="K2067" s="455">
        <f t="shared" ca="1" si="141"/>
        <v>-3709922.2475834261</v>
      </c>
      <c r="L2067" s="455">
        <f t="shared" ca="1" si="142"/>
        <v>-894091261.66760564</v>
      </c>
      <c r="M2067" s="471">
        <f t="shared" si="144"/>
        <v>0.05</v>
      </c>
      <c r="N2067" s="475">
        <f t="shared" si="145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43"/>
        <v>-894091261.66760564</v>
      </c>
      <c r="J2068" s="455">
        <f t="array" ref="J2068">IFERROR(INDEX('Retirement Calculator'!J:J,MATCH('Isaac 401k'!N2068,'Retirement Calculator'!A:A,0),0),0)</f>
        <v>0</v>
      </c>
      <c r="K2068" s="455">
        <f t="shared" ca="1" si="141"/>
        <v>-3725380.256948357</v>
      </c>
      <c r="L2068" s="455">
        <f t="shared" ca="1" si="142"/>
        <v>-897816641.92455399</v>
      </c>
      <c r="M2068" s="471">
        <f t="shared" si="144"/>
        <v>0.05</v>
      </c>
      <c r="N2068" s="475">
        <f t="shared" si="145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43"/>
        <v>-897816641.92455399</v>
      </c>
      <c r="J2069" s="455">
        <f t="array" ref="J2069">IFERROR(INDEX('Retirement Calculator'!J:J,MATCH('Isaac 401k'!N2069,'Retirement Calculator'!A:A,0),0),0)</f>
        <v>0</v>
      </c>
      <c r="K2069" s="455">
        <f t="shared" ca="1" si="141"/>
        <v>-3740902.6746856417</v>
      </c>
      <c r="L2069" s="455">
        <f t="shared" ca="1" si="142"/>
        <v>-901557544.59923959</v>
      </c>
      <c r="M2069" s="471">
        <f t="shared" si="144"/>
        <v>0.05</v>
      </c>
      <c r="N2069" s="475">
        <f t="shared" si="145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43"/>
        <v>-901557544.59923959</v>
      </c>
      <c r="J2070" s="455">
        <f t="array" ref="J2070">IFERROR(INDEX('Retirement Calculator'!J:J,MATCH('Isaac 401k'!N2070,'Retirement Calculator'!A:A,0),0),0)</f>
        <v>0</v>
      </c>
      <c r="K2070" s="455">
        <f t="shared" ca="1" si="141"/>
        <v>-3756489.7691634977</v>
      </c>
      <c r="L2070" s="455">
        <f t="shared" ca="1" si="142"/>
        <v>-905314034.36840308</v>
      </c>
      <c r="M2070" s="471">
        <f t="shared" si="144"/>
        <v>0.05</v>
      </c>
      <c r="N2070" s="475">
        <f t="shared" si="145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43"/>
        <v>-905314034.36840308</v>
      </c>
      <c r="J2071" s="455">
        <f t="array" ref="J2071">IFERROR(INDEX('Retirement Calculator'!J:J,MATCH('Isaac 401k'!N2071,'Retirement Calculator'!A:A,0),0),0)</f>
        <v>0</v>
      </c>
      <c r="K2071" s="455">
        <f t="shared" ca="1" si="141"/>
        <v>-3772141.809868346</v>
      </c>
      <c r="L2071" s="455">
        <f t="shared" ca="1" si="142"/>
        <v>-909086176.17827141</v>
      </c>
      <c r="M2071" s="471">
        <f t="shared" si="144"/>
        <v>0.05</v>
      </c>
      <c r="N2071" s="475">
        <f t="shared" si="145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43"/>
        <v>-909086176.17827141</v>
      </c>
      <c r="J2072" s="455">
        <f t="array" ref="J2072">IFERROR(INDEX('Retirement Calculator'!J:J,MATCH('Isaac 401k'!N2072,'Retirement Calculator'!A:A,0),0),0)</f>
        <v>0</v>
      </c>
      <c r="K2072" s="455">
        <f t="shared" ca="1" si="141"/>
        <v>-3787859.0674094642</v>
      </c>
      <c r="L2072" s="455">
        <f t="shared" ca="1" si="142"/>
        <v>-912874035.24568093</v>
      </c>
      <c r="M2072" s="471">
        <f t="shared" si="144"/>
        <v>0.05</v>
      </c>
      <c r="N2072" s="475">
        <f t="shared" si="145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43"/>
        <v>-912874035.24568093</v>
      </c>
      <c r="J2073" s="455">
        <f t="array" ref="J2073">IFERROR(INDEX('Retirement Calculator'!J:J,MATCH('Isaac 401k'!N2073,'Retirement Calculator'!A:A,0),0),0)</f>
        <v>0</v>
      </c>
      <c r="K2073" s="455">
        <f t="shared" ca="1" si="141"/>
        <v>-3803641.8135236707</v>
      </c>
      <c r="L2073" s="455">
        <f t="shared" ca="1" si="142"/>
        <v>-916677677.05920458</v>
      </c>
      <c r="M2073" s="471">
        <f t="shared" si="144"/>
        <v>0.05</v>
      </c>
      <c r="N2073" s="475">
        <f t="shared" si="145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43"/>
        <v>-916677677.05920458</v>
      </c>
      <c r="J2074" s="455">
        <f t="array" ref="J2074">IFERROR(INDEX('Retirement Calculator'!J:J,MATCH('Isaac 401k'!N2074,'Retirement Calculator'!A:A,0),0),0)</f>
        <v>0</v>
      </c>
      <c r="K2074" s="455">
        <f t="shared" ca="1" si="141"/>
        <v>-3819490.3210800197</v>
      </c>
      <c r="L2074" s="455">
        <f t="shared" ca="1" si="142"/>
        <v>-920497167.38028455</v>
      </c>
      <c r="M2074" s="471">
        <f t="shared" si="144"/>
        <v>0.05</v>
      </c>
      <c r="N2074" s="475">
        <f t="shared" si="145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43"/>
        <v>-920497167.38028455</v>
      </c>
      <c r="J2075" s="455">
        <f t="array" ref="J2075">IFERROR(INDEX('Retirement Calculator'!J:J,MATCH('Isaac 401k'!N2075,'Retirement Calculator'!A:A,0),0),0)</f>
        <v>0</v>
      </c>
      <c r="K2075" s="455">
        <f t="shared" ca="1" si="141"/>
        <v>-3835404.8640845194</v>
      </c>
      <c r="L2075" s="455">
        <f t="shared" ca="1" si="142"/>
        <v>-924332572.24436903</v>
      </c>
      <c r="M2075" s="471">
        <f t="shared" si="144"/>
        <v>0.05</v>
      </c>
      <c r="N2075" s="475">
        <f t="shared" si="145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43"/>
        <v>-924332572.24436903</v>
      </c>
      <c r="J2076" s="455">
        <f t="array" ref="J2076">IFERROR(INDEX('Retirement Calculator'!J:J,MATCH('Isaac 401k'!N2076,'Retirement Calculator'!A:A,0),0),0)</f>
        <v>0</v>
      </c>
      <c r="K2076" s="455">
        <f t="shared" ca="1" si="141"/>
        <v>-3851385.7176848706</v>
      </c>
      <c r="L2076" s="455">
        <f t="shared" ca="1" si="142"/>
        <v>-928183957.96205389</v>
      </c>
      <c r="M2076" s="471">
        <f t="shared" si="144"/>
        <v>0.05</v>
      </c>
      <c r="N2076" s="475">
        <f t="shared" si="145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43"/>
        <v>-928183957.96205389</v>
      </c>
      <c r="J2077" s="455">
        <f t="array" ref="J2077">IFERROR(INDEX('Retirement Calculator'!J:J,MATCH('Isaac 401k'!N2077,'Retirement Calculator'!A:A,0),0),0)</f>
        <v>0</v>
      </c>
      <c r="K2077" s="455">
        <f t="shared" ca="1" si="141"/>
        <v>-3867433.1581752244</v>
      </c>
      <c r="L2077" s="455">
        <f t="shared" ca="1" si="142"/>
        <v>-932051391.12022913</v>
      </c>
      <c r="M2077" s="471">
        <f t="shared" si="144"/>
        <v>0.05</v>
      </c>
      <c r="N2077" s="475">
        <f t="shared" si="145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43"/>
        <v>-932051391.12022913</v>
      </c>
      <c r="J2078" s="455">
        <f t="array" ref="J2078">IFERROR(INDEX('Retirement Calculator'!J:J,MATCH('Isaac 401k'!N2078,'Retirement Calculator'!A:A,0),0),0)</f>
        <v>0</v>
      </c>
      <c r="K2078" s="455">
        <f t="shared" ca="1" si="141"/>
        <v>-3883547.4630009546</v>
      </c>
      <c r="L2078" s="455">
        <f t="shared" ca="1" si="142"/>
        <v>-935934938.58323014</v>
      </c>
      <c r="M2078" s="471">
        <f t="shared" si="144"/>
        <v>0.05</v>
      </c>
      <c r="N2078" s="475">
        <f t="shared" si="145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43"/>
        <v>-935934938.58323014</v>
      </c>
      <c r="J2079" s="455">
        <f t="array" ref="J2079">IFERROR(INDEX('Retirement Calculator'!J:J,MATCH('Isaac 401k'!N2079,'Retirement Calculator'!A:A,0),0),0)</f>
        <v>0</v>
      </c>
      <c r="K2079" s="455">
        <f t="shared" ca="1" si="141"/>
        <v>-3899728.9107634588</v>
      </c>
      <c r="L2079" s="455">
        <f t="shared" ca="1" si="142"/>
        <v>-939834667.49399364</v>
      </c>
      <c r="M2079" s="471">
        <f t="shared" si="144"/>
        <v>0.05</v>
      </c>
      <c r="N2079" s="475">
        <f t="shared" si="145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43"/>
        <v>-939834667.49399364</v>
      </c>
      <c r="J2080" s="455">
        <f t="array" ref="J2080">IFERROR(INDEX('Retirement Calculator'!J:J,MATCH('Isaac 401k'!N2080,'Retirement Calculator'!A:A,0),0),0)</f>
        <v>0</v>
      </c>
      <c r="K2080" s="455">
        <f t="shared" ca="1" si="141"/>
        <v>-3915977.781224973</v>
      </c>
      <c r="L2080" s="455">
        <f t="shared" ca="1" si="142"/>
        <v>-943750645.27521861</v>
      </c>
      <c r="M2080" s="471">
        <f t="shared" si="144"/>
        <v>0.05</v>
      </c>
      <c r="N2080" s="475">
        <f t="shared" si="145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43"/>
        <v>-943750645.27521861</v>
      </c>
      <c r="J2081" s="455">
        <f t="array" ref="J2081">IFERROR(INDEX('Retirement Calculator'!J:J,MATCH('Isaac 401k'!N2081,'Retirement Calculator'!A:A,0),0),0)</f>
        <v>0</v>
      </c>
      <c r="K2081" s="455">
        <f t="shared" ca="1" si="141"/>
        <v>-3932294.355313411</v>
      </c>
      <c r="L2081" s="455">
        <f t="shared" ca="1" si="142"/>
        <v>-947682939.63053203</v>
      </c>
      <c r="M2081" s="471">
        <f t="shared" si="144"/>
        <v>0.05</v>
      </c>
      <c r="N2081" s="475">
        <f t="shared" si="145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43"/>
        <v>-947682939.63053203</v>
      </c>
      <c r="J2082" s="455">
        <f t="array" ref="J2082">IFERROR(INDEX('Retirement Calculator'!J:J,MATCH('Isaac 401k'!N2082,'Retirement Calculator'!A:A,0),0),0)</f>
        <v>0</v>
      </c>
      <c r="K2082" s="455">
        <f t="shared" ca="1" si="141"/>
        <v>-3948678.9151272168</v>
      </c>
      <c r="L2082" s="455">
        <f t="shared" ca="1" si="142"/>
        <v>-951631618.54565918</v>
      </c>
      <c r="M2082" s="471">
        <f t="shared" si="144"/>
        <v>0.05</v>
      </c>
      <c r="N2082" s="475">
        <f t="shared" si="145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43"/>
        <v>-951631618.54565918</v>
      </c>
      <c r="J2083" s="455">
        <f t="array" ref="J2083">IFERROR(INDEX('Retirement Calculator'!J:J,MATCH('Isaac 401k'!N2083,'Retirement Calculator'!A:A,0),0),0)</f>
        <v>0</v>
      </c>
      <c r="K2083" s="455">
        <f t="shared" ca="1" si="141"/>
        <v>-3965131.7439402468</v>
      </c>
      <c r="L2083" s="455">
        <f t="shared" ca="1" si="142"/>
        <v>-955596750.28959942</v>
      </c>
      <c r="M2083" s="471">
        <f t="shared" si="144"/>
        <v>0.05</v>
      </c>
      <c r="N2083" s="475">
        <f t="shared" si="145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43"/>
        <v>-955596750.28959942</v>
      </c>
      <c r="J2084" s="455">
        <f t="array" ref="J2084">IFERROR(INDEX('Retirement Calculator'!J:J,MATCH('Isaac 401k'!N2084,'Retirement Calculator'!A:A,0),0),0)</f>
        <v>0</v>
      </c>
      <c r="K2084" s="455">
        <f t="shared" ca="1" si="141"/>
        <v>-3981653.1262066648</v>
      </c>
      <c r="L2084" s="455">
        <f t="shared" ca="1" si="142"/>
        <v>-959578403.41580606</v>
      </c>
      <c r="M2084" s="471">
        <f t="shared" si="144"/>
        <v>0.05</v>
      </c>
      <c r="N2084" s="475">
        <f t="shared" si="145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43"/>
        <v>-959578403.41580606</v>
      </c>
      <c r="J2085" s="455">
        <f t="array" ref="J2085">IFERROR(INDEX('Retirement Calculator'!J:J,MATCH('Isaac 401k'!N2085,'Retirement Calculator'!A:A,0),0),0)</f>
        <v>0</v>
      </c>
      <c r="K2085" s="455">
        <f t="shared" ca="1" si="141"/>
        <v>-3998243.3475658586</v>
      </c>
      <c r="L2085" s="455">
        <f t="shared" ca="1" si="142"/>
        <v>-963576646.76337194</v>
      </c>
      <c r="M2085" s="471">
        <f t="shared" si="144"/>
        <v>0.05</v>
      </c>
      <c r="N2085" s="475">
        <f t="shared" si="145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43"/>
        <v>-963576646.76337194</v>
      </c>
      <c r="J2086" s="455">
        <f t="array" ref="J2086">IFERROR(INDEX('Retirement Calculator'!J:J,MATCH('Isaac 401k'!N2086,'Retirement Calculator'!A:A,0),0),0)</f>
        <v>0</v>
      </c>
      <c r="K2086" s="455">
        <f t="shared" ca="1" si="141"/>
        <v>-4014902.6948473835</v>
      </c>
      <c r="L2086" s="455">
        <f t="shared" ca="1" si="142"/>
        <v>-967591549.45821929</v>
      </c>
      <c r="M2086" s="471">
        <f t="shared" si="144"/>
        <v>0.05</v>
      </c>
      <c r="N2086" s="475">
        <f t="shared" si="145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43"/>
        <v>-967591549.45821929</v>
      </c>
      <c r="J2087" s="455">
        <f t="array" ref="J2087">IFERROR(INDEX('Retirement Calculator'!J:J,MATCH('Isaac 401k'!N2087,'Retirement Calculator'!A:A,0),0),0)</f>
        <v>0</v>
      </c>
      <c r="K2087" s="455">
        <f t="shared" ca="1" si="141"/>
        <v>-4031631.4560759137</v>
      </c>
      <c r="L2087" s="455">
        <f t="shared" ca="1" si="142"/>
        <v>-971623180.9142952</v>
      </c>
      <c r="M2087" s="471">
        <f t="shared" si="144"/>
        <v>0.05</v>
      </c>
      <c r="N2087" s="475">
        <f t="shared" si="145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43"/>
        <v>-971623180.9142952</v>
      </c>
      <c r="J2088" s="455">
        <f t="array" ref="J2088">IFERROR(INDEX('Retirement Calculator'!J:J,MATCH('Isaac 401k'!N2088,'Retirement Calculator'!A:A,0),0),0)</f>
        <v>0</v>
      </c>
      <c r="K2088" s="455">
        <f t="shared" ca="1" si="141"/>
        <v>-4048429.9204762294</v>
      </c>
      <c r="L2088" s="455">
        <f t="shared" ca="1" si="142"/>
        <v>-975671610.83477139</v>
      </c>
      <c r="M2088" s="471">
        <f t="shared" si="144"/>
        <v>0.05</v>
      </c>
      <c r="N2088" s="475">
        <f t="shared" si="145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43"/>
        <v>-975671610.83477139</v>
      </c>
      <c r="J2089" s="455">
        <f t="array" ref="J2089">IFERROR(INDEX('Retirement Calculator'!J:J,MATCH('Isaac 401k'!N2089,'Retirement Calculator'!A:A,0),0),0)</f>
        <v>0</v>
      </c>
      <c r="K2089" s="455">
        <f t="shared" ca="1" si="141"/>
        <v>-4065298.3784782141</v>
      </c>
      <c r="L2089" s="455">
        <f t="shared" ca="1" si="142"/>
        <v>-979736909.21324956</v>
      </c>
      <c r="M2089" s="471">
        <f t="shared" si="144"/>
        <v>0.05</v>
      </c>
      <c r="N2089" s="475">
        <f t="shared" si="145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43"/>
        <v>-979736909.21324956</v>
      </c>
      <c r="J2090" s="455">
        <f t="array" ref="J2090">IFERROR(INDEX('Retirement Calculator'!J:J,MATCH('Isaac 401k'!N2090,'Retirement Calculator'!A:A,0),0),0)</f>
        <v>0</v>
      </c>
      <c r="K2090" s="455">
        <f t="shared" ca="1" si="141"/>
        <v>-4082237.1217218735</v>
      </c>
      <c r="L2090" s="455">
        <f t="shared" ca="1" si="142"/>
        <v>-983819146.33497143</v>
      </c>
      <c r="M2090" s="471">
        <f t="shared" si="144"/>
        <v>0.05</v>
      </c>
      <c r="N2090" s="475">
        <f t="shared" si="145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43"/>
        <v>-983819146.33497143</v>
      </c>
      <c r="J2091" s="455">
        <f t="array" ref="J2091">IFERROR(INDEX('Retirement Calculator'!J:J,MATCH('Isaac 401k'!N2091,'Retirement Calculator'!A:A,0),0),0)</f>
        <v>0</v>
      </c>
      <c r="K2091" s="455">
        <f t="shared" ca="1" si="141"/>
        <v>-4099246.4430623809</v>
      </c>
      <c r="L2091" s="455">
        <f t="shared" ca="1" si="142"/>
        <v>-987918392.77803385</v>
      </c>
      <c r="M2091" s="471">
        <f t="shared" si="144"/>
        <v>0.05</v>
      </c>
      <c r="N2091" s="475">
        <f t="shared" si="145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43"/>
        <v>-987918392.77803385</v>
      </c>
      <c r="J2092" s="455">
        <f t="array" ref="J2092">IFERROR(INDEX('Retirement Calculator'!J:J,MATCH('Isaac 401k'!N2092,'Retirement Calculator'!A:A,0),0),0)</f>
        <v>0</v>
      </c>
      <c r="K2092" s="455">
        <f t="shared" ca="1" si="141"/>
        <v>-4116326.6365751415</v>
      </c>
      <c r="L2092" s="455">
        <f t="shared" ca="1" si="142"/>
        <v>-992034719.41460896</v>
      </c>
      <c r="M2092" s="471">
        <f t="shared" si="144"/>
        <v>0.05</v>
      </c>
      <c r="N2092" s="475">
        <f t="shared" si="145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43"/>
        <v>-992034719.41460896</v>
      </c>
      <c r="J2093" s="455">
        <f t="array" ref="J2093">IFERROR(INDEX('Retirement Calculator'!J:J,MATCH('Isaac 401k'!N2093,'Retirement Calculator'!A:A,0),0),0)</f>
        <v>0</v>
      </c>
      <c r="K2093" s="455">
        <f t="shared" ca="1" si="141"/>
        <v>-4133477.9975608704</v>
      </c>
      <c r="L2093" s="455">
        <f t="shared" ca="1" si="142"/>
        <v>-996168197.41216981</v>
      </c>
      <c r="M2093" s="471">
        <f t="shared" si="144"/>
        <v>0.05</v>
      </c>
      <c r="N2093" s="475">
        <f t="shared" si="145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43"/>
        <v>-996168197.41216981</v>
      </c>
      <c r="J2094" s="455">
        <f t="array" ref="J2094">IFERROR(INDEX('Retirement Calculator'!J:J,MATCH('Isaac 401k'!N2094,'Retirement Calculator'!A:A,0),0),0)</f>
        <v>0</v>
      </c>
      <c r="K2094" s="455">
        <f t="shared" ca="1" si="141"/>
        <v>-4150700.822550708</v>
      </c>
      <c r="L2094" s="455">
        <f t="shared" ca="1" si="142"/>
        <v>-1000318898.2347205</v>
      </c>
      <c r="M2094" s="471">
        <f t="shared" si="144"/>
        <v>0.05</v>
      </c>
      <c r="N2094" s="475">
        <f t="shared" si="145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43"/>
        <v>-1000318898.2347205</v>
      </c>
      <c r="J2095" s="455">
        <f t="array" ref="J2095">IFERROR(INDEX('Retirement Calculator'!J:J,MATCH('Isaac 401k'!N2095,'Retirement Calculator'!A:A,0),0),0)</f>
        <v>0</v>
      </c>
      <c r="K2095" s="455">
        <f t="shared" ca="1" si="141"/>
        <v>-4167995.4093113351</v>
      </c>
      <c r="L2095" s="455">
        <f t="shared" ca="1" si="142"/>
        <v>-1004486893.6440318</v>
      </c>
      <c r="M2095" s="471">
        <f t="shared" si="144"/>
        <v>0.05</v>
      </c>
      <c r="N2095" s="475">
        <f t="shared" si="145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43"/>
        <v>-1004486893.6440318</v>
      </c>
      <c r="J2096" s="455">
        <f t="array" ref="J2096">IFERROR(INDEX('Retirement Calculator'!J:J,MATCH('Isaac 401k'!N2096,'Retirement Calculator'!A:A,0),0),0)</f>
        <v>0</v>
      </c>
      <c r="K2096" s="455">
        <f t="shared" ca="1" si="141"/>
        <v>-4185362.0568501316</v>
      </c>
      <c r="L2096" s="455">
        <f t="shared" ca="1" si="142"/>
        <v>-1008672255.7008818</v>
      </c>
      <c r="M2096" s="471">
        <f t="shared" si="144"/>
        <v>0.05</v>
      </c>
      <c r="N2096" s="475">
        <f t="shared" si="145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43"/>
        <v>-1008672255.7008818</v>
      </c>
      <c r="J2097" s="455">
        <f t="array" ref="J2097">IFERROR(INDEX('Retirement Calculator'!J:J,MATCH('Isaac 401k'!N2097,'Retirement Calculator'!A:A,0),0),0)</f>
        <v>0</v>
      </c>
      <c r="K2097" s="455">
        <f t="shared" ca="1" si="141"/>
        <v>-4202801.0654203417</v>
      </c>
      <c r="L2097" s="455">
        <f t="shared" ca="1" si="142"/>
        <v>-1012875056.7663022</v>
      </c>
      <c r="M2097" s="471">
        <f t="shared" si="144"/>
        <v>0.05</v>
      </c>
      <c r="N2097" s="475">
        <f t="shared" si="145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43"/>
        <v>-1012875056.7663022</v>
      </c>
      <c r="J2098" s="455">
        <f t="array" ref="J2098">IFERROR(INDEX('Retirement Calculator'!J:J,MATCH('Isaac 401k'!N2098,'Retirement Calculator'!A:A,0),0),0)</f>
        <v>0</v>
      </c>
      <c r="K2098" s="455">
        <f t="shared" ca="1" si="141"/>
        <v>-4220312.7365262592</v>
      </c>
      <c r="L2098" s="455">
        <f t="shared" ca="1" si="142"/>
        <v>-1017095369.5028285</v>
      </c>
      <c r="M2098" s="471">
        <f t="shared" si="144"/>
        <v>0.05</v>
      </c>
      <c r="N2098" s="475">
        <f t="shared" si="145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43"/>
        <v>-1017095369.5028285</v>
      </c>
      <c r="J2099" s="455">
        <f t="array" ref="J2099">IFERROR(INDEX('Retirement Calculator'!J:J,MATCH('Isaac 401k'!N2099,'Retirement Calculator'!A:A,0),0),0)</f>
        <v>0</v>
      </c>
      <c r="K2099" s="455">
        <f t="shared" ca="1" si="141"/>
        <v>-4237897.3729284517</v>
      </c>
      <c r="L2099" s="455">
        <f t="shared" ca="1" si="142"/>
        <v>-1021333266.875757</v>
      </c>
      <c r="M2099" s="471">
        <f t="shared" si="144"/>
        <v>0.05</v>
      </c>
      <c r="N2099" s="475">
        <f t="shared" si="145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43"/>
        <v>-1021333266.875757</v>
      </c>
      <c r="J2100" s="455">
        <f t="array" ref="J2100">IFERROR(INDEX('Retirement Calculator'!J:J,MATCH('Isaac 401k'!N2100,'Retirement Calculator'!A:A,0),0),0)</f>
        <v>0</v>
      </c>
      <c r="K2100" s="455">
        <f t="shared" ca="1" si="141"/>
        <v>-4255555.2786489874</v>
      </c>
      <c r="L2100" s="455">
        <f t="shared" ca="1" si="142"/>
        <v>-1025588822.154406</v>
      </c>
      <c r="M2100" s="471">
        <f t="shared" si="144"/>
        <v>0.05</v>
      </c>
      <c r="N2100" s="475">
        <f t="shared" si="145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43"/>
        <v>-1025588822.154406</v>
      </c>
      <c r="J2101" s="455">
        <f t="array" ref="J2101">IFERROR(INDEX('Retirement Calculator'!J:J,MATCH('Isaac 401k'!N2101,'Retirement Calculator'!A:A,0),0),0)</f>
        <v>0</v>
      </c>
      <c r="K2101" s="455">
        <f t="shared" ca="1" si="141"/>
        <v>-4273286.7589766914</v>
      </c>
      <c r="L2101" s="455">
        <f t="shared" ca="1" si="142"/>
        <v>-1029862108.9133826</v>
      </c>
      <c r="M2101" s="471">
        <f t="shared" si="144"/>
        <v>0.05</v>
      </c>
      <c r="N2101" s="475">
        <f t="shared" si="145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43"/>
        <v>-1029862108.9133826</v>
      </c>
      <c r="J2102" s="455">
        <f t="array" ref="J2102">IFERROR(INDEX('Retirement Calculator'!J:J,MATCH('Isaac 401k'!N2102,'Retirement Calculator'!A:A,0),0),0)</f>
        <v>0</v>
      </c>
      <c r="K2102" s="455">
        <f t="shared" ca="1" si="141"/>
        <v>-4291092.1204724275</v>
      </c>
      <c r="L2102" s="455">
        <f t="shared" ca="1" si="142"/>
        <v>-1034153201.0338551</v>
      </c>
      <c r="M2102" s="471">
        <f t="shared" si="144"/>
        <v>0.05</v>
      </c>
      <c r="N2102" s="475">
        <f t="shared" si="145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43"/>
        <v>-1034153201.0338551</v>
      </c>
      <c r="J2103" s="455">
        <f t="array" ref="J2103">IFERROR(INDEX('Retirement Calculator'!J:J,MATCH('Isaac 401k'!N2103,'Retirement Calculator'!A:A,0),0),0)</f>
        <v>0</v>
      </c>
      <c r="K2103" s="455">
        <f t="shared" ca="1" si="141"/>
        <v>-4308971.6709743962</v>
      </c>
      <c r="L2103" s="455">
        <f t="shared" ca="1" si="142"/>
        <v>-1038462172.7048295</v>
      </c>
      <c r="M2103" s="471">
        <f t="shared" si="144"/>
        <v>0.05</v>
      </c>
      <c r="N2103" s="475">
        <f t="shared" si="145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43"/>
        <v>-1038462172.7048295</v>
      </c>
      <c r="J2104" s="455">
        <f t="array" ref="J2104">IFERROR(INDEX('Retirement Calculator'!J:J,MATCH('Isaac 401k'!N2104,'Retirement Calculator'!A:A,0),0),0)</f>
        <v>0</v>
      </c>
      <c r="K2104" s="455">
        <f t="shared" ca="1" si="141"/>
        <v>-4326925.7196034566</v>
      </c>
      <c r="L2104" s="455">
        <f t="shared" ca="1" si="142"/>
        <v>-1042789098.4244329</v>
      </c>
      <c r="M2104" s="471">
        <f t="shared" si="144"/>
        <v>0.05</v>
      </c>
      <c r="N2104" s="475">
        <f t="shared" si="145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43"/>
        <v>-1042789098.4244329</v>
      </c>
      <c r="J2105" s="455">
        <f t="array" ref="J2105">IFERROR(INDEX('Retirement Calculator'!J:J,MATCH('Isaac 401k'!N2105,'Retirement Calculator'!A:A,0),0),0)</f>
        <v>0</v>
      </c>
      <c r="K2105" s="455">
        <f t="shared" ca="1" si="141"/>
        <v>-4344954.57676847</v>
      </c>
      <c r="L2105" s="455">
        <f t="shared" ca="1" si="142"/>
        <v>-1047134053.0012014</v>
      </c>
      <c r="M2105" s="471">
        <f t="shared" si="144"/>
        <v>0.05</v>
      </c>
      <c r="N2105" s="475">
        <f t="shared" si="145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43"/>
        <v>-1047134053.0012014</v>
      </c>
      <c r="J2106" s="455">
        <f t="array" ref="J2106">IFERROR(INDEX('Retirement Calculator'!J:J,MATCH('Isaac 401k'!N2106,'Retirement Calculator'!A:A,0),0),0)</f>
        <v>0</v>
      </c>
      <c r="K2106" s="455">
        <f t="shared" ca="1" si="141"/>
        <v>-4363058.5541716721</v>
      </c>
      <c r="L2106" s="455">
        <f t="shared" ca="1" si="142"/>
        <v>-1051497111.5553731</v>
      </c>
      <c r="M2106" s="471">
        <f t="shared" si="144"/>
        <v>0.05</v>
      </c>
      <c r="N2106" s="475">
        <f t="shared" si="145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43"/>
        <v>-1051497111.5553731</v>
      </c>
      <c r="J2107" s="455">
        <f t="array" ref="J2107">IFERROR(INDEX('Retirement Calculator'!J:J,MATCH('Isaac 401k'!N2107,'Retirement Calculator'!A:A,0),0),0)</f>
        <v>0</v>
      </c>
      <c r="K2107" s="455">
        <f t="shared" ca="1" si="141"/>
        <v>-4381237.9648140538</v>
      </c>
      <c r="L2107" s="455">
        <f t="shared" ca="1" si="142"/>
        <v>-1055878349.5201871</v>
      </c>
      <c r="M2107" s="471">
        <f t="shared" si="144"/>
        <v>0.05</v>
      </c>
      <c r="N2107" s="475">
        <f t="shared" si="145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43"/>
        <v>-1055878349.5201871</v>
      </c>
      <c r="J2108" s="455">
        <f t="array" ref="J2108">IFERROR(INDEX('Retirement Calculator'!J:J,MATCH('Isaac 401k'!N2108,'Retirement Calculator'!A:A,0),0),0)</f>
        <v>0</v>
      </c>
      <c r="K2108" s="455">
        <f t="shared" ca="1" si="141"/>
        <v>-4399493.1230007801</v>
      </c>
      <c r="L2108" s="455">
        <f t="shared" ca="1" si="142"/>
        <v>-1060277842.6431879</v>
      </c>
      <c r="M2108" s="471">
        <f t="shared" si="144"/>
        <v>0.05</v>
      </c>
      <c r="N2108" s="475">
        <f t="shared" si="145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43"/>
        <v>-1060277842.6431879</v>
      </c>
      <c r="J2109" s="455">
        <f t="array" ref="J2109">IFERROR(INDEX('Retirement Calculator'!J:J,MATCH('Isaac 401k'!N2109,'Retirement Calculator'!A:A,0),0),0)</f>
        <v>0</v>
      </c>
      <c r="K2109" s="455">
        <f t="shared" ca="1" si="141"/>
        <v>-4417824.3443466164</v>
      </c>
      <c r="L2109" s="455">
        <f t="shared" ca="1" si="142"/>
        <v>-1064695666.9875345</v>
      </c>
      <c r="M2109" s="471">
        <f t="shared" si="144"/>
        <v>0.05</v>
      </c>
      <c r="N2109" s="475">
        <f t="shared" si="145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43"/>
        <v>-1064695666.9875345</v>
      </c>
      <c r="J2110" s="455">
        <f t="array" ref="J2110">IFERROR(INDEX('Retirement Calculator'!J:J,MATCH('Isaac 401k'!N2110,'Retirement Calculator'!A:A,0),0),0)</f>
        <v>0</v>
      </c>
      <c r="K2110" s="455">
        <f t="shared" ca="1" si="141"/>
        <v>-4436231.945781393</v>
      </c>
      <c r="L2110" s="455">
        <f t="shared" ca="1" si="142"/>
        <v>-1069131898.9333159</v>
      </c>
      <c r="M2110" s="471">
        <f t="shared" si="144"/>
        <v>0.05</v>
      </c>
      <c r="N2110" s="475">
        <f t="shared" si="145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43"/>
        <v>-1069131898.9333159</v>
      </c>
      <c r="J2111" s="455">
        <f t="array" ref="J2111">IFERROR(INDEX('Retirement Calculator'!J:J,MATCH('Isaac 401k'!N2111,'Retirement Calculator'!A:A,0),0),0)</f>
        <v>0</v>
      </c>
      <c r="K2111" s="455">
        <f t="shared" ca="1" si="141"/>
        <v>-4454716.2455554828</v>
      </c>
      <c r="L2111" s="455">
        <f t="shared" ca="1" si="142"/>
        <v>-1073586615.1788714</v>
      </c>
      <c r="M2111" s="471">
        <f t="shared" si="144"/>
        <v>0.05</v>
      </c>
      <c r="N2111" s="475">
        <f t="shared" si="145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43"/>
        <v>-1073586615.1788714</v>
      </c>
      <c r="J2112" s="455">
        <f t="array" ref="J2112">IFERROR(INDEX('Retirement Calculator'!J:J,MATCH('Isaac 401k'!N2112,'Retirement Calculator'!A:A,0),0),0)</f>
        <v>0</v>
      </c>
      <c r="K2112" s="455">
        <f t="shared" ca="1" si="141"/>
        <v>-4473277.5632452974</v>
      </c>
      <c r="L2112" s="455">
        <f t="shared" ca="1" si="142"/>
        <v>-1078059892.7421167</v>
      </c>
      <c r="M2112" s="471">
        <f t="shared" si="144"/>
        <v>0.05</v>
      </c>
      <c r="N2112" s="475">
        <f t="shared" si="145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43"/>
        <v>-1078059892.7421167</v>
      </c>
      <c r="J2113" s="455">
        <f t="array" ref="J2113">IFERROR(INDEX('Retirement Calculator'!J:J,MATCH('Isaac 401k'!N2113,'Retirement Calculator'!A:A,0),0),0)</f>
        <v>0</v>
      </c>
      <c r="K2113" s="455">
        <f t="shared" ca="1" si="141"/>
        <v>-4491916.2197588198</v>
      </c>
      <c r="L2113" s="455">
        <f t="shared" ca="1" si="142"/>
        <v>-1082551808.9618754</v>
      </c>
      <c r="M2113" s="471">
        <f t="shared" si="144"/>
        <v>0.05</v>
      </c>
      <c r="N2113" s="475">
        <f t="shared" si="145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43"/>
        <v>-1082551808.9618754</v>
      </c>
      <c r="J2114" s="455">
        <f t="array" ref="J2114">IFERROR(INDEX('Retirement Calculator'!J:J,MATCH('Isaac 401k'!N2114,'Retirement Calculator'!A:A,0),0),0)</f>
        <v>0</v>
      </c>
      <c r="K2114" s="455">
        <f t="shared" ca="1" si="141"/>
        <v>-4510632.5373411477</v>
      </c>
      <c r="L2114" s="455">
        <f t="shared" ca="1" si="142"/>
        <v>-1087062441.4992166</v>
      </c>
      <c r="M2114" s="471">
        <f t="shared" si="144"/>
        <v>0.05</v>
      </c>
      <c r="N2114" s="475">
        <f t="shared" si="145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43"/>
        <v>-1087062441.4992166</v>
      </c>
      <c r="J2115" s="455">
        <f t="array" ref="J2115">IFERROR(INDEX('Retirement Calculator'!J:J,MATCH('Isaac 401k'!N2115,'Retirement Calculator'!A:A,0),0),0)</f>
        <v>0</v>
      </c>
      <c r="K2115" s="455">
        <f t="shared" ca="1" si="141"/>
        <v>-4529426.8395800693</v>
      </c>
      <c r="L2115" s="455">
        <f t="shared" ca="1" si="142"/>
        <v>-1091591868.3387966</v>
      </c>
      <c r="M2115" s="471">
        <f t="shared" si="144"/>
        <v>0.05</v>
      </c>
      <c r="N2115" s="475">
        <f t="shared" si="145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43"/>
        <v>-1091591868.3387966</v>
      </c>
      <c r="J2116" s="455">
        <f t="array" ref="J2116">IFERROR(INDEX('Retirement Calculator'!J:J,MATCH('Isaac 401k'!N2116,'Retirement Calculator'!A:A,0),0),0)</f>
        <v>0</v>
      </c>
      <c r="K2116" s="455">
        <f t="shared" ca="1" si="141"/>
        <v>-4548299.4514116524</v>
      </c>
      <c r="L2116" s="455">
        <f t="shared" ca="1" si="142"/>
        <v>-1096140167.7902083</v>
      </c>
      <c r="M2116" s="471">
        <f t="shared" si="144"/>
        <v>0.05</v>
      </c>
      <c r="N2116" s="475">
        <f t="shared" si="145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43"/>
        <v>-1096140167.7902083</v>
      </c>
      <c r="J2117" s="455">
        <f t="array" ref="J2117">IFERROR(INDEX('Retirement Calculator'!J:J,MATCH('Isaac 401k'!N2117,'Retirement Calculator'!A:A,0),0),0)</f>
        <v>0</v>
      </c>
      <c r="K2117" s="455">
        <f t="shared" ca="1" si="141"/>
        <v>-4567250.6991258683</v>
      </c>
      <c r="L2117" s="455">
        <f t="shared" ca="1" si="142"/>
        <v>-1100707418.4893341</v>
      </c>
      <c r="M2117" s="471">
        <f t="shared" si="144"/>
        <v>0.05</v>
      </c>
      <c r="N2117" s="475">
        <f t="shared" si="145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43"/>
        <v>-1100707418.4893341</v>
      </c>
      <c r="J2118" s="455">
        <f t="array" ref="J2118">IFERROR(INDEX('Retirement Calculator'!J:J,MATCH('Isaac 401k'!N2118,'Retirement Calculator'!A:A,0),0),0)</f>
        <v>0</v>
      </c>
      <c r="K2118" s="455">
        <f t="shared" ca="1" si="141"/>
        <v>-4586280.9103722256</v>
      </c>
      <c r="L2118" s="455">
        <f t="shared" ca="1" si="142"/>
        <v>-1105293699.3997064</v>
      </c>
      <c r="M2118" s="471">
        <f t="shared" si="144"/>
        <v>0.05</v>
      </c>
      <c r="N2118" s="475">
        <f t="shared" si="145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43"/>
        <v>-1105293699.3997064</v>
      </c>
      <c r="J2119" s="455">
        <f t="array" ref="J2119">IFERROR(INDEX('Retirement Calculator'!J:J,MATCH('Isaac 401k'!N2119,'Retirement Calculator'!A:A,0),0),0)</f>
        <v>0</v>
      </c>
      <c r="K2119" s="455">
        <f t="shared" ca="1" si="141"/>
        <v>-4605390.4141654428</v>
      </c>
      <c r="L2119" s="455">
        <f t="shared" ca="1" si="142"/>
        <v>-1109899089.8138719</v>
      </c>
      <c r="M2119" s="471">
        <f t="shared" si="144"/>
        <v>0.05</v>
      </c>
      <c r="N2119" s="475">
        <f t="shared" si="145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43"/>
        <v>-1109899089.8138719</v>
      </c>
      <c r="J2120" s="455">
        <f t="array" ref="J2120">IFERROR(INDEX('Retirement Calculator'!J:J,MATCH('Isaac 401k'!N2120,'Retirement Calculator'!A:A,0),0),0)</f>
        <v>0</v>
      </c>
      <c r="K2120" s="455">
        <f t="shared" ca="1" si="141"/>
        <v>-4624579.5408911323</v>
      </c>
      <c r="L2120" s="455">
        <f t="shared" ca="1" si="142"/>
        <v>-1114523669.354763</v>
      </c>
      <c r="M2120" s="471">
        <f t="shared" si="144"/>
        <v>0.05</v>
      </c>
      <c r="N2120" s="475">
        <f t="shared" si="145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43"/>
        <v>-1114523669.354763</v>
      </c>
      <c r="J2121" s="455">
        <f t="array" ref="J2121">IFERROR(INDEX('Retirement Calculator'!J:J,MATCH('Isaac 401k'!N2121,'Retirement Calculator'!A:A,0),0),0)</f>
        <v>0</v>
      </c>
      <c r="K2121" s="455">
        <f t="shared" ca="1" si="141"/>
        <v>-4643848.6223115129</v>
      </c>
      <c r="L2121" s="455">
        <f t="shared" ca="1" si="142"/>
        <v>-1119167517.9770746</v>
      </c>
      <c r="M2121" s="471">
        <f t="shared" si="144"/>
        <v>0.05</v>
      </c>
      <c r="N2121" s="475">
        <f t="shared" si="145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43"/>
        <v>-1119167517.9770746</v>
      </c>
      <c r="J2122" s="455">
        <f t="array" ref="J2122">IFERROR(INDEX('Retirement Calculator'!J:J,MATCH('Isaac 401k'!N2122,'Retirement Calculator'!A:A,0),0),0)</f>
        <v>0</v>
      </c>
      <c r="K2122" s="455">
        <f t="shared" ca="1" si="141"/>
        <v>-4663197.9915711442</v>
      </c>
      <c r="L2122" s="455">
        <f t="shared" ca="1" si="142"/>
        <v>-1123830715.9686458</v>
      </c>
      <c r="M2122" s="471">
        <f t="shared" si="144"/>
        <v>0.05</v>
      </c>
      <c r="N2122" s="475">
        <f t="shared" si="145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43"/>
        <v>-1123830715.9686458</v>
      </c>
      <c r="J2123" s="455">
        <f t="array" ref="J2123">IFERROR(INDEX('Retirement Calculator'!J:J,MATCH('Isaac 401k'!N2123,'Retirement Calculator'!A:A,0),0),0)</f>
        <v>0</v>
      </c>
      <c r="K2123" s="455">
        <f t="shared" ca="1" si="141"/>
        <v>-4682627.9832026912</v>
      </c>
      <c r="L2123" s="455">
        <f t="shared" ca="1" si="142"/>
        <v>-1128513343.9518485</v>
      </c>
      <c r="M2123" s="471">
        <f t="shared" si="144"/>
        <v>0.05</v>
      </c>
      <c r="N2123" s="475">
        <f t="shared" si="145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43"/>
        <v>-1128513343.9518485</v>
      </c>
      <c r="J2124" s="455">
        <f t="array" ref="J2124">IFERROR(INDEX('Retirement Calculator'!J:J,MATCH('Isaac 401k'!N2124,'Retirement Calculator'!A:A,0),0),0)</f>
        <v>0</v>
      </c>
      <c r="K2124" s="455">
        <f t="shared" ca="1" si="141"/>
        <v>-4702138.9331327025</v>
      </c>
      <c r="L2124" s="455">
        <f t="shared" ca="1" si="142"/>
        <v>-1133215482.8849812</v>
      </c>
      <c r="M2124" s="471">
        <f t="shared" si="144"/>
        <v>0.05</v>
      </c>
      <c r="N2124" s="475">
        <f t="shared" si="145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43"/>
        <v>-1133215482.8849812</v>
      </c>
      <c r="J2125" s="455">
        <f t="array" ref="J2125">IFERROR(INDEX('Retirement Calculator'!J:J,MATCH('Isaac 401k'!N2125,'Retirement Calculator'!A:A,0),0),0)</f>
        <v>0</v>
      </c>
      <c r="K2125" s="455">
        <f t="shared" ca="1" si="141"/>
        <v>-4721731.1786874216</v>
      </c>
      <c r="L2125" s="455">
        <f t="shared" ca="1" si="142"/>
        <v>-1137937214.0636685</v>
      </c>
      <c r="M2125" s="471">
        <f t="shared" si="144"/>
        <v>0.05</v>
      </c>
      <c r="N2125" s="475">
        <f t="shared" si="145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43"/>
        <v>-1137937214.0636685</v>
      </c>
      <c r="J2126" s="455">
        <f t="array" ref="J2126">IFERROR(INDEX('Retirement Calculator'!J:J,MATCH('Isaac 401k'!N2126,'Retirement Calculator'!A:A,0),0),0)</f>
        <v>0</v>
      </c>
      <c r="K2126" s="455">
        <f t="shared" ca="1" si="141"/>
        <v>-4741405.058598619</v>
      </c>
      <c r="L2126" s="455">
        <f t="shared" ca="1" si="142"/>
        <v>-1142678619.122267</v>
      </c>
      <c r="M2126" s="471">
        <f t="shared" si="144"/>
        <v>0.05</v>
      </c>
      <c r="N2126" s="475">
        <f t="shared" si="145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43"/>
        <v>-1142678619.122267</v>
      </c>
      <c r="J2127" s="455">
        <f t="array" ref="J2127">IFERROR(INDEX('Retirement Calculator'!J:J,MATCH('Isaac 401k'!N2127,'Retirement Calculator'!A:A,0),0),0)</f>
        <v>0</v>
      </c>
      <c r="K2127" s="455">
        <f t="shared" ca="1" si="141"/>
        <v>-4761160.9130094461</v>
      </c>
      <c r="L2127" s="455">
        <f t="shared" ca="1" si="142"/>
        <v>-1147439780.0352764</v>
      </c>
      <c r="M2127" s="471">
        <f t="shared" si="144"/>
        <v>0.05</v>
      </c>
      <c r="N2127" s="475">
        <f t="shared" si="145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43"/>
        <v>-1147439780.0352764</v>
      </c>
      <c r="J2128" s="455">
        <f t="array" ref="J2128">IFERROR(INDEX('Retirement Calculator'!J:J,MATCH('Isaac 401k'!N2128,'Retirement Calculator'!A:A,0),0),0)</f>
        <v>0</v>
      </c>
      <c r="K2128" s="455">
        <f t="shared" ca="1" si="141"/>
        <v>-4780999.0834803181</v>
      </c>
      <c r="L2128" s="455">
        <f t="shared" ca="1" si="142"/>
        <v>-1152220779.1187568</v>
      </c>
      <c r="M2128" s="471">
        <f t="shared" si="144"/>
        <v>0.05</v>
      </c>
      <c r="N2128" s="475">
        <f t="shared" si="145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43"/>
        <v>-1152220779.1187568</v>
      </c>
      <c r="J2129" s="455">
        <f t="array" ref="J2129">IFERROR(INDEX('Retirement Calculator'!J:J,MATCH('Isaac 401k'!N2129,'Retirement Calculator'!A:A,0),0),0)</f>
        <v>0</v>
      </c>
      <c r="K2129" s="455">
        <f t="shared" ca="1" si="141"/>
        <v>-4800919.9129948197</v>
      </c>
      <c r="L2129" s="455">
        <f t="shared" ca="1" si="142"/>
        <v>-1157021699.0317516</v>
      </c>
      <c r="M2129" s="471">
        <f t="shared" si="144"/>
        <v>0.05</v>
      </c>
      <c r="N2129" s="475">
        <f t="shared" si="145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43"/>
        <v>-1157021699.0317516</v>
      </c>
      <c r="J2130" s="455">
        <f t="array" ref="J2130">IFERROR(INDEX('Retirement Calculator'!J:J,MATCH('Isaac 401k'!N2130,'Retirement Calculator'!A:A,0),0),0)</f>
        <v>0</v>
      </c>
      <c r="K2130" s="455">
        <f t="shared" ca="1" si="141"/>
        <v>-4820923.7459656317</v>
      </c>
      <c r="L2130" s="455">
        <f t="shared" ca="1" si="142"/>
        <v>-1161842622.7777174</v>
      </c>
      <c r="M2130" s="471">
        <f t="shared" si="144"/>
        <v>0.05</v>
      </c>
      <c r="N2130" s="475">
        <f t="shared" si="145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43"/>
        <v>-1161842622.7777174</v>
      </c>
      <c r="J2131" s="455">
        <f t="array" ref="J2131">IFERROR(INDEX('Retirement Calculator'!J:J,MATCH('Isaac 401k'!N2131,'Retirement Calculator'!A:A,0),0),0)</f>
        <v>0</v>
      </c>
      <c r="K2131" s="455">
        <f t="shared" ca="1" si="141"/>
        <v>-4841010.9282404892</v>
      </c>
      <c r="L2131" s="455">
        <f t="shared" ca="1" si="142"/>
        <v>-1166683633.7059579</v>
      </c>
      <c r="M2131" s="471">
        <f t="shared" si="144"/>
        <v>0.05</v>
      </c>
      <c r="N2131" s="475">
        <f t="shared" si="145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43"/>
        <v>-1166683633.7059579</v>
      </c>
      <c r="J2132" s="455">
        <f t="array" ref="J2132">IFERROR(INDEX('Retirement Calculator'!J:J,MATCH('Isaac 401k'!N2132,'Retirement Calculator'!A:A,0),0),0)</f>
        <v>0</v>
      </c>
      <c r="K2132" s="455">
        <f t="shared" ca="1" si="141"/>
        <v>-4861181.8071081582</v>
      </c>
      <c r="L2132" s="455">
        <f t="shared" ca="1" si="142"/>
        <v>-1171544815.5130661</v>
      </c>
      <c r="M2132" s="471">
        <f t="shared" si="144"/>
        <v>0.05</v>
      </c>
      <c r="N2132" s="475">
        <f t="shared" si="145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43"/>
        <v>-1171544815.5130661</v>
      </c>
      <c r="J2133" s="455">
        <f t="array" ref="J2133">IFERROR(INDEX('Retirement Calculator'!J:J,MATCH('Isaac 401k'!N2133,'Retirement Calculator'!A:A,0),0),0)</f>
        <v>0</v>
      </c>
      <c r="K2133" s="455">
        <f t="shared" ca="1" si="141"/>
        <v>-4881436.7313044416</v>
      </c>
      <c r="L2133" s="455">
        <f t="shared" ca="1" si="142"/>
        <v>-1176426252.2443705</v>
      </c>
      <c r="M2133" s="471">
        <f t="shared" si="144"/>
        <v>0.05</v>
      </c>
      <c r="N2133" s="475">
        <f t="shared" si="145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43"/>
        <v>-1176426252.2443705</v>
      </c>
      <c r="J2134" s="455">
        <f t="array" ref="J2134">IFERROR(INDEX('Retirement Calculator'!J:J,MATCH('Isaac 401k'!N2134,'Retirement Calculator'!A:A,0),0),0)</f>
        <v>0</v>
      </c>
      <c r="K2134" s="455">
        <f t="shared" ca="1" si="141"/>
        <v>-4901776.0510182101</v>
      </c>
      <c r="L2134" s="455">
        <f t="shared" ca="1" si="142"/>
        <v>-1181328028.2953887</v>
      </c>
      <c r="M2134" s="471">
        <f t="shared" si="144"/>
        <v>0.05</v>
      </c>
      <c r="N2134" s="475">
        <f t="shared" si="145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43"/>
        <v>-1181328028.2953887</v>
      </c>
      <c r="J2135" s="455">
        <f t="array" ref="J2135">IFERROR(INDEX('Retirement Calculator'!J:J,MATCH('Isaac 401k'!N2135,'Retirement Calculator'!A:A,0),0),0)</f>
        <v>0</v>
      </c>
      <c r="K2135" s="455">
        <f t="shared" ca="1" si="141"/>
        <v>-4922200.1178974528</v>
      </c>
      <c r="L2135" s="455">
        <f t="shared" ca="1" si="142"/>
        <v>-1186250228.4132862</v>
      </c>
      <c r="M2135" s="471">
        <f t="shared" si="144"/>
        <v>0.05</v>
      </c>
      <c r="N2135" s="475">
        <f t="shared" si="145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43"/>
        <v>-1186250228.4132862</v>
      </c>
      <c r="J2136" s="455">
        <f t="array" ref="J2136">IFERROR(INDEX('Retirement Calculator'!J:J,MATCH('Isaac 401k'!N2136,'Retirement Calculator'!A:A,0),0),0)</f>
        <v>0</v>
      </c>
      <c r="K2136" s="455">
        <f t="shared" ca="1" si="141"/>
        <v>-4942709.2850553589</v>
      </c>
      <c r="L2136" s="455">
        <f t="shared" ca="1" si="142"/>
        <v>-1191192937.6983416</v>
      </c>
      <c r="M2136" s="471">
        <f t="shared" si="144"/>
        <v>0.05</v>
      </c>
      <c r="N2136" s="475">
        <f t="shared" si="145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43"/>
        <v>-1191192937.6983416</v>
      </c>
      <c r="J2137" s="455">
        <f t="array" ref="J2137">IFERROR(INDEX('Retirement Calculator'!J:J,MATCH('Isaac 401k'!N2137,'Retirement Calculator'!A:A,0),0),0)</f>
        <v>0</v>
      </c>
      <c r="K2137" s="455">
        <f t="shared" ca="1" si="141"/>
        <v>-4963303.9070764231</v>
      </c>
      <c r="L2137" s="455">
        <f t="shared" ca="1" si="142"/>
        <v>-1196156241.605418</v>
      </c>
      <c r="M2137" s="471">
        <f t="shared" si="144"/>
        <v>0.05</v>
      </c>
      <c r="N2137" s="475">
        <f t="shared" si="145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43"/>
        <v>-1196156241.605418</v>
      </c>
      <c r="J2138" s="455">
        <f t="array" ref="J2138">IFERROR(INDEX('Retirement Calculator'!J:J,MATCH('Isaac 401k'!N2138,'Retirement Calculator'!A:A,0),0),0)</f>
        <v>0</v>
      </c>
      <c r="K2138" s="455">
        <f t="shared" ca="1" si="141"/>
        <v>-4983984.3400225751</v>
      </c>
      <c r="L2138" s="455">
        <f t="shared" ca="1" si="142"/>
        <v>-1201140225.9454405</v>
      </c>
      <c r="M2138" s="471">
        <f t="shared" si="144"/>
        <v>0.05</v>
      </c>
      <c r="N2138" s="475">
        <f t="shared" si="145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43"/>
        <v>-1201140225.9454405</v>
      </c>
      <c r="J2139" s="455">
        <f t="array" ref="J2139">IFERROR(INDEX('Retirement Calculator'!J:J,MATCH('Isaac 401k'!N2139,'Retirement Calculator'!A:A,0),0),0)</f>
        <v>0</v>
      </c>
      <c r="K2139" s="455">
        <f t="shared" ca="1" si="141"/>
        <v>-5004750.9414393352</v>
      </c>
      <c r="L2139" s="455">
        <f t="shared" ca="1" si="142"/>
        <v>-1206144976.8868799</v>
      </c>
      <c r="M2139" s="471">
        <f t="shared" si="144"/>
        <v>0.05</v>
      </c>
      <c r="N2139" s="475">
        <f t="shared" si="145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43"/>
        <v>-1206144976.8868799</v>
      </c>
      <c r="J2140" s="455">
        <f t="array" ref="J2140">IFERROR(INDEX('Retirement Calculator'!J:J,MATCH('Isaac 401k'!N2140,'Retirement Calculator'!A:A,0),0),0)</f>
        <v>0</v>
      </c>
      <c r="K2140" s="455">
        <f t="shared" ca="1" si="141"/>
        <v>-5025604.0703619998</v>
      </c>
      <c r="L2140" s="455">
        <f t="shared" ca="1" si="142"/>
        <v>-1211170580.957242</v>
      </c>
      <c r="M2140" s="471">
        <f t="shared" si="144"/>
        <v>0.05</v>
      </c>
      <c r="N2140" s="475">
        <f t="shared" si="145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43"/>
        <v>-1211170580.957242</v>
      </c>
      <c r="J2141" s="455">
        <f t="array" ref="J2141">IFERROR(INDEX('Retirement Calculator'!J:J,MATCH('Isaac 401k'!N2141,'Retirement Calculator'!A:A,0),0),0)</f>
        <v>0</v>
      </c>
      <c r="K2141" s="455">
        <f t="shared" ca="1" si="141"/>
        <v>-5046544.0873218421</v>
      </c>
      <c r="L2141" s="455">
        <f t="shared" ca="1" si="142"/>
        <v>-1216217125.0445638</v>
      </c>
      <c r="M2141" s="471">
        <f t="shared" si="144"/>
        <v>0.05</v>
      </c>
      <c r="N2141" s="475">
        <f t="shared" si="145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43"/>
        <v>-1216217125.0445638</v>
      </c>
      <c r="J2142" s="455">
        <f t="array" ref="J2142">IFERROR(INDEX('Retirement Calculator'!J:J,MATCH('Isaac 401k'!N2142,'Retirement Calculator'!A:A,0),0),0)</f>
        <v>0</v>
      </c>
      <c r="K2142" s="455">
        <f t="shared" ca="1" si="141"/>
        <v>-5067571.3543523494</v>
      </c>
      <c r="L2142" s="455">
        <f t="shared" ca="1" si="142"/>
        <v>-1221284696.398916</v>
      </c>
      <c r="M2142" s="471">
        <f t="shared" si="144"/>
        <v>0.05</v>
      </c>
      <c r="N2142" s="475">
        <f t="shared" si="145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43"/>
        <v>-1221284696.398916</v>
      </c>
      <c r="J2143" s="455">
        <f t="array" ref="J2143">IFERROR(INDEX('Retirement Calculator'!J:J,MATCH('Isaac 401k'!N2143,'Retirement Calculator'!A:A,0),0),0)</f>
        <v>0</v>
      </c>
      <c r="K2143" s="455">
        <f t="shared" ca="1" si="141"/>
        <v>-5088686.2349954834</v>
      </c>
      <c r="L2143" s="455">
        <f t="shared" ca="1" si="142"/>
        <v>-1226373382.6339114</v>
      </c>
      <c r="M2143" s="471">
        <f t="shared" si="144"/>
        <v>0.05</v>
      </c>
      <c r="N2143" s="475">
        <f t="shared" si="145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43"/>
        <v>-1226373382.6339114</v>
      </c>
      <c r="J2144" s="455">
        <f t="array" ref="J2144">IFERROR(INDEX('Retirement Calculator'!J:J,MATCH('Isaac 401k'!N2144,'Retirement Calculator'!A:A,0),0),0)</f>
        <v>0</v>
      </c>
      <c r="K2144" s="455">
        <f t="shared" ca="1" si="141"/>
        <v>-5109889.0943079637</v>
      </c>
      <c r="L2144" s="455">
        <f t="shared" ca="1" si="142"/>
        <v>-1231483271.7282193</v>
      </c>
      <c r="M2144" s="471">
        <f t="shared" si="144"/>
        <v>0.05</v>
      </c>
      <c r="N2144" s="475">
        <f t="shared" si="145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43"/>
        <v>-1231483271.7282193</v>
      </c>
      <c r="J2145" s="455">
        <f t="array" ref="J2145">IFERROR(INDEX('Retirement Calculator'!J:J,MATCH('Isaac 401k'!N2145,'Retirement Calculator'!A:A,0),0),0)</f>
        <v>0</v>
      </c>
      <c r="K2145" s="455">
        <f t="shared" ca="1" si="141"/>
        <v>-5131180.2988675805</v>
      </c>
      <c r="L2145" s="455">
        <f t="shared" ca="1" si="142"/>
        <v>-1236614452.0270867</v>
      </c>
      <c r="M2145" s="471">
        <f t="shared" si="144"/>
        <v>0.05</v>
      </c>
      <c r="N2145" s="475">
        <f t="shared" si="145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43"/>
        <v>-1236614452.0270867</v>
      </c>
      <c r="J2146" s="455">
        <f t="array" ref="J2146">IFERROR(INDEX('Retirement Calculator'!J:J,MATCH('Isaac 401k'!N2146,'Retirement Calculator'!A:A,0),0),0)</f>
        <v>0</v>
      </c>
      <c r="K2146" s="455">
        <f t="shared" ca="1" si="141"/>
        <v>-5152560.2167795282</v>
      </c>
      <c r="L2146" s="455">
        <f t="shared" ca="1" si="142"/>
        <v>-1241767012.2438662</v>
      </c>
      <c r="M2146" s="471">
        <f t="shared" si="144"/>
        <v>0.05</v>
      </c>
      <c r="N2146" s="475">
        <f t="shared" si="145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43"/>
        <v>-1241767012.2438662</v>
      </c>
      <c r="J2147" s="455">
        <f t="array" ref="J2147">IFERROR(INDEX('Retirement Calculator'!J:J,MATCH('Isaac 401k'!N2147,'Retirement Calculator'!A:A,0),0),0)</f>
        <v>0</v>
      </c>
      <c r="K2147" s="455">
        <f t="shared" ca="1" si="141"/>
        <v>-5174029.217682776</v>
      </c>
      <c r="L2147" s="455">
        <f t="shared" ca="1" si="142"/>
        <v>-1246941041.461549</v>
      </c>
      <c r="M2147" s="471">
        <f t="shared" si="144"/>
        <v>0.05</v>
      </c>
      <c r="N2147" s="475">
        <f t="shared" si="145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43"/>
        <v>-1246941041.461549</v>
      </c>
      <c r="J2148" s="455">
        <f t="array" ref="J2148">IFERROR(INDEX('Retirement Calculator'!J:J,MATCH('Isaac 401k'!N2148,'Retirement Calculator'!A:A,0),0),0)</f>
        <v>0</v>
      </c>
      <c r="K2148" s="455">
        <f t="shared" ca="1" si="141"/>
        <v>-5195587.672756454</v>
      </c>
      <c r="L2148" s="455">
        <f t="shared" ca="1" si="142"/>
        <v>-1252136629.1343055</v>
      </c>
      <c r="M2148" s="471">
        <f t="shared" si="144"/>
        <v>0.05</v>
      </c>
      <c r="N2148" s="475">
        <f t="shared" si="145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43"/>
        <v>-1252136629.1343055</v>
      </c>
      <c r="J2149" s="455">
        <f t="array" ref="J2149">IFERROR(INDEX('Retirement Calculator'!J:J,MATCH('Isaac 401k'!N2149,'Retirement Calculator'!A:A,0),0),0)</f>
        <v>0</v>
      </c>
      <c r="K2149" s="455">
        <f t="shared" ca="1" si="141"/>
        <v>-5217235.9547262732</v>
      </c>
      <c r="L2149" s="455">
        <f t="shared" ca="1" si="142"/>
        <v>-1257353865.0890317</v>
      </c>
      <c r="M2149" s="471">
        <f t="shared" si="144"/>
        <v>0.05</v>
      </c>
      <c r="N2149" s="475">
        <f t="shared" si="145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43"/>
        <v>-1257353865.0890317</v>
      </c>
      <c r="J2150" s="455">
        <f t="array" ref="J2150">IFERROR(INDEX('Retirement Calculator'!J:J,MATCH('Isaac 401k'!N2150,'Retirement Calculator'!A:A,0),0),0)</f>
        <v>0</v>
      </c>
      <c r="K2150" s="455">
        <f t="shared" ca="1" si="141"/>
        <v>-5238974.4378709653</v>
      </c>
      <c r="L2150" s="455">
        <f t="shared" ca="1" si="142"/>
        <v>-1262592839.5269027</v>
      </c>
      <c r="M2150" s="471">
        <f t="shared" si="144"/>
        <v>0.05</v>
      </c>
      <c r="N2150" s="475">
        <f t="shared" si="145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43"/>
        <v>-1262592839.5269027</v>
      </c>
      <c r="J2151" s="455">
        <f t="array" ref="J2151">IFERROR(INDEX('Retirement Calculator'!J:J,MATCH('Isaac 401k'!N2151,'Retirement Calculator'!A:A,0),0),0)</f>
        <v>0</v>
      </c>
      <c r="K2151" s="455">
        <f t="shared" ca="1" si="141"/>
        <v>-5260803.4980287608</v>
      </c>
      <c r="L2151" s="455">
        <f t="shared" ca="1" si="142"/>
        <v>-1267853643.0249314</v>
      </c>
      <c r="M2151" s="471">
        <f t="shared" si="144"/>
        <v>0.05</v>
      </c>
      <c r="N2151" s="475">
        <f t="shared" si="145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43"/>
        <v>-1267853643.0249314</v>
      </c>
      <c r="J2152" s="455">
        <f t="array" ref="J2152">IFERROR(INDEX('Retirement Calculator'!J:J,MATCH('Isaac 401k'!N2152,'Retirement Calculator'!A:A,0),0),0)</f>
        <v>0</v>
      </c>
      <c r="K2152" s="455">
        <f t="shared" ca="1" si="141"/>
        <v>-5282723.5126038808</v>
      </c>
      <c r="L2152" s="455">
        <f t="shared" ca="1" si="142"/>
        <v>-1273136366.5375354</v>
      </c>
      <c r="M2152" s="471">
        <f t="shared" si="144"/>
        <v>0.05</v>
      </c>
      <c r="N2152" s="475">
        <f t="shared" si="145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43"/>
        <v>-1273136366.5375354</v>
      </c>
      <c r="J2153" s="455">
        <f t="array" ref="J2153">IFERROR(INDEX('Retirement Calculator'!J:J,MATCH('Isaac 401k'!N2153,'Retirement Calculator'!A:A,0),0),0)</f>
        <v>0</v>
      </c>
      <c r="K2153" s="455">
        <f t="shared" ca="1" si="141"/>
        <v>-5304734.8605730645</v>
      </c>
      <c r="L2153" s="455">
        <f t="shared" ca="1" si="142"/>
        <v>-1278441101.3981085</v>
      </c>
      <c r="M2153" s="471">
        <f t="shared" si="144"/>
        <v>0.05</v>
      </c>
      <c r="N2153" s="475">
        <f t="shared" si="145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43"/>
        <v>-1278441101.3981085</v>
      </c>
      <c r="J2154" s="455">
        <f t="array" ref="J2154">IFERROR(INDEX('Retirement Calculator'!J:J,MATCH('Isaac 401k'!N2154,'Retirement Calculator'!A:A,0),0),0)</f>
        <v>0</v>
      </c>
      <c r="K2154" s="455">
        <f t="shared" ca="1" si="141"/>
        <v>-5326837.9224921186</v>
      </c>
      <c r="L2154" s="455">
        <f t="shared" ca="1" si="142"/>
        <v>-1283767939.3206005</v>
      </c>
      <c r="M2154" s="471">
        <f t="shared" si="144"/>
        <v>0.05</v>
      </c>
      <c r="N2154" s="475">
        <f t="shared" si="145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43"/>
        <v>-1283767939.3206005</v>
      </c>
      <c r="J2155" s="455">
        <f t="array" ref="J2155">IFERROR(INDEX('Retirement Calculator'!J:J,MATCH('Isaac 401k'!N2155,'Retirement Calculator'!A:A,0),0),0)</f>
        <v>0</v>
      </c>
      <c r="K2155" s="455">
        <f t="shared" ca="1" si="141"/>
        <v>-5349033.0805025017</v>
      </c>
      <c r="L2155" s="455">
        <f t="shared" ca="1" si="142"/>
        <v>-1289116972.401103</v>
      </c>
      <c r="M2155" s="471">
        <f t="shared" si="144"/>
        <v>0.05</v>
      </c>
      <c r="N2155" s="475">
        <f t="shared" si="145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43"/>
        <v>-1289116972.401103</v>
      </c>
      <c r="J2156" s="455">
        <f t="array" ref="J2156">IFERROR(INDEX('Retirement Calculator'!J:J,MATCH('Isaac 401k'!N2156,'Retirement Calculator'!A:A,0),0),0)</f>
        <v>0</v>
      </c>
      <c r="K2156" s="455">
        <f t="shared" ca="1" si="141"/>
        <v>-5371320.7183379289</v>
      </c>
      <c r="L2156" s="455">
        <f t="shared" ca="1" si="142"/>
        <v>-1294488293.119441</v>
      </c>
      <c r="M2156" s="471">
        <f t="shared" si="144"/>
        <v>0.05</v>
      </c>
      <c r="N2156" s="475">
        <f t="shared" si="145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43"/>
        <v>-1294488293.119441</v>
      </c>
      <c r="J2157" s="455">
        <f t="array" ref="J2157">IFERROR(INDEX('Retirement Calculator'!J:J,MATCH('Isaac 401k'!N2157,'Retirement Calculator'!A:A,0),0),0)</f>
        <v>0</v>
      </c>
      <c r="K2157" s="455">
        <f t="shared" ca="1" si="141"/>
        <v>-5393701.2213310041</v>
      </c>
      <c r="L2157" s="455">
        <f t="shared" ca="1" si="142"/>
        <v>-1299881994.3407722</v>
      </c>
      <c r="M2157" s="471">
        <f t="shared" si="144"/>
        <v>0.05</v>
      </c>
      <c r="N2157" s="475">
        <f t="shared" si="145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43"/>
        <v>-1299881994.3407722</v>
      </c>
      <c r="J2158" s="455">
        <f t="array" ref="J2158">IFERROR(INDEX('Retirement Calculator'!J:J,MATCH('Isaac 401k'!N2158,'Retirement Calculator'!A:A,0),0),0)</f>
        <v>0</v>
      </c>
      <c r="K2158" s="455">
        <f t="shared" ca="1" si="141"/>
        <v>-5416174.9764198838</v>
      </c>
      <c r="L2158" s="455">
        <f t="shared" ca="1" si="142"/>
        <v>-1305298169.3171921</v>
      </c>
      <c r="M2158" s="471">
        <f t="shared" si="144"/>
        <v>0.05</v>
      </c>
      <c r="N2158" s="475">
        <f t="shared" si="145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43"/>
        <v>-1305298169.3171921</v>
      </c>
      <c r="J2159" s="455">
        <f t="array" ref="J2159">IFERROR(INDEX('Retirement Calculator'!J:J,MATCH('Isaac 401k'!N2159,'Retirement Calculator'!A:A,0),0),0)</f>
        <v>0</v>
      </c>
      <c r="K2159" s="455">
        <f t="shared" ca="1" si="141"/>
        <v>-5438742.3721549669</v>
      </c>
      <c r="L2159" s="455">
        <f t="shared" ca="1" si="142"/>
        <v>-1310736911.689347</v>
      </c>
      <c r="M2159" s="471">
        <f t="shared" si="144"/>
        <v>0.05</v>
      </c>
      <c r="N2159" s="475">
        <f t="shared" si="145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43"/>
        <v>-1310736911.689347</v>
      </c>
      <c r="J2160" s="455">
        <f t="array" ref="J2160">IFERROR(INDEX('Retirement Calculator'!J:J,MATCH('Isaac 401k'!N2160,'Retirement Calculator'!A:A,0),0),0)</f>
        <v>0</v>
      </c>
      <c r="K2160" s="455">
        <f t="shared" ca="1" si="141"/>
        <v>-5461403.7987056123</v>
      </c>
      <c r="L2160" s="455">
        <f t="shared" ca="1" si="142"/>
        <v>-1316198315.4880526</v>
      </c>
      <c r="M2160" s="471">
        <f t="shared" si="144"/>
        <v>0.05</v>
      </c>
      <c r="N2160" s="475">
        <f t="shared" si="145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43"/>
        <v>-1316198315.4880526</v>
      </c>
      <c r="J2161" s="455">
        <f t="array" ref="J2161">IFERROR(INDEX('Retirement Calculator'!J:J,MATCH('Isaac 401k'!N2161,'Retirement Calculator'!A:A,0),0),0)</f>
        <v>0</v>
      </c>
      <c r="K2161" s="455">
        <f t="shared" ca="1" si="141"/>
        <v>-5484159.6478668861</v>
      </c>
      <c r="L2161" s="455">
        <f t="shared" ca="1" si="142"/>
        <v>-1321682475.1359196</v>
      </c>
      <c r="M2161" s="471">
        <f t="shared" si="144"/>
        <v>0.05</v>
      </c>
      <c r="N2161" s="475">
        <f t="shared" si="145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43"/>
        <v>-1321682475.1359196</v>
      </c>
      <c r="J2162" s="455">
        <f t="array" ref="J2162">IFERROR(INDEX('Retirement Calculator'!J:J,MATCH('Isaac 401k'!N2162,'Retirement Calculator'!A:A,0),0),0)</f>
        <v>0</v>
      </c>
      <c r="K2162" s="455">
        <f t="shared" ca="1" si="141"/>
        <v>-5507010.3130663317</v>
      </c>
      <c r="L2162" s="455">
        <f t="shared" ca="1" si="142"/>
        <v>-1327189485.4489858</v>
      </c>
      <c r="M2162" s="471">
        <f t="shared" si="144"/>
        <v>0.05</v>
      </c>
      <c r="N2162" s="475">
        <f t="shared" si="145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43"/>
        <v>-1327189485.4489858</v>
      </c>
      <c r="J2163" s="455">
        <f t="array" ref="J2163">IFERROR(INDEX('Retirement Calculator'!J:J,MATCH('Isaac 401k'!N2163,'Retirement Calculator'!A:A,0),0),0)</f>
        <v>0</v>
      </c>
      <c r="K2163" s="455">
        <f t="shared" ca="1" si="141"/>
        <v>-5529956.1893707737</v>
      </c>
      <c r="L2163" s="455">
        <f t="shared" ca="1" si="142"/>
        <v>-1332719441.6383567</v>
      </c>
      <c r="M2163" s="471">
        <f t="shared" si="144"/>
        <v>0.05</v>
      </c>
      <c r="N2163" s="475">
        <f t="shared" si="145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43"/>
        <v>-1332719441.6383567</v>
      </c>
      <c r="J2164" s="455">
        <f t="array" ref="J2164">IFERROR(INDEX('Retirement Calculator'!J:J,MATCH('Isaac 401k'!N2164,'Retirement Calculator'!A:A,0),0),0)</f>
        <v>0</v>
      </c>
      <c r="K2164" s="455">
        <f t="shared" ca="1" si="141"/>
        <v>-5552997.6734931525</v>
      </c>
      <c r="L2164" s="455">
        <f t="shared" ca="1" si="142"/>
        <v>-1338272439.3118498</v>
      </c>
      <c r="M2164" s="471">
        <f t="shared" si="144"/>
        <v>0.05</v>
      </c>
      <c r="N2164" s="475">
        <f t="shared" si="145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43"/>
        <v>-1338272439.3118498</v>
      </c>
      <c r="J2165" s="455">
        <f t="array" ref="J2165">IFERROR(INDEX('Retirement Calculator'!J:J,MATCH('Isaac 401k'!N2165,'Retirement Calculator'!A:A,0),0),0)</f>
        <v>0</v>
      </c>
      <c r="K2165" s="455">
        <f t="shared" ca="1" si="141"/>
        <v>-5576135.1637993744</v>
      </c>
      <c r="L2165" s="455">
        <f t="shared" ca="1" si="142"/>
        <v>-1343848574.4756491</v>
      </c>
      <c r="M2165" s="471">
        <f t="shared" si="144"/>
        <v>0.05</v>
      </c>
      <c r="N2165" s="475">
        <f t="shared" si="145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43"/>
        <v>-1343848574.4756491</v>
      </c>
      <c r="J2166" s="455">
        <f t="array" ref="J2166">IFERROR(INDEX('Retirement Calculator'!J:J,MATCH('Isaac 401k'!N2166,'Retirement Calculator'!A:A,0),0),0)</f>
        <v>0</v>
      </c>
      <c r="K2166" s="455">
        <f t="shared" ca="1" si="141"/>
        <v>-5599369.0603152048</v>
      </c>
      <c r="L2166" s="455">
        <f t="shared" ca="1" si="142"/>
        <v>-1349447943.5359643</v>
      </c>
      <c r="M2166" s="471">
        <f t="shared" si="144"/>
        <v>0.05</v>
      </c>
      <c r="N2166" s="475">
        <f t="shared" si="145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43"/>
        <v>-1349447943.5359643</v>
      </c>
      <c r="J2167" s="455">
        <f t="array" ref="J2167">IFERROR(INDEX('Retirement Calculator'!J:J,MATCH('Isaac 401k'!N2167,'Retirement Calculator'!A:A,0),0),0)</f>
        <v>0</v>
      </c>
      <c r="K2167" s="455">
        <f t="shared" ca="1" si="141"/>
        <v>-5622699.7647331841</v>
      </c>
      <c r="L2167" s="455">
        <f t="shared" ca="1" si="142"/>
        <v>-1355070643.3006973</v>
      </c>
      <c r="M2167" s="471">
        <f t="shared" si="144"/>
        <v>0.05</v>
      </c>
      <c r="N2167" s="475">
        <f t="shared" si="145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43"/>
        <v>-1355070643.3006973</v>
      </c>
      <c r="J2168" s="455">
        <f t="array" ref="J2168">IFERROR(INDEX('Retirement Calculator'!J:J,MATCH('Isaac 401k'!N2168,'Retirement Calculator'!A:A,0),0),0)</f>
        <v>0</v>
      </c>
      <c r="K2168" s="455">
        <f t="shared" ca="1" si="141"/>
        <v>-5646127.6804195717</v>
      </c>
      <c r="L2168" s="455">
        <f t="shared" ca="1" si="142"/>
        <v>-1360716770.981117</v>
      </c>
      <c r="M2168" s="471">
        <f t="shared" si="144"/>
        <v>0.05</v>
      </c>
      <c r="N2168" s="475">
        <f t="shared" si="145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43"/>
        <v>-1360716770.981117</v>
      </c>
      <c r="J2169" s="455">
        <f t="array" ref="J2169">IFERROR(INDEX('Retirement Calculator'!J:J,MATCH('Isaac 401k'!N2169,'Retirement Calculator'!A:A,0),0),0)</f>
        <v>0</v>
      </c>
      <c r="K2169" s="455">
        <f t="shared" ca="1" si="141"/>
        <v>-5669653.2124213204</v>
      </c>
      <c r="L2169" s="455">
        <f t="shared" ca="1" si="142"/>
        <v>-1366386424.1935384</v>
      </c>
      <c r="M2169" s="471">
        <f t="shared" si="144"/>
        <v>0.05</v>
      </c>
      <c r="N2169" s="475">
        <f t="shared" si="145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43"/>
        <v>-1366386424.1935384</v>
      </c>
      <c r="J2170" s="455">
        <f t="array" ref="J2170">IFERROR(INDEX('Retirement Calculator'!J:J,MATCH('Isaac 401k'!N2170,'Retirement Calculator'!A:A,0),0),0)</f>
        <v>0</v>
      </c>
      <c r="K2170" s="455">
        <f t="shared" ca="1" si="141"/>
        <v>-5693276.7674730765</v>
      </c>
      <c r="L2170" s="455">
        <f t="shared" ca="1" si="142"/>
        <v>-1372079700.9610114</v>
      </c>
      <c r="M2170" s="471">
        <f t="shared" si="144"/>
        <v>0.05</v>
      </c>
      <c r="N2170" s="475">
        <f t="shared" si="145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43"/>
        <v>-1372079700.9610114</v>
      </c>
      <c r="J2171" s="455">
        <f t="array" ref="J2171">IFERROR(INDEX('Retirement Calculator'!J:J,MATCH('Isaac 401k'!N2171,'Retirement Calculator'!A:A,0),0),0)</f>
        <v>0</v>
      </c>
      <c r="K2171" s="455">
        <f t="shared" ca="1" si="141"/>
        <v>-5716998.754004214</v>
      </c>
      <c r="L2171" s="455">
        <f t="shared" ca="1" si="142"/>
        <v>-1377796699.7150156</v>
      </c>
      <c r="M2171" s="471">
        <f t="shared" si="144"/>
        <v>0.05</v>
      </c>
      <c r="N2171" s="475">
        <f t="shared" si="145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43"/>
        <v>-1377796699.7150156</v>
      </c>
      <c r="J2172" s="455">
        <f t="array" ref="J2172">IFERROR(INDEX('Retirement Calculator'!J:J,MATCH('Isaac 401k'!N2172,'Retirement Calculator'!A:A,0),0),0)</f>
        <v>0</v>
      </c>
      <c r="K2172" s="455">
        <f t="shared" ca="1" si="141"/>
        <v>-5740819.5821458986</v>
      </c>
      <c r="L2172" s="455">
        <f t="shared" ca="1" si="142"/>
        <v>-1383537519.2971616</v>
      </c>
      <c r="M2172" s="471">
        <f t="shared" si="144"/>
        <v>0.05</v>
      </c>
      <c r="N2172" s="475">
        <f t="shared" si="145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43"/>
        <v>-1383537519.2971616</v>
      </c>
      <c r="J2173" s="455">
        <f t="array" ref="J2173">IFERROR(INDEX('Retirement Calculator'!J:J,MATCH('Isaac 401k'!N2173,'Retirement Calculator'!A:A,0),0),0)</f>
        <v>0</v>
      </c>
      <c r="K2173" s="455">
        <f t="shared" ca="1" si="141"/>
        <v>-5764739.6637381734</v>
      </c>
      <c r="L2173" s="455">
        <f t="shared" ca="1" si="142"/>
        <v>-1389302258.9608998</v>
      </c>
      <c r="M2173" s="471">
        <f t="shared" si="144"/>
        <v>0.05</v>
      </c>
      <c r="N2173" s="475">
        <f t="shared" si="145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43"/>
        <v>-1389302258.9608998</v>
      </c>
      <c r="J2174" s="455">
        <f t="array" ref="J2174">IFERROR(INDEX('Retirement Calculator'!J:J,MATCH('Isaac 401k'!N2174,'Retirement Calculator'!A:A,0),0),0)</f>
        <v>0</v>
      </c>
      <c r="K2174" s="455">
        <f t="shared" ca="1" si="141"/>
        <v>-5788759.4123370824</v>
      </c>
      <c r="L2174" s="455">
        <f t="shared" ca="1" si="142"/>
        <v>-1395091018.3732369</v>
      </c>
      <c r="M2174" s="471">
        <f t="shared" si="144"/>
        <v>0.05</v>
      </c>
      <c r="N2174" s="475">
        <f t="shared" si="145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43"/>
        <v>-1395091018.3732369</v>
      </c>
      <c r="J2175" s="455">
        <f t="array" ref="J2175">IFERROR(INDEX('Retirement Calculator'!J:J,MATCH('Isaac 401k'!N2175,'Retirement Calculator'!A:A,0),0),0)</f>
        <v>0</v>
      </c>
      <c r="K2175" s="455">
        <f t="shared" ca="1" si="141"/>
        <v>-5812879.2432218203</v>
      </c>
      <c r="L2175" s="455">
        <f t="shared" ca="1" si="142"/>
        <v>-1400903897.6164587</v>
      </c>
      <c r="M2175" s="471">
        <f t="shared" si="144"/>
        <v>0.05</v>
      </c>
      <c r="N2175" s="475">
        <f t="shared" si="145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43"/>
        <v>-1400903897.6164587</v>
      </c>
      <c r="J2176" s="455">
        <f t="array" ref="J2176">IFERROR(INDEX('Retirement Calculator'!J:J,MATCH('Isaac 401k'!N2176,'Retirement Calculator'!A:A,0),0),0)</f>
        <v>0</v>
      </c>
      <c r="K2176" s="455">
        <f t="shared" ca="1" si="141"/>
        <v>-5837099.5734019112</v>
      </c>
      <c r="L2176" s="455">
        <f t="shared" ca="1" si="142"/>
        <v>-1406740997.1898606</v>
      </c>
      <c r="M2176" s="471">
        <f t="shared" si="144"/>
        <v>0.05</v>
      </c>
      <c r="N2176" s="475">
        <f t="shared" si="145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43"/>
        <v>-1406740997.1898606</v>
      </c>
      <c r="J2177" s="455">
        <f t="array" ref="J2177">IFERROR(INDEX('Retirement Calculator'!J:J,MATCH('Isaac 401k'!N2177,'Retirement Calculator'!A:A,0),0),0)</f>
        <v>0</v>
      </c>
      <c r="K2177" s="455">
        <f t="shared" ca="1" si="141"/>
        <v>-5861420.8216244187</v>
      </c>
      <c r="L2177" s="455">
        <f t="shared" ca="1" si="142"/>
        <v>-1412602418.0114851</v>
      </c>
      <c r="M2177" s="471">
        <f t="shared" si="144"/>
        <v>0.05</v>
      </c>
      <c r="N2177" s="475">
        <f t="shared" si="145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43"/>
        <v>-1412602418.0114851</v>
      </c>
      <c r="J2178" s="455">
        <f t="array" ref="J2178">IFERROR(INDEX('Retirement Calculator'!J:J,MATCH('Isaac 401k'!N2178,'Retirement Calculator'!A:A,0),0),0)</f>
        <v>0</v>
      </c>
      <c r="K2178" s="455">
        <f t="shared" ca="1" si="141"/>
        <v>-5885843.4083811883</v>
      </c>
      <c r="L2178" s="455">
        <f t="shared" ca="1" si="142"/>
        <v>-1418488261.4198663</v>
      </c>
      <c r="M2178" s="471">
        <f t="shared" si="144"/>
        <v>0.05</v>
      </c>
      <c r="N2178" s="475">
        <f t="shared" si="145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43"/>
        <v>-1418488261.4198663</v>
      </c>
      <c r="J2179" s="455">
        <f t="array" ref="J2179">IFERROR(INDEX('Retirement Calculator'!J:J,MATCH('Isaac 401k'!N2179,'Retirement Calculator'!A:A,0),0),0)</f>
        <v>0</v>
      </c>
      <c r="K2179" s="455">
        <f t="shared" ca="1" si="141"/>
        <v>-5910367.7559161093</v>
      </c>
      <c r="L2179" s="455">
        <f t="shared" ca="1" si="142"/>
        <v>-1424398629.1757824</v>
      </c>
      <c r="M2179" s="471">
        <f t="shared" si="144"/>
        <v>0.05</v>
      </c>
      <c r="N2179" s="475">
        <f t="shared" si="145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43"/>
        <v>-1424398629.1757824</v>
      </c>
      <c r="J2180" s="455">
        <f t="array" ref="J2180">IFERROR(INDEX('Retirement Calculator'!J:J,MATCH('Isaac 401k'!N2180,'Retirement Calculator'!A:A,0),0),0)</f>
        <v>0</v>
      </c>
      <c r="K2180" s="455">
        <f t="shared" ca="1" si="141"/>
        <v>-5934994.2882324271</v>
      </c>
      <c r="L2180" s="455">
        <f t="shared" ca="1" si="142"/>
        <v>-1430333623.4640148</v>
      </c>
      <c r="M2180" s="471">
        <f t="shared" si="144"/>
        <v>0.05</v>
      </c>
      <c r="N2180" s="475">
        <f t="shared" si="145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43"/>
        <v>-1430333623.4640148</v>
      </c>
      <c r="J2181" s="455">
        <f t="array" ref="J2181">IFERROR(INDEX('Retirement Calculator'!J:J,MATCH('Isaac 401k'!N2181,'Retirement Calculator'!A:A,0),0),0)</f>
        <v>0</v>
      </c>
      <c r="K2181" s="455">
        <f t="shared" ca="1" si="141"/>
        <v>-5959723.4311000612</v>
      </c>
      <c r="L2181" s="455">
        <f t="shared" ca="1" si="142"/>
        <v>-1436293346.8951149</v>
      </c>
      <c r="M2181" s="471">
        <f t="shared" si="144"/>
        <v>0.05</v>
      </c>
      <c r="N2181" s="475">
        <f t="shared" si="145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43"/>
        <v>-1436293346.8951149</v>
      </c>
      <c r="J2182" s="455">
        <f t="array" ref="J2182">IFERROR(INDEX('Retirement Calculator'!J:J,MATCH('Isaac 401k'!N2182,'Retirement Calculator'!A:A,0),0),0)</f>
        <v>0</v>
      </c>
      <c r="K2182" s="455">
        <f t="shared" ca="1" si="141"/>
        <v>-5984555.6120629786</v>
      </c>
      <c r="L2182" s="455">
        <f t="shared" ca="1" si="142"/>
        <v>-1442277902.5071778</v>
      </c>
      <c r="M2182" s="471">
        <f t="shared" si="144"/>
        <v>0.05</v>
      </c>
      <c r="N2182" s="475">
        <f t="shared" si="145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43"/>
        <v>-1442277902.5071778</v>
      </c>
      <c r="J2183" s="455">
        <f t="array" ref="J2183">IFERROR(INDEX('Retirement Calculator'!J:J,MATCH('Isaac 401k'!N2183,'Retirement Calculator'!A:A,0),0),0)</f>
        <v>0</v>
      </c>
      <c r="K2183" s="455">
        <f t="shared" ca="1" si="141"/>
        <v>-6009491.2604465745</v>
      </c>
      <c r="L2183" s="455">
        <f t="shared" ca="1" si="142"/>
        <v>-1448287393.7676244</v>
      </c>
      <c r="M2183" s="471">
        <f t="shared" si="144"/>
        <v>0.05</v>
      </c>
      <c r="N2183" s="475">
        <f t="shared" si="145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43"/>
        <v>-1448287393.7676244</v>
      </c>
      <c r="J2184" s="455">
        <f t="array" ref="J2184">IFERROR(INDEX('Retirement Calculator'!J:J,MATCH('Isaac 401k'!N2184,'Retirement Calculator'!A:A,0),0),0)</f>
        <v>0</v>
      </c>
      <c r="K2184" s="455">
        <f t="shared" ca="1" si="141"/>
        <v>-6034530.8073651018</v>
      </c>
      <c r="L2184" s="455">
        <f t="shared" ca="1" si="142"/>
        <v>-1454321924.5749896</v>
      </c>
      <c r="M2184" s="471">
        <f t="shared" si="144"/>
        <v>0.05</v>
      </c>
      <c r="N2184" s="475">
        <f t="shared" si="145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43"/>
        <v>-1454321924.5749896</v>
      </c>
      <c r="J2185" s="455">
        <f t="array" ref="J2185">IFERROR(INDEX('Retirement Calculator'!J:J,MATCH('Isaac 401k'!N2185,'Retirement Calculator'!A:A,0),0),0)</f>
        <v>0</v>
      </c>
      <c r="K2185" s="455">
        <f t="shared" ca="1" si="141"/>
        <v>-6059674.6857291227</v>
      </c>
      <c r="L2185" s="455">
        <f t="shared" ca="1" si="142"/>
        <v>-1460381599.2607186</v>
      </c>
      <c r="M2185" s="471">
        <f t="shared" si="144"/>
        <v>0.05</v>
      </c>
      <c r="N2185" s="475">
        <f t="shared" si="145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43"/>
        <v>-1460381599.2607186</v>
      </c>
      <c r="J2186" s="455">
        <f t="array" ref="J2186">IFERROR(INDEX('Retirement Calculator'!J:J,MATCH('Isaac 401k'!N2186,'Retirement Calculator'!A:A,0),0),0)</f>
        <v>0</v>
      </c>
      <c r="K2186" s="455">
        <f t="shared" ca="1" si="141"/>
        <v>-6084923.3302529939</v>
      </c>
      <c r="L2186" s="455">
        <f t="shared" ca="1" si="142"/>
        <v>-1466466522.5909715</v>
      </c>
      <c r="M2186" s="471">
        <f t="shared" si="144"/>
        <v>0.05</v>
      </c>
      <c r="N2186" s="475">
        <f t="shared" si="145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43"/>
        <v>-1466466522.5909715</v>
      </c>
      <c r="J2187" s="455">
        <f t="array" ref="J2187">IFERROR(INDEX('Retirement Calculator'!J:J,MATCH('Isaac 401k'!N2187,'Retirement Calculator'!A:A,0),0),0)</f>
        <v>0</v>
      </c>
      <c r="K2187" s="455">
        <f t="shared" ca="1" si="141"/>
        <v>-6110277.1774623813</v>
      </c>
      <c r="L2187" s="455">
        <f t="shared" ca="1" si="142"/>
        <v>-1472576799.7684338</v>
      </c>
      <c r="M2187" s="471">
        <f t="shared" si="144"/>
        <v>0.05</v>
      </c>
      <c r="N2187" s="475">
        <f t="shared" si="145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43"/>
        <v>-1472576799.7684338</v>
      </c>
      <c r="J2188" s="455">
        <f t="array" ref="J2188">IFERROR(INDEX('Retirement Calculator'!J:J,MATCH('Isaac 401k'!N2188,'Retirement Calculator'!A:A,0),0),0)</f>
        <v>0</v>
      </c>
      <c r="K2188" s="455">
        <f t="shared" ca="1" si="141"/>
        <v>-6135736.6657018075</v>
      </c>
      <c r="L2188" s="455">
        <f t="shared" ca="1" si="142"/>
        <v>-1478712536.4341357</v>
      </c>
      <c r="M2188" s="471">
        <f t="shared" si="144"/>
        <v>0.05</v>
      </c>
      <c r="N2188" s="475">
        <f t="shared" si="145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43"/>
        <v>-1478712536.4341357</v>
      </c>
      <c r="J2189" s="455">
        <f t="array" ref="J2189">IFERROR(INDEX('Retirement Calculator'!J:J,MATCH('Isaac 401k'!N2189,'Retirement Calculator'!A:A,0),0),0)</f>
        <v>0</v>
      </c>
      <c r="K2189" s="455">
        <f t="shared" ca="1" si="141"/>
        <v>-6161302.2351422319</v>
      </c>
      <c r="L2189" s="455">
        <f t="shared" ca="1" si="142"/>
        <v>-1484873838.6692779</v>
      </c>
      <c r="M2189" s="471">
        <f t="shared" si="144"/>
        <v>0.05</v>
      </c>
      <c r="N2189" s="475">
        <f t="shared" si="145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43"/>
        <v>-1484873838.6692779</v>
      </c>
      <c r="J2190" s="455">
        <f t="array" ref="J2190">IFERROR(INDEX('Retirement Calculator'!J:J,MATCH('Isaac 401k'!N2190,'Retirement Calculator'!A:A,0),0),0)</f>
        <v>0</v>
      </c>
      <c r="K2190" s="455">
        <f t="shared" ca="1" si="141"/>
        <v>-6186974.3277886575</v>
      </c>
      <c r="L2190" s="455">
        <f t="shared" ca="1" si="142"/>
        <v>-1491060812.9970665</v>
      </c>
      <c r="M2190" s="471">
        <f t="shared" si="144"/>
        <v>0.05</v>
      </c>
      <c r="N2190" s="475">
        <f t="shared" si="145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43"/>
        <v>-1491060812.9970665</v>
      </c>
      <c r="J2191" s="455">
        <f t="array" ref="J2191">IFERROR(INDEX('Retirement Calculator'!J:J,MATCH('Isaac 401k'!N2191,'Retirement Calculator'!A:A,0),0),0)</f>
        <v>0</v>
      </c>
      <c r="K2191" s="455">
        <f t="shared" ca="1" si="141"/>
        <v>-6212753.3874877766</v>
      </c>
      <c r="L2191" s="455">
        <f t="shared" ca="1" si="142"/>
        <v>-1497273566.3845544</v>
      </c>
      <c r="M2191" s="471">
        <f t="shared" si="144"/>
        <v>0.05</v>
      </c>
      <c r="N2191" s="475">
        <f t="shared" si="145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43"/>
        <v>-1497273566.3845544</v>
      </c>
      <c r="J2192" s="455">
        <f t="array" ref="J2192">IFERROR(INDEX('Retirement Calculator'!J:J,MATCH('Isaac 401k'!N2192,'Retirement Calculator'!A:A,0),0),0)</f>
        <v>0</v>
      </c>
      <c r="K2192" s="455">
        <f t="shared" ca="1" si="141"/>
        <v>-6238639.8599356432</v>
      </c>
      <c r="L2192" s="455">
        <f t="shared" ca="1" si="142"/>
        <v>-1503512206.2444901</v>
      </c>
      <c r="M2192" s="471">
        <f t="shared" si="144"/>
        <v>0.05</v>
      </c>
      <c r="N2192" s="475">
        <f t="shared" si="145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43"/>
        <v>-1503512206.2444901</v>
      </c>
      <c r="J2193" s="455">
        <f t="array" ref="J2193">IFERROR(INDEX('Retirement Calculator'!J:J,MATCH('Isaac 401k'!N2193,'Retirement Calculator'!A:A,0),0),0)</f>
        <v>0</v>
      </c>
      <c r="K2193" s="455">
        <f t="shared" ca="1" si="141"/>
        <v>-6264634.1926853759</v>
      </c>
      <c r="L2193" s="455">
        <f t="shared" ca="1" si="142"/>
        <v>-1509776840.4371755</v>
      </c>
      <c r="M2193" s="471">
        <f t="shared" si="144"/>
        <v>0.05</v>
      </c>
      <c r="N2193" s="475">
        <f t="shared" si="145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43"/>
        <v>-1509776840.4371755</v>
      </c>
      <c r="J2194" s="455">
        <f t="array" ref="J2194">IFERROR(INDEX('Retirement Calculator'!J:J,MATCH('Isaac 401k'!N2194,'Retirement Calculator'!A:A,0),0),0)</f>
        <v>0</v>
      </c>
      <c r="K2194" s="455">
        <f t="shared" ca="1" si="141"/>
        <v>-6290736.8351548975</v>
      </c>
      <c r="L2194" s="455">
        <f t="shared" ca="1" si="142"/>
        <v>-1516067577.2723305</v>
      </c>
      <c r="M2194" s="471">
        <f t="shared" si="144"/>
        <v>0.05</v>
      </c>
      <c r="N2194" s="475">
        <f t="shared" si="145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43"/>
        <v>-1516067577.2723305</v>
      </c>
      <c r="J2195" s="455">
        <f t="array" ref="J2195">IFERROR(INDEX('Retirement Calculator'!J:J,MATCH('Isaac 401k'!N2195,'Retirement Calculator'!A:A,0),0),0)</f>
        <v>0</v>
      </c>
      <c r="K2195" s="455">
        <f t="shared" ca="1" si="141"/>
        <v>-6316948.2386347102</v>
      </c>
      <c r="L2195" s="455">
        <f t="shared" ca="1" si="142"/>
        <v>-1522384525.5109653</v>
      </c>
      <c r="M2195" s="471">
        <f t="shared" si="144"/>
        <v>0.05</v>
      </c>
      <c r="N2195" s="475">
        <f t="shared" si="145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43"/>
        <v>-1522384525.5109653</v>
      </c>
      <c r="J2196" s="455">
        <f t="array" ref="J2196">IFERROR(INDEX('Retirement Calculator'!J:J,MATCH('Isaac 401k'!N2196,'Retirement Calculator'!A:A,0),0),0)</f>
        <v>0</v>
      </c>
      <c r="K2196" s="455">
        <f t="shared" ca="1" si="141"/>
        <v>-6343268.856295689</v>
      </c>
      <c r="L2196" s="455">
        <f t="shared" ca="1" si="142"/>
        <v>-1528727794.3672609</v>
      </c>
      <c r="M2196" s="471">
        <f t="shared" si="144"/>
        <v>0.05</v>
      </c>
      <c r="N2196" s="475">
        <f t="shared" si="145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43"/>
        <v>-1528727794.3672609</v>
      </c>
      <c r="J2197" s="455">
        <f t="array" ref="J2197">IFERROR(INDEX('Retirement Calculator'!J:J,MATCH('Isaac 401k'!N2197,'Retirement Calculator'!A:A,0),0),0)</f>
        <v>0</v>
      </c>
      <c r="K2197" s="455">
        <f t="shared" ca="1" si="141"/>
        <v>-6369699.1431969209</v>
      </c>
      <c r="L2197" s="455">
        <f t="shared" ca="1" si="142"/>
        <v>-1535097493.5104578</v>
      </c>
      <c r="M2197" s="471">
        <f t="shared" si="144"/>
        <v>0.05</v>
      </c>
      <c r="N2197" s="475">
        <f t="shared" si="145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43"/>
        <v>-1535097493.5104578</v>
      </c>
      <c r="J2198" s="455">
        <f t="array" ref="J2198">IFERROR(INDEX('Retirement Calculator'!J:J,MATCH('Isaac 401k'!N2198,'Retirement Calculator'!A:A,0),0),0)</f>
        <v>0</v>
      </c>
      <c r="K2198" s="455">
        <f t="shared" ca="1" si="141"/>
        <v>-6396239.5562935742</v>
      </c>
      <c r="L2198" s="455">
        <f t="shared" ca="1" si="142"/>
        <v>-1541493733.0667512</v>
      </c>
      <c r="M2198" s="471">
        <f t="shared" si="144"/>
        <v>0.05</v>
      </c>
      <c r="N2198" s="475">
        <f t="shared" si="145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43"/>
        <v>-1541493733.0667512</v>
      </c>
      <c r="J2199" s="455">
        <f t="array" ref="J2199">IFERROR(INDEX('Retirement Calculator'!J:J,MATCH('Isaac 401k'!N2199,'Retirement Calculator'!A:A,0),0),0)</f>
        <v>0</v>
      </c>
      <c r="K2199" s="455">
        <f t="shared" ca="1" si="141"/>
        <v>-6422890.5544447964</v>
      </c>
      <c r="L2199" s="455">
        <f t="shared" ca="1" si="142"/>
        <v>-1547916623.621196</v>
      </c>
      <c r="M2199" s="471">
        <f t="shared" si="144"/>
        <v>0.05</v>
      </c>
      <c r="N2199" s="475">
        <f t="shared" si="145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43"/>
        <v>-1547916623.621196</v>
      </c>
      <c r="J2200" s="455">
        <f t="array" ref="J2200">IFERROR(INDEX('Retirement Calculator'!J:J,MATCH('Isaac 401k'!N2200,'Retirement Calculator'!A:A,0),0),0)</f>
        <v>0</v>
      </c>
      <c r="K2200" s="455">
        <f t="shared" ca="1" si="141"/>
        <v>-6449652.59842165</v>
      </c>
      <c r="L2200" s="455">
        <f t="shared" ca="1" si="142"/>
        <v>-1554366276.2196176</v>
      </c>
      <c r="M2200" s="471">
        <f t="shared" si="144"/>
        <v>0.05</v>
      </c>
      <c r="N2200" s="475">
        <f t="shared" si="145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43"/>
        <v>-1554366276.2196176</v>
      </c>
      <c r="J2201" s="455">
        <f t="array" ref="J2201">IFERROR(INDEX('Retirement Calculator'!J:J,MATCH('Isaac 401k'!N2201,'Retirement Calculator'!A:A,0),0),0)</f>
        <v>0</v>
      </c>
      <c r="K2201" s="455">
        <f t="shared" ca="1" si="141"/>
        <v>-6476526.1509150732</v>
      </c>
      <c r="L2201" s="455">
        <f t="shared" ca="1" si="142"/>
        <v>-1560842802.3705328</v>
      </c>
      <c r="M2201" s="471">
        <f t="shared" si="144"/>
        <v>0.05</v>
      </c>
      <c r="N2201" s="475">
        <f t="shared" si="145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43"/>
        <v>-1560842802.3705328</v>
      </c>
      <c r="J2202" s="455">
        <f t="array" ref="J2202">IFERROR(INDEX('Retirement Calculator'!J:J,MATCH('Isaac 401k'!N2202,'Retirement Calculator'!A:A,0),0),0)</f>
        <v>0</v>
      </c>
      <c r="K2202" s="455">
        <f t="shared" ca="1" si="141"/>
        <v>-6503511.6765438868</v>
      </c>
      <c r="L2202" s="455">
        <f t="shared" ca="1" si="142"/>
        <v>-1567346314.0470767</v>
      </c>
      <c r="M2202" s="471">
        <f t="shared" si="144"/>
        <v>0.05</v>
      </c>
      <c r="N2202" s="475">
        <f t="shared" si="145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43"/>
        <v>-1567346314.0470767</v>
      </c>
      <c r="J2203" s="455">
        <f t="array" ref="J2203">IFERROR(INDEX('Retirement Calculator'!J:J,MATCH('Isaac 401k'!N2203,'Retirement Calculator'!A:A,0),0),0)</f>
        <v>0</v>
      </c>
      <c r="K2203" s="455">
        <f t="shared" ca="1" si="141"/>
        <v>-6530609.6418628199</v>
      </c>
      <c r="L2203" s="455">
        <f t="shared" ca="1" si="142"/>
        <v>-1573876923.6889396</v>
      </c>
      <c r="M2203" s="471">
        <f t="shared" si="144"/>
        <v>0.05</v>
      </c>
      <c r="N2203" s="475">
        <f t="shared" si="145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43"/>
        <v>-1573876923.6889396</v>
      </c>
      <c r="J2204" s="455">
        <f t="array" ref="J2204">IFERROR(INDEX('Retirement Calculator'!J:J,MATCH('Isaac 401k'!N2204,'Retirement Calculator'!A:A,0),0),0)</f>
        <v>0</v>
      </c>
      <c r="K2204" s="455">
        <f t="shared" ca="1" si="141"/>
        <v>-6557820.5153705813</v>
      </c>
      <c r="L2204" s="455">
        <f t="shared" ca="1" si="142"/>
        <v>-1580434744.2043102</v>
      </c>
      <c r="M2204" s="471">
        <f t="shared" si="144"/>
        <v>0.05</v>
      </c>
      <c r="N2204" s="475">
        <f t="shared" si="145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43"/>
        <v>-1580434744.2043102</v>
      </c>
      <c r="J2205" s="455">
        <f t="array" ref="J2205">IFERROR(INDEX('Retirement Calculator'!J:J,MATCH('Isaac 401k'!N2205,'Retirement Calculator'!A:A,0),0),0)</f>
        <v>0</v>
      </c>
      <c r="K2205" s="455">
        <f t="shared" ca="1" si="141"/>
        <v>-6585144.7675179588</v>
      </c>
      <c r="L2205" s="455">
        <f t="shared" ca="1" si="142"/>
        <v>-1587019888.9718282</v>
      </c>
      <c r="M2205" s="471">
        <f t="shared" si="144"/>
        <v>0.05</v>
      </c>
      <c r="N2205" s="475">
        <f t="shared" si="145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43"/>
        <v>-1587019888.9718282</v>
      </c>
      <c r="J2206" s="455">
        <f t="array" ref="J2206">IFERROR(INDEX('Retirement Calculator'!J:J,MATCH('Isaac 401k'!N2206,'Retirement Calculator'!A:A,0),0),0)</f>
        <v>0</v>
      </c>
      <c r="K2206" s="455">
        <f t="shared" ca="1" si="141"/>
        <v>-6612582.8707159506</v>
      </c>
      <c r="L2206" s="455">
        <f t="shared" ca="1" si="142"/>
        <v>-1593632471.8425441</v>
      </c>
      <c r="M2206" s="471">
        <f t="shared" si="144"/>
        <v>0.05</v>
      </c>
      <c r="N2206" s="475">
        <f t="shared" si="145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43"/>
        <v>-1593632471.8425441</v>
      </c>
      <c r="J2207" s="455">
        <f t="array" ref="J2207">IFERROR(INDEX('Retirement Calculator'!J:J,MATCH('Isaac 401k'!N2207,'Retirement Calculator'!A:A,0),0),0)</f>
        <v>0</v>
      </c>
      <c r="K2207" s="455">
        <f t="shared" ca="1" si="141"/>
        <v>-6640135.2993439334</v>
      </c>
      <c r="L2207" s="455">
        <f t="shared" ca="1" si="142"/>
        <v>-1600272607.1418879</v>
      </c>
      <c r="M2207" s="471">
        <f t="shared" si="144"/>
        <v>0.05</v>
      </c>
      <c r="N2207" s="475">
        <f t="shared" si="145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43"/>
        <v>-1600272607.1418879</v>
      </c>
      <c r="J2208" s="455">
        <f t="array" ref="J2208">IFERROR(INDEX('Retirement Calculator'!J:J,MATCH('Isaac 401k'!N2208,'Retirement Calculator'!A:A,0),0),0)</f>
        <v>0</v>
      </c>
      <c r="K2208" s="455">
        <f t="shared" ca="1" si="141"/>
        <v>-6667802.5297578666</v>
      </c>
      <c r="L2208" s="455">
        <f t="shared" ca="1" si="142"/>
        <v>-1606940409.6716459</v>
      </c>
      <c r="M2208" s="471">
        <f t="shared" si="144"/>
        <v>0.05</v>
      </c>
      <c r="N2208" s="475">
        <f t="shared" si="145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43"/>
        <v>-1606940409.6716459</v>
      </c>
      <c r="J2209" s="455">
        <f t="array" ref="J2209">IFERROR(INDEX('Retirement Calculator'!J:J,MATCH('Isaac 401k'!N2209,'Retirement Calculator'!A:A,0),0),0)</f>
        <v>0</v>
      </c>
      <c r="K2209" s="455">
        <f t="shared" ca="1" si="141"/>
        <v>-6695585.0402985243</v>
      </c>
      <c r="L2209" s="455">
        <f t="shared" ca="1" si="142"/>
        <v>-1613635994.7119443</v>
      </c>
      <c r="M2209" s="471">
        <f t="shared" si="144"/>
        <v>0.05</v>
      </c>
      <c r="N2209" s="475">
        <f t="shared" si="145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43"/>
        <v>-1613635994.7119443</v>
      </c>
      <c r="J2210" s="455">
        <f t="array" ref="J2210">IFERROR(INDEX('Retirement Calculator'!J:J,MATCH('Isaac 401k'!N2210,'Retirement Calculator'!A:A,0),0),0)</f>
        <v>0</v>
      </c>
      <c r="K2210" s="455">
        <f t="shared" ca="1" si="141"/>
        <v>-6723483.3112997683</v>
      </c>
      <c r="L2210" s="455">
        <f t="shared" ca="1" si="142"/>
        <v>-1620359478.0232441</v>
      </c>
      <c r="M2210" s="471">
        <f t="shared" si="144"/>
        <v>0.05</v>
      </c>
      <c r="N2210" s="475">
        <f t="shared" si="145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43"/>
        <v>-1620359478.0232441</v>
      </c>
      <c r="J2211" s="455">
        <f t="array" ref="J2211">IFERROR(INDEX('Retirement Calculator'!J:J,MATCH('Isaac 401k'!N2211,'Retirement Calculator'!A:A,0),0),0)</f>
        <v>0</v>
      </c>
      <c r="K2211" s="455">
        <f t="shared" ca="1" si="141"/>
        <v>-6751497.8250968503</v>
      </c>
      <c r="L2211" s="455">
        <f t="shared" ca="1" si="142"/>
        <v>-1627110975.848341</v>
      </c>
      <c r="M2211" s="471">
        <f t="shared" si="144"/>
        <v>0.05</v>
      </c>
      <c r="N2211" s="475">
        <f t="shared" si="145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43"/>
        <v>-1627110975.848341</v>
      </c>
      <c r="J2212" s="455">
        <f t="array" ref="J2212">IFERROR(INDEX('Retirement Calculator'!J:J,MATCH('Isaac 401k'!N2212,'Retirement Calculator'!A:A,0),0),0)</f>
        <v>0</v>
      </c>
      <c r="K2212" s="455">
        <f t="shared" ca="1" si="141"/>
        <v>-6779629.0660347538</v>
      </c>
      <c r="L2212" s="455">
        <f t="shared" ca="1" si="142"/>
        <v>-1633890604.9143758</v>
      </c>
      <c r="M2212" s="471">
        <f t="shared" si="144"/>
        <v>0.05</v>
      </c>
      <c r="N2212" s="475">
        <f t="shared" si="145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43"/>
        <v>-1633890604.9143758</v>
      </c>
      <c r="J2213" s="455">
        <f t="array" ref="J2213">IFERROR(INDEX('Retirement Calculator'!J:J,MATCH('Isaac 401k'!N2213,'Retirement Calculator'!A:A,0),0),0)</f>
        <v>0</v>
      </c>
      <c r="K2213" s="455">
        <f t="shared" ca="1" si="141"/>
        <v>-6807877.5204765657</v>
      </c>
      <c r="L2213" s="455">
        <f t="shared" ca="1" si="142"/>
        <v>-1640698482.4348524</v>
      </c>
      <c r="M2213" s="471">
        <f t="shared" si="144"/>
        <v>0.05</v>
      </c>
      <c r="N2213" s="475">
        <f t="shared" si="145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43"/>
        <v>-1640698482.4348524</v>
      </c>
      <c r="J2214" s="455">
        <f t="array" ref="J2214">IFERROR(INDEX('Retirement Calculator'!J:J,MATCH('Isaac 401k'!N2214,'Retirement Calculator'!A:A,0),0),0)</f>
        <v>0</v>
      </c>
      <c r="K2214" s="455">
        <f t="shared" ca="1" si="141"/>
        <v>-6836243.6768118851</v>
      </c>
      <c r="L2214" s="455">
        <f t="shared" ca="1" si="142"/>
        <v>-1647534726.1116643</v>
      </c>
      <c r="M2214" s="471">
        <f t="shared" si="144"/>
        <v>0.05</v>
      </c>
      <c r="N2214" s="475">
        <f t="shared" si="145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43"/>
        <v>-1647534726.1116643</v>
      </c>
      <c r="J2215" s="455">
        <f t="array" ref="J2215">IFERROR(INDEX('Retirement Calculator'!J:J,MATCH('Isaac 401k'!N2215,'Retirement Calculator'!A:A,0),0),0)</f>
        <v>0</v>
      </c>
      <c r="K2215" s="455">
        <f t="shared" ca="1" si="141"/>
        <v>-6864728.0254652677</v>
      </c>
      <c r="L2215" s="455">
        <f t="shared" ca="1" si="142"/>
        <v>-1654399454.1371295</v>
      </c>
      <c r="M2215" s="471">
        <f t="shared" si="144"/>
        <v>0.05</v>
      </c>
      <c r="N2215" s="475">
        <f t="shared" si="145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43"/>
        <v>-1654399454.1371295</v>
      </c>
      <c r="J2216" s="455">
        <f t="array" ref="J2216">IFERROR(INDEX('Retirement Calculator'!J:J,MATCH('Isaac 401k'!N2216,'Retirement Calculator'!A:A,0),0),0)</f>
        <v>0</v>
      </c>
      <c r="K2216" s="455">
        <f t="shared" ca="1" si="141"/>
        <v>-6893331.0589047065</v>
      </c>
      <c r="L2216" s="455">
        <f t="shared" ca="1" si="142"/>
        <v>-1661292785.1960342</v>
      </c>
      <c r="M2216" s="471">
        <f t="shared" si="144"/>
        <v>0.05</v>
      </c>
      <c r="N2216" s="475">
        <f t="shared" si="145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43"/>
        <v>-1661292785.1960342</v>
      </c>
      <c r="J2217" s="455">
        <f t="array" ref="J2217">IFERROR(INDEX('Retirement Calculator'!J:J,MATCH('Isaac 401k'!N2217,'Retirement Calculator'!A:A,0),0),0)</f>
        <v>0</v>
      </c>
      <c r="K2217" s="455">
        <f t="shared" ca="1" si="141"/>
        <v>-6922053.271650142</v>
      </c>
      <c r="L2217" s="455">
        <f t="shared" ca="1" si="142"/>
        <v>-1668214838.4676843</v>
      </c>
      <c r="M2217" s="471">
        <f t="shared" si="144"/>
        <v>0.05</v>
      </c>
      <c r="N2217" s="475">
        <f t="shared" si="145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43"/>
        <v>-1668214838.4676843</v>
      </c>
      <c r="J2218" s="455">
        <f t="array" ref="J2218">IFERROR(INDEX('Retirement Calculator'!J:J,MATCH('Isaac 401k'!N2218,'Retirement Calculator'!A:A,0),0),0)</f>
        <v>0</v>
      </c>
      <c r="K2218" s="455">
        <f t="shared" ca="1" si="141"/>
        <v>-6950895.1602820177</v>
      </c>
      <c r="L2218" s="455">
        <f t="shared" ca="1" si="142"/>
        <v>-1675165733.6279664</v>
      </c>
      <c r="M2218" s="471">
        <f t="shared" si="144"/>
        <v>0.05</v>
      </c>
      <c r="N2218" s="475">
        <f t="shared" si="145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43"/>
        <v>-1675165733.6279664</v>
      </c>
      <c r="J2219" s="455">
        <f t="array" ref="J2219">IFERROR(INDEX('Retirement Calculator'!J:J,MATCH('Isaac 401k'!N2219,'Retirement Calculator'!A:A,0),0),0)</f>
        <v>0</v>
      </c>
      <c r="K2219" s="455">
        <f t="shared" ca="1" si="141"/>
        <v>-6979857.2234498598</v>
      </c>
      <c r="L2219" s="455">
        <f t="shared" ca="1" si="142"/>
        <v>-1682145590.8514163</v>
      </c>
      <c r="M2219" s="471">
        <f t="shared" si="144"/>
        <v>0.05</v>
      </c>
      <c r="N2219" s="475">
        <f t="shared" si="145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43"/>
        <v>-1682145590.8514163</v>
      </c>
      <c r="J2220" s="455">
        <f t="array" ref="J2220">IFERROR(INDEX('Retirement Calculator'!J:J,MATCH('Isaac 401k'!N2220,'Retirement Calculator'!A:A,0),0),0)</f>
        <v>0</v>
      </c>
      <c r="K2220" s="455">
        <f t="shared" ca="1" si="141"/>
        <v>-7008939.9618809028</v>
      </c>
      <c r="L2220" s="455">
        <f t="shared" ca="1" si="142"/>
        <v>-1689154530.8132973</v>
      </c>
      <c r="M2220" s="471">
        <f t="shared" si="144"/>
        <v>0.05</v>
      </c>
      <c r="N2220" s="475">
        <f t="shared" si="145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43"/>
        <v>-1689154530.8132973</v>
      </c>
      <c r="J2221" s="455">
        <f t="array" ref="J2221">IFERROR(INDEX('Retirement Calculator'!J:J,MATCH('Isaac 401k'!N2221,'Retirement Calculator'!A:A,0),0),0)</f>
        <v>0</v>
      </c>
      <c r="K2221" s="455">
        <f t="shared" ca="1" si="141"/>
        <v>-7038143.8783887392</v>
      </c>
      <c r="L2221" s="455">
        <f t="shared" ca="1" si="142"/>
        <v>-1696192674.6916859</v>
      </c>
      <c r="M2221" s="471">
        <f t="shared" si="144"/>
        <v>0.05</v>
      </c>
      <c r="N2221" s="475">
        <f t="shared" si="145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43"/>
        <v>-1696192674.6916859</v>
      </c>
      <c r="J2222" s="455">
        <f t="array" ref="J2222">IFERROR(INDEX('Retirement Calculator'!J:J,MATCH('Isaac 401k'!N2222,'Retirement Calculator'!A:A,0),0),0)</f>
        <v>0</v>
      </c>
      <c r="K2222" s="455">
        <f t="shared" ca="1" si="141"/>
        <v>-7067469.4778820239</v>
      </c>
      <c r="L2222" s="455">
        <f t="shared" ca="1" si="142"/>
        <v>-1703260144.1695678</v>
      </c>
      <c r="M2222" s="471">
        <f t="shared" si="144"/>
        <v>0.05</v>
      </c>
      <c r="N2222" s="475">
        <f t="shared" si="145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43"/>
        <v>-1703260144.1695678</v>
      </c>
      <c r="J2223" s="455">
        <f t="array" ref="J2223">IFERROR(INDEX('Retirement Calculator'!J:J,MATCH('Isaac 401k'!N2223,'Retirement Calculator'!A:A,0),0),0)</f>
        <v>0</v>
      </c>
      <c r="K2223" s="455">
        <f t="shared" ca="1" si="141"/>
        <v>-7096917.2673731996</v>
      </c>
      <c r="L2223" s="455">
        <f t="shared" ca="1" si="142"/>
        <v>-1710357061.4369409</v>
      </c>
      <c r="M2223" s="471">
        <f t="shared" si="144"/>
        <v>0.05</v>
      </c>
      <c r="N2223" s="475">
        <f t="shared" si="145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43"/>
        <v>-1710357061.4369409</v>
      </c>
      <c r="J2224" s="455">
        <f t="array" ref="J2224">IFERROR(INDEX('Retirement Calculator'!J:J,MATCH('Isaac 401k'!N2224,'Retirement Calculator'!A:A,0),0),0)</f>
        <v>0</v>
      </c>
      <c r="K2224" s="455">
        <f t="shared" ca="1" si="141"/>
        <v>-7126487.755987254</v>
      </c>
      <c r="L2224" s="455">
        <f t="shared" ca="1" si="142"/>
        <v>-1717483549.1929281</v>
      </c>
      <c r="M2224" s="471">
        <f t="shared" si="144"/>
        <v>0.05</v>
      </c>
      <c r="N2224" s="475">
        <f t="shared" si="145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43"/>
        <v>-1717483549.1929281</v>
      </c>
      <c r="J2225" s="455">
        <f t="array" ref="J2225">IFERROR(INDEX('Retirement Calculator'!J:J,MATCH('Isaac 401k'!N2225,'Retirement Calculator'!A:A,0),0),0)</f>
        <v>0</v>
      </c>
      <c r="K2225" s="455">
        <f t="shared" ca="1" si="141"/>
        <v>-7156181.4549705349</v>
      </c>
      <c r="L2225" s="455">
        <f t="shared" ca="1" si="142"/>
        <v>-1724639730.6478987</v>
      </c>
      <c r="M2225" s="471">
        <f t="shared" si="144"/>
        <v>0.05</v>
      </c>
      <c r="N2225" s="475">
        <f t="shared" si="145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43"/>
        <v>-1724639730.6478987</v>
      </c>
      <c r="J2226" s="455">
        <f t="array" ref="J2226">IFERROR(INDEX('Retirement Calculator'!J:J,MATCH('Isaac 401k'!N2226,'Retirement Calculator'!A:A,0),0),0)</f>
        <v>0</v>
      </c>
      <c r="K2226" s="455">
        <f t="shared" ca="1" si="141"/>
        <v>-7185998.8776995772</v>
      </c>
      <c r="L2226" s="455">
        <f t="shared" ca="1" si="142"/>
        <v>-1731825729.5255983</v>
      </c>
      <c r="M2226" s="471">
        <f t="shared" si="144"/>
        <v>0.05</v>
      </c>
      <c r="N2226" s="475">
        <f t="shared" si="145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43"/>
        <v>-1731825729.5255983</v>
      </c>
      <c r="J2227" s="455">
        <f t="array" ref="J2227">IFERROR(INDEX('Retirement Calculator'!J:J,MATCH('Isaac 401k'!N2227,'Retirement Calculator'!A:A,0),0),0)</f>
        <v>0</v>
      </c>
      <c r="K2227" s="455">
        <f t="shared" ca="1" si="141"/>
        <v>-7215940.5396899926</v>
      </c>
      <c r="L2227" s="455">
        <f t="shared" ca="1" si="142"/>
        <v>-1739041670.0652883</v>
      </c>
      <c r="M2227" s="471">
        <f t="shared" si="144"/>
        <v>0.05</v>
      </c>
      <c r="N2227" s="475">
        <f t="shared" si="145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43"/>
        <v>-1739041670.0652883</v>
      </c>
      <c r="J2228" s="455">
        <f t="array" ref="J2228">IFERROR(INDEX('Retirement Calculator'!J:J,MATCH('Isaac 401k'!N2228,'Retirement Calculator'!A:A,0),0),0)</f>
        <v>0</v>
      </c>
      <c r="K2228" s="455">
        <f t="shared" ca="1" si="141"/>
        <v>-7246006.9586053677</v>
      </c>
      <c r="L2228" s="455">
        <f t="shared" ca="1" si="142"/>
        <v>-1746287677.0238936</v>
      </c>
      <c r="M2228" s="471">
        <f t="shared" si="144"/>
        <v>0.05</v>
      </c>
      <c r="N2228" s="475">
        <f t="shared" si="145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43"/>
        <v>-1746287677.0238936</v>
      </c>
      <c r="J2229" s="455">
        <f t="array" ref="J2229">IFERROR(INDEX('Retirement Calculator'!J:J,MATCH('Isaac 401k'!N2229,'Retirement Calculator'!A:A,0),0),0)</f>
        <v>0</v>
      </c>
      <c r="K2229" s="455">
        <f t="shared" ca="1" si="141"/>
        <v>-7276198.6542662233</v>
      </c>
      <c r="L2229" s="455">
        <f t="shared" ca="1" si="142"/>
        <v>-1753563875.6781597</v>
      </c>
      <c r="M2229" s="471">
        <f t="shared" si="144"/>
        <v>0.05</v>
      </c>
      <c r="N2229" s="475">
        <f t="shared" si="145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43"/>
        <v>-1753563875.6781597</v>
      </c>
      <c r="J2230" s="455">
        <f t="array" ref="J2230">IFERROR(INDEX('Retirement Calculator'!J:J,MATCH('Isaac 401k'!N2230,'Retirement Calculator'!A:A,0),0),0)</f>
        <v>0</v>
      </c>
      <c r="K2230" s="455">
        <f t="shared" ca="1" si="141"/>
        <v>-7306516.1486589983</v>
      </c>
      <c r="L2230" s="455">
        <f t="shared" ca="1" si="142"/>
        <v>-1760870391.8268187</v>
      </c>
      <c r="M2230" s="471">
        <f t="shared" si="144"/>
        <v>0.05</v>
      </c>
      <c r="N2230" s="475">
        <f t="shared" si="145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43"/>
        <v>-1760870391.8268187</v>
      </c>
      <c r="J2231" s="455">
        <f t="array" ref="J2231">IFERROR(INDEX('Retirement Calculator'!J:J,MATCH('Isaac 401k'!N2231,'Retirement Calculator'!A:A,0),0),0)</f>
        <v>0</v>
      </c>
      <c r="K2231" s="455">
        <f t="shared" ca="1" si="141"/>
        <v>-7336959.9659450781</v>
      </c>
      <c r="L2231" s="455">
        <f t="shared" ca="1" si="142"/>
        <v>-1768207351.7927637</v>
      </c>
      <c r="M2231" s="471">
        <f t="shared" si="144"/>
        <v>0.05</v>
      </c>
      <c r="N2231" s="475">
        <f t="shared" si="145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43"/>
        <v>-1768207351.7927637</v>
      </c>
      <c r="J2232" s="455">
        <f t="array" ref="J2232">IFERROR(INDEX('Retirement Calculator'!J:J,MATCH('Isaac 401k'!N2232,'Retirement Calculator'!A:A,0),0),0)</f>
        <v>0</v>
      </c>
      <c r="K2232" s="455">
        <f t="shared" ca="1" si="141"/>
        <v>-7367530.6324698487</v>
      </c>
      <c r="L2232" s="455">
        <f t="shared" ca="1" si="142"/>
        <v>-1775574882.4252336</v>
      </c>
      <c r="M2232" s="471">
        <f t="shared" si="144"/>
        <v>0.05</v>
      </c>
      <c r="N2232" s="475">
        <f t="shared" si="145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43"/>
        <v>-1775574882.4252336</v>
      </c>
      <c r="J2233" s="455">
        <f t="array" ref="J2233">IFERROR(INDEX('Retirement Calculator'!J:J,MATCH('Isaac 401k'!N2233,'Retirement Calculator'!A:A,0),0),0)</f>
        <v>0</v>
      </c>
      <c r="K2233" s="455">
        <f t="shared" ca="1" si="141"/>
        <v>-7398228.6767718056</v>
      </c>
      <c r="L2233" s="455">
        <f t="shared" ca="1" si="142"/>
        <v>-1782973111.1020055</v>
      </c>
      <c r="M2233" s="471">
        <f t="shared" si="144"/>
        <v>0.05</v>
      </c>
      <c r="N2233" s="475">
        <f t="shared" si="145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43"/>
        <v>-1782973111.1020055</v>
      </c>
      <c r="J2234" s="455">
        <f t="array" ref="J2234">IFERROR(INDEX('Retirement Calculator'!J:J,MATCH('Isaac 401k'!N2234,'Retirement Calculator'!A:A,0),0),0)</f>
        <v>0</v>
      </c>
      <c r="K2234" s="455">
        <f t="shared" ca="1" si="141"/>
        <v>-7429054.6295916894</v>
      </c>
      <c r="L2234" s="455">
        <f t="shared" ca="1" si="142"/>
        <v>-1790402165.7315972</v>
      </c>
      <c r="M2234" s="471">
        <f t="shared" si="144"/>
        <v>0.05</v>
      </c>
      <c r="N2234" s="475">
        <f t="shared" si="145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43"/>
        <v>-1790402165.7315972</v>
      </c>
      <c r="J2235" s="455">
        <f t="array" ref="J2235">IFERROR(INDEX('Retirement Calculator'!J:J,MATCH('Isaac 401k'!N2235,'Retirement Calculator'!A:A,0),0),0)</f>
        <v>0</v>
      </c>
      <c r="K2235" s="455">
        <f t="shared" ca="1" si="141"/>
        <v>-7460009.0238816561</v>
      </c>
      <c r="L2235" s="455">
        <f t="shared" ca="1" si="142"/>
        <v>-1797862174.7554789</v>
      </c>
      <c r="M2235" s="471">
        <f t="shared" si="144"/>
        <v>0.05</v>
      </c>
      <c r="N2235" s="475">
        <f t="shared" si="145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43"/>
        <v>-1797862174.7554789</v>
      </c>
      <c r="J2236" s="455">
        <f t="array" ref="J2236">IFERROR(INDEX('Retirement Calculator'!J:J,MATCH('Isaac 401k'!N2236,'Retirement Calculator'!A:A,0),0),0)</f>
        <v>0</v>
      </c>
      <c r="K2236" s="455">
        <f t="shared" ca="1" si="141"/>
        <v>-7491092.394814495</v>
      </c>
      <c r="L2236" s="455">
        <f t="shared" ca="1" si="142"/>
        <v>-1805353267.1502934</v>
      </c>
      <c r="M2236" s="471">
        <f t="shared" si="144"/>
        <v>0.05</v>
      </c>
      <c r="N2236" s="475">
        <f t="shared" si="145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43"/>
        <v>-1805353267.1502934</v>
      </c>
      <c r="J2237" s="455">
        <f t="array" ref="J2237">IFERROR(INDEX('Retirement Calculator'!J:J,MATCH('Isaac 401k'!N2237,'Retirement Calculator'!A:A,0),0),0)</f>
        <v>0</v>
      </c>
      <c r="K2237" s="455">
        <f t="shared" ca="1" si="141"/>
        <v>-7522305.279792889</v>
      </c>
      <c r="L2237" s="455">
        <f t="shared" ca="1" si="142"/>
        <v>-1812875572.4300861</v>
      </c>
      <c r="M2237" s="471">
        <f t="shared" si="144"/>
        <v>0.05</v>
      </c>
      <c r="N2237" s="475">
        <f t="shared" si="145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43"/>
        <v>-1812875572.4300861</v>
      </c>
      <c r="J2238" s="455">
        <f t="array" ref="J2238">IFERROR(INDEX('Retirement Calculator'!J:J,MATCH('Isaac 401k'!N2238,'Retirement Calculator'!A:A,0),0),0)</f>
        <v>0</v>
      </c>
      <c r="K2238" s="455">
        <f t="shared" ca="1" si="141"/>
        <v>-7553648.2184586925</v>
      </c>
      <c r="L2238" s="455">
        <f t="shared" ca="1" si="142"/>
        <v>-1820429220.6485448</v>
      </c>
      <c r="M2238" s="471">
        <f t="shared" si="144"/>
        <v>0.05</v>
      </c>
      <c r="N2238" s="475">
        <f t="shared" si="145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43"/>
        <v>-1820429220.6485448</v>
      </c>
      <c r="J2239" s="455">
        <f t="array" ref="J2239">IFERROR(INDEX('Retirement Calculator'!J:J,MATCH('Isaac 401k'!N2239,'Retirement Calculator'!A:A,0),0),0)</f>
        <v>0</v>
      </c>
      <c r="K2239" s="455">
        <f t="shared" ca="1" si="141"/>
        <v>-7585121.7527022697</v>
      </c>
      <c r="L2239" s="455">
        <f t="shared" ca="1" si="142"/>
        <v>-1828014342.401247</v>
      </c>
      <c r="M2239" s="471">
        <f t="shared" si="144"/>
        <v>0.05</v>
      </c>
      <c r="N2239" s="475">
        <f t="shared" si="145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43"/>
        <v>-1828014342.401247</v>
      </c>
      <c r="J2240" s="455">
        <f t="array" ref="J2240">IFERROR(INDEX('Retirement Calculator'!J:J,MATCH('Isaac 401k'!N2240,'Retirement Calculator'!A:A,0),0),0)</f>
        <v>0</v>
      </c>
      <c r="K2240" s="455">
        <f t="shared" ca="1" si="141"/>
        <v>-7616726.4266718626</v>
      </c>
      <c r="L2240" s="455">
        <f t="shared" ca="1" si="142"/>
        <v>-1835631068.827919</v>
      </c>
      <c r="M2240" s="471">
        <f t="shared" si="144"/>
        <v>0.05</v>
      </c>
      <c r="N2240" s="475">
        <f t="shared" si="145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43"/>
        <v>-1835631068.827919</v>
      </c>
      <c r="J2241" s="455">
        <f t="array" ref="J2241">IFERROR(INDEX('Retirement Calculator'!J:J,MATCH('Isaac 401k'!N2241,'Retirement Calculator'!A:A,0),0),0)</f>
        <v>0</v>
      </c>
      <c r="K2241" s="455">
        <f t="shared" ca="1" si="141"/>
        <v>-7648462.7867829958</v>
      </c>
      <c r="L2241" s="455">
        <f t="shared" ca="1" si="142"/>
        <v>-1843279531.614702</v>
      </c>
      <c r="M2241" s="471">
        <f t="shared" si="144"/>
        <v>0.05</v>
      </c>
      <c r="N2241" s="475">
        <f t="shared" si="145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43"/>
        <v>-1843279531.614702</v>
      </c>
      <c r="J2242" s="455">
        <f t="array" ref="J2242">IFERROR(INDEX('Retirement Calculator'!J:J,MATCH('Isaac 401k'!N2242,'Retirement Calculator'!A:A,0),0),0)</f>
        <v>0</v>
      </c>
      <c r="K2242" s="455">
        <f t="shared" ca="1" si="141"/>
        <v>-7680331.3817279246</v>
      </c>
      <c r="L2242" s="455">
        <f t="shared" ca="1" si="142"/>
        <v>-1850959862.9964299</v>
      </c>
      <c r="M2242" s="471">
        <f t="shared" si="144"/>
        <v>0.05</v>
      </c>
      <c r="N2242" s="475">
        <f t="shared" si="145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43"/>
        <v>-1850959862.9964299</v>
      </c>
      <c r="J2243" s="455">
        <f t="array" ref="J2243">IFERROR(INDEX('Retirement Calculator'!J:J,MATCH('Isaac 401k'!N2243,'Retirement Calculator'!A:A,0),0),0)</f>
        <v>0</v>
      </c>
      <c r="K2243" s="455">
        <f t="shared" ca="1" si="141"/>
        <v>-7712332.7624851242</v>
      </c>
      <c r="L2243" s="455">
        <f t="shared" ca="1" si="142"/>
        <v>-1858672195.7589149</v>
      </c>
      <c r="M2243" s="471">
        <f t="shared" si="144"/>
        <v>0.05</v>
      </c>
      <c r="N2243" s="475">
        <f t="shared" si="145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43"/>
        <v>-1858672195.7589149</v>
      </c>
      <c r="J2244" s="455">
        <f t="array" ref="J2244">IFERROR(INDEX('Retirement Calculator'!J:J,MATCH('Isaac 401k'!N2244,'Retirement Calculator'!A:A,0),0),0)</f>
        <v>0</v>
      </c>
      <c r="K2244" s="455">
        <f t="shared" ca="1" si="141"/>
        <v>-7744467.4823288126</v>
      </c>
      <c r="L2244" s="455">
        <f t="shared" ca="1" si="142"/>
        <v>-1866416663.2412438</v>
      </c>
      <c r="M2244" s="471">
        <f t="shared" si="144"/>
        <v>0.05</v>
      </c>
      <c r="N2244" s="475">
        <f t="shared" si="145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43"/>
        <v>-1866416663.2412438</v>
      </c>
      <c r="J2245" s="455">
        <f t="array" ref="J2245">IFERROR(INDEX('Retirement Calculator'!J:J,MATCH('Isaac 401k'!N2245,'Retirement Calculator'!A:A,0),0),0)</f>
        <v>0</v>
      </c>
      <c r="K2245" s="455">
        <f t="shared" ca="1" si="141"/>
        <v>-7776736.0968385162</v>
      </c>
      <c r="L2245" s="455">
        <f t="shared" ca="1" si="142"/>
        <v>-1874193399.3380823</v>
      </c>
      <c r="M2245" s="471">
        <f t="shared" si="144"/>
        <v>0.05</v>
      </c>
      <c r="N2245" s="475">
        <f t="shared" si="145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43"/>
        <v>-1874193399.3380823</v>
      </c>
      <c r="J2246" s="455">
        <f t="array" ref="J2246">IFERROR(INDEX('Retirement Calculator'!J:J,MATCH('Isaac 401k'!N2246,'Retirement Calculator'!A:A,0),0),0)</f>
        <v>0</v>
      </c>
      <c r="K2246" s="455">
        <f t="shared" ca="1" si="141"/>
        <v>-7809139.1639086772</v>
      </c>
      <c r="L2246" s="455">
        <f t="shared" ca="1" si="142"/>
        <v>-1882002538.501991</v>
      </c>
      <c r="M2246" s="471">
        <f t="shared" si="144"/>
        <v>0.05</v>
      </c>
      <c r="N2246" s="475">
        <f t="shared" si="145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43"/>
        <v>-1882002538.501991</v>
      </c>
      <c r="J2247" s="455">
        <f t="array" ref="J2247">IFERROR(INDEX('Retirement Calculator'!J:J,MATCH('Isaac 401k'!N2247,'Retirement Calculator'!A:A,0),0),0)</f>
        <v>0</v>
      </c>
      <c r="K2247" s="455">
        <f t="shared" ca="1" si="141"/>
        <v>-7841677.2437582947</v>
      </c>
      <c r="L2247" s="455">
        <f t="shared" ca="1" si="142"/>
        <v>-1889844215.7457492</v>
      </c>
      <c r="M2247" s="471">
        <f t="shared" si="144"/>
        <v>0.05</v>
      </c>
      <c r="N2247" s="475">
        <f t="shared" si="145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43"/>
        <v>-1889844215.7457492</v>
      </c>
      <c r="J2248" s="455">
        <f t="array" ref="J2248">IFERROR(INDEX('Retirement Calculator'!J:J,MATCH('Isaac 401k'!N2248,'Retirement Calculator'!A:A,0),0),0)</f>
        <v>0</v>
      </c>
      <c r="K2248" s="455">
        <f t="shared" ca="1" si="141"/>
        <v>-7874350.8989406219</v>
      </c>
      <c r="L2248" s="455">
        <f t="shared" ca="1" si="142"/>
        <v>-1897718566.6446898</v>
      </c>
      <c r="M2248" s="471">
        <f t="shared" si="144"/>
        <v>0.05</v>
      </c>
      <c r="N2248" s="475">
        <f t="shared" si="145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43"/>
        <v>-1897718566.6446898</v>
      </c>
      <c r="J2249" s="455">
        <f t="array" ref="J2249">IFERROR(INDEX('Retirement Calculator'!J:J,MATCH('Isaac 401k'!N2249,'Retirement Calculator'!A:A,0),0),0)</f>
        <v>0</v>
      </c>
      <c r="K2249" s="455">
        <f t="shared" ca="1" si="141"/>
        <v>-7907160.6943528736</v>
      </c>
      <c r="L2249" s="455">
        <f t="shared" ca="1" si="142"/>
        <v>-1905625727.3390427</v>
      </c>
      <c r="M2249" s="471">
        <f t="shared" si="144"/>
        <v>0.05</v>
      </c>
      <c r="N2249" s="475">
        <f t="shared" si="145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43"/>
        <v>-1905625727.3390427</v>
      </c>
      <c r="J2250" s="455">
        <f t="array" ref="J2250">IFERROR(INDEX('Retirement Calculator'!J:J,MATCH('Isaac 401k'!N2250,'Retirement Calculator'!A:A,0),0),0)</f>
        <v>0</v>
      </c>
      <c r="K2250" s="455">
        <f t="shared" ca="1" si="141"/>
        <v>-7940107.1972460113</v>
      </c>
      <c r="L2250" s="455">
        <f t="shared" ca="1" si="142"/>
        <v>-1913565834.5362887</v>
      </c>
      <c r="M2250" s="471">
        <f t="shared" si="144"/>
        <v>0.05</v>
      </c>
      <c r="N2250" s="475">
        <f t="shared" si="145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43"/>
        <v>-1913565834.5362887</v>
      </c>
      <c r="J2251" s="455">
        <f t="array" ref="J2251">IFERROR(INDEX('Retirement Calculator'!J:J,MATCH('Isaac 401k'!N2251,'Retirement Calculator'!A:A,0),0),0)</f>
        <v>0</v>
      </c>
      <c r="K2251" s="455">
        <f t="shared" ca="1" si="141"/>
        <v>-7973190.9772345359</v>
      </c>
      <c r="L2251" s="455">
        <f t="shared" ca="1" si="142"/>
        <v>-1921539025.5135233</v>
      </c>
      <c r="M2251" s="471">
        <f t="shared" si="144"/>
        <v>0.05</v>
      </c>
      <c r="N2251" s="475">
        <f t="shared" si="145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43"/>
        <v>-1921539025.5135233</v>
      </c>
      <c r="J2252" s="455">
        <f t="array" ref="J2252">IFERROR(INDEX('Retirement Calculator'!J:J,MATCH('Isaac 401k'!N2252,'Retirement Calculator'!A:A,0),0),0)</f>
        <v>0</v>
      </c>
      <c r="K2252" s="455">
        <f t="shared" ca="1" si="141"/>
        <v>-8006412.6063063471</v>
      </c>
      <c r="L2252" s="455">
        <f t="shared" ca="1" si="142"/>
        <v>-1929545438.1198297</v>
      </c>
      <c r="M2252" s="471">
        <f t="shared" si="144"/>
        <v>0.05</v>
      </c>
      <c r="N2252" s="475">
        <f t="shared" si="145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43"/>
        <v>-1929545438.1198297</v>
      </c>
      <c r="J2253" s="455">
        <f t="array" ref="J2253">IFERROR(INDEX('Retirement Calculator'!J:J,MATCH('Isaac 401k'!N2253,'Retirement Calculator'!A:A,0),0),0)</f>
        <v>0</v>
      </c>
      <c r="K2253" s="455">
        <f t="shared" ca="1" si="141"/>
        <v>-8039772.6588326236</v>
      </c>
      <c r="L2253" s="455">
        <f t="shared" ca="1" si="142"/>
        <v>-1937585210.7786622</v>
      </c>
      <c r="M2253" s="471">
        <f t="shared" si="144"/>
        <v>0.05</v>
      </c>
      <c r="N2253" s="475">
        <f t="shared" si="145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43"/>
        <v>-1937585210.7786622</v>
      </c>
      <c r="J2254" s="455">
        <f t="array" ref="J2254">IFERROR(INDEX('Retirement Calculator'!J:J,MATCH('Isaac 401k'!N2254,'Retirement Calculator'!A:A,0),0),0)</f>
        <v>0</v>
      </c>
      <c r="K2254" s="455">
        <f t="shared" ca="1" si="141"/>
        <v>-8073271.7115777601</v>
      </c>
      <c r="L2254" s="455">
        <f t="shared" ca="1" si="142"/>
        <v>-1945658482.4902399</v>
      </c>
      <c r="M2254" s="471">
        <f t="shared" si="144"/>
        <v>0.05</v>
      </c>
      <c r="N2254" s="475">
        <f t="shared" si="145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43"/>
        <v>-1945658482.4902399</v>
      </c>
      <c r="J2255" s="455">
        <f t="array" ref="J2255">IFERROR(INDEX('Retirement Calculator'!J:J,MATCH('Isaac 401k'!N2255,'Retirement Calculator'!A:A,0),0),0)</f>
        <v>0</v>
      </c>
      <c r="K2255" s="455">
        <f t="shared" ca="1" si="141"/>
        <v>-8106910.3437093329</v>
      </c>
      <c r="L2255" s="455">
        <f t="shared" ca="1" si="142"/>
        <v>-1953765392.8339491</v>
      </c>
      <c r="M2255" s="471">
        <f t="shared" si="144"/>
        <v>0.05</v>
      </c>
      <c r="N2255" s="475">
        <f t="shared" si="145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43"/>
        <v>-1953765392.8339491</v>
      </c>
      <c r="J2256" s="455">
        <f t="array" ref="J2256">IFERROR(INDEX('Retirement Calculator'!J:J,MATCH('Isaac 401k'!N2256,'Retirement Calculator'!A:A,0),0),0)</f>
        <v>0</v>
      </c>
      <c r="K2256" s="455">
        <f t="shared" ca="1" si="141"/>
        <v>-8140689.1368081225</v>
      </c>
      <c r="L2256" s="455">
        <f t="shared" ca="1" si="142"/>
        <v>-1961906081.9707572</v>
      </c>
      <c r="M2256" s="471">
        <f t="shared" si="144"/>
        <v>0.05</v>
      </c>
      <c r="N2256" s="475">
        <f t="shared" si="145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43"/>
        <v>-1961906081.9707572</v>
      </c>
      <c r="J2257" s="455">
        <f t="array" ref="J2257">IFERROR(INDEX('Retirement Calculator'!J:J,MATCH('Isaac 401k'!N2257,'Retirement Calculator'!A:A,0),0),0)</f>
        <v>0</v>
      </c>
      <c r="K2257" s="455">
        <f t="shared" ca="1" si="141"/>
        <v>-8174608.6748781549</v>
      </c>
      <c r="L2257" s="455">
        <f t="shared" ca="1" si="142"/>
        <v>-1970080690.6456354</v>
      </c>
      <c r="M2257" s="471">
        <f t="shared" si="144"/>
        <v>0.05</v>
      </c>
      <c r="N2257" s="475">
        <f t="shared" si="145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43"/>
        <v>-1970080690.6456354</v>
      </c>
      <c r="J2258" s="455">
        <f t="array" ref="J2258">IFERROR(INDEX('Retirement Calculator'!J:J,MATCH('Isaac 401k'!N2258,'Retirement Calculator'!A:A,0),0),0)</f>
        <v>0</v>
      </c>
      <c r="K2258" s="455">
        <f t="shared" ca="1" si="141"/>
        <v>-8208669.5443568146</v>
      </c>
      <c r="L2258" s="455">
        <f t="shared" ca="1" si="142"/>
        <v>-1978289360.1899922</v>
      </c>
      <c r="M2258" s="471">
        <f t="shared" si="144"/>
        <v>0.05</v>
      </c>
      <c r="N2258" s="475">
        <f t="shared" si="145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43"/>
        <v>-1978289360.1899922</v>
      </c>
      <c r="J2259" s="455">
        <f t="array" ref="J2259">IFERROR(INDEX('Retirement Calculator'!J:J,MATCH('Isaac 401k'!N2259,'Retirement Calculator'!A:A,0),0),0)</f>
        <v>0</v>
      </c>
      <c r="K2259" s="455">
        <f t="shared" ca="1" si="141"/>
        <v>-8242872.3341249675</v>
      </c>
      <c r="L2259" s="455">
        <f t="shared" ca="1" si="142"/>
        <v>-1986532232.5241172</v>
      </c>
      <c r="M2259" s="471">
        <f t="shared" si="144"/>
        <v>0.05</v>
      </c>
      <c r="N2259" s="475">
        <f t="shared" si="145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43"/>
        <v>-1986532232.5241172</v>
      </c>
      <c r="J2260" s="455">
        <f t="array" ref="J2260">IFERROR(INDEX('Retirement Calculator'!J:J,MATCH('Isaac 401k'!N2260,'Retirement Calculator'!A:A,0),0),0)</f>
        <v>0</v>
      </c>
      <c r="K2260" s="455">
        <f t="shared" ca="1" si="141"/>
        <v>-8277217.6355171548</v>
      </c>
      <c r="L2260" s="455">
        <f t="shared" ca="1" si="142"/>
        <v>-1994809450.1596344</v>
      </c>
      <c r="M2260" s="471">
        <f t="shared" si="144"/>
        <v>0.05</v>
      </c>
      <c r="N2260" s="475">
        <f t="shared" si="145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43"/>
        <v>-1994809450.1596344</v>
      </c>
      <c r="J2261" s="455">
        <f t="array" ref="J2261">IFERROR(INDEX('Retirement Calculator'!J:J,MATCH('Isaac 401k'!N2261,'Retirement Calculator'!A:A,0),0),0)</f>
        <v>0</v>
      </c>
      <c r="K2261" s="455">
        <f t="shared" ca="1" si="141"/>
        <v>-8311706.0423318082</v>
      </c>
      <c r="L2261" s="455">
        <f t="shared" ca="1" si="142"/>
        <v>-2003121156.201966</v>
      </c>
      <c r="M2261" s="471">
        <f t="shared" si="144"/>
        <v>0.05</v>
      </c>
      <c r="N2261" s="475">
        <f t="shared" si="145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43"/>
        <v>-2003121156.201966</v>
      </c>
      <c r="J2262" s="455">
        <f t="array" ref="J2262">IFERROR(INDEX('Retirement Calculator'!J:J,MATCH('Isaac 401k'!N2262,'Retirement Calculator'!A:A,0),0),0)</f>
        <v>0</v>
      </c>
      <c r="K2262" s="455">
        <f t="shared" ca="1" si="141"/>
        <v>-8346338.1508415248</v>
      </c>
      <c r="L2262" s="455">
        <f t="shared" ca="1" si="142"/>
        <v>-2011467494.3528075</v>
      </c>
      <c r="M2262" s="471">
        <f t="shared" si="144"/>
        <v>0.05</v>
      </c>
      <c r="N2262" s="475">
        <f t="shared" si="145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43"/>
        <v>-2011467494.3528075</v>
      </c>
      <c r="J2263" s="455">
        <f t="array" ref="J2263">IFERROR(INDEX('Retirement Calculator'!J:J,MATCH('Isaac 401k'!N2263,'Retirement Calculator'!A:A,0),0),0)</f>
        <v>0</v>
      </c>
      <c r="K2263" s="455">
        <f t="shared" ca="1" si="141"/>
        <v>-8381114.5598033639</v>
      </c>
      <c r="L2263" s="455">
        <f t="shared" ca="1" si="142"/>
        <v>-2019848608.9126108</v>
      </c>
      <c r="M2263" s="471">
        <f t="shared" si="144"/>
        <v>0.05</v>
      </c>
      <c r="N2263" s="475">
        <f t="shared" si="145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43"/>
        <v>-2019848608.9126108</v>
      </c>
      <c r="J2264" s="455">
        <f t="array" ref="J2264">IFERROR(INDEX('Retirement Calculator'!J:J,MATCH('Isaac 401k'!N2264,'Retirement Calculator'!A:A,0),0),0)</f>
        <v>0</v>
      </c>
      <c r="K2264" s="455">
        <f t="shared" ca="1" si="141"/>
        <v>-8416035.8704692107</v>
      </c>
      <c r="L2264" s="455">
        <f t="shared" ca="1" si="142"/>
        <v>-2028264644.7830799</v>
      </c>
      <c r="M2264" s="471">
        <f t="shared" si="144"/>
        <v>0.05</v>
      </c>
      <c r="N2264" s="475">
        <f t="shared" si="145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43"/>
        <v>-2028264644.7830799</v>
      </c>
      <c r="J2265" s="455">
        <f t="array" ref="J2265">IFERROR(INDEX('Retirement Calculator'!J:J,MATCH('Isaac 401k'!N2265,'Retirement Calculator'!A:A,0),0),0)</f>
        <v>0</v>
      </c>
      <c r="K2265" s="455">
        <f t="shared" ca="1" si="141"/>
        <v>-8451102.6865961663</v>
      </c>
      <c r="L2265" s="455">
        <f t="shared" ca="1" si="142"/>
        <v>-2036715747.469676</v>
      </c>
      <c r="M2265" s="471">
        <f t="shared" si="144"/>
        <v>0.05</v>
      </c>
      <c r="N2265" s="475">
        <f t="shared" si="145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43"/>
        <v>-2036715747.469676</v>
      </c>
      <c r="J2266" s="455">
        <f t="array" ref="J2266">IFERROR(INDEX('Retirement Calculator'!J:J,MATCH('Isaac 401k'!N2266,'Retirement Calculator'!A:A,0),0),0)</f>
        <v>0</v>
      </c>
      <c r="K2266" s="455">
        <f t="shared" ca="1" si="141"/>
        <v>-8486315.6144569851</v>
      </c>
      <c r="L2266" s="455">
        <f t="shared" ca="1" si="142"/>
        <v>-2045202063.0841329</v>
      </c>
      <c r="M2266" s="471">
        <f t="shared" si="144"/>
        <v>0.05</v>
      </c>
      <c r="N2266" s="475">
        <f t="shared" si="145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43"/>
        <v>-2045202063.0841329</v>
      </c>
      <c r="J2267" s="455">
        <f t="array" ref="J2267">IFERROR(INDEX('Retirement Calculator'!J:J,MATCH('Isaac 401k'!N2267,'Retirement Calculator'!A:A,0),0),0)</f>
        <v>0</v>
      </c>
      <c r="K2267" s="455">
        <f t="shared" ca="1" si="141"/>
        <v>-8521675.2628505528</v>
      </c>
      <c r="L2267" s="455">
        <f t="shared" ca="1" si="142"/>
        <v>-2053723738.3469834</v>
      </c>
      <c r="M2267" s="471">
        <f t="shared" si="144"/>
        <v>0.05</v>
      </c>
      <c r="N2267" s="475">
        <f t="shared" si="145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43"/>
        <v>-2053723738.3469834</v>
      </c>
      <c r="J2268" s="455">
        <f t="array" ref="J2268">IFERROR(INDEX('Retirement Calculator'!J:J,MATCH('Isaac 401k'!N2268,'Retirement Calculator'!A:A,0),0),0)</f>
        <v>0</v>
      </c>
      <c r="K2268" s="455">
        <f t="shared" ca="1" si="141"/>
        <v>-8557182.24311243</v>
      </c>
      <c r="L2268" s="455">
        <f t="shared" ca="1" si="142"/>
        <v>-2062280920.5900958</v>
      </c>
      <c r="M2268" s="471">
        <f t="shared" si="144"/>
        <v>0.05</v>
      </c>
      <c r="N2268" s="475">
        <f t="shared" si="145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43"/>
        <v>-2062280920.5900958</v>
      </c>
      <c r="J2269" s="455">
        <f t="array" ref="J2269">IFERROR(INDEX('Retirement Calculator'!J:J,MATCH('Isaac 401k'!N2269,'Retirement Calculator'!A:A,0),0),0)</f>
        <v>0</v>
      </c>
      <c r="K2269" s="455">
        <f t="shared" ca="1" si="141"/>
        <v>-8592837.1691253986</v>
      </c>
      <c r="L2269" s="455">
        <f t="shared" ca="1" si="142"/>
        <v>-2070873757.7592211</v>
      </c>
      <c r="M2269" s="471">
        <f t="shared" si="144"/>
        <v>0.05</v>
      </c>
      <c r="N2269" s="475">
        <f t="shared" si="145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43"/>
        <v>-2070873757.7592211</v>
      </c>
      <c r="J2270" s="455">
        <f t="array" ref="J2270">IFERROR(INDEX('Retirement Calculator'!J:J,MATCH('Isaac 401k'!N2270,'Retirement Calculator'!A:A,0),0),0)</f>
        <v>0</v>
      </c>
      <c r="K2270" s="455">
        <f t="shared" ca="1" si="141"/>
        <v>-8628640.6573300883</v>
      </c>
      <c r="L2270" s="455">
        <f t="shared" ca="1" si="142"/>
        <v>-2079502398.4165511</v>
      </c>
      <c r="M2270" s="471">
        <f t="shared" si="144"/>
        <v>0.05</v>
      </c>
      <c r="N2270" s="475">
        <f t="shared" si="145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43"/>
        <v>-2079502398.4165511</v>
      </c>
      <c r="J2271" s="455">
        <f t="array" ref="J2271">IFERROR(INDEX('Retirement Calculator'!J:J,MATCH('Isaac 401k'!N2271,'Retirement Calculator'!A:A,0),0),0)</f>
        <v>0</v>
      </c>
      <c r="K2271" s="455">
        <f t="shared" ca="1" si="141"/>
        <v>-8664593.3267356306</v>
      </c>
      <c r="L2271" s="455">
        <f t="shared" ca="1" si="142"/>
        <v>-2088166991.7432868</v>
      </c>
      <c r="M2271" s="471">
        <f t="shared" si="144"/>
        <v>0.05</v>
      </c>
      <c r="N2271" s="475">
        <f t="shared" si="145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43"/>
        <v>-2088166991.7432868</v>
      </c>
      <c r="J2272" s="455">
        <f t="array" ref="J2272">IFERROR(INDEX('Retirement Calculator'!J:J,MATCH('Isaac 401k'!N2272,'Retirement Calculator'!A:A,0),0),0)</f>
        <v>0</v>
      </c>
      <c r="K2272" s="455">
        <f t="shared" ca="1" si="141"/>
        <v>-8700695.7989303619</v>
      </c>
      <c r="L2272" s="455">
        <f t="shared" ca="1" si="142"/>
        <v>-2096867687.5422173</v>
      </c>
      <c r="M2272" s="471">
        <f t="shared" si="144"/>
        <v>0.05</v>
      </c>
      <c r="N2272" s="475">
        <f t="shared" si="145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43"/>
        <v>-2096867687.5422173</v>
      </c>
      <c r="J2273" s="455">
        <f t="array" ref="J2273">IFERROR(INDEX('Retirement Calculator'!J:J,MATCH('Isaac 401k'!N2273,'Retirement Calculator'!A:A,0),0),0)</f>
        <v>0</v>
      </c>
      <c r="K2273" s="455">
        <f t="shared" ca="1" si="141"/>
        <v>-8736948.6980925705</v>
      </c>
      <c r="L2273" s="455">
        <f t="shared" ca="1" si="142"/>
        <v>-2105604636.2403097</v>
      </c>
      <c r="M2273" s="471">
        <f t="shared" si="144"/>
        <v>0.05</v>
      </c>
      <c r="N2273" s="475">
        <f t="shared" si="145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43"/>
        <v>-2105604636.2403097</v>
      </c>
      <c r="J2274" s="455">
        <f t="array" ref="J2274">IFERROR(INDEX('Retirement Calculator'!J:J,MATCH('Isaac 401k'!N2274,'Retirement Calculator'!A:A,0),0),0)</f>
        <v>0</v>
      </c>
      <c r="K2274" s="455">
        <f t="shared" ca="1" si="141"/>
        <v>-8773352.6510012913</v>
      </c>
      <c r="L2274" s="455">
        <f t="shared" ca="1" si="142"/>
        <v>-2114377988.8913109</v>
      </c>
      <c r="M2274" s="471">
        <f t="shared" si="144"/>
        <v>0.05</v>
      </c>
      <c r="N2274" s="475">
        <f t="shared" si="145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43"/>
        <v>-2114377988.8913109</v>
      </c>
      <c r="J2275" s="455">
        <f t="array" ref="J2275">IFERROR(INDEX('Retirement Calculator'!J:J,MATCH('Isaac 401k'!N2275,'Retirement Calculator'!A:A,0),0),0)</f>
        <v>0</v>
      </c>
      <c r="K2275" s="455">
        <f t="shared" ca="1" si="141"/>
        <v>-8809908.2870471291</v>
      </c>
      <c r="L2275" s="455">
        <f t="shared" ca="1" si="142"/>
        <v>-2123187897.1783581</v>
      </c>
      <c r="M2275" s="471">
        <f t="shared" si="144"/>
        <v>0.05</v>
      </c>
      <c r="N2275" s="475">
        <f t="shared" si="145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43"/>
        <v>-2123187897.1783581</v>
      </c>
      <c r="J2276" s="455">
        <f t="array" ref="J2276">IFERROR(INDEX('Retirement Calculator'!J:J,MATCH('Isaac 401k'!N2276,'Retirement Calculator'!A:A,0),0),0)</f>
        <v>0</v>
      </c>
      <c r="K2276" s="455">
        <f t="shared" ca="1" si="141"/>
        <v>-8846616.2382431589</v>
      </c>
      <c r="L2276" s="455">
        <f t="shared" ca="1" si="142"/>
        <v>-2132034513.4166012</v>
      </c>
      <c r="M2276" s="471">
        <f t="shared" si="144"/>
        <v>0.05</v>
      </c>
      <c r="N2276" s="475">
        <f t="shared" si="145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43"/>
        <v>-2132034513.4166012</v>
      </c>
      <c r="J2277" s="455">
        <f t="array" ref="J2277">IFERROR(INDEX('Retirement Calculator'!J:J,MATCH('Isaac 401k'!N2277,'Retirement Calculator'!A:A,0),0),0)</f>
        <v>0</v>
      </c>
      <c r="K2277" s="455">
        <f t="shared" ca="1" si="141"/>
        <v>-8883477.1392358374</v>
      </c>
      <c r="L2277" s="455">
        <f t="shared" ca="1" si="142"/>
        <v>-2140917990.5558369</v>
      </c>
      <c r="M2277" s="471">
        <f t="shared" si="144"/>
        <v>0.05</v>
      </c>
      <c r="N2277" s="475">
        <f t="shared" si="145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43"/>
        <v>-2140917990.5558369</v>
      </c>
      <c r="J2278" s="455">
        <f t="array" ref="J2278">IFERROR(INDEX('Retirement Calculator'!J:J,MATCH('Isaac 401k'!N2278,'Retirement Calculator'!A:A,0),0),0)</f>
        <v>0</v>
      </c>
      <c r="K2278" s="455">
        <f t="shared" ca="1" si="141"/>
        <v>-8920491.6273159869</v>
      </c>
      <c r="L2278" s="455">
        <f t="shared" ca="1" si="142"/>
        <v>-2149838482.1831527</v>
      </c>
      <c r="M2278" s="471">
        <f t="shared" si="144"/>
        <v>0.05</v>
      </c>
      <c r="N2278" s="475">
        <f t="shared" si="145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43"/>
        <v>-2149838482.1831527</v>
      </c>
      <c r="J2279" s="455">
        <f t="array" ref="J2279">IFERROR(INDEX('Retirement Calculator'!J:J,MATCH('Isaac 401k'!N2279,'Retirement Calculator'!A:A,0),0),0)</f>
        <v>0</v>
      </c>
      <c r="K2279" s="455">
        <f t="shared" ca="1" si="141"/>
        <v>-8957660.3424298018</v>
      </c>
      <c r="L2279" s="455">
        <f t="shared" ca="1" si="142"/>
        <v>-2158796142.5255823</v>
      </c>
      <c r="M2279" s="471">
        <f t="shared" si="144"/>
        <v>0.05</v>
      </c>
      <c r="N2279" s="475">
        <f t="shared" si="145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43"/>
        <v>-2158796142.5255823</v>
      </c>
      <c r="J2280" s="455">
        <f t="array" ref="J2280">IFERROR(INDEX('Retirement Calculator'!J:J,MATCH('Isaac 401k'!N2280,'Retirement Calculator'!A:A,0),0),0)</f>
        <v>0</v>
      </c>
      <c r="K2280" s="455">
        <f t="shared" ca="1" si="141"/>
        <v>-8994983.9271899257</v>
      </c>
      <c r="L2280" s="455">
        <f t="shared" ca="1" si="142"/>
        <v>-2167791126.4527721</v>
      </c>
      <c r="M2280" s="471">
        <f t="shared" si="144"/>
        <v>0.05</v>
      </c>
      <c r="N2280" s="475">
        <f t="shared" si="145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43"/>
        <v>-2167791126.4527721</v>
      </c>
      <c r="J2281" s="455">
        <f t="array" ref="J2281">IFERROR(INDEX('Retirement Calculator'!J:J,MATCH('Isaac 401k'!N2281,'Retirement Calculator'!A:A,0),0),0)</f>
        <v>0</v>
      </c>
      <c r="K2281" s="455">
        <f t="shared" ca="1" si="141"/>
        <v>-9032463.0268865507</v>
      </c>
      <c r="L2281" s="455">
        <f t="shared" ca="1" si="142"/>
        <v>-2176823589.4796586</v>
      </c>
      <c r="M2281" s="471">
        <f t="shared" si="144"/>
        <v>0.05</v>
      </c>
      <c r="N2281" s="475">
        <f t="shared" si="145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43"/>
        <v>-2176823589.4796586</v>
      </c>
      <c r="J2282" s="455">
        <f t="array" ref="J2282">IFERROR(INDEX('Retirement Calculator'!J:J,MATCH('Isaac 401k'!N2282,'Retirement Calculator'!A:A,0),0),0)</f>
        <v>0</v>
      </c>
      <c r="K2282" s="455">
        <f t="shared" ca="1" si="141"/>
        <v>-9070098.2894985769</v>
      </c>
      <c r="L2282" s="455">
        <f t="shared" ca="1" si="142"/>
        <v>-2185893687.7691574</v>
      </c>
      <c r="M2282" s="471">
        <f t="shared" si="144"/>
        <v>0.05</v>
      </c>
      <c r="N2282" s="475">
        <f t="shared" si="145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43"/>
        <v>-2185893687.7691574</v>
      </c>
      <c r="J2283" s="455">
        <f t="array" ref="J2283">IFERROR(INDEX('Retirement Calculator'!J:J,MATCH('Isaac 401k'!N2283,'Retirement Calculator'!A:A,0),0),0)</f>
        <v>0</v>
      </c>
      <c r="K2283" s="455">
        <f t="shared" ca="1" si="141"/>
        <v>-9107890.3657048233</v>
      </c>
      <c r="L2283" s="455">
        <f t="shared" ca="1" si="142"/>
        <v>-2195001578.1348624</v>
      </c>
      <c r="M2283" s="471">
        <f t="shared" si="144"/>
        <v>0.05</v>
      </c>
      <c r="N2283" s="475">
        <f t="shared" si="145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43"/>
        <v>-2195001578.1348624</v>
      </c>
      <c r="J2284" s="455">
        <f t="array" ref="J2284">IFERROR(INDEX('Retirement Calculator'!J:J,MATCH('Isaac 401k'!N2284,'Retirement Calculator'!A:A,0),0),0)</f>
        <v>0</v>
      </c>
      <c r="K2284" s="455">
        <f t="shared" ca="1" si="141"/>
        <v>-9145839.9088952597</v>
      </c>
      <c r="L2284" s="455">
        <f t="shared" ca="1" si="142"/>
        <v>-2204147418.0437579</v>
      </c>
      <c r="M2284" s="471">
        <f t="shared" si="144"/>
        <v>0.05</v>
      </c>
      <c r="N2284" s="475">
        <f t="shared" si="145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43"/>
        <v>-2204147418.0437579</v>
      </c>
      <c r="J2285" s="455">
        <f t="array" ref="J2285">IFERROR(INDEX('Retirement Calculator'!J:J,MATCH('Isaac 401k'!N2285,'Retirement Calculator'!A:A,0),0),0)</f>
        <v>0</v>
      </c>
      <c r="K2285" s="455">
        <f t="shared" ca="1" si="141"/>
        <v>-9183947.5751823243</v>
      </c>
      <c r="L2285" s="455">
        <f t="shared" ca="1" si="142"/>
        <v>-2213331365.6189404</v>
      </c>
      <c r="M2285" s="471">
        <f t="shared" si="144"/>
        <v>0.05</v>
      </c>
      <c r="N2285" s="475">
        <f t="shared" si="145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43"/>
        <v>-2213331365.6189404</v>
      </c>
      <c r="J2286" s="455">
        <f t="array" ref="J2286">IFERROR(INDEX('Retirement Calculator'!J:J,MATCH('Isaac 401k'!N2286,'Retirement Calculator'!A:A,0),0),0)</f>
        <v>0</v>
      </c>
      <c r="K2286" s="455">
        <f t="shared" ca="1" si="141"/>
        <v>-9222214.0234122518</v>
      </c>
      <c r="L2286" s="455">
        <f t="shared" ca="1" si="142"/>
        <v>-2222553579.6423526</v>
      </c>
      <c r="M2286" s="471">
        <f t="shared" si="144"/>
        <v>0.05</v>
      </c>
      <c r="N2286" s="475">
        <f t="shared" si="145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43"/>
        <v>-2222553579.6423526</v>
      </c>
      <c r="J2287" s="455">
        <f t="array" ref="J2287">IFERROR(INDEX('Retirement Calculator'!J:J,MATCH('Isaac 401k'!N2287,'Retirement Calculator'!A:A,0),0),0)</f>
        <v>0</v>
      </c>
      <c r="K2287" s="455">
        <f t="shared" ca="1" si="141"/>
        <v>-9260639.9151764698</v>
      </c>
      <c r="L2287" s="455">
        <f t="shared" ca="1" si="142"/>
        <v>-2231814219.557529</v>
      </c>
      <c r="M2287" s="471">
        <f t="shared" si="144"/>
        <v>0.05</v>
      </c>
      <c r="N2287" s="475">
        <f t="shared" si="145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43"/>
        <v>-2231814219.557529</v>
      </c>
      <c r="J2288" s="455">
        <f t="array" ref="J2288">IFERROR(INDEX('Retirement Calculator'!J:J,MATCH('Isaac 401k'!N2288,'Retirement Calculator'!A:A,0),0),0)</f>
        <v>0</v>
      </c>
      <c r="K2288" s="455">
        <f t="shared" ca="1" si="141"/>
        <v>-9299225.9148230366</v>
      </c>
      <c r="L2288" s="455">
        <f t="shared" ca="1" si="142"/>
        <v>-2241113445.472352</v>
      </c>
      <c r="M2288" s="471">
        <f t="shared" si="144"/>
        <v>0.05</v>
      </c>
      <c r="N2288" s="475">
        <f t="shared" si="145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43"/>
        <v>-2241113445.472352</v>
      </c>
      <c r="J2289" s="455">
        <f t="array" ref="J2289">IFERROR(INDEX('Retirement Calculator'!J:J,MATCH('Isaac 401k'!N2289,'Retirement Calculator'!A:A,0),0),0)</f>
        <v>0</v>
      </c>
      <c r="K2289" s="455">
        <f t="shared" ca="1" si="141"/>
        <v>-9337972.6894681342</v>
      </c>
      <c r="L2289" s="455">
        <f t="shared" ca="1" si="142"/>
        <v>-2250451418.1618199</v>
      </c>
      <c r="M2289" s="471">
        <f t="shared" si="144"/>
        <v>0.05</v>
      </c>
      <c r="N2289" s="475">
        <f t="shared" si="145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43"/>
        <v>-2250451418.1618199</v>
      </c>
      <c r="J2290" s="455">
        <f t="array" ref="J2290">IFERROR(INDEX('Retirement Calculator'!J:J,MATCH('Isaac 401k'!N2290,'Retirement Calculator'!A:A,0),0),0)</f>
        <v>0</v>
      </c>
      <c r="K2290" s="455">
        <f t="shared" ca="1" si="141"/>
        <v>-9376880.9090075828</v>
      </c>
      <c r="L2290" s="455">
        <f t="shared" ca="1" si="142"/>
        <v>-2259828299.0708275</v>
      </c>
      <c r="M2290" s="471">
        <f t="shared" si="144"/>
        <v>0.05</v>
      </c>
      <c r="N2290" s="475">
        <f t="shared" si="145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43"/>
        <v>-2259828299.0708275</v>
      </c>
      <c r="J2291" s="455">
        <f t="array" ref="J2291">IFERROR(INDEX('Retirement Calculator'!J:J,MATCH('Isaac 401k'!N2291,'Retirement Calculator'!A:A,0),0),0)</f>
        <v>0</v>
      </c>
      <c r="K2291" s="455">
        <f t="shared" ca="1" si="141"/>
        <v>-9415951.2461284474</v>
      </c>
      <c r="L2291" s="455">
        <f t="shared" ca="1" si="142"/>
        <v>-2269244250.316956</v>
      </c>
      <c r="M2291" s="471">
        <f t="shared" si="144"/>
        <v>0.05</v>
      </c>
      <c r="N2291" s="475">
        <f t="shared" si="145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43"/>
        <v>-2269244250.316956</v>
      </c>
      <c r="J2292" s="455">
        <f t="array" ref="J2292">IFERROR(INDEX('Retirement Calculator'!J:J,MATCH('Isaac 401k'!N2292,'Retirement Calculator'!A:A,0),0),0)</f>
        <v>0</v>
      </c>
      <c r="K2292" s="455">
        <f t="shared" ca="1" si="141"/>
        <v>-9455184.3763206508</v>
      </c>
      <c r="L2292" s="455">
        <f t="shared" ca="1" si="142"/>
        <v>-2278699434.6932769</v>
      </c>
      <c r="M2292" s="471">
        <f t="shared" si="144"/>
        <v>0.05</v>
      </c>
      <c r="N2292" s="475">
        <f t="shared" si="145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43"/>
        <v>-2278699434.6932769</v>
      </c>
      <c r="J2293" s="455">
        <f t="array" ref="J2293">IFERROR(INDEX('Retirement Calculator'!J:J,MATCH('Isaac 401k'!N2293,'Retirement Calculator'!A:A,0),0),0)</f>
        <v>0</v>
      </c>
      <c r="K2293" s="455">
        <f t="shared" ca="1" si="141"/>
        <v>-9494580.9778886531</v>
      </c>
      <c r="L2293" s="455">
        <f t="shared" ca="1" si="142"/>
        <v>-2288194015.6711655</v>
      </c>
      <c r="M2293" s="471">
        <f t="shared" si="144"/>
        <v>0.05</v>
      </c>
      <c r="N2293" s="475">
        <f t="shared" si="145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43"/>
        <v>-2288194015.6711655</v>
      </c>
      <c r="J2294" s="455">
        <f t="array" ref="J2294">IFERROR(INDEX('Retirement Calculator'!J:J,MATCH('Isaac 401k'!N2294,'Retirement Calculator'!A:A,0),0),0)</f>
        <v>0</v>
      </c>
      <c r="K2294" s="455">
        <f t="shared" ca="1" si="141"/>
        <v>-9534141.7319631893</v>
      </c>
      <c r="L2294" s="455">
        <f t="shared" ca="1" si="142"/>
        <v>-2297728157.4031286</v>
      </c>
      <c r="M2294" s="471">
        <f t="shared" si="144"/>
        <v>0.05</v>
      </c>
      <c r="N2294" s="475">
        <f t="shared" si="145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43"/>
        <v>-2297728157.4031286</v>
      </c>
      <c r="J2295" s="455">
        <f t="array" ref="J2295">IFERROR(INDEX('Retirement Calculator'!J:J,MATCH('Isaac 401k'!N2295,'Retirement Calculator'!A:A,0),0),0)</f>
        <v>0</v>
      </c>
      <c r="K2295" s="455">
        <f t="shared" ca="1" si="141"/>
        <v>-9573867.3225130364</v>
      </c>
      <c r="L2295" s="455">
        <f t="shared" ca="1" si="142"/>
        <v>-2307302024.7256417</v>
      </c>
      <c r="M2295" s="471">
        <f t="shared" si="144"/>
        <v>0.05</v>
      </c>
      <c r="N2295" s="475">
        <f t="shared" si="145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43"/>
        <v>-2307302024.7256417</v>
      </c>
      <c r="J2296" s="455">
        <f t="array" ref="J2296">IFERROR(INDEX('Retirement Calculator'!J:J,MATCH('Isaac 401k'!N2296,'Retirement Calculator'!A:A,0),0),0)</f>
        <v>0</v>
      </c>
      <c r="K2296" s="455">
        <f t="shared" ca="1" si="141"/>
        <v>-9613758.4363568407</v>
      </c>
      <c r="L2296" s="455">
        <f t="shared" ca="1" si="142"/>
        <v>-2316915783.1619987</v>
      </c>
      <c r="M2296" s="471">
        <f t="shared" si="144"/>
        <v>0.05</v>
      </c>
      <c r="N2296" s="475">
        <f t="shared" si="145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43"/>
        <v>-2316915783.1619987</v>
      </c>
      <c r="J2297" s="455">
        <f t="array" ref="J2297">IFERROR(INDEX('Retirement Calculator'!J:J,MATCH('Isaac 401k'!N2297,'Retirement Calculator'!A:A,0),0),0)</f>
        <v>0</v>
      </c>
      <c r="K2297" s="455">
        <f t="shared" ca="1" si="141"/>
        <v>-9653815.7631749939</v>
      </c>
      <c r="L2297" s="455">
        <f t="shared" ca="1" si="142"/>
        <v>-2326569598.9251738</v>
      </c>
      <c r="M2297" s="471">
        <f t="shared" si="144"/>
        <v>0.05</v>
      </c>
      <c r="N2297" s="475">
        <f t="shared" si="145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43"/>
        <v>-2326569598.9251738</v>
      </c>
      <c r="J2298" s="455">
        <f t="array" ref="J2298">IFERROR(INDEX('Retirement Calculator'!J:J,MATCH('Isaac 401k'!N2298,'Retirement Calculator'!A:A,0),0),0)</f>
        <v>0</v>
      </c>
      <c r="K2298" s="455">
        <f t="shared" ca="1" si="141"/>
        <v>-9694039.9955215566</v>
      </c>
      <c r="L2298" s="455">
        <f t="shared" ca="1" si="142"/>
        <v>-2336263638.9206953</v>
      </c>
      <c r="M2298" s="471">
        <f t="shared" si="144"/>
        <v>0.05</v>
      </c>
      <c r="N2298" s="475">
        <f t="shared" si="145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43"/>
        <v>-2336263638.9206953</v>
      </c>
      <c r="J2299" s="455">
        <f t="array" ref="J2299">IFERROR(INDEX('Retirement Calculator'!J:J,MATCH('Isaac 401k'!N2299,'Retirement Calculator'!A:A,0),0),0)</f>
        <v>0</v>
      </c>
      <c r="K2299" s="455">
        <f t="shared" ca="1" si="141"/>
        <v>-9734431.8288362306</v>
      </c>
      <c r="L2299" s="455">
        <f t="shared" ca="1" si="142"/>
        <v>-2345998070.7495317</v>
      </c>
      <c r="M2299" s="471">
        <f t="shared" si="144"/>
        <v>0.05</v>
      </c>
      <c r="N2299" s="475">
        <f t="shared" si="145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43"/>
        <v>-2345998070.7495317</v>
      </c>
      <c r="J2300" s="455">
        <f t="array" ref="J2300">IFERROR(INDEX('Retirement Calculator'!J:J,MATCH('Isaac 401k'!N2300,'Retirement Calculator'!A:A,0),0),0)</f>
        <v>0</v>
      </c>
      <c r="K2300" s="455">
        <f t="shared" ca="1" si="141"/>
        <v>-9774991.9614563826</v>
      </c>
      <c r="L2300" s="455">
        <f t="shared" ca="1" si="142"/>
        <v>-2355773062.710988</v>
      </c>
      <c r="M2300" s="471">
        <f t="shared" si="144"/>
        <v>0.05</v>
      </c>
      <c r="N2300" s="475">
        <f t="shared" si="145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43"/>
        <v>-2355773062.710988</v>
      </c>
      <c r="J2301" s="455">
        <f t="array" ref="J2301">IFERROR(INDEX('Retirement Calculator'!J:J,MATCH('Isaac 401k'!N2301,'Retirement Calculator'!A:A,0),0),0)</f>
        <v>0</v>
      </c>
      <c r="K2301" s="455">
        <f t="shared" ca="1" si="141"/>
        <v>-9815721.0946291164</v>
      </c>
      <c r="L2301" s="455">
        <f t="shared" ca="1" si="142"/>
        <v>-2365588783.8056173</v>
      </c>
      <c r="M2301" s="471">
        <f t="shared" si="144"/>
        <v>0.05</v>
      </c>
      <c r="N2301" s="475">
        <f t="shared" si="145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43"/>
        <v>-2365588783.8056173</v>
      </c>
      <c r="J2302" s="455">
        <f t="array" ref="J2302">IFERROR(INDEX('Retirement Calculator'!J:J,MATCH('Isaac 401k'!N2302,'Retirement Calculator'!A:A,0),0),0)</f>
        <v>0</v>
      </c>
      <c r="K2302" s="455">
        <f t="shared" ca="1" si="141"/>
        <v>-9856619.9325234052</v>
      </c>
      <c r="L2302" s="455">
        <f t="shared" ca="1" si="142"/>
        <v>-2375445403.7381406</v>
      </c>
      <c r="M2302" s="471">
        <f t="shared" si="144"/>
        <v>0.05</v>
      </c>
      <c r="N2302" s="475">
        <f t="shared" si="145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43"/>
        <v>-2375445403.7381406</v>
      </c>
      <c r="J2303" s="455">
        <f t="array" ref="J2303">IFERROR(INDEX('Retirement Calculator'!J:J,MATCH('Isaac 401k'!N2303,'Retirement Calculator'!A:A,0),0),0)</f>
        <v>0</v>
      </c>
      <c r="K2303" s="455">
        <f t="shared" ref="K2303:K2557" ca="1" si="146">IPMT(M2303/12,1,12,-I2303+J2303,,0)</f>
        <v>-9897689.1822422519</v>
      </c>
      <c r="L2303" s="455">
        <f t="shared" ref="L2303:L2557" ca="1" si="147">I2303-J2303+K2303</f>
        <v>-2385343092.920383</v>
      </c>
      <c r="M2303" s="471">
        <f t="shared" si="144"/>
        <v>0.05</v>
      </c>
      <c r="N2303" s="475">
        <f t="shared" si="145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48">L2303</f>
        <v>-2385343092.920383</v>
      </c>
      <c r="J2304" s="455">
        <f t="array" ref="J2304">IFERROR(INDEX('Retirement Calculator'!J:J,MATCH('Isaac 401k'!N2304,'Retirement Calculator'!A:A,0),0),0)</f>
        <v>0</v>
      </c>
      <c r="K2304" s="455">
        <f t="shared" ca="1" si="146"/>
        <v>-9938929.5538349282</v>
      </c>
      <c r="L2304" s="455">
        <f t="shared" ca="1" si="147"/>
        <v>-2395282022.4742179</v>
      </c>
      <c r="M2304" s="471">
        <f t="shared" ref="M2304:M2558" si="149">M2303</f>
        <v>0.05</v>
      </c>
      <c r="N2304" s="475">
        <f t="shared" ref="N2304:N2558" si="150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48"/>
        <v>-2395282022.4742179</v>
      </c>
      <c r="J2305" s="455">
        <f t="array" ref="J2305">IFERROR(INDEX('Retirement Calculator'!J:J,MATCH('Isaac 401k'!N2305,'Retirement Calculator'!A:A,0),0),0)</f>
        <v>0</v>
      </c>
      <c r="K2305" s="455">
        <f t="shared" ca="1" si="146"/>
        <v>-9980341.7603092417</v>
      </c>
      <c r="L2305" s="455">
        <f t="shared" ca="1" si="147"/>
        <v>-2405262364.2345271</v>
      </c>
      <c r="M2305" s="471">
        <f t="shared" si="149"/>
        <v>0.05</v>
      </c>
      <c r="N2305" s="475">
        <f t="shared" si="150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48"/>
        <v>-2405262364.2345271</v>
      </c>
      <c r="J2306" s="455">
        <f t="array" ref="J2306">IFERROR(INDEX('Retirement Calculator'!J:J,MATCH('Isaac 401k'!N2306,'Retirement Calculator'!A:A,0),0),0)</f>
        <v>0</v>
      </c>
      <c r="K2306" s="455">
        <f t="shared" ca="1" si="146"/>
        <v>-10021926.517643863</v>
      </c>
      <c r="L2306" s="455">
        <f t="shared" ca="1" si="147"/>
        <v>-2415284290.752171</v>
      </c>
      <c r="M2306" s="471">
        <f t="shared" si="149"/>
        <v>0.05</v>
      </c>
      <c r="N2306" s="475">
        <f t="shared" si="150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48"/>
        <v>-2415284290.752171</v>
      </c>
      <c r="J2307" s="455">
        <f t="array" ref="J2307">IFERROR(INDEX('Retirement Calculator'!J:J,MATCH('Isaac 401k'!N2307,'Retirement Calculator'!A:A,0),0),0)</f>
        <v>0</v>
      </c>
      <c r="K2307" s="455">
        <f t="shared" ca="1" si="146"/>
        <v>-10063684.544800712</v>
      </c>
      <c r="L2307" s="455">
        <f t="shared" ca="1" si="147"/>
        <v>-2425347975.2969718</v>
      </c>
      <c r="M2307" s="471">
        <f t="shared" si="149"/>
        <v>0.05</v>
      </c>
      <c r="N2307" s="475">
        <f t="shared" si="150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48"/>
        <v>-2425347975.2969718</v>
      </c>
      <c r="J2308" s="455">
        <f t="array" ref="J2308">IFERROR(INDEX('Retirement Calculator'!J:J,MATCH('Isaac 401k'!N2308,'Retirement Calculator'!A:A,0),0),0)</f>
        <v>0</v>
      </c>
      <c r="K2308" s="455">
        <f t="shared" ca="1" si="146"/>
        <v>-10105616.563737383</v>
      </c>
      <c r="L2308" s="455">
        <f t="shared" ca="1" si="147"/>
        <v>-2435453591.8607092</v>
      </c>
      <c r="M2308" s="471">
        <f t="shared" si="149"/>
        <v>0.05</v>
      </c>
      <c r="N2308" s="475">
        <f t="shared" si="150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48"/>
        <v>-2435453591.8607092</v>
      </c>
      <c r="J2309" s="455">
        <f t="array" ref="J2309">IFERROR(INDEX('Retirement Calculator'!J:J,MATCH('Isaac 401k'!N2309,'Retirement Calculator'!A:A,0),0),0)</f>
        <v>0</v>
      </c>
      <c r="K2309" s="455">
        <f t="shared" ca="1" si="146"/>
        <v>-10147723.299419621</v>
      </c>
      <c r="L2309" s="455">
        <f t="shared" ca="1" si="147"/>
        <v>-2445601315.1601286</v>
      </c>
      <c r="M2309" s="471">
        <f t="shared" si="149"/>
        <v>0.05</v>
      </c>
      <c r="N2309" s="475">
        <f t="shared" si="150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48"/>
        <v>-2445601315.1601286</v>
      </c>
      <c r="J2310" s="455">
        <f t="array" ref="J2310">IFERROR(INDEX('Retirement Calculator'!J:J,MATCH('Isaac 401k'!N2310,'Retirement Calculator'!A:A,0),0),0)</f>
        <v>0</v>
      </c>
      <c r="K2310" s="455">
        <f t="shared" ca="1" si="146"/>
        <v>-10190005.479833869</v>
      </c>
      <c r="L2310" s="455">
        <f t="shared" ca="1" si="147"/>
        <v>-2455791320.6399627</v>
      </c>
      <c r="M2310" s="471">
        <f t="shared" si="149"/>
        <v>0.05</v>
      </c>
      <c r="N2310" s="475">
        <f t="shared" si="150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48"/>
        <v>-2455791320.6399627</v>
      </c>
      <c r="J2311" s="455">
        <f t="array" ref="J2311">IFERROR(INDEX('Retirement Calculator'!J:J,MATCH('Isaac 401k'!N2311,'Retirement Calculator'!A:A,0),0),0)</f>
        <v>0</v>
      </c>
      <c r="K2311" s="455">
        <f t="shared" ca="1" si="146"/>
        <v>-10232463.835999845</v>
      </c>
      <c r="L2311" s="455">
        <f t="shared" ca="1" si="147"/>
        <v>-2466023784.4759626</v>
      </c>
      <c r="M2311" s="471">
        <f t="shared" si="149"/>
        <v>0.05</v>
      </c>
      <c r="N2311" s="475">
        <f t="shared" si="150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48"/>
        <v>-2466023784.4759626</v>
      </c>
      <c r="J2312" s="455">
        <f t="array" ref="J2312">IFERROR(INDEX('Retirement Calculator'!J:J,MATCH('Isaac 401k'!N2312,'Retirement Calculator'!A:A,0),0),0)</f>
        <v>0</v>
      </c>
      <c r="K2312" s="455">
        <f t="shared" ca="1" si="146"/>
        <v>-10275099.101983178</v>
      </c>
      <c r="L2312" s="455">
        <f t="shared" ca="1" si="147"/>
        <v>-2476298883.5779457</v>
      </c>
      <c r="M2312" s="471">
        <f t="shared" si="149"/>
        <v>0.05</v>
      </c>
      <c r="N2312" s="475">
        <f t="shared" si="150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48"/>
        <v>-2476298883.5779457</v>
      </c>
      <c r="J2313" s="455">
        <f t="array" ref="J2313">IFERROR(INDEX('Retirement Calculator'!J:J,MATCH('Isaac 401k'!N2313,'Retirement Calculator'!A:A,0),0),0)</f>
        <v>0</v>
      </c>
      <c r="K2313" s="455">
        <f t="shared" ca="1" si="146"/>
        <v>-10317912.014908107</v>
      </c>
      <c r="L2313" s="455">
        <f t="shared" ca="1" si="147"/>
        <v>-2486616795.592854</v>
      </c>
      <c r="M2313" s="471">
        <f t="shared" si="149"/>
        <v>0.05</v>
      </c>
      <c r="N2313" s="475">
        <f t="shared" si="150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48"/>
        <v>-2486616795.592854</v>
      </c>
      <c r="J2314" s="455">
        <f t="array" ref="J2314">IFERROR(INDEX('Retirement Calculator'!J:J,MATCH('Isaac 401k'!N2314,'Retirement Calculator'!A:A,0),0),0)</f>
        <v>0</v>
      </c>
      <c r="K2314" s="455">
        <f t="shared" ca="1" si="146"/>
        <v>-10360903.314970225</v>
      </c>
      <c r="L2314" s="455">
        <f t="shared" ca="1" si="147"/>
        <v>-2496977698.907824</v>
      </c>
      <c r="M2314" s="471">
        <f t="shared" si="149"/>
        <v>0.05</v>
      </c>
      <c r="N2314" s="475">
        <f t="shared" si="150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48"/>
        <v>-2496977698.907824</v>
      </c>
      <c r="J2315" s="455">
        <f t="array" ref="J2315">IFERROR(INDEX('Retirement Calculator'!J:J,MATCH('Isaac 401k'!N2315,'Retirement Calculator'!A:A,0),0),0)</f>
        <v>0</v>
      </c>
      <c r="K2315" s="455">
        <f t="shared" ca="1" si="146"/>
        <v>-10404073.745449267</v>
      </c>
      <c r="L2315" s="455">
        <f t="shared" ca="1" si="147"/>
        <v>-2507381772.6532731</v>
      </c>
      <c r="M2315" s="471">
        <f t="shared" si="149"/>
        <v>0.05</v>
      </c>
      <c r="N2315" s="475">
        <f t="shared" si="150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48"/>
        <v>-2507381772.6532731</v>
      </c>
      <c r="J2316" s="455">
        <f t="array" ref="J2316">IFERROR(INDEX('Retirement Calculator'!J:J,MATCH('Isaac 401k'!N2316,'Retirement Calculator'!A:A,0),0),0)</f>
        <v>0</v>
      </c>
      <c r="K2316" s="455">
        <f t="shared" ca="1" si="146"/>
        <v>-10447424.052721972</v>
      </c>
      <c r="L2316" s="455">
        <f t="shared" ca="1" si="147"/>
        <v>-2517829196.7059951</v>
      </c>
      <c r="M2316" s="471">
        <f t="shared" si="149"/>
        <v>0.05</v>
      </c>
      <c r="N2316" s="475">
        <f t="shared" si="150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48"/>
        <v>-2517829196.7059951</v>
      </c>
      <c r="J2317" s="455">
        <f t="array" ref="J2317">IFERROR(INDEX('Retirement Calculator'!J:J,MATCH('Isaac 401k'!N2317,'Retirement Calculator'!A:A,0),0),0)</f>
        <v>0</v>
      </c>
      <c r="K2317" s="455">
        <f t="shared" ca="1" si="146"/>
        <v>-10490954.98627498</v>
      </c>
      <c r="L2317" s="455">
        <f t="shared" ca="1" si="147"/>
        <v>-2528320151.6922703</v>
      </c>
      <c r="M2317" s="471">
        <f t="shared" si="149"/>
        <v>0.05</v>
      </c>
      <c r="N2317" s="475">
        <f t="shared" si="150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48"/>
        <v>-2528320151.6922703</v>
      </c>
      <c r="J2318" s="455">
        <f t="array" ref="J2318">IFERROR(INDEX('Retirement Calculator'!J:J,MATCH('Isaac 401k'!N2318,'Retirement Calculator'!A:A,0),0),0)</f>
        <v>0</v>
      </c>
      <c r="K2318" s="455">
        <f t="shared" ca="1" si="146"/>
        <v>-10534667.298717793</v>
      </c>
      <c r="L2318" s="455">
        <f t="shared" ca="1" si="147"/>
        <v>-2538854818.9909883</v>
      </c>
      <c r="M2318" s="471">
        <f t="shared" si="149"/>
        <v>0.05</v>
      </c>
      <c r="N2318" s="475">
        <f t="shared" si="150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48"/>
        <v>-2538854818.9909883</v>
      </c>
      <c r="J2319" s="455">
        <f t="array" ref="J2319">IFERROR(INDEX('Retirement Calculator'!J:J,MATCH('Isaac 401k'!N2319,'Retirement Calculator'!A:A,0),0),0)</f>
        <v>0</v>
      </c>
      <c r="K2319" s="455">
        <f t="shared" ca="1" si="146"/>
        <v>-10578561.745795785</v>
      </c>
      <c r="L2319" s="455">
        <f t="shared" ca="1" si="147"/>
        <v>-2549433380.736784</v>
      </c>
      <c r="M2319" s="471">
        <f t="shared" si="149"/>
        <v>0.05</v>
      </c>
      <c r="N2319" s="475">
        <f t="shared" si="150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48"/>
        <v>-2549433380.736784</v>
      </c>
      <c r="J2320" s="455">
        <f t="array" ref="J2320">IFERROR(INDEX('Retirement Calculator'!J:J,MATCH('Isaac 401k'!N2320,'Retirement Calculator'!A:A,0),0),0)</f>
        <v>0</v>
      </c>
      <c r="K2320" s="455">
        <f t="shared" ca="1" si="146"/>
        <v>-10622639.086403266</v>
      </c>
      <c r="L2320" s="455">
        <f t="shared" ca="1" si="147"/>
        <v>-2560056019.8231874</v>
      </c>
      <c r="M2320" s="471">
        <f t="shared" si="149"/>
        <v>0.05</v>
      </c>
      <c r="N2320" s="475">
        <f t="shared" si="150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48"/>
        <v>-2560056019.8231874</v>
      </c>
      <c r="J2321" s="455">
        <f t="array" ref="J2321">IFERROR(INDEX('Retirement Calculator'!J:J,MATCH('Isaac 401k'!N2321,'Retirement Calculator'!A:A,0),0),0)</f>
        <v>0</v>
      </c>
      <c r="K2321" s="455">
        <f t="shared" ca="1" si="146"/>
        <v>-10666900.082596613</v>
      </c>
      <c r="L2321" s="455">
        <f t="shared" ca="1" si="147"/>
        <v>-2570722919.9057841</v>
      </c>
      <c r="M2321" s="471">
        <f t="shared" si="149"/>
        <v>0.05</v>
      </c>
      <c r="N2321" s="475">
        <f t="shared" si="150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48"/>
        <v>-2570722919.9057841</v>
      </c>
      <c r="J2322" s="455">
        <f t="array" ref="J2322">IFERROR(INDEX('Retirement Calculator'!J:J,MATCH('Isaac 401k'!N2322,'Retirement Calculator'!A:A,0),0),0)</f>
        <v>0</v>
      </c>
      <c r="K2322" s="455">
        <f t="shared" ca="1" si="146"/>
        <v>-10711345.499607434</v>
      </c>
      <c r="L2322" s="455">
        <f t="shared" ca="1" si="147"/>
        <v>-2581434265.4053917</v>
      </c>
      <c r="M2322" s="471">
        <f t="shared" si="149"/>
        <v>0.05</v>
      </c>
      <c r="N2322" s="475">
        <f t="shared" si="150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48"/>
        <v>-2581434265.4053917</v>
      </c>
      <c r="J2323" s="455">
        <f t="array" ref="J2323">IFERROR(INDEX('Retirement Calculator'!J:J,MATCH('Isaac 401k'!N2323,'Retirement Calculator'!A:A,0),0),0)</f>
        <v>0</v>
      </c>
      <c r="K2323" s="455">
        <f t="shared" ca="1" si="146"/>
        <v>-10755976.105855798</v>
      </c>
      <c r="L2323" s="455">
        <f t="shared" ca="1" si="147"/>
        <v>-2592190241.5112476</v>
      </c>
      <c r="M2323" s="471">
        <f t="shared" si="149"/>
        <v>0.05</v>
      </c>
      <c r="N2323" s="475">
        <f t="shared" si="150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48"/>
        <v>-2592190241.5112476</v>
      </c>
      <c r="J2324" s="455">
        <f t="array" ref="J2324">IFERROR(INDEX('Retirement Calculator'!J:J,MATCH('Isaac 401k'!N2324,'Retirement Calculator'!A:A,0),0),0)</f>
        <v>0</v>
      </c>
      <c r="K2324" s="455">
        <f t="shared" ca="1" si="146"/>
        <v>-10800792.672963532</v>
      </c>
      <c r="L2324" s="455">
        <f t="shared" ca="1" si="147"/>
        <v>-2602991034.1842113</v>
      </c>
      <c r="M2324" s="471">
        <f t="shared" si="149"/>
        <v>0.05</v>
      </c>
      <c r="N2324" s="475">
        <f t="shared" si="150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48"/>
        <v>-2602991034.1842113</v>
      </c>
      <c r="J2325" s="455">
        <f t="array" ref="J2325">IFERROR(INDEX('Retirement Calculator'!J:J,MATCH('Isaac 401k'!N2325,'Retirement Calculator'!A:A,0),0),0)</f>
        <v>0</v>
      </c>
      <c r="K2325" s="455">
        <f t="shared" ca="1" si="146"/>
        <v>-10845795.975767547</v>
      </c>
      <c r="L2325" s="455">
        <f t="shared" ca="1" si="147"/>
        <v>-2613836830.1599789</v>
      </c>
      <c r="M2325" s="471">
        <f t="shared" si="149"/>
        <v>0.05</v>
      </c>
      <c r="N2325" s="475">
        <f t="shared" si="150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48"/>
        <v>-2613836830.1599789</v>
      </c>
      <c r="J2326" s="455">
        <f t="array" ref="J2326">IFERROR(INDEX('Retirement Calculator'!J:J,MATCH('Isaac 401k'!N2326,'Retirement Calculator'!A:A,0),0),0)</f>
        <v>0</v>
      </c>
      <c r="K2326" s="455">
        <f t="shared" ca="1" si="146"/>
        <v>-10890986.792333245</v>
      </c>
      <c r="L2326" s="455">
        <f t="shared" ca="1" si="147"/>
        <v>-2624727816.952312</v>
      </c>
      <c r="M2326" s="471">
        <f t="shared" si="149"/>
        <v>0.05</v>
      </c>
      <c r="N2326" s="475">
        <f t="shared" si="150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48"/>
        <v>-2624727816.952312</v>
      </c>
      <c r="J2327" s="455">
        <f t="array" ref="J2327">IFERROR(INDEX('Retirement Calculator'!J:J,MATCH('Isaac 401k'!N2327,'Retirement Calculator'!A:A,0),0),0)</f>
        <v>0</v>
      </c>
      <c r="K2327" s="455">
        <f t="shared" ca="1" si="146"/>
        <v>-10936365.903967967</v>
      </c>
      <c r="L2327" s="455">
        <f t="shared" ca="1" si="147"/>
        <v>-2635664182.8562799</v>
      </c>
      <c r="M2327" s="471">
        <f t="shared" si="149"/>
        <v>0.05</v>
      </c>
      <c r="N2327" s="475">
        <f t="shared" si="150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48"/>
        <v>-2635664182.8562799</v>
      </c>
      <c r="J2328" s="455">
        <f t="array" ref="J2328">IFERROR(INDEX('Retirement Calculator'!J:J,MATCH('Isaac 401k'!N2328,'Retirement Calculator'!A:A,0),0),0)</f>
        <v>0</v>
      </c>
      <c r="K2328" s="455">
        <f t="shared" ca="1" si="146"/>
        <v>-10981934.095234498</v>
      </c>
      <c r="L2328" s="455">
        <f t="shared" ca="1" si="147"/>
        <v>-2646646116.9515142</v>
      </c>
      <c r="M2328" s="471">
        <f t="shared" si="149"/>
        <v>0.05</v>
      </c>
      <c r="N2328" s="475">
        <f t="shared" si="150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48"/>
        <v>-2646646116.9515142</v>
      </c>
      <c r="J2329" s="455">
        <f t="array" ref="J2329">IFERROR(INDEX('Retirement Calculator'!J:J,MATCH('Isaac 401k'!N2329,'Retirement Calculator'!A:A,0),0),0)</f>
        <v>0</v>
      </c>
      <c r="K2329" s="455">
        <f t="shared" ca="1" si="146"/>
        <v>-11027692.153964642</v>
      </c>
      <c r="L2329" s="455">
        <f t="shared" ca="1" si="147"/>
        <v>-2657673809.1054788</v>
      </c>
      <c r="M2329" s="471">
        <f t="shared" si="149"/>
        <v>0.05</v>
      </c>
      <c r="N2329" s="475">
        <f t="shared" si="150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48"/>
        <v>-2657673809.1054788</v>
      </c>
      <c r="J2330" s="455">
        <f t="array" ref="J2330">IFERROR(INDEX('Retirement Calculator'!J:J,MATCH('Isaac 401k'!N2330,'Retirement Calculator'!A:A,0),0),0)</f>
        <v>0</v>
      </c>
      <c r="K2330" s="455">
        <f t="shared" ca="1" si="146"/>
        <v>-11073640.871272828</v>
      </c>
      <c r="L2330" s="455">
        <f t="shared" ca="1" si="147"/>
        <v>-2668747449.9767518</v>
      </c>
      <c r="M2330" s="471">
        <f t="shared" si="149"/>
        <v>0.05</v>
      </c>
      <c r="N2330" s="475">
        <f t="shared" si="150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48"/>
        <v>-2668747449.9767518</v>
      </c>
      <c r="J2331" s="455">
        <f t="array" ref="J2331">IFERROR(INDEX('Retirement Calculator'!J:J,MATCH('Isaac 401k'!N2331,'Retirement Calculator'!A:A,0),0),0)</f>
        <v>0</v>
      </c>
      <c r="K2331" s="455">
        <f t="shared" ca="1" si="146"/>
        <v>-11119781.041569799</v>
      </c>
      <c r="L2331" s="455">
        <f t="shared" ca="1" si="147"/>
        <v>-2679867231.0183215</v>
      </c>
      <c r="M2331" s="471">
        <f t="shared" si="149"/>
        <v>0.05</v>
      </c>
      <c r="N2331" s="475">
        <f t="shared" si="150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48"/>
        <v>-2679867231.0183215</v>
      </c>
      <c r="J2332" s="455">
        <f t="array" ref="J2332">IFERROR(INDEX('Retirement Calculator'!J:J,MATCH('Isaac 401k'!N2332,'Retirement Calculator'!A:A,0),0),0)</f>
        <v>0</v>
      </c>
      <c r="K2332" s="455">
        <f t="shared" ca="1" si="146"/>
        <v>-11166113.462576339</v>
      </c>
      <c r="L2332" s="455">
        <f t="shared" ca="1" si="147"/>
        <v>-2691033344.4808979</v>
      </c>
      <c r="M2332" s="471">
        <f t="shared" si="149"/>
        <v>0.05</v>
      </c>
      <c r="N2332" s="475">
        <f t="shared" si="150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48"/>
        <v>-2691033344.4808979</v>
      </c>
      <c r="J2333" s="455">
        <f t="array" ref="J2333">IFERROR(INDEX('Retirement Calculator'!J:J,MATCH('Isaac 401k'!N2333,'Retirement Calculator'!A:A,0),0),0)</f>
        <v>0</v>
      </c>
      <c r="K2333" s="455">
        <f t="shared" ca="1" si="146"/>
        <v>-11212638.935337074</v>
      </c>
      <c r="L2333" s="455">
        <f t="shared" ca="1" si="147"/>
        <v>-2702245983.416235</v>
      </c>
      <c r="M2333" s="471">
        <f t="shared" si="149"/>
        <v>0.05</v>
      </c>
      <c r="N2333" s="475">
        <f t="shared" si="150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48"/>
        <v>-2702245983.416235</v>
      </c>
      <c r="J2334" s="455">
        <f t="array" ref="J2334">IFERROR(INDEX('Retirement Calculator'!J:J,MATCH('Isaac 401k'!N2334,'Retirement Calculator'!A:A,0),0),0)</f>
        <v>0</v>
      </c>
      <c r="K2334" s="455">
        <f t="shared" ca="1" si="146"/>
        <v>-11259358.264234312</v>
      </c>
      <c r="L2334" s="455">
        <f t="shared" ca="1" si="147"/>
        <v>-2713505341.6804695</v>
      </c>
      <c r="M2334" s="471">
        <f t="shared" si="149"/>
        <v>0.05</v>
      </c>
      <c r="N2334" s="475">
        <f t="shared" si="150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48"/>
        <v>-2713505341.6804695</v>
      </c>
      <c r="J2335" s="455">
        <f t="array" ref="J2335">IFERROR(INDEX('Retirement Calculator'!J:J,MATCH('Isaac 401k'!N2335,'Retirement Calculator'!A:A,0),0),0)</f>
        <v>0</v>
      </c>
      <c r="K2335" s="455">
        <f t="shared" ca="1" si="146"/>
        <v>-11306272.257001957</v>
      </c>
      <c r="L2335" s="455">
        <f t="shared" ca="1" si="147"/>
        <v>-2724811613.9374714</v>
      </c>
      <c r="M2335" s="471">
        <f t="shared" si="149"/>
        <v>0.05</v>
      </c>
      <c r="N2335" s="475">
        <f t="shared" si="150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48"/>
        <v>-2724811613.9374714</v>
      </c>
      <c r="J2336" s="455">
        <f t="array" ref="J2336">IFERROR(INDEX('Retirement Calculator'!J:J,MATCH('Isaac 401k'!N2336,'Retirement Calculator'!A:A,0),0),0)</f>
        <v>0</v>
      </c>
      <c r="K2336" s="455">
        <f t="shared" ca="1" si="146"/>
        <v>-11353381.724739464</v>
      </c>
      <c r="L2336" s="455">
        <f t="shared" ca="1" si="147"/>
        <v>-2736164995.6622109</v>
      </c>
      <c r="M2336" s="471">
        <f t="shared" si="149"/>
        <v>0.05</v>
      </c>
      <c r="N2336" s="475">
        <f t="shared" si="150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48"/>
        <v>-2736164995.6622109</v>
      </c>
      <c r="J2337" s="455">
        <f t="array" ref="J2337">IFERROR(INDEX('Retirement Calculator'!J:J,MATCH('Isaac 401k'!N2337,'Retirement Calculator'!A:A,0),0),0)</f>
        <v>0</v>
      </c>
      <c r="K2337" s="455">
        <f t="shared" ca="1" si="146"/>
        <v>-11400687.481925879</v>
      </c>
      <c r="L2337" s="455">
        <f t="shared" ca="1" si="147"/>
        <v>-2747565683.1441369</v>
      </c>
      <c r="M2337" s="471">
        <f t="shared" si="149"/>
        <v>0.05</v>
      </c>
      <c r="N2337" s="475">
        <f t="shared" si="150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48"/>
        <v>-2747565683.1441369</v>
      </c>
      <c r="J2338" s="455">
        <f t="array" ref="J2338">IFERROR(INDEX('Retirement Calculator'!J:J,MATCH('Isaac 401k'!N2338,'Retirement Calculator'!A:A,0),0),0)</f>
        <v>0</v>
      </c>
      <c r="K2338" s="455">
        <f t="shared" ca="1" si="146"/>
        <v>-11448190.346433904</v>
      </c>
      <c r="L2338" s="455">
        <f t="shared" ca="1" si="147"/>
        <v>-2759013873.490571</v>
      </c>
      <c r="M2338" s="471">
        <f t="shared" si="149"/>
        <v>0.05</v>
      </c>
      <c r="N2338" s="475">
        <f t="shared" si="150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48"/>
        <v>-2759013873.490571</v>
      </c>
      <c r="J2339" s="455">
        <f t="array" ref="J2339">IFERROR(INDEX('Retirement Calculator'!J:J,MATCH('Isaac 401k'!N2339,'Retirement Calculator'!A:A,0),0),0)</f>
        <v>0</v>
      </c>
      <c r="K2339" s="455">
        <f t="shared" ca="1" si="146"/>
        <v>-11495891.139544046</v>
      </c>
      <c r="L2339" s="455">
        <f t="shared" ca="1" si="147"/>
        <v>-2770509764.630115</v>
      </c>
      <c r="M2339" s="471">
        <f t="shared" si="149"/>
        <v>0.05</v>
      </c>
      <c r="N2339" s="475">
        <f t="shared" si="150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48"/>
        <v>-2770509764.630115</v>
      </c>
      <c r="J2340" s="455">
        <f t="array" ref="J2340">IFERROR(INDEX('Retirement Calculator'!J:J,MATCH('Isaac 401k'!N2340,'Retirement Calculator'!A:A,0),0),0)</f>
        <v>0</v>
      </c>
      <c r="K2340" s="455">
        <f t="shared" ca="1" si="146"/>
        <v>-11543790.685958812</v>
      </c>
      <c r="L2340" s="455">
        <f t="shared" ca="1" si="147"/>
        <v>-2782053555.3160739</v>
      </c>
      <c r="M2340" s="471">
        <f t="shared" si="149"/>
        <v>0.05</v>
      </c>
      <c r="N2340" s="475">
        <f t="shared" si="150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48"/>
        <v>-2782053555.3160739</v>
      </c>
      <c r="J2341" s="455">
        <f t="array" ref="J2341">IFERROR(INDEX('Retirement Calculator'!J:J,MATCH('Isaac 401k'!N2341,'Retirement Calculator'!A:A,0),0),0)</f>
        <v>0</v>
      </c>
      <c r="K2341" s="455">
        <f t="shared" ca="1" si="146"/>
        <v>-11591889.813816974</v>
      </c>
      <c r="L2341" s="455">
        <f t="shared" ca="1" si="147"/>
        <v>-2793645445.1298909</v>
      </c>
      <c r="M2341" s="471">
        <f t="shared" si="149"/>
        <v>0.05</v>
      </c>
      <c r="N2341" s="475">
        <f t="shared" si="150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48"/>
        <v>-2793645445.1298909</v>
      </c>
      <c r="J2342" s="455">
        <f t="array" ref="J2342">IFERROR(INDEX('Retirement Calculator'!J:J,MATCH('Isaac 401k'!N2342,'Retirement Calculator'!A:A,0),0),0)</f>
        <v>0</v>
      </c>
      <c r="K2342" s="455">
        <f t="shared" ca="1" si="146"/>
        <v>-11640189.354707878</v>
      </c>
      <c r="L2342" s="455">
        <f t="shared" ca="1" si="147"/>
        <v>-2805285634.4845986</v>
      </c>
      <c r="M2342" s="471">
        <f t="shared" si="149"/>
        <v>0.05</v>
      </c>
      <c r="N2342" s="475">
        <f t="shared" si="150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48"/>
        <v>-2805285634.4845986</v>
      </c>
      <c r="J2343" s="455">
        <f t="array" ref="J2343">IFERROR(INDEX('Retirement Calculator'!J:J,MATCH('Isaac 401k'!N2343,'Retirement Calculator'!A:A,0),0),0)</f>
        <v>0</v>
      </c>
      <c r="K2343" s="455">
        <f t="shared" ca="1" si="146"/>
        <v>-11688690.143685827</v>
      </c>
      <c r="L2343" s="455">
        <f t="shared" ca="1" si="147"/>
        <v>-2816974324.6282845</v>
      </c>
      <c r="M2343" s="471">
        <f t="shared" si="149"/>
        <v>0.05</v>
      </c>
      <c r="N2343" s="475">
        <f t="shared" si="150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48"/>
        <v>-2816974324.6282845</v>
      </c>
      <c r="J2344" s="455">
        <f t="array" ref="J2344">IFERROR(INDEX('Retirement Calculator'!J:J,MATCH('Isaac 401k'!N2344,'Retirement Calculator'!A:A,0),0),0)</f>
        <v>0</v>
      </c>
      <c r="K2344" s="455">
        <f t="shared" ca="1" si="146"/>
        <v>-11737393.019284518</v>
      </c>
      <c r="L2344" s="455">
        <f t="shared" ca="1" si="147"/>
        <v>-2828711717.6475692</v>
      </c>
      <c r="M2344" s="471">
        <f t="shared" si="149"/>
        <v>0.05</v>
      </c>
      <c r="N2344" s="475">
        <f t="shared" si="150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48"/>
        <v>-2828711717.6475692</v>
      </c>
      <c r="J2345" s="455">
        <f t="array" ref="J2345">IFERROR(INDEX('Retirement Calculator'!J:J,MATCH('Isaac 401k'!N2345,'Retirement Calculator'!A:A,0),0),0)</f>
        <v>0</v>
      </c>
      <c r="K2345" s="455">
        <f t="shared" ca="1" si="146"/>
        <v>-11786298.823531538</v>
      </c>
      <c r="L2345" s="455">
        <f t="shared" ca="1" si="147"/>
        <v>-2840498016.4711008</v>
      </c>
      <c r="M2345" s="471">
        <f t="shared" si="149"/>
        <v>0.05</v>
      </c>
      <c r="N2345" s="475">
        <f t="shared" si="150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48"/>
        <v>-2840498016.4711008</v>
      </c>
      <c r="J2346" s="455">
        <f t="array" ref="J2346">IFERROR(INDEX('Retirement Calculator'!J:J,MATCH('Isaac 401k'!N2346,'Retirement Calculator'!A:A,0),0),0)</f>
        <v>0</v>
      </c>
      <c r="K2346" s="455">
        <f t="shared" ca="1" si="146"/>
        <v>-11835408.401962919</v>
      </c>
      <c r="L2346" s="455">
        <f t="shared" ca="1" si="147"/>
        <v>-2852333424.8730636</v>
      </c>
      <c r="M2346" s="471">
        <f t="shared" si="149"/>
        <v>0.05</v>
      </c>
      <c r="N2346" s="475">
        <f t="shared" si="150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48"/>
        <v>-2852333424.8730636</v>
      </c>
      <c r="J2347" s="455">
        <f t="array" ref="J2347">IFERROR(INDEX('Retirement Calculator'!J:J,MATCH('Isaac 401k'!N2347,'Retirement Calculator'!A:A,0),0),0)</f>
        <v>0</v>
      </c>
      <c r="K2347" s="455">
        <f t="shared" ca="1" si="146"/>
        <v>-11884722.603637764</v>
      </c>
      <c r="L2347" s="455">
        <f t="shared" ca="1" si="147"/>
        <v>-2864218147.4767013</v>
      </c>
      <c r="M2347" s="471">
        <f t="shared" si="149"/>
        <v>0.05</v>
      </c>
      <c r="N2347" s="475">
        <f t="shared" si="150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48"/>
        <v>-2864218147.4767013</v>
      </c>
      <c r="J2348" s="455">
        <f t="array" ref="J2348">IFERROR(INDEX('Retirement Calculator'!J:J,MATCH('Isaac 401k'!N2348,'Retirement Calculator'!A:A,0),0),0)</f>
        <v>0</v>
      </c>
      <c r="K2348" s="455">
        <f t="shared" ca="1" si="146"/>
        <v>-11934242.281152923</v>
      </c>
      <c r="L2348" s="455">
        <f t="shared" ca="1" si="147"/>
        <v>-2876152389.757854</v>
      </c>
      <c r="M2348" s="471">
        <f t="shared" si="149"/>
        <v>0.05</v>
      </c>
      <c r="N2348" s="475">
        <f t="shared" si="150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48"/>
        <v>-2876152389.757854</v>
      </c>
      <c r="J2349" s="455">
        <f t="array" ref="J2349">IFERROR(INDEX('Retirement Calculator'!J:J,MATCH('Isaac 401k'!N2349,'Retirement Calculator'!A:A,0),0),0)</f>
        <v>0</v>
      </c>
      <c r="K2349" s="455">
        <f t="shared" ca="1" si="146"/>
        <v>-11983968.290657725</v>
      </c>
      <c r="L2349" s="455">
        <f t="shared" ca="1" si="147"/>
        <v>-2888136358.0485115</v>
      </c>
      <c r="M2349" s="471">
        <f t="shared" si="149"/>
        <v>0.05</v>
      </c>
      <c r="N2349" s="475">
        <f t="shared" si="150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48"/>
        <v>-2888136358.0485115</v>
      </c>
      <c r="J2350" s="455">
        <f t="array" ref="J2350">IFERROR(INDEX('Retirement Calculator'!J:J,MATCH('Isaac 401k'!N2350,'Retirement Calculator'!A:A,0),0),0)</f>
        <v>0</v>
      </c>
      <c r="K2350" s="455">
        <f t="shared" ca="1" si="146"/>
        <v>-12033901.491868798</v>
      </c>
      <c r="L2350" s="455">
        <f t="shared" ca="1" si="147"/>
        <v>-2900170259.5403805</v>
      </c>
      <c r="M2350" s="471">
        <f t="shared" si="149"/>
        <v>0.05</v>
      </c>
      <c r="N2350" s="475">
        <f t="shared" si="150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48"/>
        <v>-2900170259.5403805</v>
      </c>
      <c r="J2351" s="455">
        <f t="array" ref="J2351">IFERROR(INDEX('Retirement Calculator'!J:J,MATCH('Isaac 401k'!N2351,'Retirement Calculator'!A:A,0),0),0)</f>
        <v>0</v>
      </c>
      <c r="K2351" s="455">
        <f t="shared" ca="1" si="146"/>
        <v>-12084042.748084918</v>
      </c>
      <c r="L2351" s="455">
        <f t="shared" ca="1" si="147"/>
        <v>-2912254302.2884655</v>
      </c>
      <c r="M2351" s="471">
        <f t="shared" si="149"/>
        <v>0.05</v>
      </c>
      <c r="N2351" s="475">
        <f t="shared" si="150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48"/>
        <v>-2912254302.2884655</v>
      </c>
      <c r="J2352" s="455">
        <f t="array" ref="J2352">IFERROR(INDEX('Retirement Calculator'!J:J,MATCH('Isaac 401k'!N2352,'Retirement Calculator'!A:A,0),0),0)</f>
        <v>0</v>
      </c>
      <c r="K2352" s="455">
        <f t="shared" ca="1" si="146"/>
        <v>-12134392.92620194</v>
      </c>
      <c r="L2352" s="455">
        <f t="shared" ca="1" si="147"/>
        <v>-2924388695.2146673</v>
      </c>
      <c r="M2352" s="471">
        <f t="shared" si="149"/>
        <v>0.05</v>
      </c>
      <c r="N2352" s="475">
        <f t="shared" si="150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48"/>
        <v>-2924388695.2146673</v>
      </c>
      <c r="J2353" s="455">
        <f t="array" ref="J2353">IFERROR(INDEX('Retirement Calculator'!J:J,MATCH('Isaac 401k'!N2353,'Retirement Calculator'!A:A,0),0),0)</f>
        <v>0</v>
      </c>
      <c r="K2353" s="455">
        <f t="shared" ca="1" si="146"/>
        <v>-12184952.89672778</v>
      </c>
      <c r="L2353" s="455">
        <f t="shared" ca="1" si="147"/>
        <v>-2936573648.1113949</v>
      </c>
      <c r="M2353" s="471">
        <f t="shared" si="149"/>
        <v>0.05</v>
      </c>
      <c r="N2353" s="475">
        <f t="shared" si="150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48"/>
        <v>-2936573648.1113949</v>
      </c>
      <c r="J2354" s="455">
        <f t="array" ref="J2354">IFERROR(INDEX('Retirement Calculator'!J:J,MATCH('Isaac 401k'!N2354,'Retirement Calculator'!A:A,0),0),0)</f>
        <v>0</v>
      </c>
      <c r="K2354" s="455">
        <f t="shared" ca="1" si="146"/>
        <v>-12235723.533797478</v>
      </c>
      <c r="L2354" s="455">
        <f t="shared" ca="1" si="147"/>
        <v>-2948809371.6451921</v>
      </c>
      <c r="M2354" s="471">
        <f t="shared" si="149"/>
        <v>0.05</v>
      </c>
      <c r="N2354" s="475">
        <f t="shared" si="150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48"/>
        <v>-2948809371.6451921</v>
      </c>
      <c r="J2355" s="455">
        <f t="array" ref="J2355">IFERROR(INDEX('Retirement Calculator'!J:J,MATCH('Isaac 401k'!N2355,'Retirement Calculator'!A:A,0),0),0)</f>
        <v>0</v>
      </c>
      <c r="K2355" s="455">
        <f t="shared" ca="1" si="146"/>
        <v>-12286705.7151883</v>
      </c>
      <c r="L2355" s="455">
        <f t="shared" ca="1" si="147"/>
        <v>-2961096077.3603806</v>
      </c>
      <c r="M2355" s="471">
        <f t="shared" si="149"/>
        <v>0.05</v>
      </c>
      <c r="N2355" s="475">
        <f t="shared" si="150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48"/>
        <v>-2961096077.3603806</v>
      </c>
      <c r="J2356" s="455">
        <f t="array" ref="J2356">IFERROR(INDEX('Retirement Calculator'!J:J,MATCH('Isaac 401k'!N2356,'Retirement Calculator'!A:A,0),0),0)</f>
        <v>0</v>
      </c>
      <c r="K2356" s="455">
        <f t="shared" ca="1" si="146"/>
        <v>-12337900.322334919</v>
      </c>
      <c r="L2356" s="455">
        <f t="shared" ca="1" si="147"/>
        <v>-2973433977.6827154</v>
      </c>
      <c r="M2356" s="471">
        <f t="shared" si="149"/>
        <v>0.05</v>
      </c>
      <c r="N2356" s="475">
        <f t="shared" si="150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48"/>
        <v>-2973433977.6827154</v>
      </c>
      <c r="J2357" s="455">
        <f t="array" ref="J2357">IFERROR(INDEX('Retirement Calculator'!J:J,MATCH('Isaac 401k'!N2357,'Retirement Calculator'!A:A,0),0),0)</f>
        <v>0</v>
      </c>
      <c r="K2357" s="455">
        <f t="shared" ca="1" si="146"/>
        <v>-12389308.240344647</v>
      </c>
      <c r="L2357" s="455">
        <f t="shared" ca="1" si="147"/>
        <v>-2985823285.9230599</v>
      </c>
      <c r="M2357" s="471">
        <f t="shared" si="149"/>
        <v>0.05</v>
      </c>
      <c r="N2357" s="475">
        <f t="shared" si="150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48"/>
        <v>-2985823285.9230599</v>
      </c>
      <c r="J2358" s="455">
        <f t="array" ref="J2358">IFERROR(INDEX('Retirement Calculator'!J:J,MATCH('Isaac 401k'!N2358,'Retirement Calculator'!A:A,0),0),0)</f>
        <v>0</v>
      </c>
      <c r="K2358" s="455">
        <f t="shared" ca="1" si="146"/>
        <v>-12440930.358012749</v>
      </c>
      <c r="L2358" s="455">
        <f t="shared" ca="1" si="147"/>
        <v>-2998264216.2810726</v>
      </c>
      <c r="M2358" s="471">
        <f t="shared" si="149"/>
        <v>0.05</v>
      </c>
      <c r="N2358" s="475">
        <f t="shared" si="150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48"/>
        <v>-2998264216.2810726</v>
      </c>
      <c r="J2359" s="455">
        <f t="array" ref="J2359">IFERROR(INDEX('Retirement Calculator'!J:J,MATCH('Isaac 401k'!N2359,'Retirement Calculator'!A:A,0),0),0)</f>
        <v>0</v>
      </c>
      <c r="K2359" s="455">
        <f t="shared" ca="1" si="146"/>
        <v>-12492767.567837803</v>
      </c>
      <c r="L2359" s="455">
        <f t="shared" ca="1" si="147"/>
        <v>-3010756983.8489103</v>
      </c>
      <c r="M2359" s="471">
        <f t="shared" si="149"/>
        <v>0.05</v>
      </c>
      <c r="N2359" s="475">
        <f t="shared" si="150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48"/>
        <v>-3010756983.8489103</v>
      </c>
      <c r="J2360" s="455">
        <f t="array" ref="J2360">IFERROR(INDEX('Retirement Calculator'!J:J,MATCH('Isaac 401k'!N2360,'Retirement Calculator'!A:A,0),0),0)</f>
        <v>0</v>
      </c>
      <c r="K2360" s="455">
        <f t="shared" ca="1" si="146"/>
        <v>-12544820.766037127</v>
      </c>
      <c r="L2360" s="455">
        <f t="shared" ca="1" si="147"/>
        <v>-3023301804.6149473</v>
      </c>
      <c r="M2360" s="471">
        <f t="shared" si="149"/>
        <v>0.05</v>
      </c>
      <c r="N2360" s="475">
        <f t="shared" si="150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48"/>
        <v>-3023301804.6149473</v>
      </c>
      <c r="J2361" s="455">
        <f t="array" ref="J2361">IFERROR(INDEX('Retirement Calculator'!J:J,MATCH('Isaac 401k'!N2361,'Retirement Calculator'!A:A,0),0),0)</f>
        <v>0</v>
      </c>
      <c r="K2361" s="455">
        <f t="shared" ca="1" si="146"/>
        <v>-12597090.85256228</v>
      </c>
      <c r="L2361" s="455">
        <f t="shared" ca="1" si="147"/>
        <v>-3035898895.4675097</v>
      </c>
      <c r="M2361" s="471">
        <f t="shared" si="149"/>
        <v>0.05</v>
      </c>
      <c r="N2361" s="475">
        <f t="shared" si="150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48"/>
        <v>-3035898895.4675097</v>
      </c>
      <c r="J2362" s="455">
        <f t="array" ref="J2362">IFERROR(INDEX('Retirement Calculator'!J:J,MATCH('Isaac 401k'!N2362,'Retirement Calculator'!A:A,0),0),0)</f>
        <v>0</v>
      </c>
      <c r="K2362" s="455">
        <f t="shared" ca="1" si="146"/>
        <v>-12649578.731114624</v>
      </c>
      <c r="L2362" s="455">
        <f t="shared" ca="1" si="147"/>
        <v>-3048548474.1986241</v>
      </c>
      <c r="M2362" s="471">
        <f t="shared" si="149"/>
        <v>0.05</v>
      </c>
      <c r="N2362" s="475">
        <f t="shared" si="150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48"/>
        <v>-3048548474.1986241</v>
      </c>
      <c r="J2363" s="455">
        <f t="array" ref="J2363">IFERROR(INDEX('Retirement Calculator'!J:J,MATCH('Isaac 401k'!N2363,'Retirement Calculator'!A:A,0),0),0)</f>
        <v>0</v>
      </c>
      <c r="K2363" s="455">
        <f t="shared" ca="1" si="146"/>
        <v>-12702285.309160933</v>
      </c>
      <c r="L2363" s="455">
        <f t="shared" ca="1" si="147"/>
        <v>-3061250759.5077848</v>
      </c>
      <c r="M2363" s="471">
        <f t="shared" si="149"/>
        <v>0.05</v>
      </c>
      <c r="N2363" s="475">
        <f t="shared" si="150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48"/>
        <v>-3061250759.5077848</v>
      </c>
      <c r="J2364" s="455">
        <f t="array" ref="J2364">IFERROR(INDEX('Retirement Calculator'!J:J,MATCH('Isaac 401k'!N2364,'Retirement Calculator'!A:A,0),0),0)</f>
        <v>0</v>
      </c>
      <c r="K2364" s="455">
        <f t="shared" ca="1" si="146"/>
        <v>-12755211.497949103</v>
      </c>
      <c r="L2364" s="455">
        <f t="shared" ca="1" si="147"/>
        <v>-3074005971.005734</v>
      </c>
      <c r="M2364" s="471">
        <f t="shared" si="149"/>
        <v>0.05</v>
      </c>
      <c r="N2364" s="475">
        <f t="shared" si="150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48"/>
        <v>-3074005971.005734</v>
      </c>
      <c r="J2365" s="455">
        <f t="array" ref="J2365">IFERROR(INDEX('Retirement Calculator'!J:J,MATCH('Isaac 401k'!N2365,'Retirement Calculator'!A:A,0),0),0)</f>
        <v>0</v>
      </c>
      <c r="K2365" s="455">
        <f t="shared" ca="1" si="146"/>
        <v>-12808358.212523891</v>
      </c>
      <c r="L2365" s="455">
        <f t="shared" ca="1" si="147"/>
        <v>-3086814329.2182579</v>
      </c>
      <c r="M2365" s="471">
        <f t="shared" si="149"/>
        <v>0.05</v>
      </c>
      <c r="N2365" s="475">
        <f t="shared" si="150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48"/>
        <v>-3086814329.2182579</v>
      </c>
      <c r="J2366" s="455">
        <f t="array" ref="J2366">IFERROR(INDEX('Retirement Calculator'!J:J,MATCH('Isaac 401k'!N2366,'Retirement Calculator'!A:A,0),0),0)</f>
        <v>0</v>
      </c>
      <c r="K2366" s="455">
        <f t="shared" ca="1" si="146"/>
        <v>-12861726.37174274</v>
      </c>
      <c r="L2366" s="455">
        <f t="shared" ca="1" si="147"/>
        <v>-3099676055.5900006</v>
      </c>
      <c r="M2366" s="471">
        <f t="shared" si="149"/>
        <v>0.05</v>
      </c>
      <c r="N2366" s="475">
        <f t="shared" si="150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48"/>
        <v>-3099676055.5900006</v>
      </c>
      <c r="J2367" s="455">
        <f t="array" ref="J2367">IFERROR(INDEX('Retirement Calculator'!J:J,MATCH('Isaac 401k'!N2367,'Retirement Calculator'!A:A,0),0),0)</f>
        <v>0</v>
      </c>
      <c r="K2367" s="455">
        <f t="shared" ca="1" si="146"/>
        <v>-12915316.89829167</v>
      </c>
      <c r="L2367" s="455">
        <f t="shared" ca="1" si="147"/>
        <v>-3112591372.4882922</v>
      </c>
      <c r="M2367" s="471">
        <f t="shared" si="149"/>
        <v>0.05</v>
      </c>
      <c r="N2367" s="475">
        <f t="shared" si="150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48"/>
        <v>-3112591372.4882922</v>
      </c>
      <c r="J2368" s="455">
        <f t="array" ref="J2368">IFERROR(INDEX('Retirement Calculator'!J:J,MATCH('Isaac 401k'!N2368,'Retirement Calculator'!A:A,0),0),0)</f>
        <v>0</v>
      </c>
      <c r="K2368" s="455">
        <f t="shared" ca="1" si="146"/>
        <v>-12969130.718701217</v>
      </c>
      <c r="L2368" s="455">
        <f t="shared" ca="1" si="147"/>
        <v>-3125560503.2069936</v>
      </c>
      <c r="M2368" s="471">
        <f t="shared" si="149"/>
        <v>0.05</v>
      </c>
      <c r="N2368" s="475">
        <f t="shared" si="150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48"/>
        <v>-3125560503.2069936</v>
      </c>
      <c r="J2369" s="455">
        <f t="array" ref="J2369">IFERROR(INDEX('Retirement Calculator'!J:J,MATCH('Isaac 401k'!N2369,'Retirement Calculator'!A:A,0),0),0)</f>
        <v>0</v>
      </c>
      <c r="K2369" s="455">
        <f t="shared" ca="1" si="146"/>
        <v>-13023168.763362473</v>
      </c>
      <c r="L2369" s="455">
        <f t="shared" ca="1" si="147"/>
        <v>-3138583671.970356</v>
      </c>
      <c r="M2369" s="471">
        <f t="shared" si="149"/>
        <v>0.05</v>
      </c>
      <c r="N2369" s="475">
        <f t="shared" si="150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48"/>
        <v>-3138583671.970356</v>
      </c>
      <c r="J2370" s="455">
        <f t="array" ref="J2370">IFERROR(INDEX('Retirement Calculator'!J:J,MATCH('Isaac 401k'!N2370,'Retirement Calculator'!A:A,0),0),0)</f>
        <v>0</v>
      </c>
      <c r="K2370" s="455">
        <f t="shared" ca="1" si="146"/>
        <v>-13077431.966543149</v>
      </c>
      <c r="L2370" s="455">
        <f t="shared" ca="1" si="147"/>
        <v>-3151661103.9368992</v>
      </c>
      <c r="M2370" s="471">
        <f t="shared" si="149"/>
        <v>0.05</v>
      </c>
      <c r="N2370" s="475">
        <f t="shared" si="150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48"/>
        <v>-3151661103.9368992</v>
      </c>
      <c r="J2371" s="455">
        <f t="array" ref="J2371">IFERROR(INDEX('Retirement Calculator'!J:J,MATCH('Isaac 401k'!N2371,'Retirement Calculator'!A:A,0),0),0)</f>
        <v>0</v>
      </c>
      <c r="K2371" s="455">
        <f t="shared" ca="1" si="146"/>
        <v>-13131921.266403746</v>
      </c>
      <c r="L2371" s="455">
        <f t="shared" ca="1" si="147"/>
        <v>-3164793025.2033029</v>
      </c>
      <c r="M2371" s="471">
        <f t="shared" si="149"/>
        <v>0.05</v>
      </c>
      <c r="N2371" s="475">
        <f t="shared" si="150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48"/>
        <v>-3164793025.2033029</v>
      </c>
      <c r="J2372" s="455">
        <f t="array" ref="J2372">IFERROR(INDEX('Retirement Calculator'!J:J,MATCH('Isaac 401k'!N2372,'Retirement Calculator'!A:A,0),0),0)</f>
        <v>0</v>
      </c>
      <c r="K2372" s="455">
        <f t="shared" ca="1" si="146"/>
        <v>-13186637.605013762</v>
      </c>
      <c r="L2372" s="455">
        <f t="shared" ca="1" si="147"/>
        <v>-3177979662.8083167</v>
      </c>
      <c r="M2372" s="471">
        <f t="shared" si="149"/>
        <v>0.05</v>
      </c>
      <c r="N2372" s="475">
        <f t="shared" si="150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48"/>
        <v>-3177979662.8083167</v>
      </c>
      <c r="J2373" s="455">
        <f t="array" ref="J2373">IFERROR(INDEX('Retirement Calculator'!J:J,MATCH('Isaac 401k'!N2373,'Retirement Calculator'!A:A,0),0),0)</f>
        <v>0</v>
      </c>
      <c r="K2373" s="455">
        <f t="shared" ca="1" si="146"/>
        <v>-13241581.928367985</v>
      </c>
      <c r="L2373" s="455">
        <f t="shared" ca="1" si="147"/>
        <v>-3191221244.7366848</v>
      </c>
      <c r="M2373" s="471">
        <f t="shared" si="149"/>
        <v>0.05</v>
      </c>
      <c r="N2373" s="475">
        <f t="shared" si="150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48"/>
        <v>-3191221244.7366848</v>
      </c>
      <c r="J2374" s="455">
        <f t="array" ref="J2374">IFERROR(INDEX('Retirement Calculator'!J:J,MATCH('Isaac 401k'!N2374,'Retirement Calculator'!A:A,0),0),0)</f>
        <v>0</v>
      </c>
      <c r="K2374" s="455">
        <f t="shared" ca="1" si="146"/>
        <v>-13296755.186402854</v>
      </c>
      <c r="L2374" s="455">
        <f t="shared" ca="1" si="147"/>
        <v>-3204517999.9230876</v>
      </c>
      <c r="M2374" s="471">
        <f t="shared" si="149"/>
        <v>0.05</v>
      </c>
      <c r="N2374" s="475">
        <f t="shared" si="150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48"/>
        <v>-3204517999.9230876</v>
      </c>
      <c r="J2375" s="455">
        <f t="array" ref="J2375">IFERROR(INDEX('Retirement Calculator'!J:J,MATCH('Isaac 401k'!N2375,'Retirement Calculator'!A:A,0),0),0)</f>
        <v>0</v>
      </c>
      <c r="K2375" s="455">
        <f t="shared" ca="1" si="146"/>
        <v>-13352158.333012864</v>
      </c>
      <c r="L2375" s="455">
        <f t="shared" ca="1" si="147"/>
        <v>-3217870158.2561007</v>
      </c>
      <c r="M2375" s="471">
        <f t="shared" si="149"/>
        <v>0.05</v>
      </c>
      <c r="N2375" s="475">
        <f t="shared" si="150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48"/>
        <v>-3217870158.2561007</v>
      </c>
      <c r="J2376" s="455">
        <f t="array" ref="J2376">IFERROR(INDEX('Retirement Calculator'!J:J,MATCH('Isaac 401k'!N2376,'Retirement Calculator'!A:A,0),0),0)</f>
        <v>0</v>
      </c>
      <c r="K2376" s="455">
        <f t="shared" ca="1" si="146"/>
        <v>-13407792.326067086</v>
      </c>
      <c r="L2376" s="455">
        <f t="shared" ca="1" si="147"/>
        <v>-3231277950.5821676</v>
      </c>
      <c r="M2376" s="471">
        <f t="shared" si="149"/>
        <v>0.05</v>
      </c>
      <c r="N2376" s="475">
        <f t="shared" si="150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48"/>
        <v>-3231277950.5821676</v>
      </c>
      <c r="J2377" s="455">
        <f t="array" ref="J2377">IFERROR(INDEX('Retirement Calculator'!J:J,MATCH('Isaac 401k'!N2377,'Retirement Calculator'!A:A,0),0),0)</f>
        <v>0</v>
      </c>
      <c r="K2377" s="455">
        <f t="shared" ca="1" si="146"/>
        <v>-13463658.127425699</v>
      </c>
      <c r="L2377" s="455">
        <f t="shared" ca="1" si="147"/>
        <v>-3244741608.7095933</v>
      </c>
      <c r="M2377" s="471">
        <f t="shared" si="149"/>
        <v>0.05</v>
      </c>
      <c r="N2377" s="475">
        <f t="shared" si="150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48"/>
        <v>-3244741608.7095933</v>
      </c>
      <c r="J2378" s="455">
        <f t="array" ref="J2378">IFERROR(INDEX('Retirement Calculator'!J:J,MATCH('Isaac 401k'!N2378,'Retirement Calculator'!A:A,0),0),0)</f>
        <v>0</v>
      </c>
      <c r="K2378" s="455">
        <f t="shared" ca="1" si="146"/>
        <v>-13519756.702956639</v>
      </c>
      <c r="L2378" s="455">
        <f t="shared" ca="1" si="147"/>
        <v>-3258261365.41255</v>
      </c>
      <c r="M2378" s="471">
        <f t="shared" si="149"/>
        <v>0.05</v>
      </c>
      <c r="N2378" s="475">
        <f t="shared" si="150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48"/>
        <v>-3258261365.41255</v>
      </c>
      <c r="J2379" s="455">
        <f t="array" ref="J2379">IFERROR(INDEX('Retirement Calculator'!J:J,MATCH('Isaac 401k'!N2379,'Retirement Calculator'!A:A,0),0),0)</f>
        <v>0</v>
      </c>
      <c r="K2379" s="455">
        <f t="shared" ca="1" si="146"/>
        <v>-13576089.022552291</v>
      </c>
      <c r="L2379" s="455">
        <f t="shared" ca="1" si="147"/>
        <v>-3271837454.4351025</v>
      </c>
      <c r="M2379" s="471">
        <f t="shared" si="149"/>
        <v>0.05</v>
      </c>
      <c r="N2379" s="475">
        <f t="shared" si="150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48"/>
        <v>-3271837454.4351025</v>
      </c>
      <c r="J2380" s="455">
        <f t="array" ref="J2380">IFERROR(INDEX('Retirement Calculator'!J:J,MATCH('Isaac 401k'!N2380,'Retirement Calculator'!A:A,0),0),0)</f>
        <v>0</v>
      </c>
      <c r="K2380" s="455">
        <f t="shared" ca="1" si="146"/>
        <v>-13632656.060146259</v>
      </c>
      <c r="L2380" s="455">
        <f t="shared" ca="1" si="147"/>
        <v>-3285470110.4952488</v>
      </c>
      <c r="M2380" s="471">
        <f t="shared" si="149"/>
        <v>0.05</v>
      </c>
      <c r="N2380" s="475">
        <f t="shared" si="150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48"/>
        <v>-3285470110.4952488</v>
      </c>
      <c r="J2381" s="455">
        <f t="array" ref="J2381">IFERROR(INDEX('Retirement Calculator'!J:J,MATCH('Isaac 401k'!N2381,'Retirement Calculator'!A:A,0),0),0)</f>
        <v>0</v>
      </c>
      <c r="K2381" s="455">
        <f t="shared" ca="1" si="146"/>
        <v>-13689458.793730203</v>
      </c>
      <c r="L2381" s="455">
        <f t="shared" ca="1" si="147"/>
        <v>-3299159569.2889791</v>
      </c>
      <c r="M2381" s="471">
        <f t="shared" si="149"/>
        <v>0.05</v>
      </c>
      <c r="N2381" s="475">
        <f t="shared" si="150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48"/>
        <v>-3299159569.2889791</v>
      </c>
      <c r="J2382" s="455">
        <f t="array" ref="J2382">IFERROR(INDEX('Retirement Calculator'!J:J,MATCH('Isaac 401k'!N2382,'Retirement Calculator'!A:A,0),0),0)</f>
        <v>0</v>
      </c>
      <c r="K2382" s="455">
        <f t="shared" ca="1" si="146"/>
        <v>-13746498.205370747</v>
      </c>
      <c r="L2382" s="455">
        <f t="shared" ca="1" si="147"/>
        <v>-3312906067.49435</v>
      </c>
      <c r="M2382" s="471">
        <f t="shared" si="149"/>
        <v>0.05</v>
      </c>
      <c r="N2382" s="475">
        <f t="shared" si="150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48"/>
        <v>-3312906067.49435</v>
      </c>
      <c r="J2383" s="455">
        <f t="array" ref="J2383">IFERROR(INDEX('Retirement Calculator'!J:J,MATCH('Isaac 401k'!N2383,'Retirement Calculator'!A:A,0),0),0)</f>
        <v>0</v>
      </c>
      <c r="K2383" s="455">
        <f t="shared" ca="1" si="146"/>
        <v>-13803775.281226458</v>
      </c>
      <c r="L2383" s="455">
        <f t="shared" ca="1" si="147"/>
        <v>-3326709842.7755766</v>
      </c>
      <c r="M2383" s="471">
        <f t="shared" si="149"/>
        <v>0.05</v>
      </c>
      <c r="N2383" s="475">
        <f t="shared" si="150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48"/>
        <v>-3326709842.7755766</v>
      </c>
      <c r="J2384" s="455">
        <f t="array" ref="J2384">IFERROR(INDEX('Retirement Calculator'!J:J,MATCH('Isaac 401k'!N2384,'Retirement Calculator'!A:A,0),0),0)</f>
        <v>0</v>
      </c>
      <c r="K2384" s="455">
        <f t="shared" ca="1" si="146"/>
        <v>-13861291.011564903</v>
      </c>
      <c r="L2384" s="455">
        <f t="shared" ca="1" si="147"/>
        <v>-3340571133.7871413</v>
      </c>
      <c r="M2384" s="471">
        <f t="shared" si="149"/>
        <v>0.05</v>
      </c>
      <c r="N2384" s="475">
        <f t="shared" si="150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48"/>
        <v>-3340571133.7871413</v>
      </c>
      <c r="J2385" s="455">
        <f t="array" ref="J2385">IFERROR(INDEX('Retirement Calculator'!J:J,MATCH('Isaac 401k'!N2385,'Retirement Calculator'!A:A,0),0),0)</f>
        <v>0</v>
      </c>
      <c r="K2385" s="455">
        <f t="shared" ca="1" si="146"/>
        <v>-13919046.390779756</v>
      </c>
      <c r="L2385" s="455">
        <f t="shared" ca="1" si="147"/>
        <v>-3354490180.1779213</v>
      </c>
      <c r="M2385" s="471">
        <f t="shared" si="149"/>
        <v>0.05</v>
      </c>
      <c r="N2385" s="475">
        <f t="shared" si="150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48"/>
        <v>-3354490180.1779213</v>
      </c>
      <c r="J2386" s="455">
        <f t="array" ref="J2386">IFERROR(INDEX('Retirement Calculator'!J:J,MATCH('Isaac 401k'!N2386,'Retirement Calculator'!A:A,0),0),0)</f>
        <v>0</v>
      </c>
      <c r="K2386" s="455">
        <f t="shared" ca="1" si="146"/>
        <v>-13977042.417408004</v>
      </c>
      <c r="L2386" s="455">
        <f t="shared" ca="1" si="147"/>
        <v>-3368467222.5953293</v>
      </c>
      <c r="M2386" s="471">
        <f t="shared" si="149"/>
        <v>0.05</v>
      </c>
      <c r="N2386" s="475">
        <f t="shared" si="150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48"/>
        <v>-3368467222.5953293</v>
      </c>
      <c r="J2387" s="455">
        <f t="array" ref="J2387">IFERROR(INDEX('Retirement Calculator'!J:J,MATCH('Isaac 401k'!N2387,'Retirement Calculator'!A:A,0),0),0)</f>
        <v>0</v>
      </c>
      <c r="K2387" s="455">
        <f t="shared" ca="1" si="146"/>
        <v>-14035280.094147203</v>
      </c>
      <c r="L2387" s="455">
        <f t="shared" ca="1" si="147"/>
        <v>-3382502502.6894765</v>
      </c>
      <c r="M2387" s="471">
        <f t="shared" si="149"/>
        <v>0.05</v>
      </c>
      <c r="N2387" s="475">
        <f t="shared" si="150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48"/>
        <v>-3382502502.6894765</v>
      </c>
      <c r="J2388" s="455">
        <f t="array" ref="J2388">IFERROR(INDEX('Retirement Calculator'!J:J,MATCH('Isaac 401k'!N2388,'Retirement Calculator'!A:A,0),0),0)</f>
        <v>0</v>
      </c>
      <c r="K2388" s="455">
        <f t="shared" ca="1" si="146"/>
        <v>-14093760.42787282</v>
      </c>
      <c r="L2388" s="455">
        <f t="shared" ca="1" si="147"/>
        <v>-3396596263.1173491</v>
      </c>
      <c r="M2388" s="471">
        <f t="shared" si="149"/>
        <v>0.05</v>
      </c>
      <c r="N2388" s="475">
        <f t="shared" si="150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48"/>
        <v>-3396596263.1173491</v>
      </c>
      <c r="J2389" s="455">
        <f t="array" ref="J2389">IFERROR(INDEX('Retirement Calculator'!J:J,MATCH('Isaac 401k'!N2389,'Retirement Calculator'!A:A,0),0),0)</f>
        <v>0</v>
      </c>
      <c r="K2389" s="455">
        <f t="shared" ca="1" si="146"/>
        <v>-14152484.429655621</v>
      </c>
      <c r="L2389" s="455">
        <f t="shared" ca="1" si="147"/>
        <v>-3410748747.5470047</v>
      </c>
      <c r="M2389" s="471">
        <f t="shared" si="149"/>
        <v>0.05</v>
      </c>
      <c r="N2389" s="475">
        <f t="shared" si="150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48"/>
        <v>-3410748747.5470047</v>
      </c>
      <c r="J2390" s="455">
        <f t="array" ref="J2390">IFERROR(INDEX('Retirement Calculator'!J:J,MATCH('Isaac 401k'!N2390,'Retirement Calculator'!A:A,0),0),0)</f>
        <v>0</v>
      </c>
      <c r="K2390" s="455">
        <f t="shared" ca="1" si="146"/>
        <v>-14211453.114779186</v>
      </c>
      <c r="L2390" s="455">
        <f t="shared" ca="1" si="147"/>
        <v>-3424960200.6617837</v>
      </c>
      <c r="M2390" s="471">
        <f t="shared" si="149"/>
        <v>0.05</v>
      </c>
      <c r="N2390" s="475">
        <f t="shared" si="150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48"/>
        <v>-3424960200.6617837</v>
      </c>
      <c r="J2391" s="455">
        <f t="array" ref="J2391">IFERROR(INDEX('Retirement Calculator'!J:J,MATCH('Isaac 401k'!N2391,'Retirement Calculator'!A:A,0),0),0)</f>
        <v>0</v>
      </c>
      <c r="K2391" s="455">
        <f t="shared" ca="1" si="146"/>
        <v>-14270667.502757432</v>
      </c>
      <c r="L2391" s="455">
        <f t="shared" ca="1" si="147"/>
        <v>-3439230868.1645412</v>
      </c>
      <c r="M2391" s="471">
        <f t="shared" si="149"/>
        <v>0.05</v>
      </c>
      <c r="N2391" s="475">
        <f t="shared" si="150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48"/>
        <v>-3439230868.1645412</v>
      </c>
      <c r="J2392" s="455">
        <f t="array" ref="J2392">IFERROR(INDEX('Retirement Calculator'!J:J,MATCH('Isaac 401k'!N2392,'Retirement Calculator'!A:A,0),0),0)</f>
        <v>0</v>
      </c>
      <c r="K2392" s="455">
        <f t="shared" ca="1" si="146"/>
        <v>-14330128.617352255</v>
      </c>
      <c r="L2392" s="455">
        <f t="shared" ca="1" si="147"/>
        <v>-3453560996.7818937</v>
      </c>
      <c r="M2392" s="471">
        <f t="shared" si="149"/>
        <v>0.05</v>
      </c>
      <c r="N2392" s="475">
        <f t="shared" si="150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48"/>
        <v>-3453560996.7818937</v>
      </c>
      <c r="J2393" s="455">
        <f t="array" ref="J2393">IFERROR(INDEX('Retirement Calculator'!J:J,MATCH('Isaac 401k'!N2393,'Retirement Calculator'!A:A,0),0),0)</f>
        <v>0</v>
      </c>
      <c r="K2393" s="455">
        <f t="shared" ca="1" si="146"/>
        <v>-14389837.486591224</v>
      </c>
      <c r="L2393" s="455">
        <f t="shared" ca="1" si="147"/>
        <v>-3467950834.2684851</v>
      </c>
      <c r="M2393" s="471">
        <f t="shared" si="149"/>
        <v>0.05</v>
      </c>
      <c r="N2393" s="475">
        <f t="shared" si="150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48"/>
        <v>-3467950834.2684851</v>
      </c>
      <c r="J2394" s="455">
        <f t="array" ref="J2394">IFERROR(INDEX('Retirement Calculator'!J:J,MATCH('Isaac 401k'!N2394,'Retirement Calculator'!A:A,0),0),0)</f>
        <v>0</v>
      </c>
      <c r="K2394" s="455">
        <f t="shared" ca="1" si="146"/>
        <v>-14449795.142785355</v>
      </c>
      <c r="L2394" s="455">
        <f t="shared" ca="1" si="147"/>
        <v>-3482400629.4112706</v>
      </c>
      <c r="M2394" s="471">
        <f t="shared" si="149"/>
        <v>0.05</v>
      </c>
      <c r="N2394" s="475">
        <f t="shared" si="150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48"/>
        <v>-3482400629.4112706</v>
      </c>
      <c r="J2395" s="455">
        <f t="array" ref="J2395">IFERROR(INDEX('Retirement Calculator'!J:J,MATCH('Isaac 401k'!N2395,'Retirement Calculator'!A:A,0),0),0)</f>
        <v>0</v>
      </c>
      <c r="K2395" s="455">
        <f t="shared" ca="1" si="146"/>
        <v>-14510002.622546962</v>
      </c>
      <c r="L2395" s="455">
        <f t="shared" ca="1" si="147"/>
        <v>-3496910632.0338178</v>
      </c>
      <c r="M2395" s="471">
        <f t="shared" si="149"/>
        <v>0.05</v>
      </c>
      <c r="N2395" s="475">
        <f t="shared" si="150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48"/>
        <v>-3496910632.0338178</v>
      </c>
      <c r="J2396" s="455">
        <f t="array" ref="J2396">IFERROR(INDEX('Retirement Calculator'!J:J,MATCH('Isaac 401k'!N2396,'Retirement Calculator'!A:A,0),0),0)</f>
        <v>0</v>
      </c>
      <c r="K2396" s="455">
        <f t="shared" ca="1" si="146"/>
        <v>-14570460.966807576</v>
      </c>
      <c r="L2396" s="455">
        <f t="shared" ca="1" si="147"/>
        <v>-3511481093.0006251</v>
      </c>
      <c r="M2396" s="471">
        <f t="shared" si="149"/>
        <v>0.05</v>
      </c>
      <c r="N2396" s="475">
        <f t="shared" si="150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48"/>
        <v>-3511481093.0006251</v>
      </c>
      <c r="J2397" s="455">
        <f t="array" ref="J2397">IFERROR(INDEX('Retirement Calculator'!J:J,MATCH('Isaac 401k'!N2397,'Retirement Calculator'!A:A,0),0),0)</f>
        <v>0</v>
      </c>
      <c r="K2397" s="455">
        <f t="shared" ca="1" si="146"/>
        <v>-14631171.220835939</v>
      </c>
      <c r="L2397" s="455">
        <f t="shared" ca="1" si="147"/>
        <v>-3526112264.2214613</v>
      </c>
      <c r="M2397" s="471">
        <f t="shared" si="149"/>
        <v>0.05</v>
      </c>
      <c r="N2397" s="475">
        <f t="shared" si="150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48"/>
        <v>-3526112264.2214613</v>
      </c>
      <c r="J2398" s="455">
        <f t="array" ref="J2398">IFERROR(INDEX('Retirement Calculator'!J:J,MATCH('Isaac 401k'!N2398,'Retirement Calculator'!A:A,0),0),0)</f>
        <v>0</v>
      </c>
      <c r="K2398" s="455">
        <f t="shared" ca="1" si="146"/>
        <v>-14692134.434256086</v>
      </c>
      <c r="L2398" s="455">
        <f t="shared" ca="1" si="147"/>
        <v>-3540804398.6557174</v>
      </c>
      <c r="M2398" s="471">
        <f t="shared" si="149"/>
        <v>0.05</v>
      </c>
      <c r="N2398" s="475">
        <f t="shared" si="150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48"/>
        <v>-3540804398.6557174</v>
      </c>
      <c r="J2399" s="455">
        <f t="array" ref="J2399">IFERROR(INDEX('Retirement Calculator'!J:J,MATCH('Isaac 401k'!N2399,'Retirement Calculator'!A:A,0),0),0)</f>
        <v>0</v>
      </c>
      <c r="K2399" s="455">
        <f t="shared" ca="1" si="146"/>
        <v>-14753351.661065489</v>
      </c>
      <c r="L2399" s="455">
        <f t="shared" ca="1" si="147"/>
        <v>-3555557750.316783</v>
      </c>
      <c r="M2399" s="471">
        <f t="shared" si="149"/>
        <v>0.05</v>
      </c>
      <c r="N2399" s="475">
        <f t="shared" si="150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48"/>
        <v>-3555557750.316783</v>
      </c>
      <c r="J2400" s="455">
        <f t="array" ref="J2400">IFERROR(INDEX('Retirement Calculator'!J:J,MATCH('Isaac 401k'!N2400,'Retirement Calculator'!A:A,0),0),0)</f>
        <v>0</v>
      </c>
      <c r="K2400" s="455">
        <f t="shared" ca="1" si="146"/>
        <v>-14814823.959653262</v>
      </c>
      <c r="L2400" s="455">
        <f t="shared" ca="1" si="147"/>
        <v>-3570372574.2764363</v>
      </c>
      <c r="M2400" s="471">
        <f t="shared" si="149"/>
        <v>0.05</v>
      </c>
      <c r="N2400" s="475">
        <f t="shared" si="150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48"/>
        <v>-3570372574.2764363</v>
      </c>
      <c r="J2401" s="455">
        <f t="array" ref="J2401">IFERROR(INDEX('Retirement Calculator'!J:J,MATCH('Isaac 401k'!N2401,'Retirement Calculator'!A:A,0),0),0)</f>
        <v>0</v>
      </c>
      <c r="K2401" s="455">
        <f t="shared" ca="1" si="146"/>
        <v>-14876552.392818484</v>
      </c>
      <c r="L2401" s="455">
        <f t="shared" ca="1" si="147"/>
        <v>-3585249126.6692548</v>
      </c>
      <c r="M2401" s="471">
        <f t="shared" si="149"/>
        <v>0.05</v>
      </c>
      <c r="N2401" s="475">
        <f t="shared" si="150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48"/>
        <v>-3585249126.6692548</v>
      </c>
      <c r="J2402" s="455">
        <f t="array" ref="J2402">IFERROR(INDEX('Retirement Calculator'!J:J,MATCH('Isaac 401k'!N2402,'Retirement Calculator'!A:A,0),0),0)</f>
        <v>0</v>
      </c>
      <c r="K2402" s="455">
        <f t="shared" ca="1" si="146"/>
        <v>-14938538.027788559</v>
      </c>
      <c r="L2402" s="455">
        <f t="shared" ca="1" si="147"/>
        <v>-3600187664.6970434</v>
      </c>
      <c r="M2402" s="471">
        <f t="shared" si="149"/>
        <v>0.05</v>
      </c>
      <c r="N2402" s="475">
        <f t="shared" si="150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48"/>
        <v>-3600187664.6970434</v>
      </c>
      <c r="J2403" s="455">
        <f t="array" ref="J2403">IFERROR(INDEX('Retirement Calculator'!J:J,MATCH('Isaac 401k'!N2403,'Retirement Calculator'!A:A,0),0),0)</f>
        <v>0</v>
      </c>
      <c r="K2403" s="455">
        <f t="shared" ca="1" si="146"/>
        <v>-15000781.93623768</v>
      </c>
      <c r="L2403" s="455">
        <f t="shared" ca="1" si="147"/>
        <v>-3615188446.6332812</v>
      </c>
      <c r="M2403" s="471">
        <f t="shared" si="149"/>
        <v>0.05</v>
      </c>
      <c r="N2403" s="475">
        <f t="shared" si="150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48"/>
        <v>-3615188446.6332812</v>
      </c>
      <c r="J2404" s="455">
        <f t="array" ref="J2404">IFERROR(INDEX('Retirement Calculator'!J:J,MATCH('Isaac 401k'!N2404,'Retirement Calculator'!A:A,0),0),0)</f>
        <v>0</v>
      </c>
      <c r="K2404" s="455">
        <f t="shared" ca="1" si="146"/>
        <v>-15063285.194305338</v>
      </c>
      <c r="L2404" s="455">
        <f t="shared" ca="1" si="147"/>
        <v>-3630251731.8275867</v>
      </c>
      <c r="M2404" s="471">
        <f t="shared" si="149"/>
        <v>0.05</v>
      </c>
      <c r="N2404" s="475">
        <f t="shared" si="150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48"/>
        <v>-3630251731.8275867</v>
      </c>
      <c r="J2405" s="455">
        <f t="array" ref="J2405">IFERROR(INDEX('Retirement Calculator'!J:J,MATCH('Isaac 401k'!N2405,'Retirement Calculator'!A:A,0),0),0)</f>
        <v>0</v>
      </c>
      <c r="K2405" s="455">
        <f t="shared" ca="1" si="146"/>
        <v>-15126048.882614944</v>
      </c>
      <c r="L2405" s="455">
        <f t="shared" ca="1" si="147"/>
        <v>-3645377780.7102017</v>
      </c>
      <c r="M2405" s="471">
        <f t="shared" si="149"/>
        <v>0.05</v>
      </c>
      <c r="N2405" s="475">
        <f t="shared" si="150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48"/>
        <v>-3645377780.7102017</v>
      </c>
      <c r="J2406" s="455">
        <f t="array" ref="J2406">IFERROR(INDEX('Retirement Calculator'!J:J,MATCH('Isaac 401k'!N2406,'Retirement Calculator'!A:A,0),0),0)</f>
        <v>0</v>
      </c>
      <c r="K2406" s="455">
        <f t="shared" ca="1" si="146"/>
        <v>-15189074.086292509</v>
      </c>
      <c r="L2406" s="455">
        <f t="shared" ca="1" si="147"/>
        <v>-3660566854.7964945</v>
      </c>
      <c r="M2406" s="471">
        <f t="shared" si="149"/>
        <v>0.05</v>
      </c>
      <c r="N2406" s="475">
        <f t="shared" si="150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48"/>
        <v>-3660566854.7964945</v>
      </c>
      <c r="J2407" s="455">
        <f t="array" ref="J2407">IFERROR(INDEX('Retirement Calculator'!J:J,MATCH('Isaac 401k'!N2407,'Retirement Calculator'!A:A,0),0),0)</f>
        <v>0</v>
      </c>
      <c r="K2407" s="455">
        <f t="shared" ca="1" si="146"/>
        <v>-15252361.894985393</v>
      </c>
      <c r="L2407" s="455">
        <f t="shared" ca="1" si="147"/>
        <v>-3675819216.6914797</v>
      </c>
      <c r="M2407" s="471">
        <f t="shared" si="149"/>
        <v>0.05</v>
      </c>
      <c r="N2407" s="475">
        <f t="shared" si="150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48"/>
        <v>-3675819216.6914797</v>
      </c>
      <c r="J2408" s="455">
        <f t="array" ref="J2408">IFERROR(INDEX('Retirement Calculator'!J:J,MATCH('Isaac 401k'!N2408,'Retirement Calculator'!A:A,0),0),0)</f>
        <v>0</v>
      </c>
      <c r="K2408" s="455">
        <f t="shared" ca="1" si="146"/>
        <v>-15315913.402881166</v>
      </c>
      <c r="L2408" s="455">
        <f t="shared" ca="1" si="147"/>
        <v>-3691135130.0943608</v>
      </c>
      <c r="M2408" s="471">
        <f t="shared" si="149"/>
        <v>0.05</v>
      </c>
      <c r="N2408" s="475">
        <f t="shared" si="150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48"/>
        <v>-3691135130.0943608</v>
      </c>
      <c r="J2409" s="455">
        <f t="array" ref="J2409">IFERROR(INDEX('Retirement Calculator'!J:J,MATCH('Isaac 401k'!N2409,'Retirement Calculator'!A:A,0),0),0)</f>
        <v>0</v>
      </c>
      <c r="K2409" s="455">
        <f t="shared" ca="1" si="146"/>
        <v>-15379729.708726503</v>
      </c>
      <c r="L2409" s="455">
        <f t="shared" ca="1" si="147"/>
        <v>-3706514859.8030872</v>
      </c>
      <c r="M2409" s="471">
        <f t="shared" si="149"/>
        <v>0.05</v>
      </c>
      <c r="N2409" s="475">
        <f t="shared" si="150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48"/>
        <v>-3706514859.8030872</v>
      </c>
      <c r="J2410" s="455">
        <f t="array" ref="J2410">IFERROR(INDEX('Retirement Calculator'!J:J,MATCH('Isaac 401k'!N2410,'Retirement Calculator'!A:A,0),0),0)</f>
        <v>0</v>
      </c>
      <c r="K2410" s="455">
        <f t="shared" ca="1" si="146"/>
        <v>-15443811.915846195</v>
      </c>
      <c r="L2410" s="455">
        <f t="shared" ca="1" si="147"/>
        <v>-3721958671.7189336</v>
      </c>
      <c r="M2410" s="471">
        <f t="shared" si="149"/>
        <v>0.05</v>
      </c>
      <c r="N2410" s="475">
        <f t="shared" si="150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48"/>
        <v>-3721958671.7189336</v>
      </c>
      <c r="J2411" s="455">
        <f t="array" ref="J2411">IFERROR(INDEX('Retirement Calculator'!J:J,MATCH('Isaac 401k'!N2411,'Retirement Calculator'!A:A,0),0),0)</f>
        <v>0</v>
      </c>
      <c r="K2411" s="455">
        <f t="shared" ca="1" si="146"/>
        <v>-15508161.132162223</v>
      </c>
      <c r="L2411" s="455">
        <f t="shared" ca="1" si="147"/>
        <v>-3737466832.8510957</v>
      </c>
      <c r="M2411" s="471">
        <f t="shared" si="149"/>
        <v>0.05</v>
      </c>
      <c r="N2411" s="475">
        <f t="shared" si="150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48"/>
        <v>-3737466832.8510957</v>
      </c>
      <c r="J2412" s="455">
        <f t="array" ref="J2412">IFERROR(INDEX('Retirement Calculator'!J:J,MATCH('Isaac 401k'!N2412,'Retirement Calculator'!A:A,0),0),0)</f>
        <v>0</v>
      </c>
      <c r="K2412" s="455">
        <f t="shared" ca="1" si="146"/>
        <v>-15572778.470212899</v>
      </c>
      <c r="L2412" s="455">
        <f t="shared" ca="1" si="147"/>
        <v>-3753039611.3213086</v>
      </c>
      <c r="M2412" s="471">
        <f t="shared" si="149"/>
        <v>0.05</v>
      </c>
      <c r="N2412" s="475">
        <f t="shared" si="150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48"/>
        <v>-3753039611.3213086</v>
      </c>
      <c r="J2413" s="455">
        <f t="array" ref="J2413">IFERROR(INDEX('Retirement Calculator'!J:J,MATCH('Isaac 401k'!N2413,'Retirement Calculator'!A:A,0),0),0)</f>
        <v>0</v>
      </c>
      <c r="K2413" s="455">
        <f t="shared" ca="1" si="146"/>
        <v>-15637665.047172122</v>
      </c>
      <c r="L2413" s="455">
        <f t="shared" ca="1" si="147"/>
        <v>-3768677276.3684807</v>
      </c>
      <c r="M2413" s="471">
        <f t="shared" si="149"/>
        <v>0.05</v>
      </c>
      <c r="N2413" s="475">
        <f t="shared" si="150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48"/>
        <v>-3768677276.3684807</v>
      </c>
      <c r="J2414" s="455">
        <f t="array" ref="J2414">IFERROR(INDEX('Retirement Calculator'!J:J,MATCH('Isaac 401k'!N2414,'Retirement Calculator'!A:A,0),0),0)</f>
        <v>0</v>
      </c>
      <c r="K2414" s="455">
        <f t="shared" ca="1" si="146"/>
        <v>-15702821.984868672</v>
      </c>
      <c r="L2414" s="455">
        <f t="shared" ca="1" si="147"/>
        <v>-3784380098.3533492</v>
      </c>
      <c r="M2414" s="471">
        <f t="shared" si="149"/>
        <v>0.05</v>
      </c>
      <c r="N2414" s="475">
        <f t="shared" si="150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48"/>
        <v>-3784380098.3533492</v>
      </c>
      <c r="J2415" s="455">
        <f t="array" ref="J2415">IFERROR(INDEX('Retirement Calculator'!J:J,MATCH('Isaac 401k'!N2415,'Retirement Calculator'!A:A,0),0),0)</f>
        <v>0</v>
      </c>
      <c r="K2415" s="455">
        <f t="shared" ca="1" si="146"/>
        <v>-15768250.409805622</v>
      </c>
      <c r="L2415" s="455">
        <f t="shared" ca="1" si="147"/>
        <v>-3800148348.763155</v>
      </c>
      <c r="M2415" s="471">
        <f t="shared" si="149"/>
        <v>0.05</v>
      </c>
      <c r="N2415" s="475">
        <f t="shared" si="150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48"/>
        <v>-3800148348.763155</v>
      </c>
      <c r="J2416" s="455">
        <f t="array" ref="J2416">IFERROR(INDEX('Retirement Calculator'!J:J,MATCH('Isaac 401k'!N2416,'Retirement Calculator'!A:A,0),0),0)</f>
        <v>0</v>
      </c>
      <c r="K2416" s="455">
        <f t="shared" ca="1" si="146"/>
        <v>-15833951.453179814</v>
      </c>
      <c r="L2416" s="455">
        <f t="shared" ca="1" si="147"/>
        <v>-3815982300.2163348</v>
      </c>
      <c r="M2416" s="471">
        <f t="shared" si="149"/>
        <v>0.05</v>
      </c>
      <c r="N2416" s="475">
        <f t="shared" si="150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48"/>
        <v>-3815982300.2163348</v>
      </c>
      <c r="J2417" s="455">
        <f t="array" ref="J2417">IFERROR(INDEX('Retirement Calculator'!J:J,MATCH('Isaac 401k'!N2417,'Retirement Calculator'!A:A,0),0),0)</f>
        <v>0</v>
      </c>
      <c r="K2417" s="455">
        <f t="shared" ca="1" si="146"/>
        <v>-15899926.250901395</v>
      </c>
      <c r="L2417" s="455">
        <f t="shared" ca="1" si="147"/>
        <v>-3831882226.467236</v>
      </c>
      <c r="M2417" s="471">
        <f t="shared" si="149"/>
        <v>0.05</v>
      </c>
      <c r="N2417" s="475">
        <f t="shared" si="150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48"/>
        <v>-3831882226.467236</v>
      </c>
      <c r="J2418" s="455">
        <f t="array" ref="J2418">IFERROR(INDEX('Retirement Calculator'!J:J,MATCH('Isaac 401k'!N2418,'Retirement Calculator'!A:A,0),0),0)</f>
        <v>0</v>
      </c>
      <c r="K2418" s="455">
        <f t="shared" ca="1" si="146"/>
        <v>-15966175.943613483</v>
      </c>
      <c r="L2418" s="455">
        <f t="shared" ca="1" si="147"/>
        <v>-3847848402.4108496</v>
      </c>
      <c r="M2418" s="471">
        <f t="shared" si="149"/>
        <v>0.05</v>
      </c>
      <c r="N2418" s="475">
        <f t="shared" si="150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48"/>
        <v>-3847848402.4108496</v>
      </c>
      <c r="J2419" s="455">
        <f t="array" ref="J2419">IFERROR(INDEX('Retirement Calculator'!J:J,MATCH('Isaac 401k'!N2419,'Retirement Calculator'!A:A,0),0),0)</f>
        <v>0</v>
      </c>
      <c r="K2419" s="455">
        <f t="shared" ca="1" si="146"/>
        <v>-16032701.676711872</v>
      </c>
      <c r="L2419" s="455">
        <f t="shared" ca="1" si="147"/>
        <v>-3863881104.0875616</v>
      </c>
      <c r="M2419" s="471">
        <f t="shared" si="149"/>
        <v>0.05</v>
      </c>
      <c r="N2419" s="475">
        <f t="shared" si="150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48"/>
        <v>-3863881104.0875616</v>
      </c>
      <c r="J2420" s="455">
        <f t="array" ref="J2420">IFERROR(INDEX('Retirement Calculator'!J:J,MATCH('Isaac 401k'!N2420,'Retirement Calculator'!A:A,0),0),0)</f>
        <v>0</v>
      </c>
      <c r="K2420" s="455">
        <f t="shared" ca="1" si="146"/>
        <v>-16099504.60036484</v>
      </c>
      <c r="L2420" s="455">
        <f t="shared" ca="1" si="147"/>
        <v>-3879980608.6879263</v>
      </c>
      <c r="M2420" s="471">
        <f t="shared" si="149"/>
        <v>0.05</v>
      </c>
      <c r="N2420" s="475">
        <f t="shared" si="150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48"/>
        <v>-3879980608.6879263</v>
      </c>
      <c r="J2421" s="455">
        <f t="array" ref="J2421">IFERROR(INDEX('Retirement Calculator'!J:J,MATCH('Isaac 401k'!N2421,'Retirement Calculator'!A:A,0),0),0)</f>
        <v>0</v>
      </c>
      <c r="K2421" s="455">
        <f t="shared" ca="1" si="146"/>
        <v>-16166585.869533028</v>
      </c>
      <c r="L2421" s="455">
        <f t="shared" ca="1" si="147"/>
        <v>-3896147194.5574594</v>
      </c>
      <c r="M2421" s="471">
        <f t="shared" si="149"/>
        <v>0.05</v>
      </c>
      <c r="N2421" s="475">
        <f t="shared" si="150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48"/>
        <v>-3896147194.5574594</v>
      </c>
      <c r="J2422" s="455">
        <f t="array" ref="J2422">IFERROR(INDEX('Retirement Calculator'!J:J,MATCH('Isaac 401k'!N2422,'Retirement Calculator'!A:A,0),0),0)</f>
        <v>0</v>
      </c>
      <c r="K2422" s="455">
        <f t="shared" ca="1" si="146"/>
        <v>-16233946.643989414</v>
      </c>
      <c r="L2422" s="455">
        <f t="shared" ca="1" si="147"/>
        <v>-3912381141.2014489</v>
      </c>
      <c r="M2422" s="471">
        <f t="shared" si="149"/>
        <v>0.05</v>
      </c>
      <c r="N2422" s="475">
        <f t="shared" si="150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48"/>
        <v>-3912381141.2014489</v>
      </c>
      <c r="J2423" s="455">
        <f t="array" ref="J2423">IFERROR(INDEX('Retirement Calculator'!J:J,MATCH('Isaac 401k'!N2423,'Retirement Calculator'!A:A,0),0),0)</f>
        <v>0</v>
      </c>
      <c r="K2423" s="455">
        <f t="shared" ca="1" si="146"/>
        <v>-16301588.08833937</v>
      </c>
      <c r="L2423" s="455">
        <f t="shared" ca="1" si="147"/>
        <v>-3928682729.2897882</v>
      </c>
      <c r="M2423" s="471">
        <f t="shared" si="149"/>
        <v>0.05</v>
      </c>
      <c r="N2423" s="475">
        <f t="shared" si="150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48"/>
        <v>-3928682729.2897882</v>
      </c>
      <c r="J2424" s="455">
        <f t="array" ref="J2424">IFERROR(INDEX('Retirement Calculator'!J:J,MATCH('Isaac 401k'!N2424,'Retirement Calculator'!A:A,0),0),0)</f>
        <v>0</v>
      </c>
      <c r="K2424" s="455">
        <f t="shared" ca="1" si="146"/>
        <v>-16369511.372040786</v>
      </c>
      <c r="L2424" s="455">
        <f t="shared" ca="1" si="147"/>
        <v>-3945052240.661829</v>
      </c>
      <c r="M2424" s="471">
        <f t="shared" si="149"/>
        <v>0.05</v>
      </c>
      <c r="N2424" s="475">
        <f t="shared" si="150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48"/>
        <v>-3945052240.661829</v>
      </c>
      <c r="J2425" s="455">
        <f t="array" ref="J2425">IFERROR(INDEX('Retirement Calculator'!J:J,MATCH('Isaac 401k'!N2425,'Retirement Calculator'!A:A,0),0),0)</f>
        <v>0</v>
      </c>
      <c r="K2425" s="455">
        <f t="shared" ca="1" si="146"/>
        <v>-16437717.669424288</v>
      </c>
      <c r="L2425" s="455">
        <f t="shared" ca="1" si="147"/>
        <v>-3961489958.3312531</v>
      </c>
      <c r="M2425" s="471">
        <f t="shared" si="149"/>
        <v>0.05</v>
      </c>
      <c r="N2425" s="475">
        <f t="shared" si="150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48"/>
        <v>-3961489958.3312531</v>
      </c>
      <c r="J2426" s="455">
        <f t="array" ref="J2426">IFERROR(INDEX('Retirement Calculator'!J:J,MATCH('Isaac 401k'!N2426,'Retirement Calculator'!A:A,0),0),0)</f>
        <v>0</v>
      </c>
      <c r="K2426" s="455">
        <f t="shared" ca="1" si="146"/>
        <v>-16506208.159713551</v>
      </c>
      <c r="L2426" s="455">
        <f t="shared" ca="1" si="147"/>
        <v>-3977996166.4909668</v>
      </c>
      <c r="M2426" s="471">
        <f t="shared" si="149"/>
        <v>0.05</v>
      </c>
      <c r="N2426" s="475">
        <f t="shared" si="150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48"/>
        <v>-3977996166.4909668</v>
      </c>
      <c r="J2427" s="455">
        <f t="array" ref="J2427">IFERROR(INDEX('Retirement Calculator'!J:J,MATCH('Isaac 401k'!N2427,'Retirement Calculator'!A:A,0),0),0)</f>
        <v>0</v>
      </c>
      <c r="K2427" s="455">
        <f t="shared" ca="1" si="146"/>
        <v>-16574984.027045693</v>
      </c>
      <c r="L2427" s="455">
        <f t="shared" ca="1" si="147"/>
        <v>-3994571150.5180125</v>
      </c>
      <c r="M2427" s="471">
        <f t="shared" si="149"/>
        <v>0.05</v>
      </c>
      <c r="N2427" s="475">
        <f t="shared" si="150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48"/>
        <v>-3994571150.5180125</v>
      </c>
      <c r="J2428" s="455">
        <f t="array" ref="J2428">IFERROR(INDEX('Retirement Calculator'!J:J,MATCH('Isaac 401k'!N2428,'Retirement Calculator'!A:A,0),0),0)</f>
        <v>0</v>
      </c>
      <c r="K2428" s="455">
        <f t="shared" ca="1" si="146"/>
        <v>-16644046.460491719</v>
      </c>
      <c r="L2428" s="455">
        <f t="shared" ca="1" si="147"/>
        <v>-4011215196.9785042</v>
      </c>
      <c r="M2428" s="471">
        <f t="shared" si="149"/>
        <v>0.05</v>
      </c>
      <c r="N2428" s="475">
        <f t="shared" si="150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48"/>
        <v>-4011215196.9785042</v>
      </c>
      <c r="J2429" s="455">
        <f t="array" ref="J2429">IFERROR(INDEX('Retirement Calculator'!J:J,MATCH('Isaac 401k'!N2429,'Retirement Calculator'!A:A,0),0),0)</f>
        <v>0</v>
      </c>
      <c r="K2429" s="455">
        <f t="shared" ca="1" si="146"/>
        <v>-16713396.6540771</v>
      </c>
      <c r="L2429" s="455">
        <f t="shared" ca="1" si="147"/>
        <v>-4027928593.6325812</v>
      </c>
      <c r="M2429" s="471">
        <f t="shared" si="149"/>
        <v>0.05</v>
      </c>
      <c r="N2429" s="475">
        <f t="shared" si="150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48"/>
        <v>-4027928593.6325812</v>
      </c>
      <c r="J2430" s="455">
        <f t="array" ref="J2430">IFERROR(INDEX('Retirement Calculator'!J:J,MATCH('Isaac 401k'!N2430,'Retirement Calculator'!A:A,0),0),0)</f>
        <v>0</v>
      </c>
      <c r="K2430" s="455">
        <f t="shared" ca="1" si="146"/>
        <v>-16783035.806802422</v>
      </c>
      <c r="L2430" s="455">
        <f t="shared" ca="1" si="147"/>
        <v>-4044711629.4393835</v>
      </c>
      <c r="M2430" s="471">
        <f t="shared" si="149"/>
        <v>0.05</v>
      </c>
      <c r="N2430" s="475">
        <f t="shared" si="150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48"/>
        <v>-4044711629.4393835</v>
      </c>
      <c r="J2431" s="455">
        <f t="array" ref="J2431">IFERROR(INDEX('Retirement Calculator'!J:J,MATCH('Isaac 401k'!N2431,'Retirement Calculator'!A:A,0),0),0)</f>
        <v>0</v>
      </c>
      <c r="K2431" s="455">
        <f t="shared" ca="1" si="146"/>
        <v>-16852965.122664094</v>
      </c>
      <c r="L2431" s="455">
        <f t="shared" ca="1" si="147"/>
        <v>-4061564594.5620475</v>
      </c>
      <c r="M2431" s="471">
        <f t="shared" si="149"/>
        <v>0.05</v>
      </c>
      <c r="N2431" s="475">
        <f t="shared" si="150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48"/>
        <v>-4061564594.5620475</v>
      </c>
      <c r="J2432" s="455">
        <f t="array" ref="J2432">IFERROR(INDEX('Retirement Calculator'!J:J,MATCH('Isaac 401k'!N2432,'Retirement Calculator'!A:A,0),0),0)</f>
        <v>0</v>
      </c>
      <c r="K2432" s="455">
        <f t="shared" ca="1" si="146"/>
        <v>-16923185.8106752</v>
      </c>
      <c r="L2432" s="455">
        <f t="shared" ca="1" si="147"/>
        <v>-4078487780.3727226</v>
      </c>
      <c r="M2432" s="471">
        <f t="shared" si="149"/>
        <v>0.05</v>
      </c>
      <c r="N2432" s="475">
        <f t="shared" si="150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48"/>
        <v>-4078487780.3727226</v>
      </c>
      <c r="J2433" s="455">
        <f t="array" ref="J2433">IFERROR(INDEX('Retirement Calculator'!J:J,MATCH('Isaac 401k'!N2433,'Retirement Calculator'!A:A,0),0),0)</f>
        <v>0</v>
      </c>
      <c r="K2433" s="455">
        <f t="shared" ca="1" si="146"/>
        <v>-16993699.084886342</v>
      </c>
      <c r="L2433" s="455">
        <f t="shared" ca="1" si="147"/>
        <v>-4095481479.4576092</v>
      </c>
      <c r="M2433" s="471">
        <f t="shared" si="149"/>
        <v>0.05</v>
      </c>
      <c r="N2433" s="475">
        <f t="shared" si="150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48"/>
        <v>-4095481479.4576092</v>
      </c>
      <c r="J2434" s="455">
        <f t="array" ref="J2434">IFERROR(INDEX('Retirement Calculator'!J:J,MATCH('Isaac 401k'!N2434,'Retirement Calculator'!A:A,0),0),0)</f>
        <v>0</v>
      </c>
      <c r="K2434" s="455">
        <f t="shared" ca="1" si="146"/>
        <v>-17064506.164406706</v>
      </c>
      <c r="L2434" s="455">
        <f t="shared" ca="1" si="147"/>
        <v>-4112545985.622016</v>
      </c>
      <c r="M2434" s="471">
        <f t="shared" si="149"/>
        <v>0.05</v>
      </c>
      <c r="N2434" s="475">
        <f t="shared" si="150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48"/>
        <v>-4112545985.622016</v>
      </c>
      <c r="J2435" s="455">
        <f t="array" ref="J2435">IFERROR(INDEX('Retirement Calculator'!J:J,MATCH('Isaac 401k'!N2435,'Retirement Calculator'!A:A,0),0),0)</f>
        <v>0</v>
      </c>
      <c r="K2435" s="455">
        <f t="shared" ca="1" si="146"/>
        <v>-17135608.273425065</v>
      </c>
      <c r="L2435" s="455">
        <f t="shared" ca="1" si="147"/>
        <v>-4129681593.8954411</v>
      </c>
      <c r="M2435" s="471">
        <f t="shared" si="149"/>
        <v>0.05</v>
      </c>
      <c r="N2435" s="475">
        <f t="shared" si="150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48"/>
        <v>-4129681593.8954411</v>
      </c>
      <c r="J2436" s="455">
        <f t="array" ref="J2436">IFERROR(INDEX('Retirement Calculator'!J:J,MATCH('Isaac 401k'!N2436,'Retirement Calculator'!A:A,0),0),0)</f>
        <v>0</v>
      </c>
      <c r="K2436" s="455">
        <f t="shared" ca="1" si="146"/>
        <v>-17207006.641231004</v>
      </c>
      <c r="L2436" s="455">
        <f t="shared" ca="1" si="147"/>
        <v>-4146888600.5366721</v>
      </c>
      <c r="M2436" s="471">
        <f t="shared" si="149"/>
        <v>0.05</v>
      </c>
      <c r="N2436" s="475">
        <f t="shared" si="150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48"/>
        <v>-4146888600.5366721</v>
      </c>
      <c r="J2437" s="455">
        <f t="array" ref="J2437">IFERROR(INDEX('Retirement Calculator'!J:J,MATCH('Isaac 401k'!N2437,'Retirement Calculator'!A:A,0),0),0)</f>
        <v>0</v>
      </c>
      <c r="K2437" s="455">
        <f t="shared" ca="1" si="146"/>
        <v>-17278702.502236132</v>
      </c>
      <c r="L2437" s="455">
        <f t="shared" ca="1" si="147"/>
        <v>-4164167303.0389085</v>
      </c>
      <c r="M2437" s="471">
        <f t="shared" si="149"/>
        <v>0.05</v>
      </c>
      <c r="N2437" s="475">
        <f t="shared" si="150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48"/>
        <v>-4164167303.0389085</v>
      </c>
      <c r="J2438" s="455">
        <f t="array" ref="J2438">IFERROR(INDEX('Retirement Calculator'!J:J,MATCH('Isaac 401k'!N2438,'Retirement Calculator'!A:A,0),0),0)</f>
        <v>0</v>
      </c>
      <c r="K2438" s="455">
        <f t="shared" ca="1" si="146"/>
        <v>-17350697.095995452</v>
      </c>
      <c r="L2438" s="455">
        <f t="shared" ca="1" si="147"/>
        <v>-4181518000.1349039</v>
      </c>
      <c r="M2438" s="471">
        <f t="shared" si="149"/>
        <v>0.05</v>
      </c>
      <c r="N2438" s="475">
        <f t="shared" si="150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48"/>
        <v>-4181518000.1349039</v>
      </c>
      <c r="J2439" s="455">
        <f t="array" ref="J2439">IFERROR(INDEX('Retirement Calculator'!J:J,MATCH('Isaac 401k'!N2439,'Retirement Calculator'!A:A,0),0),0)</f>
        <v>0</v>
      </c>
      <c r="K2439" s="455">
        <f t="shared" ca="1" si="146"/>
        <v>-17422991.66722877</v>
      </c>
      <c r="L2439" s="455">
        <f t="shared" ca="1" si="147"/>
        <v>-4198940991.8021326</v>
      </c>
      <c r="M2439" s="471">
        <f t="shared" si="149"/>
        <v>0.05</v>
      </c>
      <c r="N2439" s="475">
        <f t="shared" si="150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48"/>
        <v>-4198940991.8021326</v>
      </c>
      <c r="J2440" s="455">
        <f t="array" ref="J2440">IFERROR(INDEX('Retirement Calculator'!J:J,MATCH('Isaac 401k'!N2440,'Retirement Calculator'!A:A,0),0),0)</f>
        <v>0</v>
      </c>
      <c r="K2440" s="455">
        <f t="shared" ca="1" si="146"/>
        <v>-17495587.465842217</v>
      </c>
      <c r="L2440" s="455">
        <f t="shared" ca="1" si="147"/>
        <v>-4216436579.2679749</v>
      </c>
      <c r="M2440" s="471">
        <f t="shared" si="149"/>
        <v>0.05</v>
      </c>
      <c r="N2440" s="475">
        <f t="shared" si="150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48"/>
        <v>-4216436579.2679749</v>
      </c>
      <c r="J2441" s="455">
        <f t="array" ref="J2441">IFERROR(INDEX('Retirement Calculator'!J:J,MATCH('Isaac 401k'!N2441,'Retirement Calculator'!A:A,0),0),0)</f>
        <v>0</v>
      </c>
      <c r="K2441" s="455">
        <f t="shared" ca="1" si="146"/>
        <v>-17568485.746949896</v>
      </c>
      <c r="L2441" s="455">
        <f t="shared" ca="1" si="147"/>
        <v>-4234005065.0149245</v>
      </c>
      <c r="M2441" s="471">
        <f t="shared" si="149"/>
        <v>0.05</v>
      </c>
      <c r="N2441" s="475">
        <f t="shared" si="150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48"/>
        <v>-4234005065.0149245</v>
      </c>
      <c r="J2442" s="455">
        <f t="array" ref="J2442">IFERROR(INDEX('Retirement Calculator'!J:J,MATCH('Isaac 401k'!N2442,'Retirement Calculator'!A:A,0),0),0)</f>
        <v>0</v>
      </c>
      <c r="K2442" s="455">
        <f t="shared" ca="1" si="146"/>
        <v>-17641687.770895518</v>
      </c>
      <c r="L2442" s="455">
        <f t="shared" ca="1" si="147"/>
        <v>-4251646752.78582</v>
      </c>
      <c r="M2442" s="471">
        <f t="shared" si="149"/>
        <v>0.05</v>
      </c>
      <c r="N2442" s="475">
        <f t="shared" si="150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48"/>
        <v>-4251646752.78582</v>
      </c>
      <c r="J2443" s="455">
        <f t="array" ref="J2443">IFERROR(INDEX('Retirement Calculator'!J:J,MATCH('Isaac 401k'!N2443,'Retirement Calculator'!A:A,0),0),0)</f>
        <v>0</v>
      </c>
      <c r="K2443" s="455">
        <f t="shared" ca="1" si="146"/>
        <v>-17715194.803274252</v>
      </c>
      <c r="L2443" s="455">
        <f t="shared" ca="1" si="147"/>
        <v>-4269361947.5890942</v>
      </c>
      <c r="M2443" s="471">
        <f t="shared" si="149"/>
        <v>0.05</v>
      </c>
      <c r="N2443" s="475">
        <f t="shared" si="150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48"/>
        <v>-4269361947.5890942</v>
      </c>
      <c r="J2444" s="455">
        <f t="array" ref="J2444">IFERROR(INDEX('Retirement Calculator'!J:J,MATCH('Isaac 401k'!N2444,'Retirement Calculator'!A:A,0),0),0)</f>
        <v>0</v>
      </c>
      <c r="K2444" s="455">
        <f t="shared" ca="1" si="146"/>
        <v>-17789008.114954561</v>
      </c>
      <c r="L2444" s="455">
        <f t="shared" ca="1" si="147"/>
        <v>-4287150955.7040486</v>
      </c>
      <c r="M2444" s="471">
        <f t="shared" si="149"/>
        <v>0.05</v>
      </c>
      <c r="N2444" s="475">
        <f t="shared" si="150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48"/>
        <v>-4287150955.7040486</v>
      </c>
      <c r="J2445" s="455">
        <f t="array" ref="J2445">IFERROR(INDEX('Retirement Calculator'!J:J,MATCH('Isaac 401k'!N2445,'Retirement Calculator'!A:A,0),0),0)</f>
        <v>0</v>
      </c>
      <c r="K2445" s="455">
        <f t="shared" ca="1" si="146"/>
        <v>-17863128.982100204</v>
      </c>
      <c r="L2445" s="455">
        <f t="shared" ca="1" si="147"/>
        <v>-4305014084.6861486</v>
      </c>
      <c r="M2445" s="471">
        <f t="shared" si="149"/>
        <v>0.05</v>
      </c>
      <c r="N2445" s="475">
        <f t="shared" si="150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48"/>
        <v>-4305014084.6861486</v>
      </c>
      <c r="J2446" s="455">
        <f t="array" ref="J2446">IFERROR(INDEX('Retirement Calculator'!J:J,MATCH('Isaac 401k'!N2446,'Retirement Calculator'!A:A,0),0),0)</f>
        <v>0</v>
      </c>
      <c r="K2446" s="455">
        <f t="shared" ca="1" si="146"/>
        <v>-17937558.686192285</v>
      </c>
      <c r="L2446" s="455">
        <f t="shared" ca="1" si="147"/>
        <v>-4322951643.3723412</v>
      </c>
      <c r="M2446" s="471">
        <f t="shared" si="149"/>
        <v>0.05</v>
      </c>
      <c r="N2446" s="475">
        <f t="shared" si="150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48"/>
        <v>-4322951643.3723412</v>
      </c>
      <c r="J2447" s="455">
        <f t="array" ref="J2447">IFERROR(INDEX('Retirement Calculator'!J:J,MATCH('Isaac 401k'!N2447,'Retirement Calculator'!A:A,0),0),0)</f>
        <v>0</v>
      </c>
      <c r="K2447" s="455">
        <f t="shared" ca="1" si="146"/>
        <v>-18012298.514051422</v>
      </c>
      <c r="L2447" s="455">
        <f t="shared" ca="1" si="147"/>
        <v>-4340963941.8863926</v>
      </c>
      <c r="M2447" s="471">
        <f t="shared" si="149"/>
        <v>0.05</v>
      </c>
      <c r="N2447" s="475">
        <f t="shared" si="150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48"/>
        <v>-4340963941.8863926</v>
      </c>
      <c r="J2448" s="455">
        <f t="array" ref="J2448">IFERROR(INDEX('Retirement Calculator'!J:J,MATCH('Isaac 401k'!N2448,'Retirement Calculator'!A:A,0),0),0)</f>
        <v>0</v>
      </c>
      <c r="K2448" s="455">
        <f t="shared" ca="1" si="146"/>
        <v>-18087349.757859968</v>
      </c>
      <c r="L2448" s="455">
        <f t="shared" ca="1" si="147"/>
        <v>-4359051291.6442528</v>
      </c>
      <c r="M2448" s="471">
        <f t="shared" si="149"/>
        <v>0.05</v>
      </c>
      <c r="N2448" s="475">
        <f t="shared" si="150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48"/>
        <v>-4359051291.6442528</v>
      </c>
      <c r="J2449" s="455">
        <f t="array" ref="J2449">IFERROR(INDEX('Retirement Calculator'!J:J,MATCH('Isaac 401k'!N2449,'Retirement Calculator'!A:A,0),0),0)</f>
        <v>0</v>
      </c>
      <c r="K2449" s="455">
        <f t="shared" ca="1" si="146"/>
        <v>-18162713.715184387</v>
      </c>
      <c r="L2449" s="455">
        <f t="shared" ca="1" si="147"/>
        <v>-4377214005.359437</v>
      </c>
      <c r="M2449" s="471">
        <f t="shared" si="149"/>
        <v>0.05</v>
      </c>
      <c r="N2449" s="475">
        <f t="shared" si="150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48"/>
        <v>-4377214005.359437</v>
      </c>
      <c r="J2450" s="455">
        <f t="array" ref="J2450">IFERROR(INDEX('Retirement Calculator'!J:J,MATCH('Isaac 401k'!N2450,'Retirement Calculator'!A:A,0),0),0)</f>
        <v>0</v>
      </c>
      <c r="K2450" s="455">
        <f t="shared" ca="1" si="146"/>
        <v>-18238391.688997652</v>
      </c>
      <c r="L2450" s="455">
        <f t="shared" ca="1" si="147"/>
        <v>-4395452397.0484343</v>
      </c>
      <c r="M2450" s="471">
        <f t="shared" si="149"/>
        <v>0.05</v>
      </c>
      <c r="N2450" s="475">
        <f t="shared" si="150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48"/>
        <v>-4395452397.0484343</v>
      </c>
      <c r="J2451" s="455">
        <f t="array" ref="J2451">IFERROR(INDEX('Retirement Calculator'!J:J,MATCH('Isaac 401k'!N2451,'Retirement Calculator'!A:A,0),0),0)</f>
        <v>0</v>
      </c>
      <c r="K2451" s="455">
        <f t="shared" ca="1" si="146"/>
        <v>-18314384.987701811</v>
      </c>
      <c r="L2451" s="455">
        <f t="shared" ca="1" si="147"/>
        <v>-4413766782.0361357</v>
      </c>
      <c r="M2451" s="471">
        <f t="shared" si="149"/>
        <v>0.05</v>
      </c>
      <c r="N2451" s="475">
        <f t="shared" si="150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48"/>
        <v>-4413766782.0361357</v>
      </c>
      <c r="J2452" s="455">
        <f t="array" ref="J2452">IFERROR(INDEX('Retirement Calculator'!J:J,MATCH('Isaac 401k'!N2452,'Retirement Calculator'!A:A,0),0),0)</f>
        <v>0</v>
      </c>
      <c r="K2452" s="455">
        <f t="shared" ca="1" si="146"/>
        <v>-18390694.925150566</v>
      </c>
      <c r="L2452" s="455">
        <f t="shared" ca="1" si="147"/>
        <v>-4432157476.9612865</v>
      </c>
      <c r="M2452" s="471">
        <f t="shared" si="149"/>
        <v>0.05</v>
      </c>
      <c r="N2452" s="475">
        <f t="shared" si="150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48"/>
        <v>-4432157476.9612865</v>
      </c>
      <c r="J2453" s="455">
        <f t="array" ref="J2453">IFERROR(INDEX('Retirement Calculator'!J:J,MATCH('Isaac 401k'!N2453,'Retirement Calculator'!A:A,0),0),0)</f>
        <v>0</v>
      </c>
      <c r="K2453" s="455">
        <f t="shared" ca="1" si="146"/>
        <v>-18467322.820672028</v>
      </c>
      <c r="L2453" s="455">
        <f t="shared" ca="1" si="147"/>
        <v>-4450624799.7819586</v>
      </c>
      <c r="M2453" s="471">
        <f t="shared" si="149"/>
        <v>0.05</v>
      </c>
      <c r="N2453" s="475">
        <f t="shared" si="150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48"/>
        <v>-4450624799.7819586</v>
      </c>
      <c r="J2454" s="455">
        <f t="array" ref="J2454">IFERROR(INDEX('Retirement Calculator'!J:J,MATCH('Isaac 401k'!N2454,'Retirement Calculator'!A:A,0),0),0)</f>
        <v>0</v>
      </c>
      <c r="K2454" s="455">
        <f t="shared" ca="1" si="146"/>
        <v>-18544269.999091495</v>
      </c>
      <c r="L2454" s="455">
        <f t="shared" ca="1" si="147"/>
        <v>-4469169069.7810497</v>
      </c>
      <c r="M2454" s="471">
        <f t="shared" si="149"/>
        <v>0.05</v>
      </c>
      <c r="N2454" s="475">
        <f t="shared" si="150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48"/>
        <v>-4469169069.7810497</v>
      </c>
      <c r="J2455" s="455">
        <f t="array" ref="J2455">IFERROR(INDEX('Retirement Calculator'!J:J,MATCH('Isaac 401k'!N2455,'Retirement Calculator'!A:A,0),0),0)</f>
        <v>0</v>
      </c>
      <c r="K2455" s="455">
        <f t="shared" ca="1" si="146"/>
        <v>-18621537.790754374</v>
      </c>
      <c r="L2455" s="455">
        <f t="shared" ca="1" si="147"/>
        <v>-4487790607.571804</v>
      </c>
      <c r="M2455" s="471">
        <f t="shared" si="149"/>
        <v>0.05</v>
      </c>
      <c r="N2455" s="475">
        <f t="shared" si="150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48"/>
        <v>-4487790607.571804</v>
      </c>
      <c r="J2456" s="455">
        <f t="array" ref="J2456">IFERROR(INDEX('Retirement Calculator'!J:J,MATCH('Isaac 401k'!N2456,'Retirement Calculator'!A:A,0),0),0)</f>
        <v>0</v>
      </c>
      <c r="K2456" s="455">
        <f t="shared" ca="1" si="146"/>
        <v>-18699127.531549182</v>
      </c>
      <c r="L2456" s="455">
        <f t="shared" ca="1" si="147"/>
        <v>-4506489735.1033535</v>
      </c>
      <c r="M2456" s="471">
        <f t="shared" si="149"/>
        <v>0.05</v>
      </c>
      <c r="N2456" s="475">
        <f t="shared" si="150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48"/>
        <v>-4506489735.1033535</v>
      </c>
      <c r="J2457" s="455">
        <f t="array" ref="J2457">IFERROR(INDEX('Retirement Calculator'!J:J,MATCH('Isaac 401k'!N2457,'Retirement Calculator'!A:A,0),0),0)</f>
        <v>0</v>
      </c>
      <c r="K2457" s="455">
        <f t="shared" ca="1" si="146"/>
        <v>-18777040.56293064</v>
      </c>
      <c r="L2457" s="455">
        <f t="shared" ca="1" si="147"/>
        <v>-4525266775.6662846</v>
      </c>
      <c r="M2457" s="471">
        <f t="shared" si="149"/>
        <v>0.05</v>
      </c>
      <c r="N2457" s="475">
        <f t="shared" si="150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48"/>
        <v>-4525266775.6662846</v>
      </c>
      <c r="J2458" s="455">
        <f t="array" ref="J2458">IFERROR(INDEX('Retirement Calculator'!J:J,MATCH('Isaac 401k'!N2458,'Retirement Calculator'!A:A,0),0),0)</f>
        <v>0</v>
      </c>
      <c r="K2458" s="455">
        <f t="shared" ca="1" si="146"/>
        <v>-18855278.231942851</v>
      </c>
      <c r="L2458" s="455">
        <f t="shared" ca="1" si="147"/>
        <v>-4544122053.8982277</v>
      </c>
      <c r="M2458" s="471">
        <f t="shared" si="149"/>
        <v>0.05</v>
      </c>
      <c r="N2458" s="475">
        <f t="shared" si="150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48"/>
        <v>-4544122053.8982277</v>
      </c>
      <c r="J2459" s="455">
        <f t="array" ref="J2459">IFERROR(INDEX('Retirement Calculator'!J:J,MATCH('Isaac 401k'!N2459,'Retirement Calculator'!A:A,0),0),0)</f>
        <v>0</v>
      </c>
      <c r="K2459" s="455">
        <f t="shared" ca="1" si="146"/>
        <v>-18933841.891242616</v>
      </c>
      <c r="L2459" s="455">
        <f t="shared" ca="1" si="147"/>
        <v>-4563055895.7894707</v>
      </c>
      <c r="M2459" s="471">
        <f t="shared" si="149"/>
        <v>0.05</v>
      </c>
      <c r="N2459" s="475">
        <f t="shared" si="150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48"/>
        <v>-4563055895.7894707</v>
      </c>
      <c r="J2460" s="455">
        <f t="array" ref="J2460">IFERROR(INDEX('Retirement Calculator'!J:J,MATCH('Isaac 401k'!N2460,'Retirement Calculator'!A:A,0),0),0)</f>
        <v>0</v>
      </c>
      <c r="K2460" s="455">
        <f t="shared" ca="1" si="146"/>
        <v>-19012732.899122793</v>
      </c>
      <c r="L2460" s="455">
        <f t="shared" ca="1" si="147"/>
        <v>-4582068628.6885939</v>
      </c>
      <c r="M2460" s="471">
        <f t="shared" si="149"/>
        <v>0.05</v>
      </c>
      <c r="N2460" s="475">
        <f t="shared" si="150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48"/>
        <v>-4582068628.6885939</v>
      </c>
      <c r="J2461" s="455">
        <f t="array" ref="J2461">IFERROR(INDEX('Retirement Calculator'!J:J,MATCH('Isaac 401k'!N2461,'Retirement Calculator'!A:A,0),0),0)</f>
        <v>0</v>
      </c>
      <c r="K2461" s="455">
        <f t="shared" ca="1" si="146"/>
        <v>-19091952.619535808</v>
      </c>
      <c r="L2461" s="455">
        <f t="shared" ca="1" si="147"/>
        <v>-4601160581.3081293</v>
      </c>
      <c r="M2461" s="471">
        <f t="shared" si="149"/>
        <v>0.05</v>
      </c>
      <c r="N2461" s="475">
        <f t="shared" si="150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48"/>
        <v>-4601160581.3081293</v>
      </c>
      <c r="J2462" s="455">
        <f t="array" ref="J2462">IFERROR(INDEX('Retirement Calculator'!J:J,MATCH('Isaac 401k'!N2462,'Retirement Calculator'!A:A,0),0),0)</f>
        <v>0</v>
      </c>
      <c r="K2462" s="455">
        <f t="shared" ca="1" si="146"/>
        <v>-19171502.422117203</v>
      </c>
      <c r="L2462" s="455">
        <f t="shared" ca="1" si="147"/>
        <v>-4620332083.7302465</v>
      </c>
      <c r="M2462" s="471">
        <f t="shared" si="149"/>
        <v>0.05</v>
      </c>
      <c r="N2462" s="475">
        <f t="shared" si="150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48"/>
        <v>-4620332083.7302465</v>
      </c>
      <c r="J2463" s="455">
        <f t="array" ref="J2463">IFERROR(INDEX('Retirement Calculator'!J:J,MATCH('Isaac 401k'!N2463,'Retirement Calculator'!A:A,0),0),0)</f>
        <v>0</v>
      </c>
      <c r="K2463" s="455">
        <f t="shared" ca="1" si="146"/>
        <v>-19251383.682209361</v>
      </c>
      <c r="L2463" s="455">
        <f t="shared" ca="1" si="147"/>
        <v>-4639583467.4124556</v>
      </c>
      <c r="M2463" s="471">
        <f t="shared" si="149"/>
        <v>0.05</v>
      </c>
      <c r="N2463" s="475">
        <f t="shared" si="150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48"/>
        <v>-4639583467.4124556</v>
      </c>
      <c r="J2464" s="455">
        <f t="array" ref="J2464">IFERROR(INDEX('Retirement Calculator'!J:J,MATCH('Isaac 401k'!N2464,'Retirement Calculator'!A:A,0),0),0)</f>
        <v>0</v>
      </c>
      <c r="K2464" s="455">
        <f t="shared" ca="1" si="146"/>
        <v>-19331597.780885231</v>
      </c>
      <c r="L2464" s="455">
        <f t="shared" ca="1" si="147"/>
        <v>-4658915065.1933413</v>
      </c>
      <c r="M2464" s="471">
        <f t="shared" si="149"/>
        <v>0.05</v>
      </c>
      <c r="N2464" s="475">
        <f t="shared" si="150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48"/>
        <v>-4658915065.1933413</v>
      </c>
      <c r="J2465" s="455">
        <f t="array" ref="J2465">IFERROR(INDEX('Retirement Calculator'!J:J,MATCH('Isaac 401k'!N2465,'Retirement Calculator'!A:A,0),0),0)</f>
        <v>0</v>
      </c>
      <c r="K2465" s="455">
        <f t="shared" ca="1" si="146"/>
        <v>-19412146.104972254</v>
      </c>
      <c r="L2465" s="455">
        <f t="shared" ca="1" si="147"/>
        <v>-4678327211.2983131</v>
      </c>
      <c r="M2465" s="471">
        <f t="shared" si="149"/>
        <v>0.05</v>
      </c>
      <c r="N2465" s="475">
        <f t="shared" si="150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48"/>
        <v>-4678327211.2983131</v>
      </c>
      <c r="J2466" s="455">
        <f t="array" ref="J2466">IFERROR(INDEX('Retirement Calculator'!J:J,MATCH('Isaac 401k'!N2466,'Retirement Calculator'!A:A,0),0),0)</f>
        <v>0</v>
      </c>
      <c r="K2466" s="455">
        <f t="shared" ca="1" si="146"/>
        <v>-19493030.047076304</v>
      </c>
      <c r="L2466" s="455">
        <f t="shared" ca="1" si="147"/>
        <v>-4697820241.3453894</v>
      </c>
      <c r="M2466" s="471">
        <f t="shared" si="149"/>
        <v>0.05</v>
      </c>
      <c r="N2466" s="475">
        <f t="shared" si="150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48"/>
        <v>-4697820241.3453894</v>
      </c>
      <c r="J2467" s="455">
        <f t="array" ref="J2467">IFERROR(INDEX('Retirement Calculator'!J:J,MATCH('Isaac 401k'!N2467,'Retirement Calculator'!A:A,0),0),0)</f>
        <v>0</v>
      </c>
      <c r="K2467" s="455">
        <f t="shared" ca="1" si="146"/>
        <v>-19574251.005605787</v>
      </c>
      <c r="L2467" s="455">
        <f t="shared" ca="1" si="147"/>
        <v>-4717394492.3509951</v>
      </c>
      <c r="M2467" s="471">
        <f t="shared" si="149"/>
        <v>0.05</v>
      </c>
      <c r="N2467" s="475">
        <f t="shared" si="150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48"/>
        <v>-4717394492.3509951</v>
      </c>
      <c r="J2468" s="455">
        <f t="array" ref="J2468">IFERROR(INDEX('Retirement Calculator'!J:J,MATCH('Isaac 401k'!N2468,'Retirement Calculator'!A:A,0),0),0)</f>
        <v>0</v>
      </c>
      <c r="K2468" s="455">
        <f t="shared" ca="1" si="146"/>
        <v>-19655810.384795811</v>
      </c>
      <c r="L2468" s="455">
        <f t="shared" ca="1" si="147"/>
        <v>-4737050302.7357912</v>
      </c>
      <c r="M2468" s="471">
        <f t="shared" si="149"/>
        <v>0.05</v>
      </c>
      <c r="N2468" s="475">
        <f t="shared" si="150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48"/>
        <v>-4737050302.7357912</v>
      </c>
      <c r="J2469" s="455">
        <f t="array" ref="J2469">IFERROR(INDEX('Retirement Calculator'!J:J,MATCH('Isaac 401k'!N2469,'Retirement Calculator'!A:A,0),0),0)</f>
        <v>0</v>
      </c>
      <c r="K2469" s="455">
        <f t="shared" ca="1" si="146"/>
        <v>-19737709.594732463</v>
      </c>
      <c r="L2469" s="455">
        <f t="shared" ca="1" si="147"/>
        <v>-4756788012.3305235</v>
      </c>
      <c r="M2469" s="471">
        <f t="shared" si="149"/>
        <v>0.05</v>
      </c>
      <c r="N2469" s="475">
        <f t="shared" si="150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48"/>
        <v>-4756788012.3305235</v>
      </c>
      <c r="J2470" s="455">
        <f t="array" ref="J2470">IFERROR(INDEX('Retirement Calculator'!J:J,MATCH('Isaac 401k'!N2470,'Retirement Calculator'!A:A,0),0),0)</f>
        <v>0</v>
      </c>
      <c r="K2470" s="455">
        <f t="shared" ca="1" si="146"/>
        <v>-19819950.051377181</v>
      </c>
      <c r="L2470" s="455">
        <f t="shared" ca="1" si="147"/>
        <v>-4776607962.3819008</v>
      </c>
      <c r="M2470" s="471">
        <f t="shared" si="149"/>
        <v>0.05</v>
      </c>
      <c r="N2470" s="475">
        <f t="shared" si="150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48"/>
        <v>-4776607962.3819008</v>
      </c>
      <c r="J2471" s="455">
        <f t="array" ref="J2471">IFERROR(INDEX('Retirement Calculator'!J:J,MATCH('Isaac 401k'!N2471,'Retirement Calculator'!A:A,0),0),0)</f>
        <v>0</v>
      </c>
      <c r="K2471" s="455">
        <f t="shared" ca="1" si="146"/>
        <v>-19902533.176591255</v>
      </c>
      <c r="L2471" s="455">
        <f t="shared" ca="1" si="147"/>
        <v>-4796510495.5584917</v>
      </c>
      <c r="M2471" s="471">
        <f t="shared" si="149"/>
        <v>0.05</v>
      </c>
      <c r="N2471" s="475">
        <f t="shared" si="150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48"/>
        <v>-4796510495.5584917</v>
      </c>
      <c r="J2472" s="455">
        <f t="array" ref="J2472">IFERROR(INDEX('Retirement Calculator'!J:J,MATCH('Isaac 401k'!N2472,'Retirement Calculator'!A:A,0),0),0)</f>
        <v>0</v>
      </c>
      <c r="K2472" s="455">
        <f t="shared" ca="1" si="146"/>
        <v>-19985460.398160383</v>
      </c>
      <c r="L2472" s="455">
        <f t="shared" ca="1" si="147"/>
        <v>-4816495955.9566517</v>
      </c>
      <c r="M2472" s="471">
        <f t="shared" si="149"/>
        <v>0.05</v>
      </c>
      <c r="N2472" s="475">
        <f t="shared" si="150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48"/>
        <v>-4816495955.9566517</v>
      </c>
      <c r="J2473" s="455">
        <f t="array" ref="J2473">IFERROR(INDEX('Retirement Calculator'!J:J,MATCH('Isaac 401k'!N2473,'Retirement Calculator'!A:A,0),0),0)</f>
        <v>0</v>
      </c>
      <c r="K2473" s="455">
        <f t="shared" ca="1" si="146"/>
        <v>-20068733.149819382</v>
      </c>
      <c r="L2473" s="455">
        <f t="shared" ca="1" si="147"/>
        <v>-4836564689.1064711</v>
      </c>
      <c r="M2473" s="471">
        <f t="shared" si="149"/>
        <v>0.05</v>
      </c>
      <c r="N2473" s="475">
        <f t="shared" si="150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48"/>
        <v>-4836564689.1064711</v>
      </c>
      <c r="J2474" s="455">
        <f t="array" ref="J2474">IFERROR(INDEX('Retirement Calculator'!J:J,MATCH('Isaac 401k'!N2474,'Retirement Calculator'!A:A,0),0),0)</f>
        <v>0</v>
      </c>
      <c r="K2474" s="455">
        <f t="shared" ca="1" si="146"/>
        <v>-20152352.871276964</v>
      </c>
      <c r="L2474" s="455">
        <f t="shared" ca="1" si="147"/>
        <v>-4856717041.9777479</v>
      </c>
      <c r="M2474" s="471">
        <f t="shared" si="149"/>
        <v>0.05</v>
      </c>
      <c r="N2474" s="475">
        <f t="shared" si="150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48"/>
        <v>-4856717041.9777479</v>
      </c>
      <c r="J2475" s="455">
        <f t="array" ref="J2475">IFERROR(INDEX('Retirement Calculator'!J:J,MATCH('Isaac 401k'!N2475,'Retirement Calculator'!A:A,0),0),0)</f>
        <v>0</v>
      </c>
      <c r="K2475" s="455">
        <f t="shared" ca="1" si="146"/>
        <v>-20236321.008240618</v>
      </c>
      <c r="L2475" s="455">
        <f t="shared" ca="1" si="147"/>
        <v>-4876953362.9859886</v>
      </c>
      <c r="M2475" s="471">
        <f t="shared" si="149"/>
        <v>0.05</v>
      </c>
      <c r="N2475" s="475">
        <f t="shared" si="150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48"/>
        <v>-4876953362.9859886</v>
      </c>
      <c r="J2476" s="455">
        <f t="array" ref="J2476">IFERROR(INDEX('Retirement Calculator'!J:J,MATCH('Isaac 401k'!N2476,'Retirement Calculator'!A:A,0),0),0)</f>
        <v>0</v>
      </c>
      <c r="K2476" s="455">
        <f t="shared" ca="1" si="146"/>
        <v>-20320639.01244162</v>
      </c>
      <c r="L2476" s="455">
        <f t="shared" ca="1" si="147"/>
        <v>-4897274001.9984303</v>
      </c>
      <c r="M2476" s="471">
        <f t="shared" si="149"/>
        <v>0.05</v>
      </c>
      <c r="N2476" s="475">
        <f t="shared" si="150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48"/>
        <v>-4897274001.9984303</v>
      </c>
      <c r="J2477" s="455">
        <f t="array" ref="J2477">IFERROR(INDEX('Retirement Calculator'!J:J,MATCH('Isaac 401k'!N2477,'Retirement Calculator'!A:A,0),0),0)</f>
        <v>0</v>
      </c>
      <c r="K2477" s="455">
        <f t="shared" ca="1" si="146"/>
        <v>-20405308.341660127</v>
      </c>
      <c r="L2477" s="455">
        <f t="shared" ca="1" si="147"/>
        <v>-4917679310.3400908</v>
      </c>
      <c r="M2477" s="471">
        <f t="shared" si="149"/>
        <v>0.05</v>
      </c>
      <c r="N2477" s="475">
        <f t="shared" si="150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48"/>
        <v>-4917679310.3400908</v>
      </c>
      <c r="J2478" s="455">
        <f t="array" ref="J2478">IFERROR(INDEX('Retirement Calculator'!J:J,MATCH('Isaac 401k'!N2478,'Retirement Calculator'!A:A,0),0),0)</f>
        <v>0</v>
      </c>
      <c r="K2478" s="455">
        <f t="shared" ca="1" si="146"/>
        <v>-20490330.459750377</v>
      </c>
      <c r="L2478" s="455">
        <f t="shared" ca="1" si="147"/>
        <v>-4938169640.7998409</v>
      </c>
      <c r="M2478" s="471">
        <f t="shared" si="149"/>
        <v>0.05</v>
      </c>
      <c r="N2478" s="475">
        <f t="shared" si="150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48"/>
        <v>-4938169640.7998409</v>
      </c>
      <c r="J2479" s="455">
        <f t="array" ref="J2479">IFERROR(INDEX('Retirement Calculator'!J:J,MATCH('Isaac 401k'!N2479,'Retirement Calculator'!A:A,0),0),0)</f>
        <v>0</v>
      </c>
      <c r="K2479" s="455">
        <f t="shared" ca="1" si="146"/>
        <v>-20575706.836666003</v>
      </c>
      <c r="L2479" s="455">
        <f t="shared" ca="1" si="147"/>
        <v>-4958745347.636507</v>
      </c>
      <c r="M2479" s="471">
        <f t="shared" si="149"/>
        <v>0.05</v>
      </c>
      <c r="N2479" s="475">
        <f t="shared" si="150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48"/>
        <v>-4958745347.636507</v>
      </c>
      <c r="J2480" s="455">
        <f t="array" ref="J2480">IFERROR(INDEX('Retirement Calculator'!J:J,MATCH('Isaac 401k'!N2480,'Retirement Calculator'!A:A,0),0),0)</f>
        <v>0</v>
      </c>
      <c r="K2480" s="455">
        <f t="shared" ca="1" si="146"/>
        <v>-20661438.948485445</v>
      </c>
      <c r="L2480" s="455">
        <f t="shared" ca="1" si="147"/>
        <v>-4979406786.5849924</v>
      </c>
      <c r="M2480" s="471">
        <f t="shared" si="149"/>
        <v>0.05</v>
      </c>
      <c r="N2480" s="475">
        <f t="shared" si="150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48"/>
        <v>-4979406786.5849924</v>
      </c>
      <c r="J2481" s="455">
        <f t="array" ref="J2481">IFERROR(INDEX('Retirement Calculator'!J:J,MATCH('Isaac 401k'!N2481,'Retirement Calculator'!A:A,0),0),0)</f>
        <v>0</v>
      </c>
      <c r="K2481" s="455">
        <f t="shared" ca="1" si="146"/>
        <v>-20747528.277437467</v>
      </c>
      <c r="L2481" s="455">
        <f t="shared" ca="1" si="147"/>
        <v>-5000154314.8624296</v>
      </c>
      <c r="M2481" s="471">
        <f t="shared" si="149"/>
        <v>0.05</v>
      </c>
      <c r="N2481" s="475">
        <f t="shared" si="150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48"/>
        <v>-5000154314.8624296</v>
      </c>
      <c r="J2482" s="455">
        <f t="array" ref="J2482">IFERROR(INDEX('Retirement Calculator'!J:J,MATCH('Isaac 401k'!N2482,'Retirement Calculator'!A:A,0),0),0)</f>
        <v>0</v>
      </c>
      <c r="K2482" s="455">
        <f t="shared" ca="1" si="146"/>
        <v>-20833976.31192679</v>
      </c>
      <c r="L2482" s="455">
        <f t="shared" ca="1" si="147"/>
        <v>-5020988291.1743565</v>
      </c>
      <c r="M2482" s="471">
        <f t="shared" si="149"/>
        <v>0.05</v>
      </c>
      <c r="N2482" s="475">
        <f t="shared" si="150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48"/>
        <v>-5020988291.1743565</v>
      </c>
      <c r="J2483" s="455">
        <f t="array" ref="J2483">IFERROR(INDEX('Retirement Calculator'!J:J,MATCH('Isaac 401k'!N2483,'Retirement Calculator'!A:A,0),0),0)</f>
        <v>0</v>
      </c>
      <c r="K2483" s="455">
        <f t="shared" ca="1" si="146"/>
        <v>-20920784.546559818</v>
      </c>
      <c r="L2483" s="455">
        <f t="shared" ca="1" si="147"/>
        <v>-5041909075.7209167</v>
      </c>
      <c r="M2483" s="471">
        <f t="shared" si="149"/>
        <v>0.05</v>
      </c>
      <c r="N2483" s="475">
        <f t="shared" si="150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48"/>
        <v>-5041909075.7209167</v>
      </c>
      <c r="J2484" s="455">
        <f t="array" ref="J2484">IFERROR(INDEX('Retirement Calculator'!J:J,MATCH('Isaac 401k'!N2484,'Retirement Calculator'!A:A,0),0),0)</f>
        <v>0</v>
      </c>
      <c r="K2484" s="455">
        <f t="shared" ca="1" si="146"/>
        <v>-21007954.482170485</v>
      </c>
      <c r="L2484" s="455">
        <f t="shared" ca="1" si="147"/>
        <v>-5062917030.2030869</v>
      </c>
      <c r="M2484" s="471">
        <f t="shared" si="149"/>
        <v>0.05</v>
      </c>
      <c r="N2484" s="475">
        <f t="shared" si="150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48"/>
        <v>-5062917030.2030869</v>
      </c>
      <c r="J2485" s="455">
        <f t="array" ref="J2485">IFERROR(INDEX('Retirement Calculator'!J:J,MATCH('Isaac 401k'!N2485,'Retirement Calculator'!A:A,0),0),0)</f>
        <v>0</v>
      </c>
      <c r="K2485" s="455">
        <f t="shared" ca="1" si="146"/>
        <v>-21095487.625846196</v>
      </c>
      <c r="L2485" s="455">
        <f t="shared" ca="1" si="147"/>
        <v>-5084012517.8289328</v>
      </c>
      <c r="M2485" s="471">
        <f t="shared" si="149"/>
        <v>0.05</v>
      </c>
      <c r="N2485" s="475">
        <f t="shared" si="150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48"/>
        <v>-5084012517.8289328</v>
      </c>
      <c r="J2486" s="455">
        <f t="array" ref="J2486">IFERROR(INDEX('Retirement Calculator'!J:J,MATCH('Isaac 401k'!N2486,'Retirement Calculator'!A:A,0),0),0)</f>
        <v>0</v>
      </c>
      <c r="K2486" s="455">
        <f t="shared" ca="1" si="146"/>
        <v>-21183385.490953885</v>
      </c>
      <c r="L2486" s="455">
        <f t="shared" ca="1" si="147"/>
        <v>-5105195903.3198862</v>
      </c>
      <c r="M2486" s="471">
        <f t="shared" si="149"/>
        <v>0.05</v>
      </c>
      <c r="N2486" s="475">
        <f t="shared" si="150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48"/>
        <v>-5105195903.3198862</v>
      </c>
      <c r="J2487" s="455">
        <f t="array" ref="J2487">IFERROR(INDEX('Retirement Calculator'!J:J,MATCH('Isaac 401k'!N2487,'Retirement Calculator'!A:A,0),0),0)</f>
        <v>0</v>
      </c>
      <c r="K2487" s="455">
        <f t="shared" ca="1" si="146"/>
        <v>-21271649.597166192</v>
      </c>
      <c r="L2487" s="455">
        <f t="shared" ca="1" si="147"/>
        <v>-5126467552.9170523</v>
      </c>
      <c r="M2487" s="471">
        <f t="shared" si="149"/>
        <v>0.05</v>
      </c>
      <c r="N2487" s="475">
        <f t="shared" si="150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48"/>
        <v>-5126467552.9170523</v>
      </c>
      <c r="J2488" s="455">
        <f t="array" ref="J2488">IFERROR(INDEX('Retirement Calculator'!J:J,MATCH('Isaac 401k'!N2488,'Retirement Calculator'!A:A,0),0),0)</f>
        <v>0</v>
      </c>
      <c r="K2488" s="455">
        <f t="shared" ca="1" si="146"/>
        <v>-21360281.470487718</v>
      </c>
      <c r="L2488" s="455">
        <f t="shared" ca="1" si="147"/>
        <v>-5147827834.3875399</v>
      </c>
      <c r="M2488" s="471">
        <f t="shared" si="149"/>
        <v>0.05</v>
      </c>
      <c r="N2488" s="475">
        <f t="shared" si="150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48"/>
        <v>-5147827834.3875399</v>
      </c>
      <c r="J2489" s="455">
        <f t="array" ref="J2489">IFERROR(INDEX('Retirement Calculator'!J:J,MATCH('Isaac 401k'!N2489,'Retirement Calculator'!A:A,0),0),0)</f>
        <v>0</v>
      </c>
      <c r="K2489" s="455">
        <f t="shared" ca="1" si="146"/>
        <v>-21449282.643281415</v>
      </c>
      <c r="L2489" s="455">
        <f t="shared" ca="1" si="147"/>
        <v>-5169277117.0308208</v>
      </c>
      <c r="M2489" s="471">
        <f t="shared" si="149"/>
        <v>0.05</v>
      </c>
      <c r="N2489" s="475">
        <f t="shared" si="150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48"/>
        <v>-5169277117.0308208</v>
      </c>
      <c r="J2490" s="455">
        <f t="array" ref="J2490">IFERROR(INDEX('Retirement Calculator'!J:J,MATCH('Isaac 401k'!N2490,'Retirement Calculator'!A:A,0),0),0)</f>
        <v>0</v>
      </c>
      <c r="K2490" s="455">
        <f t="shared" ca="1" si="146"/>
        <v>-21538654.654295087</v>
      </c>
      <c r="L2490" s="455">
        <f t="shared" ca="1" si="147"/>
        <v>-5190815771.6851158</v>
      </c>
      <c r="M2490" s="471">
        <f t="shared" si="149"/>
        <v>0.05</v>
      </c>
      <c r="N2490" s="475">
        <f t="shared" si="150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48"/>
        <v>-5190815771.6851158</v>
      </c>
      <c r="J2491" s="455">
        <f t="array" ref="J2491">IFERROR(INDEX('Retirement Calculator'!J:J,MATCH('Isaac 401k'!N2491,'Retirement Calculator'!A:A,0),0),0)</f>
        <v>0</v>
      </c>
      <c r="K2491" s="455">
        <f t="shared" ca="1" si="146"/>
        <v>-21628399.048687983</v>
      </c>
      <c r="L2491" s="455">
        <f t="shared" ca="1" si="147"/>
        <v>-5212444170.7338037</v>
      </c>
      <c r="M2491" s="471">
        <f t="shared" si="149"/>
        <v>0.05</v>
      </c>
      <c r="N2491" s="475">
        <f t="shared" si="150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48"/>
        <v>-5212444170.7338037</v>
      </c>
      <c r="J2492" s="455">
        <f t="array" ref="J2492">IFERROR(INDEX('Retirement Calculator'!J:J,MATCH('Isaac 401k'!N2492,'Retirement Calculator'!A:A,0),0),0)</f>
        <v>0</v>
      </c>
      <c r="K2492" s="455">
        <f t="shared" ca="1" si="146"/>
        <v>-21718517.378057517</v>
      </c>
      <c r="L2492" s="455">
        <f t="shared" ca="1" si="147"/>
        <v>-5234162688.1118612</v>
      </c>
      <c r="M2492" s="471">
        <f t="shared" si="149"/>
        <v>0.05</v>
      </c>
      <c r="N2492" s="475">
        <f t="shared" si="150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48"/>
        <v>-5234162688.1118612</v>
      </c>
      <c r="J2493" s="455">
        <f t="array" ref="J2493">IFERROR(INDEX('Retirement Calculator'!J:J,MATCH('Isaac 401k'!N2493,'Retirement Calculator'!A:A,0),0),0)</f>
        <v>0</v>
      </c>
      <c r="K2493" s="455">
        <f t="shared" ca="1" si="146"/>
        <v>-21809011.200466089</v>
      </c>
      <c r="L2493" s="455">
        <f t="shared" ca="1" si="147"/>
        <v>-5255971699.3123274</v>
      </c>
      <c r="M2493" s="471">
        <f t="shared" si="149"/>
        <v>0.05</v>
      </c>
      <c r="N2493" s="475">
        <f t="shared" si="150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48"/>
        <v>-5255971699.3123274</v>
      </c>
      <c r="J2494" s="455">
        <f t="array" ref="J2494">IFERROR(INDEX('Retirement Calculator'!J:J,MATCH('Isaac 401k'!N2494,'Retirement Calculator'!A:A,0),0),0)</f>
        <v>0</v>
      </c>
      <c r="K2494" s="455">
        <f t="shared" ca="1" si="146"/>
        <v>-21899882.080468029</v>
      </c>
      <c r="L2494" s="455">
        <f t="shared" ca="1" si="147"/>
        <v>-5277871581.3927956</v>
      </c>
      <c r="M2494" s="471">
        <f t="shared" si="149"/>
        <v>0.05</v>
      </c>
      <c r="N2494" s="475">
        <f t="shared" si="150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48"/>
        <v>-5277871581.3927956</v>
      </c>
      <c r="J2495" s="455">
        <f t="array" ref="J2495">IFERROR(INDEX('Retirement Calculator'!J:J,MATCH('Isaac 401k'!N2495,'Retirement Calculator'!A:A,0),0),0)</f>
        <v>0</v>
      </c>
      <c r="K2495" s="455">
        <f t="shared" ca="1" si="146"/>
        <v>-21991131.589136649</v>
      </c>
      <c r="L2495" s="455">
        <f t="shared" ca="1" si="147"/>
        <v>-5299862712.9819326</v>
      </c>
      <c r="M2495" s="471">
        <f t="shared" si="149"/>
        <v>0.05</v>
      </c>
      <c r="N2495" s="475">
        <f t="shared" si="150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48"/>
        <v>-5299862712.9819326</v>
      </c>
      <c r="J2496" s="455">
        <f t="array" ref="J2496">IFERROR(INDEX('Retirement Calculator'!J:J,MATCH('Isaac 401k'!N2496,'Retirement Calculator'!A:A,0),0),0)</f>
        <v>0</v>
      </c>
      <c r="K2496" s="455">
        <f t="shared" ca="1" si="146"/>
        <v>-22082761.304091386</v>
      </c>
      <c r="L2496" s="455">
        <f t="shared" ca="1" si="147"/>
        <v>-5321945474.2860241</v>
      </c>
      <c r="M2496" s="471">
        <f t="shared" si="149"/>
        <v>0.05</v>
      </c>
      <c r="N2496" s="475">
        <f t="shared" si="150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48"/>
        <v>-5321945474.2860241</v>
      </c>
      <c r="J2497" s="455">
        <f t="array" ref="J2497">IFERROR(INDEX('Retirement Calculator'!J:J,MATCH('Isaac 401k'!N2497,'Retirement Calculator'!A:A,0),0),0)</f>
        <v>0</v>
      </c>
      <c r="K2497" s="455">
        <f t="shared" ca="1" si="146"/>
        <v>-22174772.809525099</v>
      </c>
      <c r="L2497" s="455">
        <f t="shared" ca="1" si="147"/>
        <v>-5344120247.0955496</v>
      </c>
      <c r="M2497" s="471">
        <f t="shared" si="149"/>
        <v>0.05</v>
      </c>
      <c r="N2497" s="475">
        <f t="shared" si="150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48"/>
        <v>-5344120247.0955496</v>
      </c>
      <c r="J2498" s="455">
        <f t="array" ref="J2498">IFERROR(INDEX('Retirement Calculator'!J:J,MATCH('Isaac 401k'!N2498,'Retirement Calculator'!A:A,0),0),0)</f>
        <v>0</v>
      </c>
      <c r="K2498" s="455">
        <f t="shared" ca="1" si="146"/>
        <v>-22267167.696231455</v>
      </c>
      <c r="L2498" s="455">
        <f t="shared" ca="1" si="147"/>
        <v>-5366387414.7917814</v>
      </c>
      <c r="M2498" s="471">
        <f t="shared" si="149"/>
        <v>0.05</v>
      </c>
      <c r="N2498" s="475">
        <f t="shared" si="150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48"/>
        <v>-5366387414.7917814</v>
      </c>
      <c r="J2499" s="455">
        <f t="array" ref="J2499">IFERROR(INDEX('Retirement Calculator'!J:J,MATCH('Isaac 401k'!N2499,'Retirement Calculator'!A:A,0),0),0)</f>
        <v>0</v>
      </c>
      <c r="K2499" s="455">
        <f t="shared" ca="1" si="146"/>
        <v>-22359947.561632421</v>
      </c>
      <c r="L2499" s="455">
        <f t="shared" ca="1" si="147"/>
        <v>-5388747362.3534136</v>
      </c>
      <c r="M2499" s="471">
        <f t="shared" si="149"/>
        <v>0.05</v>
      </c>
      <c r="N2499" s="475">
        <f t="shared" si="150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48"/>
        <v>-5388747362.3534136</v>
      </c>
      <c r="J2500" s="455">
        <f t="array" ref="J2500">IFERROR(INDEX('Retirement Calculator'!J:J,MATCH('Isaac 401k'!N2500,'Retirement Calculator'!A:A,0),0),0)</f>
        <v>0</v>
      </c>
      <c r="K2500" s="455">
        <f t="shared" ca="1" si="146"/>
        <v>-22453114.009805888</v>
      </c>
      <c r="L2500" s="455">
        <f t="shared" ca="1" si="147"/>
        <v>-5411200476.3632193</v>
      </c>
      <c r="M2500" s="471">
        <f t="shared" si="149"/>
        <v>0.05</v>
      </c>
      <c r="N2500" s="475">
        <f t="shared" si="150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48"/>
        <v>-5411200476.3632193</v>
      </c>
      <c r="J2501" s="455">
        <f t="array" ref="J2501">IFERROR(INDEX('Retirement Calculator'!J:J,MATCH('Isaac 401k'!N2501,'Retirement Calculator'!A:A,0),0),0)</f>
        <v>0</v>
      </c>
      <c r="K2501" s="455">
        <f t="shared" ca="1" si="146"/>
        <v>-22546668.651513413</v>
      </c>
      <c r="L2501" s="455">
        <f t="shared" ca="1" si="147"/>
        <v>-5433747145.0147324</v>
      </c>
      <c r="M2501" s="471">
        <f t="shared" si="149"/>
        <v>0.05</v>
      </c>
      <c r="N2501" s="475">
        <f t="shared" si="150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48"/>
        <v>-5433747145.0147324</v>
      </c>
      <c r="J2502" s="455">
        <f t="array" ref="J2502">IFERROR(INDEX('Retirement Calculator'!J:J,MATCH('Isaac 401k'!N2502,'Retirement Calculator'!A:A,0),0),0)</f>
        <v>0</v>
      </c>
      <c r="K2502" s="455">
        <f t="shared" ca="1" si="146"/>
        <v>-22640613.10422805</v>
      </c>
      <c r="L2502" s="455">
        <f t="shared" ca="1" si="147"/>
        <v>-5456387758.1189604</v>
      </c>
      <c r="M2502" s="471">
        <f t="shared" si="149"/>
        <v>0.05</v>
      </c>
      <c r="N2502" s="475">
        <f t="shared" si="150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48"/>
        <v>-5456387758.1189604</v>
      </c>
      <c r="J2503" s="455">
        <f t="array" ref="J2503">IFERROR(INDEX('Retirement Calculator'!J:J,MATCH('Isaac 401k'!N2503,'Retirement Calculator'!A:A,0),0),0)</f>
        <v>0</v>
      </c>
      <c r="K2503" s="455">
        <f t="shared" ca="1" si="146"/>
        <v>-22734948.992162336</v>
      </c>
      <c r="L2503" s="455">
        <f t="shared" ca="1" si="147"/>
        <v>-5479122707.1111231</v>
      </c>
      <c r="M2503" s="471">
        <f t="shared" si="149"/>
        <v>0.05</v>
      </c>
      <c r="N2503" s="475">
        <f t="shared" si="150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48"/>
        <v>-5479122707.1111231</v>
      </c>
      <c r="J2504" s="455">
        <f t="array" ref="J2504">IFERROR(INDEX('Retirement Calculator'!J:J,MATCH('Isaac 401k'!N2504,'Retirement Calculator'!A:A,0),0),0)</f>
        <v>0</v>
      </c>
      <c r="K2504" s="455">
        <f t="shared" ca="1" si="146"/>
        <v>-22829677.946296345</v>
      </c>
      <c r="L2504" s="455">
        <f t="shared" ca="1" si="147"/>
        <v>-5501952385.0574198</v>
      </c>
      <c r="M2504" s="471">
        <f t="shared" si="149"/>
        <v>0.05</v>
      </c>
      <c r="N2504" s="475">
        <f t="shared" si="150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48"/>
        <v>-5501952385.0574198</v>
      </c>
      <c r="J2505" s="455">
        <f t="array" ref="J2505">IFERROR(INDEX('Retirement Calculator'!J:J,MATCH('Isaac 401k'!N2505,'Retirement Calculator'!A:A,0),0),0)</f>
        <v>0</v>
      </c>
      <c r="K2505" s="455">
        <f t="shared" ca="1" si="146"/>
        <v>-22924801.604405917</v>
      </c>
      <c r="L2505" s="455">
        <f t="shared" ca="1" si="147"/>
        <v>-5524877186.6618261</v>
      </c>
      <c r="M2505" s="471">
        <f t="shared" si="149"/>
        <v>0.05</v>
      </c>
      <c r="N2505" s="475">
        <f t="shared" si="150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48"/>
        <v>-5524877186.6618261</v>
      </c>
      <c r="J2506" s="455">
        <f t="array" ref="J2506">IFERROR(INDEX('Retirement Calculator'!J:J,MATCH('Isaac 401k'!N2506,'Retirement Calculator'!A:A,0),0),0)</f>
        <v>0</v>
      </c>
      <c r="K2506" s="455">
        <f t="shared" ca="1" si="146"/>
        <v>-23020321.611090943</v>
      </c>
      <c r="L2506" s="455">
        <f t="shared" ca="1" si="147"/>
        <v>-5547897508.2729168</v>
      </c>
      <c r="M2506" s="471">
        <f t="shared" si="149"/>
        <v>0.05</v>
      </c>
      <c r="N2506" s="475">
        <f t="shared" si="150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48"/>
        <v>-5547897508.2729168</v>
      </c>
      <c r="J2507" s="455">
        <f t="array" ref="J2507">IFERROR(INDEX('Retirement Calculator'!J:J,MATCH('Isaac 401k'!N2507,'Retirement Calculator'!A:A,0),0),0)</f>
        <v>0</v>
      </c>
      <c r="K2507" s="455">
        <f t="shared" ca="1" si="146"/>
        <v>-23116239.617803819</v>
      </c>
      <c r="L2507" s="455">
        <f t="shared" ca="1" si="147"/>
        <v>-5571013747.8907204</v>
      </c>
      <c r="M2507" s="471">
        <f t="shared" si="149"/>
        <v>0.05</v>
      </c>
      <c r="N2507" s="475">
        <f t="shared" si="150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48"/>
        <v>-5571013747.8907204</v>
      </c>
      <c r="J2508" s="455">
        <f t="array" ref="J2508">IFERROR(INDEX('Retirement Calculator'!J:J,MATCH('Isaac 401k'!N2508,'Retirement Calculator'!A:A,0),0),0)</f>
        <v>0</v>
      </c>
      <c r="K2508" s="455">
        <f t="shared" ca="1" si="146"/>
        <v>-23212557.282878</v>
      </c>
      <c r="L2508" s="455">
        <f t="shared" ca="1" si="147"/>
        <v>-5594226305.1735983</v>
      </c>
      <c r="M2508" s="471">
        <f t="shared" si="149"/>
        <v>0.05</v>
      </c>
      <c r="N2508" s="475">
        <f t="shared" si="150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48"/>
        <v>-5594226305.1735983</v>
      </c>
      <c r="J2509" s="455">
        <f t="array" ref="J2509">IFERROR(INDEX('Retirement Calculator'!J:J,MATCH('Isaac 401k'!N2509,'Retirement Calculator'!A:A,0),0),0)</f>
        <v>0</v>
      </c>
      <c r="K2509" s="455">
        <f t="shared" ca="1" si="146"/>
        <v>-23309276.271556661</v>
      </c>
      <c r="L2509" s="455">
        <f t="shared" ca="1" si="147"/>
        <v>-5617535581.4451551</v>
      </c>
      <c r="M2509" s="471">
        <f t="shared" si="149"/>
        <v>0.05</v>
      </c>
      <c r="N2509" s="475">
        <f t="shared" si="150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48"/>
        <v>-5617535581.4451551</v>
      </c>
      <c r="J2510" s="455">
        <f t="array" ref="J2510">IFERROR(INDEX('Retirement Calculator'!J:J,MATCH('Isaac 401k'!N2510,'Retirement Calculator'!A:A,0),0),0)</f>
        <v>0</v>
      </c>
      <c r="K2510" s="455">
        <f t="shared" ca="1" si="146"/>
        <v>-23406398.256021481</v>
      </c>
      <c r="L2510" s="455">
        <f t="shared" ca="1" si="147"/>
        <v>-5640941979.7011766</v>
      </c>
      <c r="M2510" s="471">
        <f t="shared" si="149"/>
        <v>0.05</v>
      </c>
      <c r="N2510" s="475">
        <f t="shared" si="150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48"/>
        <v>-5640941979.7011766</v>
      </c>
      <c r="J2511" s="455">
        <f t="array" ref="J2511">IFERROR(INDEX('Retirement Calculator'!J:J,MATCH('Isaac 401k'!N2511,'Retirement Calculator'!A:A,0),0),0)</f>
        <v>0</v>
      </c>
      <c r="K2511" s="455">
        <f t="shared" ca="1" si="146"/>
        <v>-23503924.915421568</v>
      </c>
      <c r="L2511" s="455">
        <f t="shared" ca="1" si="147"/>
        <v>-5664445904.6165981</v>
      </c>
      <c r="M2511" s="471">
        <f t="shared" si="149"/>
        <v>0.05</v>
      </c>
      <c r="N2511" s="475">
        <f t="shared" si="150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48"/>
        <v>-5664445904.6165981</v>
      </c>
      <c r="J2512" s="455">
        <f t="array" ref="J2512">IFERROR(INDEX('Retirement Calculator'!J:J,MATCH('Isaac 401k'!N2512,'Retirement Calculator'!A:A,0),0),0)</f>
        <v>0</v>
      </c>
      <c r="K2512" s="455">
        <f t="shared" ca="1" si="146"/>
        <v>-23601857.935902491</v>
      </c>
      <c r="L2512" s="455">
        <f t="shared" ca="1" si="147"/>
        <v>-5688047762.5525007</v>
      </c>
      <c r="M2512" s="471">
        <f t="shared" si="149"/>
        <v>0.05</v>
      </c>
      <c r="N2512" s="475">
        <f t="shared" si="150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48"/>
        <v>-5688047762.5525007</v>
      </c>
      <c r="J2513" s="455">
        <f t="array" ref="J2513">IFERROR(INDEX('Retirement Calculator'!J:J,MATCH('Isaac 401k'!N2513,'Retirement Calculator'!A:A,0),0),0)</f>
        <v>0</v>
      </c>
      <c r="K2513" s="455">
        <f t="shared" ca="1" si="146"/>
        <v>-23700199.010635421</v>
      </c>
      <c r="L2513" s="455">
        <f t="shared" ca="1" si="147"/>
        <v>-5711747961.5631361</v>
      </c>
      <c r="M2513" s="471">
        <f t="shared" si="149"/>
        <v>0.05</v>
      </c>
      <c r="N2513" s="475">
        <f t="shared" si="150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48"/>
        <v>-5711747961.5631361</v>
      </c>
      <c r="J2514" s="455">
        <f t="array" ref="J2514">IFERROR(INDEX('Retirement Calculator'!J:J,MATCH('Isaac 401k'!N2514,'Retirement Calculator'!A:A,0),0),0)</f>
        <v>0</v>
      </c>
      <c r="K2514" s="455">
        <f t="shared" ca="1" si="146"/>
        <v>-23798949.839846399</v>
      </c>
      <c r="L2514" s="455">
        <f t="shared" ca="1" si="147"/>
        <v>-5735546911.4029827</v>
      </c>
      <c r="M2514" s="471">
        <f t="shared" si="149"/>
        <v>0.05</v>
      </c>
      <c r="N2514" s="475">
        <f t="shared" si="150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48"/>
        <v>-5735546911.4029827</v>
      </c>
      <c r="J2515" s="455">
        <f t="array" ref="J2515">IFERROR(INDEX('Retirement Calculator'!J:J,MATCH('Isaac 401k'!N2515,'Retirement Calculator'!A:A,0),0),0)</f>
        <v>0</v>
      </c>
      <c r="K2515" s="455">
        <f t="shared" ca="1" si="146"/>
        <v>-23898112.130845763</v>
      </c>
      <c r="L2515" s="455">
        <f t="shared" ca="1" si="147"/>
        <v>-5759445023.5338287</v>
      </c>
      <c r="M2515" s="471">
        <f t="shared" si="149"/>
        <v>0.05</v>
      </c>
      <c r="N2515" s="475">
        <f t="shared" si="150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48"/>
        <v>-5759445023.5338287</v>
      </c>
      <c r="J2516" s="455">
        <f t="array" ref="J2516">IFERROR(INDEX('Retirement Calculator'!J:J,MATCH('Isaac 401k'!N2516,'Retirement Calculator'!A:A,0),0),0)</f>
        <v>0</v>
      </c>
      <c r="K2516" s="455">
        <f t="shared" ca="1" si="146"/>
        <v>-23997687.59805762</v>
      </c>
      <c r="L2516" s="455">
        <f t="shared" ca="1" si="147"/>
        <v>-5783442711.1318865</v>
      </c>
      <c r="M2516" s="471">
        <f t="shared" si="149"/>
        <v>0.05</v>
      </c>
      <c r="N2516" s="475">
        <f t="shared" si="150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48"/>
        <v>-5783442711.1318865</v>
      </c>
      <c r="J2517" s="455">
        <f t="array" ref="J2517">IFERROR(INDEX('Retirement Calculator'!J:J,MATCH('Isaac 401k'!N2517,'Retirement Calculator'!A:A,0),0),0)</f>
        <v>0</v>
      </c>
      <c r="K2517" s="455">
        <f t="shared" ca="1" si="146"/>
        <v>-24097677.963049527</v>
      </c>
      <c r="L2517" s="455">
        <f t="shared" ca="1" si="147"/>
        <v>-5807540389.0949364</v>
      </c>
      <c r="M2517" s="471">
        <f t="shared" si="149"/>
        <v>0.05</v>
      </c>
      <c r="N2517" s="475">
        <f t="shared" si="150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48"/>
        <v>-5807540389.0949364</v>
      </c>
      <c r="J2518" s="455">
        <f t="array" ref="J2518">IFERROR(INDEX('Retirement Calculator'!J:J,MATCH('Isaac 401k'!N2518,'Retirement Calculator'!A:A,0),0),0)</f>
        <v>0</v>
      </c>
      <c r="K2518" s="455">
        <f t="shared" ca="1" si="146"/>
        <v>-24198084.954562236</v>
      </c>
      <c r="L2518" s="455">
        <f t="shared" ca="1" si="147"/>
        <v>-5831738474.0494986</v>
      </c>
      <c r="M2518" s="471">
        <f t="shared" si="149"/>
        <v>0.05</v>
      </c>
      <c r="N2518" s="475">
        <f t="shared" si="150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48"/>
        <v>-5831738474.0494986</v>
      </c>
      <c r="J2519" s="455">
        <f t="array" ref="J2519">IFERROR(INDEX('Retirement Calculator'!J:J,MATCH('Isaac 401k'!N2519,'Retirement Calculator'!A:A,0),0),0)</f>
        <v>0</v>
      </c>
      <c r="K2519" s="455">
        <f t="shared" ca="1" si="146"/>
        <v>-24298910.308539577</v>
      </c>
      <c r="L2519" s="455">
        <f t="shared" ca="1" si="147"/>
        <v>-5856037384.3580379</v>
      </c>
      <c r="M2519" s="471">
        <f t="shared" si="149"/>
        <v>0.05</v>
      </c>
      <c r="N2519" s="475">
        <f t="shared" si="150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48"/>
        <v>-5856037384.3580379</v>
      </c>
      <c r="J2520" s="455">
        <f t="array" ref="J2520">IFERROR(INDEX('Retirement Calculator'!J:J,MATCH('Isaac 401k'!N2520,'Retirement Calculator'!A:A,0),0),0)</f>
        <v>0</v>
      </c>
      <c r="K2520" s="455">
        <f t="shared" ca="1" si="146"/>
        <v>-24400155.768158492</v>
      </c>
      <c r="L2520" s="455">
        <f t="shared" ca="1" si="147"/>
        <v>-5880437540.1261969</v>
      </c>
      <c r="M2520" s="471">
        <f t="shared" si="149"/>
        <v>0.05</v>
      </c>
      <c r="N2520" s="475">
        <f t="shared" si="150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48"/>
        <v>-5880437540.1261969</v>
      </c>
      <c r="J2521" s="455">
        <f t="array" ref="J2521">IFERROR(INDEX('Retirement Calculator'!J:J,MATCH('Isaac 401k'!N2521,'Retirement Calculator'!A:A,0),0),0)</f>
        <v>0</v>
      </c>
      <c r="K2521" s="455">
        <f t="shared" ca="1" si="146"/>
        <v>-24501823.083859153</v>
      </c>
      <c r="L2521" s="455">
        <f t="shared" ca="1" si="147"/>
        <v>-5904939363.2100563</v>
      </c>
      <c r="M2521" s="471">
        <f t="shared" si="149"/>
        <v>0.05</v>
      </c>
      <c r="N2521" s="475">
        <f t="shared" si="150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48"/>
        <v>-5904939363.2100563</v>
      </c>
      <c r="J2522" s="455">
        <f t="array" ref="J2522">IFERROR(INDEX('Retirement Calculator'!J:J,MATCH('Isaac 401k'!N2522,'Retirement Calculator'!A:A,0),0),0)</f>
        <v>0</v>
      </c>
      <c r="K2522" s="455">
        <f t="shared" ca="1" si="146"/>
        <v>-24603914.013375234</v>
      </c>
      <c r="L2522" s="455">
        <f t="shared" ca="1" si="147"/>
        <v>-5929543277.2234316</v>
      </c>
      <c r="M2522" s="471">
        <f t="shared" si="149"/>
        <v>0.05</v>
      </c>
      <c r="N2522" s="475">
        <f t="shared" si="150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48"/>
        <v>-5929543277.2234316</v>
      </c>
      <c r="J2523" s="455">
        <f t="array" ref="J2523">IFERROR(INDEX('Retirement Calculator'!J:J,MATCH('Isaac 401k'!N2523,'Retirement Calculator'!A:A,0),0),0)</f>
        <v>0</v>
      </c>
      <c r="K2523" s="455">
        <f t="shared" ca="1" si="146"/>
        <v>-24706430.321764298</v>
      </c>
      <c r="L2523" s="455">
        <f t="shared" ca="1" si="147"/>
        <v>-5954249707.5451956</v>
      </c>
      <c r="M2523" s="471">
        <f t="shared" si="149"/>
        <v>0.05</v>
      </c>
      <c r="N2523" s="475">
        <f t="shared" si="150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48"/>
        <v>-5954249707.5451956</v>
      </c>
      <c r="J2524" s="455">
        <f t="array" ref="J2524">IFERROR(INDEX('Retirement Calculator'!J:J,MATCH('Isaac 401k'!N2524,'Retirement Calculator'!A:A,0),0),0)</f>
        <v>0</v>
      </c>
      <c r="K2524" s="455">
        <f t="shared" ca="1" si="146"/>
        <v>-24809373.781438313</v>
      </c>
      <c r="L2524" s="455">
        <f t="shared" ca="1" si="147"/>
        <v>-5979059081.3266335</v>
      </c>
      <c r="M2524" s="471">
        <f t="shared" si="149"/>
        <v>0.05</v>
      </c>
      <c r="N2524" s="475">
        <f t="shared" si="150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48"/>
        <v>-5979059081.3266335</v>
      </c>
      <c r="J2525" s="455">
        <f t="array" ref="J2525">IFERROR(INDEX('Retirement Calculator'!J:J,MATCH('Isaac 401k'!N2525,'Retirement Calculator'!A:A,0),0),0)</f>
        <v>0</v>
      </c>
      <c r="K2525" s="455">
        <f t="shared" ca="1" si="146"/>
        <v>-24912746.172194306</v>
      </c>
      <c r="L2525" s="455">
        <f t="shared" ca="1" si="147"/>
        <v>-6003971827.4988279</v>
      </c>
      <c r="M2525" s="471">
        <f t="shared" si="149"/>
        <v>0.05</v>
      </c>
      <c r="N2525" s="475">
        <f t="shared" si="150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48"/>
        <v>-6003971827.4988279</v>
      </c>
      <c r="J2526" s="455">
        <f t="array" ref="J2526">IFERROR(INDEX('Retirement Calculator'!J:J,MATCH('Isaac 401k'!N2526,'Retirement Calculator'!A:A,0),0),0)</f>
        <v>0</v>
      </c>
      <c r="K2526" s="455">
        <f t="shared" ca="1" si="146"/>
        <v>-25016549.281245116</v>
      </c>
      <c r="L2526" s="455">
        <f t="shared" ca="1" si="147"/>
        <v>-6028988376.7800732</v>
      </c>
      <c r="M2526" s="471">
        <f t="shared" si="149"/>
        <v>0.05</v>
      </c>
      <c r="N2526" s="475">
        <f t="shared" si="150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48"/>
        <v>-6028988376.7800732</v>
      </c>
      <c r="J2527" s="455">
        <f t="array" ref="J2527">IFERROR(INDEX('Retirement Calculator'!J:J,MATCH('Isaac 401k'!N2527,'Retirement Calculator'!A:A,0),0),0)</f>
        <v>0</v>
      </c>
      <c r="K2527" s="455">
        <f t="shared" ca="1" si="146"/>
        <v>-25120784.903250303</v>
      </c>
      <c r="L2527" s="455">
        <f t="shared" ca="1" si="147"/>
        <v>-6054109161.6833239</v>
      </c>
      <c r="M2527" s="471">
        <f t="shared" si="149"/>
        <v>0.05</v>
      </c>
      <c r="N2527" s="475">
        <f t="shared" si="150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48"/>
        <v>-6054109161.6833239</v>
      </c>
      <c r="J2528" s="455">
        <f t="array" ref="J2528">IFERROR(INDEX('Retirement Calculator'!J:J,MATCH('Isaac 401k'!N2528,'Retirement Calculator'!A:A,0),0),0)</f>
        <v>0</v>
      </c>
      <c r="K2528" s="455">
        <f t="shared" ca="1" si="146"/>
        <v>-25225454.840347182</v>
      </c>
      <c r="L2528" s="455">
        <f t="shared" ca="1" si="147"/>
        <v>-6079334616.5236712</v>
      </c>
      <c r="M2528" s="471">
        <f t="shared" si="149"/>
        <v>0.05</v>
      </c>
      <c r="N2528" s="475">
        <f t="shared" si="150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48"/>
        <v>-6079334616.5236712</v>
      </c>
      <c r="J2529" s="455">
        <f t="array" ref="J2529">IFERROR(INDEX('Retirement Calculator'!J:J,MATCH('Isaac 401k'!N2529,'Retirement Calculator'!A:A,0),0),0)</f>
        <v>0</v>
      </c>
      <c r="K2529" s="455">
        <f t="shared" ca="1" si="146"/>
        <v>-25330560.902181964</v>
      </c>
      <c r="L2529" s="455">
        <f t="shared" ca="1" si="147"/>
        <v>-6104665177.4258528</v>
      </c>
      <c r="M2529" s="471">
        <f t="shared" si="149"/>
        <v>0.05</v>
      </c>
      <c r="N2529" s="475">
        <f t="shared" si="150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48"/>
        <v>-6104665177.4258528</v>
      </c>
      <c r="J2530" s="455">
        <f t="array" ref="J2530">IFERROR(INDEX('Retirement Calculator'!J:J,MATCH('Isaac 401k'!N2530,'Retirement Calculator'!A:A,0),0),0)</f>
        <v>0</v>
      </c>
      <c r="K2530" s="455">
        <f t="shared" ca="1" si="146"/>
        <v>-25436104.905941054</v>
      </c>
      <c r="L2530" s="455">
        <f t="shared" ca="1" si="147"/>
        <v>-6130101282.3317938</v>
      </c>
      <c r="M2530" s="471">
        <f t="shared" si="149"/>
        <v>0.05</v>
      </c>
      <c r="N2530" s="475">
        <f t="shared" si="150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48"/>
        <v>-6130101282.3317938</v>
      </c>
      <c r="J2531" s="455">
        <f t="array" ref="J2531">IFERROR(INDEX('Retirement Calculator'!J:J,MATCH('Isaac 401k'!N2531,'Retirement Calculator'!A:A,0),0),0)</f>
        <v>0</v>
      </c>
      <c r="K2531" s="455">
        <f t="shared" ca="1" si="146"/>
        <v>-25542088.676382475</v>
      </c>
      <c r="L2531" s="455">
        <f t="shared" ca="1" si="147"/>
        <v>-6155643371.0081758</v>
      </c>
      <c r="M2531" s="471">
        <f t="shared" si="149"/>
        <v>0.05</v>
      </c>
      <c r="N2531" s="475">
        <f t="shared" si="150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48"/>
        <v>-6155643371.0081758</v>
      </c>
      <c r="J2532" s="455">
        <f t="array" ref="J2532">IFERROR(INDEX('Retirement Calculator'!J:J,MATCH('Isaac 401k'!N2532,'Retirement Calculator'!A:A,0),0),0)</f>
        <v>0</v>
      </c>
      <c r="K2532" s="455">
        <f t="shared" ca="1" si="146"/>
        <v>-25648514.045867398</v>
      </c>
      <c r="L2532" s="455">
        <f t="shared" ca="1" si="147"/>
        <v>-6181291885.0540428</v>
      </c>
      <c r="M2532" s="471">
        <f t="shared" si="149"/>
        <v>0.05</v>
      </c>
      <c r="N2532" s="475">
        <f t="shared" si="150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48"/>
        <v>-6181291885.0540428</v>
      </c>
      <c r="J2533" s="455">
        <f t="array" ref="J2533">IFERROR(INDEX('Retirement Calculator'!J:J,MATCH('Isaac 401k'!N2533,'Retirement Calculator'!A:A,0),0),0)</f>
        <v>0</v>
      </c>
      <c r="K2533" s="455">
        <f t="shared" ca="1" si="146"/>
        <v>-25755382.854391843</v>
      </c>
      <c r="L2533" s="455">
        <f t="shared" ca="1" si="147"/>
        <v>-6207047267.9084349</v>
      </c>
      <c r="M2533" s="471">
        <f t="shared" si="149"/>
        <v>0.05</v>
      </c>
      <c r="N2533" s="475">
        <f t="shared" si="150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48"/>
        <v>-6207047267.9084349</v>
      </c>
      <c r="J2534" s="455">
        <f t="array" ref="J2534">IFERROR(INDEX('Retirement Calculator'!J:J,MATCH('Isaac 401k'!N2534,'Retirement Calculator'!A:A,0),0),0)</f>
        <v>0</v>
      </c>
      <c r="K2534" s="455">
        <f t="shared" ca="1" si="146"/>
        <v>-25862696.949618477</v>
      </c>
      <c r="L2534" s="455">
        <f t="shared" ca="1" si="147"/>
        <v>-6232909964.8580532</v>
      </c>
      <c r="M2534" s="471">
        <f t="shared" si="149"/>
        <v>0.05</v>
      </c>
      <c r="N2534" s="475">
        <f t="shared" si="150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48"/>
        <v>-6232909964.8580532</v>
      </c>
      <c r="J2535" s="455">
        <f t="array" ref="J2535">IFERROR(INDEX('Retirement Calculator'!J:J,MATCH('Isaac 401k'!N2535,'Retirement Calculator'!A:A,0),0),0)</f>
        <v>0</v>
      </c>
      <c r="K2535" s="455">
        <f t="shared" ca="1" si="146"/>
        <v>-25970458.186908554</v>
      </c>
      <c r="L2535" s="455">
        <f t="shared" ca="1" si="147"/>
        <v>-6258880423.0449619</v>
      </c>
      <c r="M2535" s="471">
        <f t="shared" si="149"/>
        <v>0.05</v>
      </c>
      <c r="N2535" s="475">
        <f t="shared" si="150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48"/>
        <v>-6258880423.0449619</v>
      </c>
      <c r="J2536" s="455">
        <f t="array" ref="J2536">IFERROR(INDEX('Retirement Calculator'!J:J,MATCH('Isaac 401k'!N2536,'Retirement Calculator'!A:A,0),0),0)</f>
        <v>0</v>
      </c>
      <c r="K2536" s="455">
        <f t="shared" ca="1" si="146"/>
        <v>-26078668.429354008</v>
      </c>
      <c r="L2536" s="455">
        <f t="shared" ca="1" si="147"/>
        <v>-6284959091.4743156</v>
      </c>
      <c r="M2536" s="471">
        <f t="shared" si="149"/>
        <v>0.05</v>
      </c>
      <c r="N2536" s="475">
        <f t="shared" si="150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48"/>
        <v>-6284959091.4743156</v>
      </c>
      <c r="J2537" s="455">
        <f t="array" ref="J2537">IFERROR(INDEX('Retirement Calculator'!J:J,MATCH('Isaac 401k'!N2537,'Retirement Calculator'!A:A,0),0),0)</f>
        <v>0</v>
      </c>
      <c r="K2537" s="455">
        <f t="shared" ca="1" si="146"/>
        <v>-26187329.547809649</v>
      </c>
      <c r="L2537" s="455">
        <f t="shared" ca="1" si="147"/>
        <v>-6311146421.0221252</v>
      </c>
      <c r="M2537" s="471">
        <f t="shared" si="149"/>
        <v>0.05</v>
      </c>
      <c r="N2537" s="475">
        <f t="shared" si="150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48"/>
        <v>-6311146421.0221252</v>
      </c>
      <c r="J2538" s="455">
        <f t="array" ref="J2538">IFERROR(INDEX('Retirement Calculator'!J:J,MATCH('Isaac 401k'!N2538,'Retirement Calculator'!A:A,0),0),0)</f>
        <v>0</v>
      </c>
      <c r="K2538" s="455">
        <f t="shared" ca="1" si="146"/>
        <v>-26296443.42092552</v>
      </c>
      <c r="L2538" s="455">
        <f t="shared" ca="1" si="147"/>
        <v>-6337442864.4430504</v>
      </c>
      <c r="M2538" s="471">
        <f t="shared" si="149"/>
        <v>0.05</v>
      </c>
      <c r="N2538" s="475">
        <f t="shared" si="150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48"/>
        <v>-6337442864.4430504</v>
      </c>
      <c r="J2539" s="455">
        <f t="array" ref="J2539">IFERROR(INDEX('Retirement Calculator'!J:J,MATCH('Isaac 401k'!N2539,'Retirement Calculator'!A:A,0),0),0)</f>
        <v>0</v>
      </c>
      <c r="K2539" s="455">
        <f t="shared" ca="1" si="146"/>
        <v>-26406011.935179375</v>
      </c>
      <c r="L2539" s="455">
        <f t="shared" ca="1" si="147"/>
        <v>-6363848876.3782301</v>
      </c>
      <c r="M2539" s="471">
        <f t="shared" si="149"/>
        <v>0.05</v>
      </c>
      <c r="N2539" s="475">
        <f t="shared" si="150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48"/>
        <v>-6363848876.3782301</v>
      </c>
      <c r="J2540" s="455">
        <f t="array" ref="J2540">IFERROR(INDEX('Retirement Calculator'!J:J,MATCH('Isaac 401k'!N2540,'Retirement Calculator'!A:A,0),0),0)</f>
        <v>0</v>
      </c>
      <c r="K2540" s="455">
        <f t="shared" ca="1" si="146"/>
        <v>-26516036.984909292</v>
      </c>
      <c r="L2540" s="455">
        <f t="shared" ca="1" si="147"/>
        <v>-6390364913.3631392</v>
      </c>
      <c r="M2540" s="471">
        <f t="shared" si="149"/>
        <v>0.05</v>
      </c>
      <c r="N2540" s="475">
        <f t="shared" si="150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48"/>
        <v>-6390364913.3631392</v>
      </c>
      <c r="J2541" s="455">
        <f t="array" ref="J2541">IFERROR(INDEX('Retirement Calculator'!J:J,MATCH('Isaac 401k'!N2541,'Retirement Calculator'!A:A,0),0),0)</f>
        <v>0</v>
      </c>
      <c r="K2541" s="455">
        <f t="shared" ca="1" si="146"/>
        <v>-26626520.472346414</v>
      </c>
      <c r="L2541" s="455">
        <f t="shared" ca="1" si="147"/>
        <v>-6416991433.8354855</v>
      </c>
      <c r="M2541" s="471">
        <f t="shared" si="149"/>
        <v>0.05</v>
      </c>
      <c r="N2541" s="475">
        <f t="shared" si="150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48"/>
        <v>-6416991433.8354855</v>
      </c>
      <c r="J2542" s="455">
        <f t="array" ref="J2542">IFERROR(INDEX('Retirement Calculator'!J:J,MATCH('Isaac 401k'!N2542,'Retirement Calculator'!A:A,0),0),0)</f>
        <v>0</v>
      </c>
      <c r="K2542" s="455">
        <f t="shared" ca="1" si="146"/>
        <v>-26737464.307647854</v>
      </c>
      <c r="L2542" s="455">
        <f t="shared" ca="1" si="147"/>
        <v>-6443728898.1431332</v>
      </c>
      <c r="M2542" s="471">
        <f t="shared" si="149"/>
        <v>0.05</v>
      </c>
      <c r="N2542" s="475">
        <f t="shared" si="150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48"/>
        <v>-6443728898.1431332</v>
      </c>
      <c r="J2543" s="455">
        <f t="array" ref="J2543">IFERROR(INDEX('Retirement Calculator'!J:J,MATCH('Isaac 401k'!N2543,'Retirement Calculator'!A:A,0),0),0)</f>
        <v>0</v>
      </c>
      <c r="K2543" s="455">
        <f t="shared" ca="1" si="146"/>
        <v>-26848870.408929721</v>
      </c>
      <c r="L2543" s="455">
        <f t="shared" ca="1" si="147"/>
        <v>-6470577768.552063</v>
      </c>
      <c r="M2543" s="471">
        <f t="shared" si="149"/>
        <v>0.05</v>
      </c>
      <c r="N2543" s="475">
        <f t="shared" si="150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48"/>
        <v>-6470577768.552063</v>
      </c>
      <c r="J2544" s="455">
        <f t="array" ref="J2544">IFERROR(INDEX('Retirement Calculator'!J:J,MATCH('Isaac 401k'!N2544,'Retirement Calculator'!A:A,0),0),0)</f>
        <v>0</v>
      </c>
      <c r="K2544" s="455">
        <f t="shared" ca="1" si="146"/>
        <v>-26960740.702300262</v>
      </c>
      <c r="L2544" s="455">
        <f t="shared" ca="1" si="147"/>
        <v>-6497538509.2543631</v>
      </c>
      <c r="M2544" s="471">
        <f t="shared" si="149"/>
        <v>0.05</v>
      </c>
      <c r="N2544" s="475">
        <f t="shared" si="150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48"/>
        <v>-6497538509.2543631</v>
      </c>
      <c r="J2545" s="455">
        <f t="array" ref="J2545">IFERROR(INDEX('Retirement Calculator'!J:J,MATCH('Isaac 401k'!N2545,'Retirement Calculator'!A:A,0),0),0)</f>
        <v>0</v>
      </c>
      <c r="K2545" s="455">
        <f t="shared" ca="1" si="146"/>
        <v>-27073077.121893179</v>
      </c>
      <c r="L2545" s="455">
        <f t="shared" ca="1" si="147"/>
        <v>-6524611586.376256</v>
      </c>
      <c r="M2545" s="471">
        <f t="shared" si="149"/>
        <v>0.05</v>
      </c>
      <c r="N2545" s="475">
        <f t="shared" si="150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48"/>
        <v>-6524611586.376256</v>
      </c>
      <c r="J2546" s="455">
        <f t="array" ref="J2546">IFERROR(INDEX('Retirement Calculator'!J:J,MATCH('Isaac 401k'!N2546,'Retirement Calculator'!A:A,0),0),0)</f>
        <v>0</v>
      </c>
      <c r="K2546" s="455">
        <f t="shared" ca="1" si="146"/>
        <v>-27185881.609901067</v>
      </c>
      <c r="L2546" s="455">
        <f t="shared" ca="1" si="147"/>
        <v>-6551797467.9861574</v>
      </c>
      <c r="M2546" s="471">
        <f t="shared" si="149"/>
        <v>0.05</v>
      </c>
      <c r="N2546" s="475">
        <f t="shared" si="150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48"/>
        <v>-6551797467.9861574</v>
      </c>
      <c r="J2547" s="455">
        <f t="array" ref="J2547">IFERROR(INDEX('Retirement Calculator'!J:J,MATCH('Isaac 401k'!N2547,'Retirement Calculator'!A:A,0),0),0)</f>
        <v>0</v>
      </c>
      <c r="K2547" s="455">
        <f t="shared" ca="1" si="146"/>
        <v>-27299156.116608988</v>
      </c>
      <c r="L2547" s="455">
        <f t="shared" ca="1" si="147"/>
        <v>-6579096624.102766</v>
      </c>
      <c r="M2547" s="471">
        <f t="shared" si="149"/>
        <v>0.05</v>
      </c>
      <c r="N2547" s="475">
        <f t="shared" si="150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48"/>
        <v>-6579096624.102766</v>
      </c>
      <c r="J2548" s="455">
        <f t="array" ref="J2548">IFERROR(INDEX('Retirement Calculator'!J:J,MATCH('Isaac 401k'!N2548,'Retirement Calculator'!A:A,0),0),0)</f>
        <v>0</v>
      </c>
      <c r="K2548" s="455">
        <f t="shared" ca="1" si="146"/>
        <v>-27412902.60042819</v>
      </c>
      <c r="L2548" s="455">
        <f t="shared" ca="1" si="147"/>
        <v>-6606509526.7031946</v>
      </c>
      <c r="M2548" s="471">
        <f t="shared" si="149"/>
        <v>0.05</v>
      </c>
      <c r="N2548" s="475">
        <f t="shared" si="150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48"/>
        <v>-6606509526.7031946</v>
      </c>
      <c r="J2549" s="455">
        <f t="array" ref="J2549">IFERROR(INDEX('Retirement Calculator'!J:J,MATCH('Isaac 401k'!N2549,'Retirement Calculator'!A:A,0),0),0)</f>
        <v>0</v>
      </c>
      <c r="K2549" s="455">
        <f t="shared" ca="1" si="146"/>
        <v>-27527123.027929977</v>
      </c>
      <c r="L2549" s="455">
        <f t="shared" ca="1" si="147"/>
        <v>-6634036649.7311249</v>
      </c>
      <c r="M2549" s="471">
        <f t="shared" si="149"/>
        <v>0.05</v>
      </c>
      <c r="N2549" s="475">
        <f t="shared" si="150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48"/>
        <v>-6634036649.7311249</v>
      </c>
      <c r="J2550" s="455">
        <f t="array" ref="J2550">IFERROR(INDEX('Retirement Calculator'!J:J,MATCH('Isaac 401k'!N2550,'Retirement Calculator'!A:A,0),0),0)</f>
        <v>0</v>
      </c>
      <c r="K2550" s="455">
        <f t="shared" ca="1" si="146"/>
        <v>-27641819.373879686</v>
      </c>
      <c r="L2550" s="455">
        <f t="shared" ca="1" si="147"/>
        <v>-6661678469.1050043</v>
      </c>
      <c r="M2550" s="471">
        <f t="shared" si="149"/>
        <v>0.05</v>
      </c>
      <c r="N2550" s="475">
        <f t="shared" si="150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48"/>
        <v>-6661678469.1050043</v>
      </c>
      <c r="J2551" s="455">
        <f t="array" ref="J2551">IFERROR(INDEX('Retirement Calculator'!J:J,MATCH('Isaac 401k'!N2551,'Retirement Calculator'!A:A,0),0),0)</f>
        <v>0</v>
      </c>
      <c r="K2551" s="455">
        <f t="shared" ca="1" si="146"/>
        <v>-27756993.62127085</v>
      </c>
      <c r="L2551" s="455">
        <f t="shared" ca="1" si="147"/>
        <v>-6689435462.7262754</v>
      </c>
      <c r="M2551" s="471">
        <f t="shared" si="149"/>
        <v>0.05</v>
      </c>
      <c r="N2551" s="475">
        <f t="shared" si="150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48"/>
        <v>-6689435462.7262754</v>
      </c>
      <c r="J2552" s="455">
        <f t="array" ref="J2552">IFERROR(INDEX('Retirement Calculator'!J:J,MATCH('Isaac 401k'!N2552,'Retirement Calculator'!A:A,0),0),0)</f>
        <v>0</v>
      </c>
      <c r="K2552" s="455">
        <f t="shared" ca="1" si="146"/>
        <v>-27872647.761359479</v>
      </c>
      <c r="L2552" s="455">
        <f t="shared" ca="1" si="147"/>
        <v>-6717308110.4876347</v>
      </c>
      <c r="M2552" s="471">
        <f t="shared" si="149"/>
        <v>0.05</v>
      </c>
      <c r="N2552" s="475">
        <f t="shared" si="150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48"/>
        <v>-6717308110.4876347</v>
      </c>
      <c r="J2553" s="455">
        <f t="array" ref="J2553">IFERROR(INDEX('Retirement Calculator'!J:J,MATCH('Isaac 401k'!N2553,'Retirement Calculator'!A:A,0),0),0)</f>
        <v>0</v>
      </c>
      <c r="K2553" s="455">
        <f t="shared" ca="1" si="146"/>
        <v>-27988783.793698478</v>
      </c>
      <c r="L2553" s="455">
        <f t="shared" ca="1" si="147"/>
        <v>-6745296894.281333</v>
      </c>
      <c r="M2553" s="471">
        <f t="shared" si="149"/>
        <v>0.05</v>
      </c>
      <c r="N2553" s="475">
        <f t="shared" si="150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48"/>
        <v>-6745296894.281333</v>
      </c>
      <c r="J2554" s="455">
        <f t="array" ref="J2554">IFERROR(INDEX('Retirement Calculator'!J:J,MATCH('Isaac 401k'!N2554,'Retirement Calculator'!A:A,0),0),0)</f>
        <v>0</v>
      </c>
      <c r="K2554" s="455">
        <f t="shared" ca="1" si="146"/>
        <v>-28105403.72617222</v>
      </c>
      <c r="L2554" s="455">
        <f t="shared" ca="1" si="147"/>
        <v>-6773402298.0075054</v>
      </c>
      <c r="M2554" s="471">
        <f t="shared" si="149"/>
        <v>0.05</v>
      </c>
      <c r="N2554" s="475">
        <f t="shared" si="150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48"/>
        <v>-6773402298.0075054</v>
      </c>
      <c r="J2555" s="455">
        <f t="array" ref="J2555">IFERROR(INDEX('Retirement Calculator'!J:J,MATCH('Isaac 401k'!N2555,'Retirement Calculator'!A:A,0),0),0)</f>
        <v>0</v>
      </c>
      <c r="K2555" s="455">
        <f t="shared" ca="1" si="146"/>
        <v>-28222509.575031273</v>
      </c>
      <c r="L2555" s="455">
        <f t="shared" ca="1" si="147"/>
        <v>-6801624807.5825367</v>
      </c>
      <c r="M2555" s="471">
        <f t="shared" si="149"/>
        <v>0.05</v>
      </c>
      <c r="N2555" s="475">
        <f t="shared" si="150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48"/>
        <v>-6801624807.5825367</v>
      </c>
      <c r="J2556" s="455">
        <f t="array" ref="J2556">IFERROR(INDEX('Retirement Calculator'!J:J,MATCH('Isaac 401k'!N2556,'Retirement Calculator'!A:A,0),0),0)</f>
        <v>0</v>
      </c>
      <c r="K2556" s="455">
        <f t="shared" ca="1" si="146"/>
        <v>-28340103.364927232</v>
      </c>
      <c r="L2556" s="455">
        <f t="shared" ca="1" si="147"/>
        <v>-6829964910.947464</v>
      </c>
      <c r="M2556" s="471">
        <f t="shared" si="149"/>
        <v>0.05</v>
      </c>
      <c r="N2556" s="475">
        <f t="shared" si="150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48"/>
        <v>-6829964910.947464</v>
      </c>
      <c r="J2557" s="455">
        <f t="array" ref="J2557">IFERROR(INDEX('Retirement Calculator'!J:J,MATCH('Isaac 401k'!N2557,'Retirement Calculator'!A:A,0),0),0)</f>
        <v>0</v>
      </c>
      <c r="K2557" s="455">
        <f t="shared" ca="1" si="146"/>
        <v>-28458187.128947761</v>
      </c>
      <c r="L2557" s="455">
        <f t="shared" ca="1" si="147"/>
        <v>-6858423098.0764122</v>
      </c>
      <c r="M2557" s="471">
        <f t="shared" si="149"/>
        <v>0.05</v>
      </c>
      <c r="N2557" s="475">
        <f t="shared" si="150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48"/>
        <v>-6858423098.0764122</v>
      </c>
      <c r="J2558" s="455">
        <f t="array" ref="J2558">IFERROR(INDEX('Retirement Calculator'!J:J,MATCH('Isaac 401k'!N2558,'Retirement Calculator'!A:A,0),0),0)</f>
        <v>0</v>
      </c>
      <c r="K2558" s="455">
        <f t="shared" ref="K2558:K2812" ca="1" si="151">IPMT(M2558/12,1,12,-I2558+J2558,,0)</f>
        <v>-28576762.908651717</v>
      </c>
      <c r="L2558" s="455">
        <f t="shared" ref="L2558:L2812" ca="1" si="152">I2558-J2558+K2558</f>
        <v>-6886999860.9850636</v>
      </c>
      <c r="M2558" s="471">
        <f t="shared" si="149"/>
        <v>0.05</v>
      </c>
      <c r="N2558" s="475">
        <f t="shared" si="150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53">L2558</f>
        <v>-6886999860.9850636</v>
      </c>
      <c r="J2559" s="455">
        <f t="array" ref="J2559">IFERROR(INDEX('Retirement Calculator'!J:J,MATCH('Isaac 401k'!N2559,'Retirement Calculator'!A:A,0),0),0)</f>
        <v>0</v>
      </c>
      <c r="K2559" s="455">
        <f t="shared" ca="1" si="151"/>
        <v>-28695832.754104428</v>
      </c>
      <c r="L2559" s="455">
        <f t="shared" ca="1" si="152"/>
        <v>-6915695693.7391682</v>
      </c>
      <c r="M2559" s="471">
        <f t="shared" ref="M2559:M2813" si="154">M2558</f>
        <v>0.05</v>
      </c>
      <c r="N2559" s="475">
        <f t="shared" ref="N2559:N2813" si="155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53"/>
        <v>-6915695693.7391682</v>
      </c>
      <c r="J2560" s="455">
        <f t="array" ref="J2560">IFERROR(INDEX('Retirement Calculator'!J:J,MATCH('Isaac 401k'!N2560,'Retirement Calculator'!A:A,0),0),0)</f>
        <v>0</v>
      </c>
      <c r="K2560" s="455">
        <f t="shared" ca="1" si="151"/>
        <v>-28815398.7239132</v>
      </c>
      <c r="L2560" s="455">
        <f t="shared" ca="1" si="152"/>
        <v>-6944511092.4630814</v>
      </c>
      <c r="M2560" s="471">
        <f t="shared" si="154"/>
        <v>0.05</v>
      </c>
      <c r="N2560" s="475">
        <f t="shared" si="155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53"/>
        <v>-6944511092.4630814</v>
      </c>
      <c r="J2561" s="455">
        <f t="array" ref="J2561">IFERROR(INDEX('Retirement Calculator'!J:J,MATCH('Isaac 401k'!N2561,'Retirement Calculator'!A:A,0),0),0)</f>
        <v>0</v>
      </c>
      <c r="K2561" s="455">
        <f t="shared" ca="1" si="151"/>
        <v>-28935462.885262839</v>
      </c>
      <c r="L2561" s="455">
        <f t="shared" ca="1" si="152"/>
        <v>-6973446555.3483438</v>
      </c>
      <c r="M2561" s="471">
        <f t="shared" si="154"/>
        <v>0.05</v>
      </c>
      <c r="N2561" s="475">
        <f t="shared" si="155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53"/>
        <v>-6973446555.3483438</v>
      </c>
      <c r="J2562" s="455">
        <f t="array" ref="J2562">IFERROR(INDEX('Retirement Calculator'!J:J,MATCH('Isaac 401k'!N2562,'Retirement Calculator'!A:A,0),0),0)</f>
        <v>0</v>
      </c>
      <c r="K2562" s="455">
        <f t="shared" ca="1" si="151"/>
        <v>-29056027.313951433</v>
      </c>
      <c r="L2562" s="455">
        <f t="shared" ca="1" si="152"/>
        <v>-7002502582.6622953</v>
      </c>
      <c r="M2562" s="471">
        <f t="shared" si="154"/>
        <v>0.05</v>
      </c>
      <c r="N2562" s="475">
        <f t="shared" si="155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53"/>
        <v>-7002502582.6622953</v>
      </c>
      <c r="J2563" s="455">
        <f t="array" ref="J2563">IFERROR(INDEX('Retirement Calculator'!J:J,MATCH('Isaac 401k'!N2563,'Retirement Calculator'!A:A,0),0),0)</f>
        <v>0</v>
      </c>
      <c r="K2563" s="455">
        <f t="shared" ca="1" si="151"/>
        <v>-29177094.09442623</v>
      </c>
      <c r="L2563" s="455">
        <f t="shared" ca="1" si="152"/>
        <v>-7031679676.7567215</v>
      </c>
      <c r="M2563" s="471">
        <f t="shared" si="154"/>
        <v>0.05</v>
      </c>
      <c r="N2563" s="475">
        <f t="shared" si="155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53"/>
        <v>-7031679676.7567215</v>
      </c>
      <c r="J2564" s="455">
        <f t="array" ref="J2564">IFERROR(INDEX('Retirement Calculator'!J:J,MATCH('Isaac 401k'!N2564,'Retirement Calculator'!A:A,0),0),0)</f>
        <v>0</v>
      </c>
      <c r="K2564" s="455">
        <f t="shared" ca="1" si="151"/>
        <v>-29298665.31981967</v>
      </c>
      <c r="L2564" s="455">
        <f t="shared" ca="1" si="152"/>
        <v>-7060978342.0765409</v>
      </c>
      <c r="M2564" s="471">
        <f t="shared" si="154"/>
        <v>0.05</v>
      </c>
      <c r="N2564" s="475">
        <f t="shared" si="155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53"/>
        <v>-7060978342.0765409</v>
      </c>
      <c r="J2565" s="455">
        <f t="array" ref="J2565">IFERROR(INDEX('Retirement Calculator'!J:J,MATCH('Isaac 401k'!N2565,'Retirement Calculator'!A:A,0),0),0)</f>
        <v>0</v>
      </c>
      <c r="K2565" s="455">
        <f t="shared" ca="1" si="151"/>
        <v>-29420743.091985587</v>
      </c>
      <c r="L2565" s="455">
        <f t="shared" ca="1" si="152"/>
        <v>-7090399085.1685266</v>
      </c>
      <c r="M2565" s="471">
        <f t="shared" si="154"/>
        <v>0.05</v>
      </c>
      <c r="N2565" s="475">
        <f t="shared" si="155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53"/>
        <v>-7090399085.1685266</v>
      </c>
      <c r="J2566" s="455">
        <f t="array" ref="J2566">IFERROR(INDEX('Retirement Calculator'!J:J,MATCH('Isaac 401k'!N2566,'Retirement Calculator'!A:A,0),0),0)</f>
        <v>0</v>
      </c>
      <c r="K2566" s="455">
        <f t="shared" ca="1" si="151"/>
        <v>-29543329.521535527</v>
      </c>
      <c r="L2566" s="455">
        <f t="shared" ca="1" si="152"/>
        <v>-7119942414.6900625</v>
      </c>
      <c r="M2566" s="471">
        <f t="shared" si="154"/>
        <v>0.05</v>
      </c>
      <c r="N2566" s="475">
        <f t="shared" si="155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53"/>
        <v>-7119942414.6900625</v>
      </c>
      <c r="J2567" s="455">
        <f t="array" ref="J2567">IFERROR(INDEX('Retirement Calculator'!J:J,MATCH('Isaac 401k'!N2567,'Retirement Calculator'!A:A,0),0),0)</f>
        <v>0</v>
      </c>
      <c r="K2567" s="455">
        <f t="shared" ca="1" si="151"/>
        <v>-29666426.727875259</v>
      </c>
      <c r="L2567" s="455">
        <f t="shared" ca="1" si="152"/>
        <v>-7149608841.4179382</v>
      </c>
      <c r="M2567" s="471">
        <f t="shared" si="154"/>
        <v>0.05</v>
      </c>
      <c r="N2567" s="475">
        <f t="shared" si="155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53"/>
        <v>-7149608841.4179382</v>
      </c>
      <c r="J2568" s="455">
        <f t="array" ref="J2568">IFERROR(INDEX('Retirement Calculator'!J:J,MATCH('Isaac 401k'!N2568,'Retirement Calculator'!A:A,0),0),0)</f>
        <v>0</v>
      </c>
      <c r="K2568" s="455">
        <f t="shared" ca="1" si="151"/>
        <v>-29790036.839241408</v>
      </c>
      <c r="L2568" s="455">
        <f t="shared" ca="1" si="152"/>
        <v>-7179398878.2571793</v>
      </c>
      <c r="M2568" s="471">
        <f t="shared" si="154"/>
        <v>0.05</v>
      </c>
      <c r="N2568" s="475">
        <f t="shared" si="155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53"/>
        <v>-7179398878.2571793</v>
      </c>
      <c r="J2569" s="455">
        <f t="array" ref="J2569">IFERROR(INDEX('Retirement Calculator'!J:J,MATCH('Isaac 401k'!N2569,'Retirement Calculator'!A:A,0),0),0)</f>
        <v>0</v>
      </c>
      <c r="K2569" s="455">
        <f t="shared" ca="1" si="151"/>
        <v>-29914161.992738247</v>
      </c>
      <c r="L2569" s="455">
        <f t="shared" ca="1" si="152"/>
        <v>-7209313040.249918</v>
      </c>
      <c r="M2569" s="471">
        <f t="shared" si="154"/>
        <v>0.05</v>
      </c>
      <c r="N2569" s="475">
        <f t="shared" si="155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53"/>
        <v>-7209313040.249918</v>
      </c>
      <c r="J2570" s="455">
        <f t="array" ref="J2570">IFERROR(INDEX('Retirement Calculator'!J:J,MATCH('Isaac 401k'!N2570,'Retirement Calculator'!A:A,0),0),0)</f>
        <v>0</v>
      </c>
      <c r="K2570" s="455">
        <f t="shared" ca="1" si="151"/>
        <v>-30038804.334374655</v>
      </c>
      <c r="L2570" s="455">
        <f t="shared" ca="1" si="152"/>
        <v>-7239351844.5842924</v>
      </c>
      <c r="M2570" s="471">
        <f t="shared" si="154"/>
        <v>0.05</v>
      </c>
      <c r="N2570" s="475">
        <f t="shared" si="155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53"/>
        <v>-7239351844.5842924</v>
      </c>
      <c r="J2571" s="455">
        <f t="array" ref="J2571">IFERROR(INDEX('Retirement Calculator'!J:J,MATCH('Isaac 401k'!N2571,'Retirement Calculator'!A:A,0),0),0)</f>
        <v>0</v>
      </c>
      <c r="K2571" s="455">
        <f t="shared" ca="1" si="151"/>
        <v>-30163966.019101217</v>
      </c>
      <c r="L2571" s="455">
        <f t="shared" ca="1" si="152"/>
        <v>-7269515810.6033936</v>
      </c>
      <c r="M2571" s="471">
        <f t="shared" si="154"/>
        <v>0.05</v>
      </c>
      <c r="N2571" s="475">
        <f t="shared" si="155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53"/>
        <v>-7269515810.6033936</v>
      </c>
      <c r="J2572" s="455">
        <f t="array" ref="J2572">IFERROR(INDEX('Retirement Calculator'!J:J,MATCH('Isaac 401k'!N2572,'Retirement Calculator'!A:A,0),0),0)</f>
        <v>0</v>
      </c>
      <c r="K2572" s="455">
        <f t="shared" ca="1" si="151"/>
        <v>-30289649.210847471</v>
      </c>
      <c r="L2572" s="455">
        <f t="shared" ca="1" si="152"/>
        <v>-7299805459.8142414</v>
      </c>
      <c r="M2572" s="471">
        <f t="shared" si="154"/>
        <v>0.05</v>
      </c>
      <c r="N2572" s="475">
        <f t="shared" si="155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53"/>
        <v>-7299805459.8142414</v>
      </c>
      <c r="J2573" s="455">
        <f t="array" ref="J2573">IFERROR(INDEX('Retirement Calculator'!J:J,MATCH('Isaac 401k'!N2573,'Retirement Calculator'!A:A,0),0),0)</f>
        <v>0</v>
      </c>
      <c r="K2573" s="455">
        <f t="shared" ca="1" si="151"/>
        <v>-30415856.082559343</v>
      </c>
      <c r="L2573" s="455">
        <f t="shared" ca="1" si="152"/>
        <v>-7330221315.896801</v>
      </c>
      <c r="M2573" s="471">
        <f t="shared" si="154"/>
        <v>0.05</v>
      </c>
      <c r="N2573" s="475">
        <f t="shared" si="155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53"/>
        <v>-7330221315.896801</v>
      </c>
      <c r="J2574" s="455">
        <f t="array" ref="J2574">IFERROR(INDEX('Retirement Calculator'!J:J,MATCH('Isaac 401k'!N2574,'Retirement Calculator'!A:A,0),0),0)</f>
        <v>0</v>
      </c>
      <c r="K2574" s="455">
        <f t="shared" ca="1" si="151"/>
        <v>-30542588.816236671</v>
      </c>
      <c r="L2574" s="455">
        <f t="shared" ca="1" si="152"/>
        <v>-7360763904.7130375</v>
      </c>
      <c r="M2574" s="471">
        <f t="shared" si="154"/>
        <v>0.05</v>
      </c>
      <c r="N2574" s="475">
        <f t="shared" si="155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53"/>
        <v>-7360763904.7130375</v>
      </c>
      <c r="J2575" s="455">
        <f t="array" ref="J2575">IFERROR(INDEX('Retirement Calculator'!J:J,MATCH('Isaac 401k'!N2575,'Retirement Calculator'!A:A,0),0),0)</f>
        <v>0</v>
      </c>
      <c r="K2575" s="455">
        <f t="shared" ca="1" si="151"/>
        <v>-30669849.602970988</v>
      </c>
      <c r="L2575" s="455">
        <f t="shared" ca="1" si="152"/>
        <v>-7391433754.3160086</v>
      </c>
      <c r="M2575" s="471">
        <f t="shared" si="154"/>
        <v>0.05</v>
      </c>
      <c r="N2575" s="475">
        <f t="shared" si="155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53"/>
        <v>-7391433754.3160086</v>
      </c>
      <c r="J2576" s="455">
        <f t="array" ref="J2576">IFERROR(INDEX('Retirement Calculator'!J:J,MATCH('Isaac 401k'!N2576,'Retirement Calculator'!A:A,0),0),0)</f>
        <v>0</v>
      </c>
      <c r="K2576" s="455">
        <f t="shared" ca="1" si="151"/>
        <v>-30797640.64298337</v>
      </c>
      <c r="L2576" s="455">
        <f t="shared" ca="1" si="152"/>
        <v>-7422231394.958992</v>
      </c>
      <c r="M2576" s="471">
        <f t="shared" si="154"/>
        <v>0.05</v>
      </c>
      <c r="N2576" s="475">
        <f t="shared" si="155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53"/>
        <v>-7422231394.958992</v>
      </c>
      <c r="J2577" s="455">
        <f t="array" ref="J2577">IFERROR(INDEX('Retirement Calculator'!J:J,MATCH('Isaac 401k'!N2577,'Retirement Calculator'!A:A,0),0),0)</f>
        <v>0</v>
      </c>
      <c r="K2577" s="455">
        <f t="shared" ca="1" si="151"/>
        <v>-30925964.145662468</v>
      </c>
      <c r="L2577" s="455">
        <f t="shared" ca="1" si="152"/>
        <v>-7453157359.1046543</v>
      </c>
      <c r="M2577" s="471">
        <f t="shared" si="154"/>
        <v>0.05</v>
      </c>
      <c r="N2577" s="475">
        <f t="shared" si="155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53"/>
        <v>-7453157359.1046543</v>
      </c>
      <c r="J2578" s="455">
        <f t="array" ref="J2578">IFERROR(INDEX('Retirement Calculator'!J:J,MATCH('Isaac 401k'!N2578,'Retirement Calculator'!A:A,0),0),0)</f>
        <v>0</v>
      </c>
      <c r="K2578" s="455">
        <f t="shared" ca="1" si="151"/>
        <v>-31054822.329602722</v>
      </c>
      <c r="L2578" s="455">
        <f t="shared" ca="1" si="152"/>
        <v>-7484212181.4342575</v>
      </c>
      <c r="M2578" s="471">
        <f t="shared" si="154"/>
        <v>0.05</v>
      </c>
      <c r="N2578" s="475">
        <f t="shared" si="155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53"/>
        <v>-7484212181.4342575</v>
      </c>
      <c r="J2579" s="455">
        <f t="array" ref="J2579">IFERROR(INDEX('Retirement Calculator'!J:J,MATCH('Isaac 401k'!N2579,'Retirement Calculator'!A:A,0),0),0)</f>
        <v>0</v>
      </c>
      <c r="K2579" s="455">
        <f t="shared" ca="1" si="151"/>
        <v>-31184217.422642734</v>
      </c>
      <c r="L2579" s="455">
        <f t="shared" ca="1" si="152"/>
        <v>-7515396398.8569002</v>
      </c>
      <c r="M2579" s="471">
        <f t="shared" si="154"/>
        <v>0.05</v>
      </c>
      <c r="N2579" s="475">
        <f t="shared" si="155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53"/>
        <v>-7515396398.8569002</v>
      </c>
      <c r="J2580" s="455">
        <f t="array" ref="J2580">IFERROR(INDEX('Retirement Calculator'!J:J,MATCH('Isaac 401k'!N2580,'Retirement Calculator'!A:A,0),0),0)</f>
        <v>0</v>
      </c>
      <c r="K2580" s="455">
        <f t="shared" ca="1" si="151"/>
        <v>-31314151.66190375</v>
      </c>
      <c r="L2580" s="455">
        <f t="shared" ca="1" si="152"/>
        <v>-7546710550.5188036</v>
      </c>
      <c r="M2580" s="471">
        <f t="shared" si="154"/>
        <v>0.05</v>
      </c>
      <c r="N2580" s="475">
        <f t="shared" si="155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53"/>
        <v>-7546710550.5188036</v>
      </c>
      <c r="J2581" s="455">
        <f t="array" ref="J2581">IFERROR(INDEX('Retirement Calculator'!J:J,MATCH('Isaac 401k'!N2581,'Retirement Calculator'!A:A,0),0),0)</f>
        <v>0</v>
      </c>
      <c r="K2581" s="455">
        <f t="shared" ca="1" si="151"/>
        <v>-31444627.293828353</v>
      </c>
      <c r="L2581" s="455">
        <f t="shared" ca="1" si="152"/>
        <v>-7578155177.8126316</v>
      </c>
      <c r="M2581" s="471">
        <f t="shared" si="154"/>
        <v>0.05</v>
      </c>
      <c r="N2581" s="475">
        <f t="shared" si="155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53"/>
        <v>-7578155177.8126316</v>
      </c>
      <c r="J2582" s="455">
        <f t="array" ref="J2582">IFERROR(INDEX('Retirement Calculator'!J:J,MATCH('Isaac 401k'!N2582,'Retirement Calculator'!A:A,0),0),0)</f>
        <v>0</v>
      </c>
      <c r="K2582" s="455">
        <f t="shared" ca="1" si="151"/>
        <v>-31575646.574219298</v>
      </c>
      <c r="L2582" s="455">
        <f t="shared" ca="1" si="152"/>
        <v>-7609730824.3868513</v>
      </c>
      <c r="M2582" s="471">
        <f t="shared" si="154"/>
        <v>0.05</v>
      </c>
      <c r="N2582" s="475">
        <f t="shared" si="155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53"/>
        <v>-7609730824.3868513</v>
      </c>
      <c r="J2583" s="455">
        <f t="array" ref="J2583">IFERROR(INDEX('Retirement Calculator'!J:J,MATCH('Isaac 401k'!N2583,'Retirement Calculator'!A:A,0),0),0)</f>
        <v>0</v>
      </c>
      <c r="K2583" s="455">
        <f t="shared" ca="1" si="151"/>
        <v>-31707211.76827855</v>
      </c>
      <c r="L2583" s="455">
        <f t="shared" ca="1" si="152"/>
        <v>-7641438036.1551294</v>
      </c>
      <c r="M2583" s="471">
        <f t="shared" si="154"/>
        <v>0.05</v>
      </c>
      <c r="N2583" s="475">
        <f t="shared" si="155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53"/>
        <v>-7641438036.1551294</v>
      </c>
      <c r="J2584" s="455">
        <f t="array" ref="J2584">IFERROR(INDEX('Retirement Calculator'!J:J,MATCH('Isaac 401k'!N2584,'Retirement Calculator'!A:A,0),0),0)</f>
        <v>0</v>
      </c>
      <c r="K2584" s="455">
        <f t="shared" ca="1" si="151"/>
        <v>-31839325.150646374</v>
      </c>
      <c r="L2584" s="455">
        <f t="shared" ca="1" si="152"/>
        <v>-7673277361.3057756</v>
      </c>
      <c r="M2584" s="471">
        <f t="shared" si="154"/>
        <v>0.05</v>
      </c>
      <c r="N2584" s="475">
        <f t="shared" si="155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53"/>
        <v>-7673277361.3057756</v>
      </c>
      <c r="J2585" s="455">
        <f t="array" ref="J2585">IFERROR(INDEX('Retirement Calculator'!J:J,MATCH('Isaac 401k'!N2585,'Retirement Calculator'!A:A,0),0),0)</f>
        <v>0</v>
      </c>
      <c r="K2585" s="455">
        <f t="shared" ca="1" si="151"/>
        <v>-31971989.005440731</v>
      </c>
      <c r="L2585" s="455">
        <f t="shared" ca="1" si="152"/>
        <v>-7705249350.3112164</v>
      </c>
      <c r="M2585" s="471">
        <f t="shared" si="154"/>
        <v>0.05</v>
      </c>
      <c r="N2585" s="475">
        <f t="shared" si="155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53"/>
        <v>-7705249350.3112164</v>
      </c>
      <c r="J2586" s="455">
        <f t="array" ref="J2586">IFERROR(INDEX('Retirement Calculator'!J:J,MATCH('Isaac 401k'!N2586,'Retirement Calculator'!A:A,0),0),0)</f>
        <v>0</v>
      </c>
      <c r="K2586" s="455">
        <f t="shared" ca="1" si="151"/>
        <v>-32105205.626296733</v>
      </c>
      <c r="L2586" s="455">
        <f t="shared" ca="1" si="152"/>
        <v>-7737354555.9375134</v>
      </c>
      <c r="M2586" s="471">
        <f t="shared" si="154"/>
        <v>0.05</v>
      </c>
      <c r="N2586" s="475">
        <f t="shared" si="155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53"/>
        <v>-7737354555.9375134</v>
      </c>
      <c r="J2587" s="455">
        <f t="array" ref="J2587">IFERROR(INDEX('Retirement Calculator'!J:J,MATCH('Isaac 401k'!N2587,'Retirement Calculator'!A:A,0),0),0)</f>
        <v>0</v>
      </c>
      <c r="K2587" s="455">
        <f t="shared" ca="1" si="151"/>
        <v>-32238977.31640631</v>
      </c>
      <c r="L2587" s="455">
        <f t="shared" ca="1" si="152"/>
        <v>-7769593533.2539196</v>
      </c>
      <c r="M2587" s="471">
        <f t="shared" si="154"/>
        <v>0.05</v>
      </c>
      <c r="N2587" s="475">
        <f t="shared" si="155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53"/>
        <v>-7769593533.2539196</v>
      </c>
      <c r="J2588" s="455">
        <f t="array" ref="J2588">IFERROR(INDEX('Retirement Calculator'!J:J,MATCH('Isaac 401k'!N2588,'Retirement Calculator'!A:A,0),0),0)</f>
        <v>0</v>
      </c>
      <c r="K2588" s="455">
        <f t="shared" ca="1" si="151"/>
        <v>-32373306.388557993</v>
      </c>
      <c r="L2588" s="455">
        <f t="shared" ca="1" si="152"/>
        <v>-7801966839.642478</v>
      </c>
      <c r="M2588" s="471">
        <f t="shared" si="154"/>
        <v>0.05</v>
      </c>
      <c r="N2588" s="475">
        <f t="shared" si="155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53"/>
        <v>-7801966839.642478</v>
      </c>
      <c r="J2589" s="455">
        <f t="array" ref="J2589">IFERROR(INDEX('Retirement Calculator'!J:J,MATCH('Isaac 401k'!N2589,'Retirement Calculator'!A:A,0),0),0)</f>
        <v>0</v>
      </c>
      <c r="K2589" s="455">
        <f t="shared" ca="1" si="151"/>
        <v>-32508195.165176995</v>
      </c>
      <c r="L2589" s="455">
        <f t="shared" ca="1" si="152"/>
        <v>-7834475034.8076553</v>
      </c>
      <c r="M2589" s="471">
        <f t="shared" si="154"/>
        <v>0.05</v>
      </c>
      <c r="N2589" s="475">
        <f t="shared" si="155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53"/>
        <v>-7834475034.8076553</v>
      </c>
      <c r="J2590" s="455">
        <f t="array" ref="J2590">IFERROR(INDEX('Retirement Calculator'!J:J,MATCH('Isaac 401k'!N2590,'Retirement Calculator'!A:A,0),0),0)</f>
        <v>0</v>
      </c>
      <c r="K2590" s="455">
        <f t="shared" ca="1" si="151"/>
        <v>-32643645.978365231</v>
      </c>
      <c r="L2590" s="455">
        <f t="shared" ca="1" si="152"/>
        <v>-7867118680.7860203</v>
      </c>
      <c r="M2590" s="471">
        <f t="shared" si="154"/>
        <v>0.05</v>
      </c>
      <c r="N2590" s="475">
        <f t="shared" si="155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53"/>
        <v>-7867118680.7860203</v>
      </c>
      <c r="J2591" s="455">
        <f t="array" ref="J2591">IFERROR(INDEX('Retirement Calculator'!J:J,MATCH('Isaac 401k'!N2591,'Retirement Calculator'!A:A,0),0),0)</f>
        <v>0</v>
      </c>
      <c r="K2591" s="455">
        <f t="shared" ca="1" si="151"/>
        <v>-32779661.169941753</v>
      </c>
      <c r="L2591" s="455">
        <f t="shared" ca="1" si="152"/>
        <v>-7899898341.9559622</v>
      </c>
      <c r="M2591" s="471">
        <f t="shared" si="154"/>
        <v>0.05</v>
      </c>
      <c r="N2591" s="475">
        <f t="shared" si="155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53"/>
        <v>-7899898341.9559622</v>
      </c>
      <c r="J2592" s="455">
        <f t="array" ref="J2592">IFERROR(INDEX('Retirement Calculator'!J:J,MATCH('Isaac 401k'!N2592,'Retirement Calculator'!A:A,0),0),0)</f>
        <v>0</v>
      </c>
      <c r="K2592" s="455">
        <f t="shared" ca="1" si="151"/>
        <v>-32916243.091483176</v>
      </c>
      <c r="L2592" s="455">
        <f t="shared" ca="1" si="152"/>
        <v>-7932814585.0474453</v>
      </c>
      <c r="M2592" s="471">
        <f t="shared" si="154"/>
        <v>0.05</v>
      </c>
      <c r="N2592" s="475">
        <f t="shared" si="155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53"/>
        <v>-7932814585.0474453</v>
      </c>
      <c r="J2593" s="455">
        <f t="array" ref="J2593">IFERROR(INDEX('Retirement Calculator'!J:J,MATCH('Isaac 401k'!N2593,'Retirement Calculator'!A:A,0),0),0)</f>
        <v>0</v>
      </c>
      <c r="K2593" s="455">
        <f t="shared" ca="1" si="151"/>
        <v>-33053394.10436435</v>
      </c>
      <c r="L2593" s="455">
        <f t="shared" ca="1" si="152"/>
        <v>-7965867979.1518097</v>
      </c>
      <c r="M2593" s="471">
        <f t="shared" si="154"/>
        <v>0.05</v>
      </c>
      <c r="N2593" s="475">
        <f t="shared" si="155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53"/>
        <v>-7965867979.1518097</v>
      </c>
      <c r="J2594" s="455">
        <f t="array" ref="J2594">IFERROR(INDEX('Retirement Calculator'!J:J,MATCH('Isaac 401k'!N2594,'Retirement Calculator'!A:A,0),0),0)</f>
        <v>0</v>
      </c>
      <c r="K2594" s="455">
        <f t="shared" ca="1" si="151"/>
        <v>-33191116.579799205</v>
      </c>
      <c r="L2594" s="455">
        <f t="shared" ca="1" si="152"/>
        <v>-7999059095.7316093</v>
      </c>
      <c r="M2594" s="471">
        <f t="shared" si="154"/>
        <v>0.05</v>
      </c>
      <c r="N2594" s="475">
        <f t="shared" si="155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53"/>
        <v>-7999059095.7316093</v>
      </c>
      <c r="J2595" s="455">
        <f t="array" ref="J2595">IFERROR(INDEX('Retirement Calculator'!J:J,MATCH('Isaac 401k'!N2595,'Retirement Calculator'!A:A,0),0),0)</f>
        <v>0</v>
      </c>
      <c r="K2595" s="455">
        <f t="shared" ca="1" si="151"/>
        <v>-33329412.8988817</v>
      </c>
      <c r="L2595" s="455">
        <f t="shared" ca="1" si="152"/>
        <v>-8032388508.6304913</v>
      </c>
      <c r="M2595" s="471">
        <f t="shared" si="154"/>
        <v>0.05</v>
      </c>
      <c r="N2595" s="475">
        <f t="shared" si="155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53"/>
        <v>-8032388508.6304913</v>
      </c>
      <c r="J2596" s="455">
        <f t="array" ref="J2596">IFERROR(INDEX('Retirement Calculator'!J:J,MATCH('Isaac 401k'!N2596,'Retirement Calculator'!A:A,0),0),0)</f>
        <v>0</v>
      </c>
      <c r="K2596" s="455">
        <f t="shared" ca="1" si="151"/>
        <v>-33468285.452627048</v>
      </c>
      <c r="L2596" s="455">
        <f t="shared" ca="1" si="152"/>
        <v>-8065856794.0831184</v>
      </c>
      <c r="M2596" s="471">
        <f t="shared" si="154"/>
        <v>0.05</v>
      </c>
      <c r="N2596" s="475">
        <f t="shared" si="155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53"/>
        <v>-8065856794.0831184</v>
      </c>
      <c r="J2597" s="455">
        <f t="array" ref="J2597">IFERROR(INDEX('Retirement Calculator'!J:J,MATCH('Isaac 401k'!N2597,'Retirement Calculator'!A:A,0),0),0)</f>
        <v>0</v>
      </c>
      <c r="K2597" s="455">
        <f t="shared" ca="1" si="151"/>
        <v>-33607736.642012991</v>
      </c>
      <c r="L2597" s="455">
        <f t="shared" ca="1" si="152"/>
        <v>-8099464530.725131</v>
      </c>
      <c r="M2597" s="471">
        <f t="shared" si="154"/>
        <v>0.05</v>
      </c>
      <c r="N2597" s="475">
        <f t="shared" si="155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53"/>
        <v>-8099464530.725131</v>
      </c>
      <c r="J2598" s="455">
        <f t="array" ref="J2598">IFERROR(INDEX('Retirement Calculator'!J:J,MATCH('Isaac 401k'!N2598,'Retirement Calculator'!A:A,0),0),0)</f>
        <v>0</v>
      </c>
      <c r="K2598" s="455">
        <f t="shared" ca="1" si="151"/>
        <v>-33747768.878021382</v>
      </c>
      <c r="L2598" s="455">
        <f t="shared" ca="1" si="152"/>
        <v>-8133212299.6031523</v>
      </c>
      <c r="M2598" s="471">
        <f t="shared" si="154"/>
        <v>0.05</v>
      </c>
      <c r="N2598" s="475">
        <f t="shared" si="155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53"/>
        <v>-8133212299.6031523</v>
      </c>
      <c r="J2599" s="455">
        <f t="array" ref="J2599">IFERROR(INDEX('Retirement Calculator'!J:J,MATCH('Isaac 401k'!N2599,'Retirement Calculator'!A:A,0),0),0)</f>
        <v>0</v>
      </c>
      <c r="K2599" s="455">
        <f t="shared" ca="1" si="151"/>
        <v>-33888384.581679799</v>
      </c>
      <c r="L2599" s="455">
        <f t="shared" ca="1" si="152"/>
        <v>-8167100684.1848316</v>
      </c>
      <c r="M2599" s="471">
        <f t="shared" si="154"/>
        <v>0.05</v>
      </c>
      <c r="N2599" s="475">
        <f t="shared" si="155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53"/>
        <v>-8167100684.1848316</v>
      </c>
      <c r="J2600" s="455">
        <f t="array" ref="J2600">IFERROR(INDEX('Retirement Calculator'!J:J,MATCH('Isaac 401k'!N2600,'Retirement Calculator'!A:A,0),0),0)</f>
        <v>0</v>
      </c>
      <c r="K2600" s="455">
        <f t="shared" ca="1" si="151"/>
        <v>-34029586.184103467</v>
      </c>
      <c r="L2600" s="455">
        <f t="shared" ca="1" si="152"/>
        <v>-8201130270.3689346</v>
      </c>
      <c r="M2600" s="471">
        <f t="shared" si="154"/>
        <v>0.05</v>
      </c>
      <c r="N2600" s="475">
        <f t="shared" si="155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53"/>
        <v>-8201130270.3689346</v>
      </c>
      <c r="J2601" s="455">
        <f t="array" ref="J2601">IFERROR(INDEX('Retirement Calculator'!J:J,MATCH('Isaac 401k'!N2601,'Retirement Calculator'!A:A,0),0),0)</f>
        <v>0</v>
      </c>
      <c r="K2601" s="455">
        <f t="shared" ca="1" si="151"/>
        <v>-34171376.126537234</v>
      </c>
      <c r="L2601" s="455">
        <f t="shared" ca="1" si="152"/>
        <v>-8235301646.495472</v>
      </c>
      <c r="M2601" s="471">
        <f t="shared" si="154"/>
        <v>0.05</v>
      </c>
      <c r="N2601" s="475">
        <f t="shared" si="155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53"/>
        <v>-8235301646.495472</v>
      </c>
      <c r="J2602" s="455">
        <f t="array" ref="J2602">IFERROR(INDEX('Retirement Calculator'!J:J,MATCH('Isaac 401k'!N2602,'Retirement Calculator'!A:A,0),0),0)</f>
        <v>0</v>
      </c>
      <c r="K2602" s="455">
        <f t="shared" ca="1" si="151"/>
        <v>-34313756.860397801</v>
      </c>
      <c r="L2602" s="455">
        <f t="shared" ca="1" si="152"/>
        <v>-8269615403.3558693</v>
      </c>
      <c r="M2602" s="471">
        <f t="shared" si="154"/>
        <v>0.05</v>
      </c>
      <c r="N2602" s="475">
        <f t="shared" si="155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53"/>
        <v>-8269615403.3558693</v>
      </c>
      <c r="J2603" s="455">
        <f t="array" ref="J2603">IFERROR(INDEX('Retirement Calculator'!J:J,MATCH('Isaac 401k'!N2603,'Retirement Calculator'!A:A,0),0),0)</f>
        <v>0</v>
      </c>
      <c r="K2603" s="455">
        <f t="shared" ca="1" si="151"/>
        <v>-34456730.847316124</v>
      </c>
      <c r="L2603" s="455">
        <f t="shared" ca="1" si="152"/>
        <v>-8304072134.2031851</v>
      </c>
      <c r="M2603" s="471">
        <f t="shared" si="154"/>
        <v>0.05</v>
      </c>
      <c r="N2603" s="475">
        <f t="shared" si="155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53"/>
        <v>-8304072134.2031851</v>
      </c>
      <c r="J2604" s="455">
        <f t="array" ref="J2604">IFERROR(INDEX('Retirement Calculator'!J:J,MATCH('Isaac 401k'!N2604,'Retirement Calculator'!A:A,0),0),0)</f>
        <v>0</v>
      </c>
      <c r="K2604" s="455">
        <f t="shared" ca="1" si="151"/>
        <v>-34600300.559179939</v>
      </c>
      <c r="L2604" s="455">
        <f t="shared" ca="1" si="152"/>
        <v>-8338672434.7623653</v>
      </c>
      <c r="M2604" s="471">
        <f t="shared" si="154"/>
        <v>0.05</v>
      </c>
      <c r="N2604" s="475">
        <f t="shared" si="155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53"/>
        <v>-8338672434.7623653</v>
      </c>
      <c r="J2605" s="455">
        <f t="array" ref="J2605">IFERROR(INDEX('Retirement Calculator'!J:J,MATCH('Isaac 401k'!N2605,'Retirement Calculator'!A:A,0),0),0)</f>
        <v>0</v>
      </c>
      <c r="K2605" s="455">
        <f t="shared" ca="1" si="151"/>
        <v>-34744468.478176519</v>
      </c>
      <c r="L2605" s="455">
        <f t="shared" ca="1" si="152"/>
        <v>-8373416903.2405415</v>
      </c>
      <c r="M2605" s="471">
        <f t="shared" si="154"/>
        <v>0.05</v>
      </c>
      <c r="N2605" s="475">
        <f t="shared" si="155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53"/>
        <v>-8373416903.2405415</v>
      </c>
      <c r="J2606" s="455">
        <f t="array" ref="J2606">IFERROR(INDEX('Retirement Calculator'!J:J,MATCH('Isaac 401k'!N2606,'Retirement Calculator'!A:A,0),0),0)</f>
        <v>0</v>
      </c>
      <c r="K2606" s="455">
        <f t="shared" ca="1" si="151"/>
        <v>-34889237.096835591</v>
      </c>
      <c r="L2606" s="455">
        <f t="shared" ca="1" si="152"/>
        <v>-8408306140.3373766</v>
      </c>
      <c r="M2606" s="471">
        <f t="shared" si="154"/>
        <v>0.05</v>
      </c>
      <c r="N2606" s="475">
        <f t="shared" si="155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53"/>
        <v>-8408306140.3373766</v>
      </c>
      <c r="J2607" s="455">
        <f t="array" ref="J2607">IFERROR(INDEX('Retirement Calculator'!J:J,MATCH('Isaac 401k'!N2607,'Retirement Calculator'!A:A,0),0),0)</f>
        <v>0</v>
      </c>
      <c r="K2607" s="455">
        <f t="shared" ca="1" si="151"/>
        <v>-35034608.918072402</v>
      </c>
      <c r="L2607" s="455">
        <f t="shared" ca="1" si="152"/>
        <v>-8443340749.2554493</v>
      </c>
      <c r="M2607" s="471">
        <f t="shared" si="154"/>
        <v>0.05</v>
      </c>
      <c r="N2607" s="475">
        <f t="shared" si="155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53"/>
        <v>-8443340749.2554493</v>
      </c>
      <c r="J2608" s="455">
        <f t="array" ref="J2608">IFERROR(INDEX('Retirement Calculator'!J:J,MATCH('Isaac 401k'!N2608,'Retirement Calculator'!A:A,0),0),0)</f>
        <v>0</v>
      </c>
      <c r="K2608" s="455">
        <f t="shared" ca="1" si="151"/>
        <v>-35180586.455231041</v>
      </c>
      <c r="L2608" s="455">
        <f t="shared" ca="1" si="152"/>
        <v>-8478521335.71068</v>
      </c>
      <c r="M2608" s="471">
        <f t="shared" si="154"/>
        <v>0.05</v>
      </c>
      <c r="N2608" s="475">
        <f t="shared" si="155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53"/>
        <v>-8478521335.71068</v>
      </c>
      <c r="J2609" s="455">
        <f t="array" ref="J2609">IFERROR(INDEX('Retirement Calculator'!J:J,MATCH('Isaac 401k'!N2609,'Retirement Calculator'!A:A,0),0),0)</f>
        <v>0</v>
      </c>
      <c r="K2609" s="455">
        <f t="shared" ca="1" si="151"/>
        <v>-35327172.232127838</v>
      </c>
      <c r="L2609" s="455">
        <f t="shared" ca="1" si="152"/>
        <v>-8513848507.9428082</v>
      </c>
      <c r="M2609" s="471">
        <f t="shared" si="154"/>
        <v>0.05</v>
      </c>
      <c r="N2609" s="475">
        <f t="shared" si="155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53"/>
        <v>-8513848507.9428082</v>
      </c>
      <c r="J2610" s="455">
        <f t="array" ref="J2610">IFERROR(INDEX('Retirement Calculator'!J:J,MATCH('Isaac 401k'!N2610,'Retirement Calculator'!A:A,0),0),0)</f>
        <v>0</v>
      </c>
      <c r="K2610" s="455">
        <f t="shared" ca="1" si="151"/>
        <v>-35474368.783095032</v>
      </c>
      <c r="L2610" s="455">
        <f t="shared" ca="1" si="152"/>
        <v>-8549322876.7259035</v>
      </c>
      <c r="M2610" s="471">
        <f t="shared" si="154"/>
        <v>0.05</v>
      </c>
      <c r="N2610" s="475">
        <f t="shared" si="155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53"/>
        <v>-8549322876.7259035</v>
      </c>
      <c r="J2611" s="455">
        <f t="array" ref="J2611">IFERROR(INDEX('Retirement Calculator'!J:J,MATCH('Isaac 401k'!N2611,'Retirement Calculator'!A:A,0),0),0)</f>
        <v>0</v>
      </c>
      <c r="K2611" s="455">
        <f t="shared" ca="1" si="151"/>
        <v>-35622178.653024599</v>
      </c>
      <c r="L2611" s="455">
        <f t="shared" ca="1" si="152"/>
        <v>-8584945055.3789282</v>
      </c>
      <c r="M2611" s="471">
        <f t="shared" si="154"/>
        <v>0.05</v>
      </c>
      <c r="N2611" s="475">
        <f t="shared" si="155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53"/>
        <v>-8584945055.3789282</v>
      </c>
      <c r="J2612" s="455">
        <f t="array" ref="J2612">IFERROR(INDEX('Retirement Calculator'!J:J,MATCH('Isaac 401k'!N2612,'Retirement Calculator'!A:A,0),0),0)</f>
        <v>0</v>
      </c>
      <c r="K2612" s="455">
        <f t="shared" ca="1" si="151"/>
        <v>-35770604.397412203</v>
      </c>
      <c r="L2612" s="455">
        <f t="shared" ca="1" si="152"/>
        <v>-8620715659.7763405</v>
      </c>
      <c r="M2612" s="471">
        <f t="shared" si="154"/>
        <v>0.05</v>
      </c>
      <c r="N2612" s="475">
        <f t="shared" si="155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53"/>
        <v>-8620715659.7763405</v>
      </c>
      <c r="J2613" s="455">
        <f t="array" ref="J2613">IFERROR(INDEX('Retirement Calculator'!J:J,MATCH('Isaac 401k'!N2613,'Retirement Calculator'!A:A,0),0),0)</f>
        <v>0</v>
      </c>
      <c r="K2613" s="455">
        <f t="shared" ca="1" si="151"/>
        <v>-35919648.582401417</v>
      </c>
      <c r="L2613" s="455">
        <f t="shared" ca="1" si="152"/>
        <v>-8656635308.3587418</v>
      </c>
      <c r="M2613" s="471">
        <f t="shared" si="154"/>
        <v>0.05</v>
      </c>
      <c r="N2613" s="475">
        <f t="shared" si="155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53"/>
        <v>-8656635308.3587418</v>
      </c>
      <c r="J2614" s="455">
        <f t="array" ref="J2614">IFERROR(INDEX('Retirement Calculator'!J:J,MATCH('Isaac 401k'!N2614,'Retirement Calculator'!A:A,0),0),0)</f>
        <v>0</v>
      </c>
      <c r="K2614" s="455">
        <f t="shared" ca="1" si="151"/>
        <v>-36069313.784828089</v>
      </c>
      <c r="L2614" s="455">
        <f t="shared" ca="1" si="152"/>
        <v>-8692704622.1435699</v>
      </c>
      <c r="M2614" s="471">
        <f t="shared" si="154"/>
        <v>0.05</v>
      </c>
      <c r="N2614" s="475">
        <f t="shared" si="155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53"/>
        <v>-8692704622.1435699</v>
      </c>
      <c r="J2615" s="455">
        <f t="array" ref="J2615">IFERROR(INDEX('Retirement Calculator'!J:J,MATCH('Isaac 401k'!N2615,'Retirement Calculator'!A:A,0),0),0)</f>
        <v>0</v>
      </c>
      <c r="K2615" s="455">
        <f t="shared" ca="1" si="151"/>
        <v>-36219602.592264876</v>
      </c>
      <c r="L2615" s="455">
        <f t="shared" ca="1" si="152"/>
        <v>-8728924224.7358341</v>
      </c>
      <c r="M2615" s="471">
        <f t="shared" si="154"/>
        <v>0.05</v>
      </c>
      <c r="N2615" s="475">
        <f t="shared" si="155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53"/>
        <v>-8728924224.7358341</v>
      </c>
      <c r="J2616" s="455">
        <f t="array" ref="J2616">IFERROR(INDEX('Retirement Calculator'!J:J,MATCH('Isaac 401k'!N2616,'Retirement Calculator'!A:A,0),0),0)</f>
        <v>0</v>
      </c>
      <c r="K2616" s="455">
        <f t="shared" ca="1" si="151"/>
        <v>-36370517.603065975</v>
      </c>
      <c r="L2616" s="455">
        <f t="shared" ca="1" si="152"/>
        <v>-8765294742.3388996</v>
      </c>
      <c r="M2616" s="471">
        <f t="shared" si="154"/>
        <v>0.05</v>
      </c>
      <c r="N2616" s="475">
        <f t="shared" si="155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53"/>
        <v>-8765294742.3388996</v>
      </c>
      <c r="J2617" s="455">
        <f t="array" ref="J2617">IFERROR(INDEX('Retirement Calculator'!J:J,MATCH('Isaac 401k'!N2617,'Retirement Calculator'!A:A,0),0),0)</f>
        <v>0</v>
      </c>
      <c r="K2617" s="455">
        <f t="shared" ca="1" si="151"/>
        <v>-36522061.426412083</v>
      </c>
      <c r="L2617" s="455">
        <f t="shared" ca="1" si="152"/>
        <v>-8801816803.7653122</v>
      </c>
      <c r="M2617" s="471">
        <f t="shared" si="154"/>
        <v>0.05</v>
      </c>
      <c r="N2617" s="475">
        <f t="shared" si="155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53"/>
        <v>-8801816803.7653122</v>
      </c>
      <c r="J2618" s="455">
        <f t="array" ref="J2618">IFERROR(INDEX('Retirement Calculator'!J:J,MATCH('Isaac 401k'!N2618,'Retirement Calculator'!A:A,0),0),0)</f>
        <v>0</v>
      </c>
      <c r="K2618" s="455">
        <f t="shared" ca="1" si="151"/>
        <v>-36674236.682355464</v>
      </c>
      <c r="L2618" s="455">
        <f t="shared" ca="1" si="152"/>
        <v>-8838491040.4476681</v>
      </c>
      <c r="M2618" s="471">
        <f t="shared" si="154"/>
        <v>0.05</v>
      </c>
      <c r="N2618" s="475">
        <f t="shared" si="155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53"/>
        <v>-8838491040.4476681</v>
      </c>
      <c r="J2619" s="455">
        <f t="array" ref="J2619">IFERROR(INDEX('Retirement Calculator'!J:J,MATCH('Isaac 401k'!N2619,'Retirement Calculator'!A:A,0),0),0)</f>
        <v>0</v>
      </c>
      <c r="K2619" s="455">
        <f t="shared" ca="1" si="151"/>
        <v>-36827046.001865283</v>
      </c>
      <c r="L2619" s="455">
        <f t="shared" ca="1" si="152"/>
        <v>-8875318086.4495335</v>
      </c>
      <c r="M2619" s="471">
        <f t="shared" si="154"/>
        <v>0.05</v>
      </c>
      <c r="N2619" s="475">
        <f t="shared" si="155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53"/>
        <v>-8875318086.4495335</v>
      </c>
      <c r="J2620" s="455">
        <f t="array" ref="J2620">IFERROR(INDEX('Retirement Calculator'!J:J,MATCH('Isaac 401k'!N2620,'Retirement Calculator'!A:A,0),0),0)</f>
        <v>0</v>
      </c>
      <c r="K2620" s="455">
        <f t="shared" ca="1" si="151"/>
        <v>-36980492.026873052</v>
      </c>
      <c r="L2620" s="455">
        <f t="shared" ca="1" si="152"/>
        <v>-8912298578.4764061</v>
      </c>
      <c r="M2620" s="471">
        <f t="shared" si="154"/>
        <v>0.05</v>
      </c>
      <c r="N2620" s="475">
        <f t="shared" si="155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53"/>
        <v>-8912298578.4764061</v>
      </c>
      <c r="J2621" s="455">
        <f t="array" ref="J2621">IFERROR(INDEX('Retirement Calculator'!J:J,MATCH('Isaac 401k'!N2621,'Retirement Calculator'!A:A,0),0),0)</f>
        <v>0</v>
      </c>
      <c r="K2621" s="455">
        <f t="shared" ca="1" si="151"/>
        <v>-37134577.41031836</v>
      </c>
      <c r="L2621" s="455">
        <f t="shared" ca="1" si="152"/>
        <v>-8949433155.8867245</v>
      </c>
      <c r="M2621" s="471">
        <f t="shared" si="154"/>
        <v>0.05</v>
      </c>
      <c r="N2621" s="475">
        <f t="shared" si="155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53"/>
        <v>-8949433155.8867245</v>
      </c>
      <c r="J2622" s="455">
        <f t="array" ref="J2622">IFERROR(INDEX('Retirement Calculator'!J:J,MATCH('Isaac 401k'!N2622,'Retirement Calculator'!A:A,0),0),0)</f>
        <v>0</v>
      </c>
      <c r="K2622" s="455">
        <f t="shared" ca="1" si="151"/>
        <v>-37289304.816194683</v>
      </c>
      <c r="L2622" s="455">
        <f t="shared" ca="1" si="152"/>
        <v>-8986722460.702919</v>
      </c>
      <c r="M2622" s="471">
        <f t="shared" si="154"/>
        <v>0.05</v>
      </c>
      <c r="N2622" s="475">
        <f t="shared" si="155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53"/>
        <v>-8986722460.702919</v>
      </c>
      <c r="J2623" s="455">
        <f t="array" ref="J2623">IFERROR(INDEX('Retirement Calculator'!J:J,MATCH('Isaac 401k'!N2623,'Retirement Calculator'!A:A,0),0),0)</f>
        <v>0</v>
      </c>
      <c r="K2623" s="455">
        <f t="shared" ca="1" si="151"/>
        <v>-37444676.919595495</v>
      </c>
      <c r="L2623" s="455">
        <f t="shared" ca="1" si="152"/>
        <v>-9024167137.6225147</v>
      </c>
      <c r="M2623" s="471">
        <f t="shared" si="154"/>
        <v>0.05</v>
      </c>
      <c r="N2623" s="475">
        <f t="shared" si="155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53"/>
        <v>-9024167137.6225147</v>
      </c>
      <c r="J2624" s="455">
        <f t="array" ref="J2624">IFERROR(INDEX('Retirement Calculator'!J:J,MATCH('Isaac 401k'!N2624,'Retirement Calculator'!A:A,0),0),0)</f>
        <v>0</v>
      </c>
      <c r="K2624" s="455">
        <f t="shared" ca="1" si="151"/>
        <v>-37600696.406760477</v>
      </c>
      <c r="L2624" s="455">
        <f t="shared" ca="1" si="152"/>
        <v>-9061767834.0292759</v>
      </c>
      <c r="M2624" s="471">
        <f t="shared" si="154"/>
        <v>0.05</v>
      </c>
      <c r="N2624" s="475">
        <f t="shared" si="155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53"/>
        <v>-9061767834.0292759</v>
      </c>
      <c r="J2625" s="455">
        <f t="array" ref="J2625">IFERROR(INDEX('Retirement Calculator'!J:J,MATCH('Isaac 401k'!N2625,'Retirement Calculator'!A:A,0),0),0)</f>
        <v>0</v>
      </c>
      <c r="K2625" s="455">
        <f t="shared" ca="1" si="151"/>
        <v>-37757365.975121982</v>
      </c>
      <c r="L2625" s="455">
        <f t="shared" ca="1" si="152"/>
        <v>-9099525200.0043983</v>
      </c>
      <c r="M2625" s="471">
        <f t="shared" si="154"/>
        <v>0.05</v>
      </c>
      <c r="N2625" s="475">
        <f t="shared" si="155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53"/>
        <v>-9099525200.0043983</v>
      </c>
      <c r="J2626" s="455">
        <f t="array" ref="J2626">IFERROR(INDEX('Retirement Calculator'!J:J,MATCH('Isaac 401k'!N2626,'Retirement Calculator'!A:A,0),0),0)</f>
        <v>0</v>
      </c>
      <c r="K2626" s="455">
        <f t="shared" ca="1" si="151"/>
        <v>-37914688.333351657</v>
      </c>
      <c r="L2626" s="455">
        <f t="shared" ca="1" si="152"/>
        <v>-9137439888.3377495</v>
      </c>
      <c r="M2626" s="471">
        <f t="shared" si="154"/>
        <v>0.05</v>
      </c>
      <c r="N2626" s="475">
        <f t="shared" si="155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53"/>
        <v>-9137439888.3377495</v>
      </c>
      <c r="J2627" s="455">
        <f t="array" ref="J2627">IFERROR(INDEX('Retirement Calculator'!J:J,MATCH('Isaac 401k'!N2627,'Retirement Calculator'!A:A,0),0),0)</f>
        <v>0</v>
      </c>
      <c r="K2627" s="455">
        <f t="shared" ca="1" si="151"/>
        <v>-38072666.201407291</v>
      </c>
      <c r="L2627" s="455">
        <f t="shared" ca="1" si="152"/>
        <v>-9175512554.539156</v>
      </c>
      <c r="M2627" s="471">
        <f t="shared" si="154"/>
        <v>0.05</v>
      </c>
      <c r="N2627" s="475">
        <f t="shared" si="155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53"/>
        <v>-9175512554.539156</v>
      </c>
      <c r="J2628" s="455">
        <f t="array" ref="J2628">IFERROR(INDEX('Retirement Calculator'!J:J,MATCH('Isaac 401k'!N2628,'Retirement Calculator'!A:A,0),0),0)</f>
        <v>0</v>
      </c>
      <c r="K2628" s="455">
        <f t="shared" ca="1" si="151"/>
        <v>-38231302.310579814</v>
      </c>
      <c r="L2628" s="455">
        <f t="shared" ca="1" si="152"/>
        <v>-9213743856.8497353</v>
      </c>
      <c r="M2628" s="471">
        <f t="shared" si="154"/>
        <v>0.05</v>
      </c>
      <c r="N2628" s="475">
        <f t="shared" si="155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53"/>
        <v>-9213743856.8497353</v>
      </c>
      <c r="J2629" s="455">
        <f t="array" ref="J2629">IFERROR(INDEX('Retirement Calculator'!J:J,MATCH('Isaac 401k'!N2629,'Retirement Calculator'!A:A,0),0),0)</f>
        <v>0</v>
      </c>
      <c r="K2629" s="455">
        <f t="shared" ca="1" si="151"/>
        <v>-38390599.403540567</v>
      </c>
      <c r="L2629" s="455">
        <f t="shared" ca="1" si="152"/>
        <v>-9252134456.2532749</v>
      </c>
      <c r="M2629" s="471">
        <f t="shared" si="154"/>
        <v>0.05</v>
      </c>
      <c r="N2629" s="475">
        <f t="shared" si="155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53"/>
        <v>-9252134456.2532749</v>
      </c>
      <c r="J2630" s="455">
        <f t="array" ref="J2630">IFERROR(INDEX('Retirement Calculator'!J:J,MATCH('Isaac 401k'!N2630,'Retirement Calculator'!A:A,0),0),0)</f>
        <v>0</v>
      </c>
      <c r="K2630" s="455">
        <f t="shared" ca="1" si="151"/>
        <v>-38550560.234388642</v>
      </c>
      <c r="L2630" s="455">
        <f t="shared" ca="1" si="152"/>
        <v>-9290685016.4876633</v>
      </c>
      <c r="M2630" s="471">
        <f t="shared" si="154"/>
        <v>0.05</v>
      </c>
      <c r="N2630" s="475">
        <f t="shared" si="155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53"/>
        <v>-9290685016.4876633</v>
      </c>
      <c r="J2631" s="455">
        <f t="array" ref="J2631">IFERROR(INDEX('Retirement Calculator'!J:J,MATCH('Isaac 401k'!N2631,'Retirement Calculator'!A:A,0),0),0)</f>
        <v>0</v>
      </c>
      <c r="K2631" s="455">
        <f t="shared" ca="1" si="151"/>
        <v>-38711187.5686986</v>
      </c>
      <c r="L2631" s="455">
        <f t="shared" ca="1" si="152"/>
        <v>-9329396204.0563622</v>
      </c>
      <c r="M2631" s="471">
        <f t="shared" si="154"/>
        <v>0.05</v>
      </c>
      <c r="N2631" s="475">
        <f t="shared" si="155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53"/>
        <v>-9329396204.0563622</v>
      </c>
      <c r="J2632" s="455">
        <f t="array" ref="J2632">IFERROR(INDEX('Retirement Calculator'!J:J,MATCH('Isaac 401k'!N2632,'Retirement Calculator'!A:A,0),0),0)</f>
        <v>0</v>
      </c>
      <c r="K2632" s="455">
        <f t="shared" ca="1" si="151"/>
        <v>-38872484.183568172</v>
      </c>
      <c r="L2632" s="455">
        <f t="shared" ca="1" si="152"/>
        <v>-9368268688.2399311</v>
      </c>
      <c r="M2632" s="471">
        <f t="shared" si="154"/>
        <v>0.05</v>
      </c>
      <c r="N2632" s="475">
        <f t="shared" si="155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53"/>
        <v>-9368268688.2399311</v>
      </c>
      <c r="J2633" s="455">
        <f t="array" ref="J2633">IFERROR(INDEX('Retirement Calculator'!J:J,MATCH('Isaac 401k'!N2633,'Retirement Calculator'!A:A,0),0),0)</f>
        <v>0</v>
      </c>
      <c r="K2633" s="455">
        <f t="shared" ca="1" si="151"/>
        <v>-39034452.867666379</v>
      </c>
      <c r="L2633" s="455">
        <f t="shared" ca="1" si="152"/>
        <v>-9407303141.1075974</v>
      </c>
      <c r="M2633" s="471">
        <f t="shared" si="154"/>
        <v>0.05</v>
      </c>
      <c r="N2633" s="475">
        <f t="shared" si="155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53"/>
        <v>-9407303141.1075974</v>
      </c>
      <c r="J2634" s="455">
        <f t="array" ref="J2634">IFERROR(INDEX('Retirement Calculator'!J:J,MATCH('Isaac 401k'!N2634,'Retirement Calculator'!A:A,0),0),0)</f>
        <v>0</v>
      </c>
      <c r="K2634" s="455">
        <f t="shared" ca="1" si="151"/>
        <v>-39197096.421281658</v>
      </c>
      <c r="L2634" s="455">
        <f t="shared" ca="1" si="152"/>
        <v>-9446500237.5288792</v>
      </c>
      <c r="M2634" s="471">
        <f t="shared" si="154"/>
        <v>0.05</v>
      </c>
      <c r="N2634" s="475">
        <f t="shared" si="155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53"/>
        <v>-9446500237.5288792</v>
      </c>
      <c r="J2635" s="455">
        <f t="array" ref="J2635">IFERROR(INDEX('Retirement Calculator'!J:J,MATCH('Isaac 401k'!N2635,'Retirement Calculator'!A:A,0),0),0)</f>
        <v>0</v>
      </c>
      <c r="K2635" s="455">
        <f t="shared" ca="1" si="151"/>
        <v>-39360417.656370327</v>
      </c>
      <c r="L2635" s="455">
        <f t="shared" ca="1" si="152"/>
        <v>-9485860655.1852493</v>
      </c>
      <c r="M2635" s="471">
        <f t="shared" si="154"/>
        <v>0.05</v>
      </c>
      <c r="N2635" s="475">
        <f t="shared" si="155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53"/>
        <v>-9485860655.1852493</v>
      </c>
      <c r="J2636" s="455">
        <f t="array" ref="J2636">IFERROR(INDEX('Retirement Calculator'!J:J,MATCH('Isaac 401k'!N2636,'Retirement Calculator'!A:A,0),0),0)</f>
        <v>0</v>
      </c>
      <c r="K2636" s="455">
        <f t="shared" ca="1" si="151"/>
        <v>-39524419.396605209</v>
      </c>
      <c r="L2636" s="455">
        <f t="shared" ca="1" si="152"/>
        <v>-9525385074.5818539</v>
      </c>
      <c r="M2636" s="471">
        <f t="shared" si="154"/>
        <v>0.05</v>
      </c>
      <c r="N2636" s="475">
        <f t="shared" si="155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53"/>
        <v>-9525385074.5818539</v>
      </c>
      <c r="J2637" s="455">
        <f t="array" ref="J2637">IFERROR(INDEX('Retirement Calculator'!J:J,MATCH('Isaac 401k'!N2637,'Retirement Calculator'!A:A,0),0),0)</f>
        <v>0</v>
      </c>
      <c r="K2637" s="455">
        <f t="shared" ca="1" si="151"/>
        <v>-39689104.477424391</v>
      </c>
      <c r="L2637" s="455">
        <f t="shared" ca="1" si="152"/>
        <v>-9565074179.0592785</v>
      </c>
      <c r="M2637" s="471">
        <f t="shared" si="154"/>
        <v>0.05</v>
      </c>
      <c r="N2637" s="475">
        <f t="shared" si="155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53"/>
        <v>-9565074179.0592785</v>
      </c>
      <c r="J2638" s="455">
        <f t="array" ref="J2638">IFERROR(INDEX('Retirement Calculator'!J:J,MATCH('Isaac 401k'!N2638,'Retirement Calculator'!A:A,0),0),0)</f>
        <v>0</v>
      </c>
      <c r="K2638" s="455">
        <f t="shared" ca="1" si="151"/>
        <v>-39854475.746080324</v>
      </c>
      <c r="L2638" s="455">
        <f t="shared" ca="1" si="152"/>
        <v>-9604928654.8053589</v>
      </c>
      <c r="M2638" s="471">
        <f t="shared" si="154"/>
        <v>0.05</v>
      </c>
      <c r="N2638" s="475">
        <f t="shared" si="155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53"/>
        <v>-9604928654.8053589</v>
      </c>
      <c r="J2639" s="455">
        <f t="array" ref="J2639">IFERROR(INDEX('Retirement Calculator'!J:J,MATCH('Isaac 401k'!N2639,'Retirement Calculator'!A:A,0),0),0)</f>
        <v>0</v>
      </c>
      <c r="K2639" s="455">
        <f t="shared" ca="1" si="151"/>
        <v>-40020536.061688997</v>
      </c>
      <c r="L2639" s="455">
        <f t="shared" ca="1" si="152"/>
        <v>-9644949190.8670483</v>
      </c>
      <c r="M2639" s="471">
        <f t="shared" si="154"/>
        <v>0.05</v>
      </c>
      <c r="N2639" s="475">
        <f t="shared" si="155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53"/>
        <v>-9644949190.8670483</v>
      </c>
      <c r="J2640" s="455">
        <f t="array" ref="J2640">IFERROR(INDEX('Retirement Calculator'!J:J,MATCH('Isaac 401k'!N2640,'Retirement Calculator'!A:A,0),0),0)</f>
        <v>0</v>
      </c>
      <c r="K2640" s="455">
        <f t="shared" ca="1" si="151"/>
        <v>-40187288.295279369</v>
      </c>
      <c r="L2640" s="455">
        <f t="shared" ca="1" si="152"/>
        <v>-9685136479.1623268</v>
      </c>
      <c r="M2640" s="471">
        <f t="shared" si="154"/>
        <v>0.05</v>
      </c>
      <c r="N2640" s="475">
        <f t="shared" si="155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53"/>
        <v>-9685136479.1623268</v>
      </c>
      <c r="J2641" s="455">
        <f t="array" ref="J2641">IFERROR(INDEX('Retirement Calculator'!J:J,MATCH('Isaac 401k'!N2641,'Retirement Calculator'!A:A,0),0),0)</f>
        <v>0</v>
      </c>
      <c r="K2641" s="455">
        <f t="shared" ca="1" si="151"/>
        <v>-40354735.329843029</v>
      </c>
      <c r="L2641" s="455">
        <f t="shared" ca="1" si="152"/>
        <v>-9725491214.4921703</v>
      </c>
      <c r="M2641" s="471">
        <f t="shared" si="154"/>
        <v>0.05</v>
      </c>
      <c r="N2641" s="475">
        <f t="shared" si="155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53"/>
        <v>-9725491214.4921703</v>
      </c>
      <c r="J2642" s="455">
        <f t="array" ref="J2642">IFERROR(INDEX('Retirement Calculator'!J:J,MATCH('Isaac 401k'!N2642,'Retirement Calculator'!A:A,0),0),0)</f>
        <v>0</v>
      </c>
      <c r="K2642" s="455">
        <f t="shared" ca="1" si="151"/>
        <v>-40522880.060384043</v>
      </c>
      <c r="L2642" s="455">
        <f t="shared" ca="1" si="152"/>
        <v>-9766014094.5525551</v>
      </c>
      <c r="M2642" s="471">
        <f t="shared" si="154"/>
        <v>0.05</v>
      </c>
      <c r="N2642" s="475">
        <f t="shared" si="155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53"/>
        <v>-9766014094.5525551</v>
      </c>
      <c r="J2643" s="455">
        <f t="array" ref="J2643">IFERROR(INDEX('Retirement Calculator'!J:J,MATCH('Isaac 401k'!N2643,'Retirement Calculator'!A:A,0),0),0)</f>
        <v>0</v>
      </c>
      <c r="K2643" s="455">
        <f t="shared" ca="1" si="151"/>
        <v>-40691725.393968977</v>
      </c>
      <c r="L2643" s="455">
        <f t="shared" ca="1" si="152"/>
        <v>-9806705819.9465237</v>
      </c>
      <c r="M2643" s="471">
        <f t="shared" si="154"/>
        <v>0.05</v>
      </c>
      <c r="N2643" s="475">
        <f t="shared" si="155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53"/>
        <v>-9806705819.9465237</v>
      </c>
      <c r="J2644" s="455">
        <f t="array" ref="J2644">IFERROR(INDEX('Retirement Calculator'!J:J,MATCH('Isaac 401k'!N2644,'Retirement Calculator'!A:A,0),0),0)</f>
        <v>0</v>
      </c>
      <c r="K2644" s="455">
        <f t="shared" ca="1" si="151"/>
        <v>-40861274.249777183</v>
      </c>
      <c r="L2644" s="455">
        <f t="shared" ca="1" si="152"/>
        <v>-9847567094.1963005</v>
      </c>
      <c r="M2644" s="471">
        <f t="shared" si="154"/>
        <v>0.05</v>
      </c>
      <c r="N2644" s="475">
        <f t="shared" si="155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53"/>
        <v>-9847567094.1963005</v>
      </c>
      <c r="J2645" s="455">
        <f t="array" ref="J2645">IFERROR(INDEX('Retirement Calculator'!J:J,MATCH('Isaac 401k'!N2645,'Retirement Calculator'!A:A,0),0),0)</f>
        <v>0</v>
      </c>
      <c r="K2645" s="455">
        <f t="shared" ca="1" si="151"/>
        <v>-41031529.559151255</v>
      </c>
      <c r="L2645" s="455">
        <f t="shared" ca="1" si="152"/>
        <v>-9888598623.7554512</v>
      </c>
      <c r="M2645" s="471">
        <f t="shared" si="154"/>
        <v>0.05</v>
      </c>
      <c r="N2645" s="475">
        <f t="shared" si="155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53"/>
        <v>-9888598623.7554512</v>
      </c>
      <c r="J2646" s="455">
        <f t="array" ref="J2646">IFERROR(INDEX('Retirement Calculator'!J:J,MATCH('Isaac 401k'!N2646,'Retirement Calculator'!A:A,0),0),0)</f>
        <v>0</v>
      </c>
      <c r="K2646" s="455">
        <f t="shared" ca="1" si="151"/>
        <v>-41202494.265647709</v>
      </c>
      <c r="L2646" s="455">
        <f t="shared" ca="1" si="152"/>
        <v>-9929801118.0210991</v>
      </c>
      <c r="M2646" s="471">
        <f t="shared" si="154"/>
        <v>0.05</v>
      </c>
      <c r="N2646" s="475">
        <f t="shared" si="155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53"/>
        <v>-9929801118.0210991</v>
      </c>
      <c r="J2647" s="455">
        <f t="array" ref="J2647">IFERROR(INDEX('Retirement Calculator'!J:J,MATCH('Isaac 401k'!N2647,'Retirement Calculator'!A:A,0),0),0)</f>
        <v>0</v>
      </c>
      <c r="K2647" s="455">
        <f t="shared" ca="1" si="151"/>
        <v>-41374171.325087912</v>
      </c>
      <c r="L2647" s="455">
        <f t="shared" ca="1" si="152"/>
        <v>-9971175289.3461876</v>
      </c>
      <c r="M2647" s="471">
        <f t="shared" si="154"/>
        <v>0.05</v>
      </c>
      <c r="N2647" s="475">
        <f t="shared" si="155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53"/>
        <v>-9971175289.3461876</v>
      </c>
      <c r="J2648" s="455">
        <f t="array" ref="J2648">IFERROR(INDEX('Retirement Calculator'!J:J,MATCH('Isaac 401k'!N2648,'Retirement Calculator'!A:A,0),0),0)</f>
        <v>0</v>
      </c>
      <c r="K2648" s="455">
        <f t="shared" ca="1" si="151"/>
        <v>-41546563.705609113</v>
      </c>
      <c r="L2648" s="455">
        <f t="shared" ca="1" si="152"/>
        <v>-10012721853.051796</v>
      </c>
      <c r="M2648" s="471">
        <f t="shared" si="154"/>
        <v>0.05</v>
      </c>
      <c r="N2648" s="475">
        <f t="shared" si="155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53"/>
        <v>-10012721853.051796</v>
      </c>
      <c r="J2649" s="455">
        <f t="array" ref="J2649">IFERROR(INDEX('Retirement Calculator'!J:J,MATCH('Isaac 401k'!N2649,'Retirement Calculator'!A:A,0),0),0)</f>
        <v>0</v>
      </c>
      <c r="K2649" s="455">
        <f t="shared" ca="1" si="151"/>
        <v>-41719674.387715816</v>
      </c>
      <c r="L2649" s="455">
        <f t="shared" ca="1" si="152"/>
        <v>-10054441527.439512</v>
      </c>
      <c r="M2649" s="471">
        <f t="shared" si="154"/>
        <v>0.05</v>
      </c>
      <c r="N2649" s="475">
        <f t="shared" si="155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53"/>
        <v>-10054441527.439512</v>
      </c>
      <c r="J2650" s="455">
        <f t="array" ref="J2650">IFERROR(INDEX('Retirement Calculator'!J:J,MATCH('Isaac 401k'!N2650,'Retirement Calculator'!A:A,0),0),0)</f>
        <v>0</v>
      </c>
      <c r="K2650" s="455">
        <f t="shared" ca="1" si="151"/>
        <v>-41893506.364331298</v>
      </c>
      <c r="L2650" s="455">
        <f t="shared" ca="1" si="152"/>
        <v>-10096335033.803844</v>
      </c>
      <c r="M2650" s="471">
        <f t="shared" si="154"/>
        <v>0.05</v>
      </c>
      <c r="N2650" s="475">
        <f t="shared" si="155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53"/>
        <v>-10096335033.803844</v>
      </c>
      <c r="J2651" s="455">
        <f t="array" ref="J2651">IFERROR(INDEX('Retirement Calculator'!J:J,MATCH('Isaac 401k'!N2651,'Retirement Calculator'!A:A,0),0),0)</f>
        <v>0</v>
      </c>
      <c r="K2651" s="455">
        <f t="shared" ca="1" si="151"/>
        <v>-42068062.640849352</v>
      </c>
      <c r="L2651" s="455">
        <f t="shared" ca="1" si="152"/>
        <v>-10138403096.444695</v>
      </c>
      <c r="M2651" s="471">
        <f t="shared" si="154"/>
        <v>0.05</v>
      </c>
      <c r="N2651" s="475">
        <f t="shared" si="155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53"/>
        <v>-10138403096.444695</v>
      </c>
      <c r="J2652" s="455">
        <f t="array" ref="J2652">IFERROR(INDEX('Retirement Calculator'!J:J,MATCH('Isaac 401k'!N2652,'Retirement Calculator'!A:A,0),0),0)</f>
        <v>0</v>
      </c>
      <c r="K2652" s="455">
        <f t="shared" ca="1" si="151"/>
        <v>-42243346.235186227</v>
      </c>
      <c r="L2652" s="455">
        <f t="shared" ca="1" si="152"/>
        <v>-10180646442.67988</v>
      </c>
      <c r="M2652" s="471">
        <f t="shared" si="154"/>
        <v>0.05</v>
      </c>
      <c r="N2652" s="475">
        <f t="shared" si="155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53"/>
        <v>-10180646442.67988</v>
      </c>
      <c r="J2653" s="455">
        <f t="array" ref="J2653">IFERROR(INDEX('Retirement Calculator'!J:J,MATCH('Isaac 401k'!N2653,'Retirement Calculator'!A:A,0),0),0)</f>
        <v>0</v>
      </c>
      <c r="K2653" s="455">
        <f t="shared" ca="1" si="151"/>
        <v>-42419360.177832834</v>
      </c>
      <c r="L2653" s="455">
        <f t="shared" ca="1" si="152"/>
        <v>-10223065802.857714</v>
      </c>
      <c r="M2653" s="471">
        <f t="shared" si="154"/>
        <v>0.05</v>
      </c>
      <c r="N2653" s="475">
        <f t="shared" si="155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53"/>
        <v>-10223065802.857714</v>
      </c>
      <c r="J2654" s="455">
        <f t="array" ref="J2654">IFERROR(INDEX('Retirement Calculator'!J:J,MATCH('Isaac 401k'!N2654,'Retirement Calculator'!A:A,0),0),0)</f>
        <v>0</v>
      </c>
      <c r="K2654" s="455">
        <f t="shared" ca="1" si="151"/>
        <v>-42596107.511907138</v>
      </c>
      <c r="L2654" s="455">
        <f t="shared" ca="1" si="152"/>
        <v>-10265661910.369621</v>
      </c>
      <c r="M2654" s="471">
        <f t="shared" si="154"/>
        <v>0.05</v>
      </c>
      <c r="N2654" s="475">
        <f t="shared" si="155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53"/>
        <v>-10265661910.369621</v>
      </c>
      <c r="J2655" s="455">
        <f t="array" ref="J2655">IFERROR(INDEX('Retirement Calculator'!J:J,MATCH('Isaac 401k'!N2655,'Retirement Calculator'!A:A,0),0),0)</f>
        <v>0</v>
      </c>
      <c r="K2655" s="455">
        <f t="shared" ca="1" si="151"/>
        <v>-42773591.293206751</v>
      </c>
      <c r="L2655" s="455">
        <f t="shared" ca="1" si="152"/>
        <v>-10308435501.662828</v>
      </c>
      <c r="M2655" s="471">
        <f t="shared" si="154"/>
        <v>0.05</v>
      </c>
      <c r="N2655" s="475">
        <f t="shared" si="155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53"/>
        <v>-10308435501.662828</v>
      </c>
      <c r="J2656" s="455">
        <f t="array" ref="J2656">IFERROR(INDEX('Retirement Calculator'!J:J,MATCH('Isaac 401k'!N2656,'Retirement Calculator'!A:A,0),0),0)</f>
        <v>0</v>
      </c>
      <c r="K2656" s="455">
        <f t="shared" ca="1" si="151"/>
        <v>-42951814.590261787</v>
      </c>
      <c r="L2656" s="455">
        <f t="shared" ca="1" si="152"/>
        <v>-10351387316.25309</v>
      </c>
      <c r="M2656" s="471">
        <f t="shared" si="154"/>
        <v>0.05</v>
      </c>
      <c r="N2656" s="475">
        <f t="shared" si="155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53"/>
        <v>-10351387316.25309</v>
      </c>
      <c r="J2657" s="455">
        <f t="array" ref="J2657">IFERROR(INDEX('Retirement Calculator'!J:J,MATCH('Isaac 401k'!N2657,'Retirement Calculator'!A:A,0),0),0)</f>
        <v>0</v>
      </c>
      <c r="K2657" s="455">
        <f t="shared" ca="1" si="151"/>
        <v>-43130780.484387875</v>
      </c>
      <c r="L2657" s="455">
        <f t="shared" ca="1" si="152"/>
        <v>-10394518096.737478</v>
      </c>
      <c r="M2657" s="471">
        <f t="shared" si="154"/>
        <v>0.05</v>
      </c>
      <c r="N2657" s="475">
        <f t="shared" si="155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53"/>
        <v>-10394518096.737478</v>
      </c>
      <c r="J2658" s="455">
        <f t="array" ref="J2658">IFERROR(INDEX('Retirement Calculator'!J:J,MATCH('Isaac 401k'!N2658,'Retirement Calculator'!A:A,0),0),0)</f>
        <v>0</v>
      </c>
      <c r="K2658" s="455">
        <f t="shared" ca="1" si="151"/>
        <v>-43310492.069739491</v>
      </c>
      <c r="L2658" s="455">
        <f t="shared" ca="1" si="152"/>
        <v>-10437828588.807219</v>
      </c>
      <c r="M2658" s="471">
        <f t="shared" si="154"/>
        <v>0.05</v>
      </c>
      <c r="N2658" s="475">
        <f t="shared" si="155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53"/>
        <v>-10437828588.807219</v>
      </c>
      <c r="J2659" s="455">
        <f t="array" ref="J2659">IFERROR(INDEX('Retirement Calculator'!J:J,MATCH('Isaac 401k'!N2659,'Retirement Calculator'!A:A,0),0),0)</f>
        <v>0</v>
      </c>
      <c r="K2659" s="455">
        <f t="shared" ca="1" si="151"/>
        <v>-43490952.453363411</v>
      </c>
      <c r="L2659" s="455">
        <f t="shared" ca="1" si="152"/>
        <v>-10481319541.260582</v>
      </c>
      <c r="M2659" s="471">
        <f t="shared" si="154"/>
        <v>0.05</v>
      </c>
      <c r="N2659" s="475">
        <f t="shared" si="155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53"/>
        <v>-10481319541.260582</v>
      </c>
      <c r="J2660" s="455">
        <f t="array" ref="J2660">IFERROR(INDEX('Retirement Calculator'!J:J,MATCH('Isaac 401k'!N2660,'Retirement Calculator'!A:A,0),0),0)</f>
        <v>0</v>
      </c>
      <c r="K2660" s="455">
        <f t="shared" ca="1" si="151"/>
        <v>-43672164.755252421</v>
      </c>
      <c r="L2660" s="455">
        <f t="shared" ca="1" si="152"/>
        <v>-10524991706.015835</v>
      </c>
      <c r="M2660" s="471">
        <f t="shared" si="154"/>
        <v>0.05</v>
      </c>
      <c r="N2660" s="475">
        <f t="shared" si="155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53"/>
        <v>-10524991706.015835</v>
      </c>
      <c r="J2661" s="455">
        <f t="array" ref="J2661">IFERROR(INDEX('Retirement Calculator'!J:J,MATCH('Isaac 401k'!N2661,'Retirement Calculator'!A:A,0),0),0)</f>
        <v>0</v>
      </c>
      <c r="K2661" s="455">
        <f t="shared" ca="1" si="151"/>
        <v>-43854132.108399309</v>
      </c>
      <c r="L2661" s="455">
        <f t="shared" ca="1" si="152"/>
        <v>-10568845838.124233</v>
      </c>
      <c r="M2661" s="471">
        <f t="shared" si="154"/>
        <v>0.05</v>
      </c>
      <c r="N2661" s="475">
        <f t="shared" si="155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53"/>
        <v>-10568845838.124233</v>
      </c>
      <c r="J2662" s="455">
        <f t="array" ref="J2662">IFERROR(INDEX('Retirement Calculator'!J:J,MATCH('Isaac 401k'!N2662,'Retirement Calculator'!A:A,0),0),0)</f>
        <v>0</v>
      </c>
      <c r="K2662" s="455">
        <f t="shared" ca="1" si="151"/>
        <v>-44036857.658850968</v>
      </c>
      <c r="L2662" s="455">
        <f t="shared" ca="1" si="152"/>
        <v>-10612882695.783085</v>
      </c>
      <c r="M2662" s="471">
        <f t="shared" si="154"/>
        <v>0.05</v>
      </c>
      <c r="N2662" s="475">
        <f t="shared" si="155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53"/>
        <v>-10612882695.783085</v>
      </c>
      <c r="J2663" s="455">
        <f t="array" ref="J2663">IFERROR(INDEX('Retirement Calculator'!J:J,MATCH('Isaac 401k'!N2663,'Retirement Calculator'!A:A,0),0),0)</f>
        <v>0</v>
      </c>
      <c r="K2663" s="455">
        <f t="shared" ca="1" si="151"/>
        <v>-44220344.565762855</v>
      </c>
      <c r="L2663" s="455">
        <f t="shared" ca="1" si="152"/>
        <v>-10657103040.348848</v>
      </c>
      <c r="M2663" s="471">
        <f t="shared" si="154"/>
        <v>0.05</v>
      </c>
      <c r="N2663" s="475">
        <f t="shared" si="155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53"/>
        <v>-10657103040.348848</v>
      </c>
      <c r="J2664" s="455">
        <f t="array" ref="J2664">IFERROR(INDEX('Retirement Calculator'!J:J,MATCH('Isaac 401k'!N2664,'Retirement Calculator'!A:A,0),0),0)</f>
        <v>0</v>
      </c>
      <c r="K2664" s="455">
        <f t="shared" ca="1" si="151"/>
        <v>-44404596.001453534</v>
      </c>
      <c r="L2664" s="455">
        <f t="shared" ca="1" si="152"/>
        <v>-10701507636.350302</v>
      </c>
      <c r="M2664" s="471">
        <f t="shared" si="154"/>
        <v>0.05</v>
      </c>
      <c r="N2664" s="475">
        <f t="shared" si="155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53"/>
        <v>-10701507636.350302</v>
      </c>
      <c r="J2665" s="455">
        <f t="array" ref="J2665">IFERROR(INDEX('Retirement Calculator'!J:J,MATCH('Isaac 401k'!N2665,'Retirement Calculator'!A:A,0),0),0)</f>
        <v>0</v>
      </c>
      <c r="K2665" s="455">
        <f t="shared" ca="1" si="151"/>
        <v>-44589615.15145959</v>
      </c>
      <c r="L2665" s="455">
        <f t="shared" ca="1" si="152"/>
        <v>-10746097251.50176</v>
      </c>
      <c r="M2665" s="471">
        <f t="shared" si="154"/>
        <v>0.05</v>
      </c>
      <c r="N2665" s="475">
        <f t="shared" si="155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53"/>
        <v>-10746097251.50176</v>
      </c>
      <c r="J2666" s="455">
        <f t="array" ref="J2666">IFERROR(INDEX('Retirement Calculator'!J:J,MATCH('Isaac 401k'!N2666,'Retirement Calculator'!A:A,0),0),0)</f>
        <v>0</v>
      </c>
      <c r="K2666" s="455">
        <f t="shared" ca="1" si="151"/>
        <v>-44775405.214590669</v>
      </c>
      <c r="L2666" s="455">
        <f t="shared" ca="1" si="152"/>
        <v>-10790872656.716351</v>
      </c>
      <c r="M2666" s="471">
        <f t="shared" si="154"/>
        <v>0.05</v>
      </c>
      <c r="N2666" s="475">
        <f t="shared" si="155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53"/>
        <v>-10790872656.716351</v>
      </c>
      <c r="J2667" s="455">
        <f t="array" ref="J2667">IFERROR(INDEX('Retirement Calculator'!J:J,MATCH('Isaac 401k'!N2667,'Retirement Calculator'!A:A,0),0),0)</f>
        <v>0</v>
      </c>
      <c r="K2667" s="455">
        <f t="shared" ca="1" si="151"/>
        <v>-44961969.402984791</v>
      </c>
      <c r="L2667" s="455">
        <f t="shared" ca="1" si="152"/>
        <v>-10835834626.119335</v>
      </c>
      <c r="M2667" s="471">
        <f t="shared" si="154"/>
        <v>0.05</v>
      </c>
      <c r="N2667" s="475">
        <f t="shared" si="155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53"/>
        <v>-10835834626.119335</v>
      </c>
      <c r="J2668" s="455">
        <f t="array" ref="J2668">IFERROR(INDEX('Retirement Calculator'!J:J,MATCH('Isaac 401k'!N2668,'Retirement Calculator'!A:A,0),0),0)</f>
        <v>0</v>
      </c>
      <c r="K2668" s="455">
        <f t="shared" ca="1" si="151"/>
        <v>-45149310.9421639</v>
      </c>
      <c r="L2668" s="455">
        <f t="shared" ca="1" si="152"/>
        <v>-10880983937.061499</v>
      </c>
      <c r="M2668" s="471">
        <f t="shared" si="154"/>
        <v>0.05</v>
      </c>
      <c r="N2668" s="475">
        <f t="shared" si="155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53"/>
        <v>-10880983937.061499</v>
      </c>
      <c r="J2669" s="455">
        <f t="array" ref="J2669">IFERROR(INDEX('Retirement Calculator'!J:J,MATCH('Isaac 401k'!N2669,'Retirement Calculator'!A:A,0),0),0)</f>
        <v>0</v>
      </c>
      <c r="K2669" s="455">
        <f t="shared" ca="1" si="151"/>
        <v>-45337433.071089581</v>
      </c>
      <c r="L2669" s="455">
        <f t="shared" ca="1" si="152"/>
        <v>-10926321370.132587</v>
      </c>
      <c r="M2669" s="471">
        <f t="shared" si="154"/>
        <v>0.05</v>
      </c>
      <c r="N2669" s="475">
        <f t="shared" si="155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53"/>
        <v>-10926321370.132587</v>
      </c>
      <c r="J2670" s="455">
        <f t="array" ref="J2670">IFERROR(INDEX('Retirement Calculator'!J:J,MATCH('Isaac 401k'!N2670,'Retirement Calculator'!A:A,0),0),0)</f>
        <v>0</v>
      </c>
      <c r="K2670" s="455">
        <f t="shared" ca="1" si="151"/>
        <v>-45526339.042219117</v>
      </c>
      <c r="L2670" s="455">
        <f t="shared" ca="1" si="152"/>
        <v>-10971847709.174807</v>
      </c>
      <c r="M2670" s="471">
        <f t="shared" si="154"/>
        <v>0.05</v>
      </c>
      <c r="N2670" s="475">
        <f t="shared" si="155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53"/>
        <v>-10971847709.174807</v>
      </c>
      <c r="J2671" s="455">
        <f t="array" ref="J2671">IFERROR(INDEX('Retirement Calculator'!J:J,MATCH('Isaac 401k'!N2671,'Retirement Calculator'!A:A,0),0),0)</f>
        <v>0</v>
      </c>
      <c r="K2671" s="455">
        <f t="shared" ca="1" si="151"/>
        <v>-45716032.121561691</v>
      </c>
      <c r="L2671" s="455">
        <f t="shared" ca="1" si="152"/>
        <v>-11017563741.296368</v>
      </c>
      <c r="M2671" s="471">
        <f t="shared" si="154"/>
        <v>0.05</v>
      </c>
      <c r="N2671" s="475">
        <f t="shared" si="155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53"/>
        <v>-11017563741.296368</v>
      </c>
      <c r="J2672" s="455">
        <f t="array" ref="J2672">IFERROR(INDEX('Retirement Calculator'!J:J,MATCH('Isaac 401k'!N2672,'Retirement Calculator'!A:A,0),0),0)</f>
        <v>0</v>
      </c>
      <c r="K2672" s="455">
        <f t="shared" ca="1" si="151"/>
        <v>-45906515.588734865</v>
      </c>
      <c r="L2672" s="455">
        <f t="shared" ca="1" si="152"/>
        <v>-11063470256.885103</v>
      </c>
      <c r="M2672" s="471">
        <f t="shared" si="154"/>
        <v>0.05</v>
      </c>
      <c r="N2672" s="475">
        <f t="shared" si="155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53"/>
        <v>-11063470256.885103</v>
      </c>
      <c r="J2673" s="455">
        <f t="array" ref="J2673">IFERROR(INDEX('Retirement Calculator'!J:J,MATCH('Isaac 401k'!N2673,'Retirement Calculator'!A:A,0),0),0)</f>
        <v>0</v>
      </c>
      <c r="K2673" s="455">
        <f t="shared" ca="1" si="151"/>
        <v>-46097792.73702126</v>
      </c>
      <c r="L2673" s="455">
        <f t="shared" ca="1" si="152"/>
        <v>-11109568049.622124</v>
      </c>
      <c r="M2673" s="471">
        <f t="shared" si="154"/>
        <v>0.05</v>
      </c>
      <c r="N2673" s="475">
        <f t="shared" si="155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53"/>
        <v>-11109568049.622124</v>
      </c>
      <c r="J2674" s="455">
        <f t="array" ref="J2674">IFERROR(INDEX('Retirement Calculator'!J:J,MATCH('Isaac 401k'!N2674,'Retirement Calculator'!A:A,0),0),0)</f>
        <v>0</v>
      </c>
      <c r="K2674" s="455">
        <f t="shared" ca="1" si="151"/>
        <v>-46289866.873425514</v>
      </c>
      <c r="L2674" s="455">
        <f t="shared" ca="1" si="152"/>
        <v>-11155857916.49555</v>
      </c>
      <c r="M2674" s="471">
        <f t="shared" si="154"/>
        <v>0.05</v>
      </c>
      <c r="N2674" s="475">
        <f t="shared" si="155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53"/>
        <v>-11155857916.49555</v>
      </c>
      <c r="J2675" s="455">
        <f t="array" ref="J2675">IFERROR(INDEX('Retirement Calculator'!J:J,MATCH('Isaac 401k'!N2675,'Retirement Calculator'!A:A,0),0),0)</f>
        <v>0</v>
      </c>
      <c r="K2675" s="455">
        <f t="shared" ca="1" si="151"/>
        <v>-46482741.318731457</v>
      </c>
      <c r="L2675" s="455">
        <f t="shared" ca="1" si="152"/>
        <v>-11202340657.814281</v>
      </c>
      <c r="M2675" s="471">
        <f t="shared" si="154"/>
        <v>0.05</v>
      </c>
      <c r="N2675" s="475">
        <f t="shared" si="155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53"/>
        <v>-11202340657.814281</v>
      </c>
      <c r="J2676" s="455">
        <f t="array" ref="J2676">IFERROR(INDEX('Retirement Calculator'!J:J,MATCH('Isaac 401k'!N2676,'Retirement Calculator'!A:A,0),0),0)</f>
        <v>0</v>
      </c>
      <c r="K2676" s="455">
        <f t="shared" ca="1" si="151"/>
        <v>-46676419.407559507</v>
      </c>
      <c r="L2676" s="455">
        <f t="shared" ca="1" si="152"/>
        <v>-11249017077.221842</v>
      </c>
      <c r="M2676" s="471">
        <f t="shared" si="154"/>
        <v>0.05</v>
      </c>
      <c r="N2676" s="475">
        <f t="shared" si="155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53"/>
        <v>-11249017077.221842</v>
      </c>
      <c r="J2677" s="455">
        <f t="array" ref="J2677">IFERROR(INDEX('Retirement Calculator'!J:J,MATCH('Isaac 401k'!N2677,'Retirement Calculator'!A:A,0),0),0)</f>
        <v>0</v>
      </c>
      <c r="K2677" s="455">
        <f t="shared" ca="1" si="151"/>
        <v>-46870904.488424338</v>
      </c>
      <c r="L2677" s="455">
        <f t="shared" ca="1" si="152"/>
        <v>-11295887981.710266</v>
      </c>
      <c r="M2677" s="471">
        <f t="shared" si="154"/>
        <v>0.05</v>
      </c>
      <c r="N2677" s="475">
        <f t="shared" si="155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53"/>
        <v>-11295887981.710266</v>
      </c>
      <c r="J2678" s="455">
        <f t="array" ref="J2678">IFERROR(INDEX('Retirement Calculator'!J:J,MATCH('Isaac 401k'!N2678,'Retirement Calculator'!A:A,0),0),0)</f>
        <v>0</v>
      </c>
      <c r="K2678" s="455">
        <f t="shared" ca="1" si="151"/>
        <v>-47066199.923792772</v>
      </c>
      <c r="L2678" s="455">
        <f t="shared" ca="1" si="152"/>
        <v>-11342954181.634058</v>
      </c>
      <c r="M2678" s="471">
        <f t="shared" si="154"/>
        <v>0.05</v>
      </c>
      <c r="N2678" s="475">
        <f t="shared" si="155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53"/>
        <v>-11342954181.634058</v>
      </c>
      <c r="J2679" s="455">
        <f t="array" ref="J2679">IFERROR(INDEX('Retirement Calculator'!J:J,MATCH('Isaac 401k'!N2679,'Retirement Calculator'!A:A,0),0),0)</f>
        <v>0</v>
      </c>
      <c r="K2679" s="455">
        <f t="shared" ca="1" si="151"/>
        <v>-47262309.090141907</v>
      </c>
      <c r="L2679" s="455">
        <f t="shared" ca="1" si="152"/>
        <v>-11390216490.724199</v>
      </c>
      <c r="M2679" s="471">
        <f t="shared" si="154"/>
        <v>0.05</v>
      </c>
      <c r="N2679" s="475">
        <f t="shared" si="155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53"/>
        <v>-11390216490.724199</v>
      </c>
      <c r="J2680" s="455">
        <f t="array" ref="J2680">IFERROR(INDEX('Retirement Calculator'!J:J,MATCH('Isaac 401k'!N2680,'Retirement Calculator'!A:A,0),0),0)</f>
        <v>0</v>
      </c>
      <c r="K2680" s="455">
        <f t="shared" ca="1" si="151"/>
        <v>-47459235.3780175</v>
      </c>
      <c r="L2680" s="455">
        <f t="shared" ca="1" si="152"/>
        <v>-11437675726.102217</v>
      </c>
      <c r="M2680" s="471">
        <f t="shared" si="154"/>
        <v>0.05</v>
      </c>
      <c r="N2680" s="475">
        <f t="shared" si="155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53"/>
        <v>-11437675726.102217</v>
      </c>
      <c r="J2681" s="455">
        <f t="array" ref="J2681">IFERROR(INDEX('Retirement Calculator'!J:J,MATCH('Isaac 401k'!N2681,'Retirement Calculator'!A:A,0),0),0)</f>
        <v>0</v>
      </c>
      <c r="K2681" s="455">
        <f t="shared" ca="1" si="151"/>
        <v>-47656982.192092568</v>
      </c>
      <c r="L2681" s="455">
        <f t="shared" ca="1" si="152"/>
        <v>-11485332708.29431</v>
      </c>
      <c r="M2681" s="471">
        <f t="shared" si="154"/>
        <v>0.05</v>
      </c>
      <c r="N2681" s="475">
        <f t="shared" si="155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53"/>
        <v>-11485332708.29431</v>
      </c>
      <c r="J2682" s="455">
        <f t="array" ref="J2682">IFERROR(INDEX('Retirement Calculator'!J:J,MATCH('Isaac 401k'!N2682,'Retirement Calculator'!A:A,0),0),0)</f>
        <v>0</v>
      </c>
      <c r="K2682" s="455">
        <f t="shared" ca="1" si="151"/>
        <v>-47855552.951226287</v>
      </c>
      <c r="L2682" s="455">
        <f t="shared" ca="1" si="152"/>
        <v>-11533188261.245537</v>
      </c>
      <c r="M2682" s="471">
        <f t="shared" si="154"/>
        <v>0.05</v>
      </c>
      <c r="N2682" s="475">
        <f t="shared" si="155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53"/>
        <v>-11533188261.245537</v>
      </c>
      <c r="J2683" s="455">
        <f t="array" ref="J2683">IFERROR(INDEX('Retirement Calculator'!J:J,MATCH('Isaac 401k'!N2683,'Retirement Calculator'!A:A,0),0),0)</f>
        <v>0</v>
      </c>
      <c r="K2683" s="455">
        <f t="shared" ca="1" si="151"/>
        <v>-48054951.088523068</v>
      </c>
      <c r="L2683" s="455">
        <f t="shared" ca="1" si="152"/>
        <v>-11581243212.334061</v>
      </c>
      <c r="M2683" s="471">
        <f t="shared" si="154"/>
        <v>0.05</v>
      </c>
      <c r="N2683" s="475">
        <f t="shared" si="155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53"/>
        <v>-11581243212.334061</v>
      </c>
      <c r="J2684" s="455">
        <f t="array" ref="J2684">IFERROR(INDEX('Retirement Calculator'!J:J,MATCH('Isaac 401k'!N2684,'Retirement Calculator'!A:A,0),0),0)</f>
        <v>0</v>
      </c>
      <c r="K2684" s="455">
        <f t="shared" ca="1" si="151"/>
        <v>-48255180.051391922</v>
      </c>
      <c r="L2684" s="455">
        <f t="shared" ca="1" si="152"/>
        <v>-11629498392.385452</v>
      </c>
      <c r="M2684" s="471">
        <f t="shared" si="154"/>
        <v>0.05</v>
      </c>
      <c r="N2684" s="475">
        <f t="shared" si="155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53"/>
        <v>-11629498392.385452</v>
      </c>
      <c r="J2685" s="455">
        <f t="array" ref="J2685">IFERROR(INDEX('Retirement Calculator'!J:J,MATCH('Isaac 401k'!N2685,'Retirement Calculator'!A:A,0),0),0)</f>
        <v>0</v>
      </c>
      <c r="K2685" s="455">
        <f t="shared" ca="1" si="151"/>
        <v>-48456243.301606052</v>
      </c>
      <c r="L2685" s="455">
        <f t="shared" ca="1" si="152"/>
        <v>-11677954635.687057</v>
      </c>
      <c r="M2685" s="471">
        <f t="shared" si="154"/>
        <v>0.05</v>
      </c>
      <c r="N2685" s="475">
        <f t="shared" si="155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53"/>
        <v>-11677954635.687057</v>
      </c>
      <c r="J2686" s="455">
        <f t="array" ref="J2686">IFERROR(INDEX('Retirement Calculator'!J:J,MATCH('Isaac 401k'!N2686,'Retirement Calculator'!A:A,0),0),0)</f>
        <v>0</v>
      </c>
      <c r="K2686" s="455">
        <f t="shared" ca="1" si="151"/>
        <v>-48658144.315362737</v>
      </c>
      <c r="L2686" s="455">
        <f t="shared" ca="1" si="152"/>
        <v>-11726612780.00242</v>
      </c>
      <c r="M2686" s="471">
        <f t="shared" si="154"/>
        <v>0.05</v>
      </c>
      <c r="N2686" s="475">
        <f t="shared" si="155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53"/>
        <v>-11726612780.00242</v>
      </c>
      <c r="J2687" s="455">
        <f t="array" ref="J2687">IFERROR(INDEX('Retirement Calculator'!J:J,MATCH('Isaac 401k'!N2687,'Retirement Calculator'!A:A,0),0),0)</f>
        <v>0</v>
      </c>
      <c r="K2687" s="455">
        <f t="shared" ca="1" si="151"/>
        <v>-48860886.583343416</v>
      </c>
      <c r="L2687" s="455">
        <f t="shared" ca="1" si="152"/>
        <v>-11775473666.585764</v>
      </c>
      <c r="M2687" s="471">
        <f t="shared" si="154"/>
        <v>0.05</v>
      </c>
      <c r="N2687" s="475">
        <f t="shared" si="155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53"/>
        <v>-11775473666.585764</v>
      </c>
      <c r="J2688" s="455">
        <f t="array" ref="J2688">IFERROR(INDEX('Retirement Calculator'!J:J,MATCH('Isaac 401k'!N2688,'Retirement Calculator'!A:A,0),0),0)</f>
        <v>0</v>
      </c>
      <c r="K2688" s="455">
        <f t="shared" ca="1" si="151"/>
        <v>-49064473.610774018</v>
      </c>
      <c r="L2688" s="455">
        <f t="shared" ca="1" si="152"/>
        <v>-11824538140.196537</v>
      </c>
      <c r="M2688" s="471">
        <f t="shared" si="154"/>
        <v>0.05</v>
      </c>
      <c r="N2688" s="475">
        <f t="shared" si="155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53"/>
        <v>-11824538140.196537</v>
      </c>
      <c r="J2689" s="455">
        <f t="array" ref="J2689">IFERROR(INDEX('Retirement Calculator'!J:J,MATCH('Isaac 401k'!N2689,'Retirement Calculator'!A:A,0),0),0)</f>
        <v>0</v>
      </c>
      <c r="K2689" s="455">
        <f t="shared" ca="1" si="151"/>
        <v>-49268908.917485572</v>
      </c>
      <c r="L2689" s="455">
        <f t="shared" ca="1" si="152"/>
        <v>-11873807049.114023</v>
      </c>
      <c r="M2689" s="471">
        <f t="shared" si="154"/>
        <v>0.05</v>
      </c>
      <c r="N2689" s="475">
        <f t="shared" si="155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53"/>
        <v>-11873807049.114023</v>
      </c>
      <c r="J2690" s="455">
        <f t="array" ref="J2690">IFERROR(INDEX('Retirement Calculator'!J:J,MATCH('Isaac 401k'!N2690,'Retirement Calculator'!A:A,0),0),0)</f>
        <v>0</v>
      </c>
      <c r="K2690" s="455">
        <f t="shared" ca="1" si="151"/>
        <v>-49474196.037975095</v>
      </c>
      <c r="L2690" s="455">
        <f t="shared" ca="1" si="152"/>
        <v>-11923281245.151999</v>
      </c>
      <c r="M2690" s="471">
        <f t="shared" si="154"/>
        <v>0.05</v>
      </c>
      <c r="N2690" s="475">
        <f t="shared" si="155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53"/>
        <v>-11923281245.151999</v>
      </c>
      <c r="J2691" s="455">
        <f t="array" ref="J2691">IFERROR(INDEX('Retirement Calculator'!J:J,MATCH('Isaac 401k'!N2691,'Retirement Calculator'!A:A,0),0),0)</f>
        <v>0</v>
      </c>
      <c r="K2691" s="455">
        <f t="shared" ca="1" si="151"/>
        <v>-49680338.521466658</v>
      </c>
      <c r="L2691" s="455">
        <f t="shared" ca="1" si="152"/>
        <v>-11972961583.673466</v>
      </c>
      <c r="M2691" s="471">
        <f t="shared" si="154"/>
        <v>0.05</v>
      </c>
      <c r="N2691" s="475">
        <f t="shared" si="155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53"/>
        <v>-11972961583.673466</v>
      </c>
      <c r="J2692" s="455">
        <f t="array" ref="J2692">IFERROR(INDEX('Retirement Calculator'!J:J,MATCH('Isaac 401k'!N2692,'Retirement Calculator'!A:A,0),0),0)</f>
        <v>0</v>
      </c>
      <c r="K2692" s="455">
        <f t="shared" ca="1" si="151"/>
        <v>-49887339.931972772</v>
      </c>
      <c r="L2692" s="455">
        <f t="shared" ca="1" si="152"/>
        <v>-12022848923.605438</v>
      </c>
      <c r="M2692" s="471">
        <f t="shared" si="154"/>
        <v>0.05</v>
      </c>
      <c r="N2692" s="475">
        <f t="shared" si="155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53"/>
        <v>-12022848923.605438</v>
      </c>
      <c r="J2693" s="455">
        <f t="array" ref="J2693">IFERROR(INDEX('Retirement Calculator'!J:J,MATCH('Isaac 401k'!N2693,'Retirement Calculator'!A:A,0),0),0)</f>
        <v>0</v>
      </c>
      <c r="K2693" s="455">
        <f t="shared" ca="1" si="151"/>
        <v>-50095203.848355994</v>
      </c>
      <c r="L2693" s="455">
        <f t="shared" ca="1" si="152"/>
        <v>-12072944127.453794</v>
      </c>
      <c r="M2693" s="471">
        <f t="shared" si="154"/>
        <v>0.05</v>
      </c>
      <c r="N2693" s="475">
        <f t="shared" si="155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53"/>
        <v>-12072944127.453794</v>
      </c>
      <c r="J2694" s="455">
        <f t="array" ref="J2694">IFERROR(INDEX('Retirement Calculator'!J:J,MATCH('Isaac 401k'!N2694,'Retirement Calculator'!A:A,0),0),0)</f>
        <v>0</v>
      </c>
      <c r="K2694" s="455">
        <f t="shared" ca="1" si="151"/>
        <v>-50303933.864390813</v>
      </c>
      <c r="L2694" s="455">
        <f t="shared" ca="1" si="152"/>
        <v>-12123248061.318186</v>
      </c>
      <c r="M2694" s="471">
        <f t="shared" si="154"/>
        <v>0.05</v>
      </c>
      <c r="N2694" s="475">
        <f t="shared" si="155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53"/>
        <v>-12123248061.318186</v>
      </c>
      <c r="J2695" s="455">
        <f t="array" ref="J2695">IFERROR(INDEX('Retirement Calculator'!J:J,MATCH('Isaac 401k'!N2695,'Retirement Calculator'!A:A,0),0),0)</f>
        <v>0</v>
      </c>
      <c r="K2695" s="455">
        <f t="shared" ca="1" si="151"/>
        <v>-50513533.588825777</v>
      </c>
      <c r="L2695" s="455">
        <f t="shared" ca="1" si="152"/>
        <v>-12173761594.907011</v>
      </c>
      <c r="M2695" s="471">
        <f t="shared" si="154"/>
        <v>0.05</v>
      </c>
      <c r="N2695" s="475">
        <f t="shared" si="155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53"/>
        <v>-12173761594.907011</v>
      </c>
      <c r="J2696" s="455">
        <f t="array" ref="J2696">IFERROR(INDEX('Retirement Calculator'!J:J,MATCH('Isaac 401k'!N2696,'Retirement Calculator'!A:A,0),0),0)</f>
        <v>0</v>
      </c>
      <c r="K2696" s="455">
        <f t="shared" ca="1" si="151"/>
        <v>-50724006.645445876</v>
      </c>
      <c r="L2696" s="455">
        <f t="shared" ca="1" si="152"/>
        <v>-12224485601.552458</v>
      </c>
      <c r="M2696" s="471">
        <f t="shared" si="154"/>
        <v>0.05</v>
      </c>
      <c r="N2696" s="475">
        <f t="shared" si="155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53"/>
        <v>-12224485601.552458</v>
      </c>
      <c r="J2697" s="455">
        <f t="array" ref="J2697">IFERROR(INDEX('Retirement Calculator'!J:J,MATCH('Isaac 401k'!N2697,'Retirement Calculator'!A:A,0),0),0)</f>
        <v>0</v>
      </c>
      <c r="K2697" s="455">
        <f t="shared" ca="1" si="151"/>
        <v>-50935356.673135243</v>
      </c>
      <c r="L2697" s="455">
        <f t="shared" ca="1" si="152"/>
        <v>-12275420958.225594</v>
      </c>
      <c r="M2697" s="471">
        <f t="shared" si="154"/>
        <v>0.05</v>
      </c>
      <c r="N2697" s="475">
        <f t="shared" si="155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53"/>
        <v>-12275420958.225594</v>
      </c>
      <c r="J2698" s="455">
        <f t="array" ref="J2698">IFERROR(INDEX('Retirement Calculator'!J:J,MATCH('Isaac 401k'!N2698,'Retirement Calculator'!A:A,0),0),0)</f>
        <v>0</v>
      </c>
      <c r="K2698" s="455">
        <f t="shared" ca="1" si="151"/>
        <v>-51147587.325939976</v>
      </c>
      <c r="L2698" s="455">
        <f t="shared" ca="1" si="152"/>
        <v>-12326568545.551533</v>
      </c>
      <c r="M2698" s="471">
        <f t="shared" si="154"/>
        <v>0.05</v>
      </c>
      <c r="N2698" s="475">
        <f t="shared" si="155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53"/>
        <v>-12326568545.551533</v>
      </c>
      <c r="J2699" s="455">
        <f t="array" ref="J2699">IFERROR(INDEX('Retirement Calculator'!J:J,MATCH('Isaac 401k'!N2699,'Retirement Calculator'!A:A,0),0),0)</f>
        <v>0</v>
      </c>
      <c r="K2699" s="455">
        <f t="shared" ca="1" si="151"/>
        <v>-51360702.273131385</v>
      </c>
      <c r="L2699" s="455">
        <f t="shared" ca="1" si="152"/>
        <v>-12377929247.824665</v>
      </c>
      <c r="M2699" s="471">
        <f t="shared" si="154"/>
        <v>0.05</v>
      </c>
      <c r="N2699" s="475">
        <f t="shared" si="155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53"/>
        <v>-12377929247.824665</v>
      </c>
      <c r="J2700" s="455">
        <f t="array" ref="J2700">IFERROR(INDEX('Retirement Calculator'!J:J,MATCH('Isaac 401k'!N2700,'Retirement Calculator'!A:A,0),0),0)</f>
        <v>0</v>
      </c>
      <c r="K2700" s="455">
        <f t="shared" ca="1" si="151"/>
        <v>-51574705.199269436</v>
      </c>
      <c r="L2700" s="455">
        <f t="shared" ca="1" si="152"/>
        <v>-12429503953.023935</v>
      </c>
      <c r="M2700" s="471">
        <f t="shared" si="154"/>
        <v>0.05</v>
      </c>
      <c r="N2700" s="475">
        <f t="shared" si="155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53"/>
        <v>-12429503953.023935</v>
      </c>
      <c r="J2701" s="455">
        <f t="array" ref="J2701">IFERROR(INDEX('Retirement Calculator'!J:J,MATCH('Isaac 401k'!N2701,'Retirement Calculator'!A:A,0),0),0)</f>
        <v>0</v>
      </c>
      <c r="K2701" s="455">
        <f t="shared" ca="1" si="151"/>
        <v>-51789599.804266393</v>
      </c>
      <c r="L2701" s="455">
        <f t="shared" ca="1" si="152"/>
        <v>-12481293552.828201</v>
      </c>
      <c r="M2701" s="471">
        <f t="shared" si="154"/>
        <v>0.05</v>
      </c>
      <c r="N2701" s="475">
        <f t="shared" si="155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53"/>
        <v>-12481293552.828201</v>
      </c>
      <c r="J2702" s="455">
        <f t="array" ref="J2702">IFERROR(INDEX('Retirement Calculator'!J:J,MATCH('Isaac 401k'!N2702,'Retirement Calculator'!A:A,0),0),0)</f>
        <v>0</v>
      </c>
      <c r="K2702" s="455">
        <f t="shared" ca="1" si="151"/>
        <v>-52005389.803450838</v>
      </c>
      <c r="L2702" s="455">
        <f t="shared" ca="1" si="152"/>
        <v>-12533298942.631653</v>
      </c>
      <c r="M2702" s="471">
        <f t="shared" si="154"/>
        <v>0.05</v>
      </c>
      <c r="N2702" s="475">
        <f t="shared" si="155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53"/>
        <v>-12533298942.631653</v>
      </c>
      <c r="J2703" s="455">
        <f t="array" ref="J2703">IFERROR(INDEX('Retirement Calculator'!J:J,MATCH('Isaac 401k'!N2703,'Retirement Calculator'!A:A,0),0),0)</f>
        <v>0</v>
      </c>
      <c r="K2703" s="455">
        <f t="shared" ca="1" si="151"/>
        <v>-52222078.927631885</v>
      </c>
      <c r="L2703" s="455">
        <f t="shared" ca="1" si="152"/>
        <v>-12585521021.559284</v>
      </c>
      <c r="M2703" s="471">
        <f t="shared" si="154"/>
        <v>0.05</v>
      </c>
      <c r="N2703" s="475">
        <f t="shared" si="155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53"/>
        <v>-12585521021.559284</v>
      </c>
      <c r="J2704" s="455">
        <f t="array" ref="J2704">IFERROR(INDEX('Retirement Calculator'!J:J,MATCH('Isaac 401k'!N2704,'Retirement Calculator'!A:A,0),0),0)</f>
        <v>0</v>
      </c>
      <c r="K2704" s="455">
        <f t="shared" ca="1" si="151"/>
        <v>-52439670.923163682</v>
      </c>
      <c r="L2704" s="455">
        <f t="shared" ca="1" si="152"/>
        <v>-12637960692.482449</v>
      </c>
      <c r="M2704" s="471">
        <f t="shared" si="154"/>
        <v>0.05</v>
      </c>
      <c r="N2704" s="475">
        <f t="shared" si="155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53"/>
        <v>-12637960692.482449</v>
      </c>
      <c r="J2705" s="455">
        <f t="array" ref="J2705">IFERROR(INDEX('Retirement Calculator'!J:J,MATCH('Isaac 401k'!N2705,'Retirement Calculator'!A:A,0),0),0)</f>
        <v>0</v>
      </c>
      <c r="K2705" s="455">
        <f t="shared" ca="1" si="151"/>
        <v>-52658169.552010201</v>
      </c>
      <c r="L2705" s="455">
        <f t="shared" ca="1" si="152"/>
        <v>-12690618862.034458</v>
      </c>
      <c r="M2705" s="471">
        <f t="shared" si="154"/>
        <v>0.05</v>
      </c>
      <c r="N2705" s="475">
        <f t="shared" si="155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53"/>
        <v>-12690618862.034458</v>
      </c>
      <c r="J2706" s="455">
        <f t="array" ref="J2706">IFERROR(INDEX('Retirement Calculator'!J:J,MATCH('Isaac 401k'!N2706,'Retirement Calculator'!A:A,0),0),0)</f>
        <v>0</v>
      </c>
      <c r="K2706" s="455">
        <f t="shared" ca="1" si="151"/>
        <v>-52877578.591810241</v>
      </c>
      <c r="L2706" s="455">
        <f t="shared" ca="1" si="152"/>
        <v>-12743496440.626268</v>
      </c>
      <c r="M2706" s="471">
        <f t="shared" si="154"/>
        <v>0.05</v>
      </c>
      <c r="N2706" s="475">
        <f t="shared" si="155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53"/>
        <v>-12743496440.626268</v>
      </c>
      <c r="J2707" s="455">
        <f t="array" ref="J2707">IFERROR(INDEX('Retirement Calculator'!J:J,MATCH('Isaac 401k'!N2707,'Retirement Calculator'!A:A,0),0),0)</f>
        <v>0</v>
      </c>
      <c r="K2707" s="455">
        <f t="shared" ca="1" si="151"/>
        <v>-53097901.835942782</v>
      </c>
      <c r="L2707" s="455">
        <f t="shared" ca="1" si="152"/>
        <v>-12796594342.462212</v>
      </c>
      <c r="M2707" s="471">
        <f t="shared" si="154"/>
        <v>0.05</v>
      </c>
      <c r="N2707" s="475">
        <f t="shared" si="155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53"/>
        <v>-12796594342.462212</v>
      </c>
      <c r="J2708" s="455">
        <f t="array" ref="J2708">IFERROR(INDEX('Retirement Calculator'!J:J,MATCH('Isaac 401k'!N2708,'Retirement Calculator'!A:A,0),0),0)</f>
        <v>0</v>
      </c>
      <c r="K2708" s="455">
        <f t="shared" ca="1" si="151"/>
        <v>-53319143.093592547</v>
      </c>
      <c r="L2708" s="455">
        <f t="shared" ca="1" si="152"/>
        <v>-12849913485.555803</v>
      </c>
      <c r="M2708" s="471">
        <f t="shared" si="154"/>
        <v>0.05</v>
      </c>
      <c r="N2708" s="475">
        <f t="shared" si="155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53"/>
        <v>-12849913485.555803</v>
      </c>
      <c r="J2709" s="455">
        <f t="array" ref="J2709">IFERROR(INDEX('Retirement Calculator'!J:J,MATCH('Isaac 401k'!N2709,'Retirement Calculator'!A:A,0),0),0)</f>
        <v>0</v>
      </c>
      <c r="K2709" s="455">
        <f t="shared" ca="1" si="151"/>
        <v>-53541306.189815849</v>
      </c>
      <c r="L2709" s="455">
        <f t="shared" ca="1" si="152"/>
        <v>-12903454791.745619</v>
      </c>
      <c r="M2709" s="471">
        <f t="shared" si="154"/>
        <v>0.05</v>
      </c>
      <c r="N2709" s="475">
        <f t="shared" si="155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53"/>
        <v>-12903454791.745619</v>
      </c>
      <c r="J2710" s="455">
        <f t="array" ref="J2710">IFERROR(INDEX('Retirement Calculator'!J:J,MATCH('Isaac 401k'!N2710,'Retirement Calculator'!A:A,0),0),0)</f>
        <v>0</v>
      </c>
      <c r="K2710" s="455">
        <f t="shared" ca="1" si="151"/>
        <v>-53764394.965606742</v>
      </c>
      <c r="L2710" s="455">
        <f t="shared" ca="1" si="152"/>
        <v>-12957219186.711226</v>
      </c>
      <c r="M2710" s="471">
        <f t="shared" si="154"/>
        <v>0.05</v>
      </c>
      <c r="N2710" s="475">
        <f t="shared" si="155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53"/>
        <v>-12957219186.711226</v>
      </c>
      <c r="J2711" s="455">
        <f t="array" ref="J2711">IFERROR(INDEX('Retirement Calculator'!J:J,MATCH('Isaac 401k'!N2711,'Retirement Calculator'!A:A,0),0),0)</f>
        <v>0</v>
      </c>
      <c r="K2711" s="455">
        <f t="shared" ca="1" si="151"/>
        <v>-53988413.277963437</v>
      </c>
      <c r="L2711" s="455">
        <f t="shared" ca="1" si="152"/>
        <v>-13011207599.989189</v>
      </c>
      <c r="M2711" s="471">
        <f t="shared" si="154"/>
        <v>0.05</v>
      </c>
      <c r="N2711" s="475">
        <f t="shared" si="155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53"/>
        <v>-13011207599.989189</v>
      </c>
      <c r="J2712" s="455">
        <f t="array" ref="J2712">IFERROR(INDEX('Retirement Calculator'!J:J,MATCH('Isaac 401k'!N2712,'Retirement Calculator'!A:A,0),0),0)</f>
        <v>0</v>
      </c>
      <c r="K2712" s="455">
        <f t="shared" ca="1" si="151"/>
        <v>-54213364.999954954</v>
      </c>
      <c r="L2712" s="455">
        <f t="shared" ca="1" si="152"/>
        <v>-13065420964.989143</v>
      </c>
      <c r="M2712" s="471">
        <f t="shared" si="154"/>
        <v>0.05</v>
      </c>
      <c r="N2712" s="475">
        <f t="shared" si="155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53"/>
        <v>-13065420964.989143</v>
      </c>
      <c r="J2713" s="455">
        <f t="array" ref="J2713">IFERROR(INDEX('Retirement Calculator'!J:J,MATCH('Isaac 401k'!N2713,'Retirement Calculator'!A:A,0),0),0)</f>
        <v>0</v>
      </c>
      <c r="K2713" s="455">
        <f t="shared" ca="1" si="151"/>
        <v>-54439254.020788096</v>
      </c>
      <c r="L2713" s="455">
        <f t="shared" ca="1" si="152"/>
        <v>-13119860219.009932</v>
      </c>
      <c r="M2713" s="471">
        <f t="shared" si="154"/>
        <v>0.05</v>
      </c>
      <c r="N2713" s="475">
        <f t="shared" si="155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53"/>
        <v>-13119860219.009932</v>
      </c>
      <c r="J2714" s="455">
        <f t="array" ref="J2714">IFERROR(INDEX('Retirement Calculator'!J:J,MATCH('Isaac 401k'!N2714,'Retirement Calculator'!A:A,0),0),0)</f>
        <v>0</v>
      </c>
      <c r="K2714" s="455">
        <f t="shared" ca="1" si="151"/>
        <v>-54666084.24587471</v>
      </c>
      <c r="L2714" s="455">
        <f t="shared" ca="1" si="152"/>
        <v>-13174526303.255806</v>
      </c>
      <c r="M2714" s="471">
        <f t="shared" si="154"/>
        <v>0.05</v>
      </c>
      <c r="N2714" s="475">
        <f t="shared" si="155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53"/>
        <v>-13174526303.255806</v>
      </c>
      <c r="J2715" s="455">
        <f t="array" ref="J2715">IFERROR(INDEX('Retirement Calculator'!J:J,MATCH('Isaac 401k'!N2715,'Retirement Calculator'!A:A,0),0),0)</f>
        <v>0</v>
      </c>
      <c r="K2715" s="455">
        <f t="shared" ca="1" si="151"/>
        <v>-54893859.596899189</v>
      </c>
      <c r="L2715" s="455">
        <f t="shared" ca="1" si="152"/>
        <v>-13229420162.852705</v>
      </c>
      <c r="M2715" s="471">
        <f t="shared" si="154"/>
        <v>0.05</v>
      </c>
      <c r="N2715" s="475">
        <f t="shared" si="155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53"/>
        <v>-13229420162.852705</v>
      </c>
      <c r="J2716" s="455">
        <f t="array" ref="J2716">IFERROR(INDEX('Retirement Calculator'!J:J,MATCH('Isaac 401k'!N2716,'Retirement Calculator'!A:A,0),0),0)</f>
        <v>0</v>
      </c>
      <c r="K2716" s="455">
        <f t="shared" ca="1" si="151"/>
        <v>-55122584.011886269</v>
      </c>
      <c r="L2716" s="455">
        <f t="shared" ca="1" si="152"/>
        <v>-13284542746.864592</v>
      </c>
      <c r="M2716" s="471">
        <f t="shared" si="154"/>
        <v>0.05</v>
      </c>
      <c r="N2716" s="475">
        <f t="shared" si="155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53"/>
        <v>-13284542746.864592</v>
      </c>
      <c r="J2717" s="455">
        <f t="array" ref="J2717">IFERROR(INDEX('Retirement Calculator'!J:J,MATCH('Isaac 401k'!N2717,'Retirement Calculator'!A:A,0),0),0)</f>
        <v>0</v>
      </c>
      <c r="K2717" s="455">
        <f t="shared" ca="1" si="151"/>
        <v>-55352261.44526913</v>
      </c>
      <c r="L2717" s="455">
        <f t="shared" ca="1" si="152"/>
        <v>-13339895008.30986</v>
      </c>
      <c r="M2717" s="471">
        <f t="shared" si="154"/>
        <v>0.05</v>
      </c>
      <c r="N2717" s="475">
        <f t="shared" si="155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53"/>
        <v>-13339895008.30986</v>
      </c>
      <c r="J2718" s="455">
        <f t="array" ref="J2718">IFERROR(INDEX('Retirement Calculator'!J:J,MATCH('Isaac 401k'!N2718,'Retirement Calculator'!A:A,0),0),0)</f>
        <v>0</v>
      </c>
      <c r="K2718" s="455">
        <f t="shared" ca="1" si="151"/>
        <v>-55582895.867957748</v>
      </c>
      <c r="L2718" s="455">
        <f t="shared" ca="1" si="152"/>
        <v>-13395477904.177818</v>
      </c>
      <c r="M2718" s="471">
        <f t="shared" si="154"/>
        <v>0.05</v>
      </c>
      <c r="N2718" s="475">
        <f t="shared" si="155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53"/>
        <v>-13395477904.177818</v>
      </c>
      <c r="J2719" s="455">
        <f t="array" ref="J2719">IFERROR(INDEX('Retirement Calculator'!J:J,MATCH('Isaac 401k'!N2719,'Retirement Calculator'!A:A,0),0),0)</f>
        <v>0</v>
      </c>
      <c r="K2719" s="455">
        <f t="shared" ca="1" si="151"/>
        <v>-55814491.267407574</v>
      </c>
      <c r="L2719" s="455">
        <f t="shared" ca="1" si="152"/>
        <v>-13451292395.445227</v>
      </c>
      <c r="M2719" s="471">
        <f t="shared" si="154"/>
        <v>0.05</v>
      </c>
      <c r="N2719" s="475">
        <f t="shared" si="155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53"/>
        <v>-13451292395.445227</v>
      </c>
      <c r="J2720" s="455">
        <f t="array" ref="J2720">IFERROR(INDEX('Retirement Calculator'!J:J,MATCH('Isaac 401k'!N2720,'Retirement Calculator'!A:A,0),0),0)</f>
        <v>0</v>
      </c>
      <c r="K2720" s="455">
        <f t="shared" ca="1" si="151"/>
        <v>-56047051.647688448</v>
      </c>
      <c r="L2720" s="455">
        <f t="shared" ca="1" si="152"/>
        <v>-13507339447.092915</v>
      </c>
      <c r="M2720" s="471">
        <f t="shared" si="154"/>
        <v>0.05</v>
      </c>
      <c r="N2720" s="475">
        <f t="shared" si="155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53"/>
        <v>-13507339447.092915</v>
      </c>
      <c r="J2721" s="455">
        <f t="array" ref="J2721">IFERROR(INDEX('Retirement Calculator'!J:J,MATCH('Isaac 401k'!N2721,'Retirement Calculator'!A:A,0),0),0)</f>
        <v>0</v>
      </c>
      <c r="K2721" s="455">
        <f t="shared" ca="1" si="151"/>
        <v>-56280581.029553816</v>
      </c>
      <c r="L2721" s="455">
        <f t="shared" ca="1" si="152"/>
        <v>-13563620028.122469</v>
      </c>
      <c r="M2721" s="471">
        <f t="shared" si="154"/>
        <v>0.05</v>
      </c>
      <c r="N2721" s="475">
        <f t="shared" si="155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53"/>
        <v>-13563620028.122469</v>
      </c>
      <c r="J2722" s="455">
        <f t="array" ref="J2722">IFERROR(INDEX('Retirement Calculator'!J:J,MATCH('Isaac 401k'!N2722,'Retirement Calculator'!A:A,0),0),0)</f>
        <v>0</v>
      </c>
      <c r="K2722" s="455">
        <f t="shared" ca="1" si="151"/>
        <v>-56515083.450510293</v>
      </c>
      <c r="L2722" s="455">
        <f t="shared" ca="1" si="152"/>
        <v>-13620135111.572979</v>
      </c>
      <c r="M2722" s="471">
        <f t="shared" si="154"/>
        <v>0.05</v>
      </c>
      <c r="N2722" s="475">
        <f t="shared" si="155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53"/>
        <v>-13620135111.572979</v>
      </c>
      <c r="J2723" s="455">
        <f t="array" ref="J2723">IFERROR(INDEX('Retirement Calculator'!J:J,MATCH('Isaac 401k'!N2723,'Retirement Calculator'!A:A,0),0),0)</f>
        <v>0</v>
      </c>
      <c r="K2723" s="455">
        <f t="shared" ca="1" si="151"/>
        <v>-56750562.96488741</v>
      </c>
      <c r="L2723" s="455">
        <f t="shared" ca="1" si="152"/>
        <v>-13676885674.537867</v>
      </c>
      <c r="M2723" s="471">
        <f t="shared" si="154"/>
        <v>0.05</v>
      </c>
      <c r="N2723" s="475">
        <f t="shared" si="155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53"/>
        <v>-13676885674.537867</v>
      </c>
      <c r="J2724" s="455">
        <f t="array" ref="J2724">IFERROR(INDEX('Retirement Calculator'!J:J,MATCH('Isaac 401k'!N2724,'Retirement Calculator'!A:A,0),0),0)</f>
        <v>0</v>
      </c>
      <c r="K2724" s="455">
        <f t="shared" ca="1" si="151"/>
        <v>-56987023.643907778</v>
      </c>
      <c r="L2724" s="455">
        <f t="shared" ca="1" si="152"/>
        <v>-13733872698.181774</v>
      </c>
      <c r="M2724" s="471">
        <f t="shared" si="154"/>
        <v>0.05</v>
      </c>
      <c r="N2724" s="475">
        <f t="shared" si="155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53"/>
        <v>-13733872698.181774</v>
      </c>
      <c r="J2725" s="455">
        <f t="array" ref="J2725">IFERROR(INDEX('Retirement Calculator'!J:J,MATCH('Isaac 401k'!N2725,'Retirement Calculator'!A:A,0),0),0)</f>
        <v>0</v>
      </c>
      <c r="K2725" s="455">
        <f t="shared" ca="1" si="151"/>
        <v>-57224469.575757399</v>
      </c>
      <c r="L2725" s="455">
        <f t="shared" ca="1" si="152"/>
        <v>-13791097167.757532</v>
      </c>
      <c r="M2725" s="471">
        <f t="shared" si="154"/>
        <v>0.05</v>
      </c>
      <c r="N2725" s="475">
        <f t="shared" si="155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53"/>
        <v>-13791097167.757532</v>
      </c>
      <c r="J2726" s="455">
        <f t="array" ref="J2726">IFERROR(INDEX('Retirement Calculator'!J:J,MATCH('Isaac 401k'!N2726,'Retirement Calculator'!A:A,0),0),0)</f>
        <v>0</v>
      </c>
      <c r="K2726" s="455">
        <f t="shared" ca="1" si="151"/>
        <v>-57462904.865656383</v>
      </c>
      <c r="L2726" s="455">
        <f t="shared" ca="1" si="152"/>
        <v>-13848560072.623188</v>
      </c>
      <c r="M2726" s="471">
        <f t="shared" si="154"/>
        <v>0.05</v>
      </c>
      <c r="N2726" s="475">
        <f t="shared" si="155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53"/>
        <v>-13848560072.623188</v>
      </c>
      <c r="J2727" s="455">
        <f t="array" ref="J2727">IFERROR(INDEX('Retirement Calculator'!J:J,MATCH('Isaac 401k'!N2727,'Retirement Calculator'!A:A,0),0),0)</f>
        <v>0</v>
      </c>
      <c r="K2727" s="455">
        <f t="shared" ca="1" si="151"/>
        <v>-57702333.63592995</v>
      </c>
      <c r="L2727" s="455">
        <f t="shared" ca="1" si="152"/>
        <v>-13906262406.259117</v>
      </c>
      <c r="M2727" s="471">
        <f t="shared" si="154"/>
        <v>0.05</v>
      </c>
      <c r="N2727" s="475">
        <f t="shared" si="155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53"/>
        <v>-13906262406.259117</v>
      </c>
      <c r="J2728" s="455">
        <f t="array" ref="J2728">IFERROR(INDEX('Retirement Calculator'!J:J,MATCH('Isaac 401k'!N2728,'Retirement Calculator'!A:A,0),0),0)</f>
        <v>0</v>
      </c>
      <c r="K2728" s="455">
        <f t="shared" ca="1" si="151"/>
        <v>-57942760.026079655</v>
      </c>
      <c r="L2728" s="455">
        <f t="shared" ca="1" si="152"/>
        <v>-13964205166.285196</v>
      </c>
      <c r="M2728" s="471">
        <f t="shared" si="154"/>
        <v>0.05</v>
      </c>
      <c r="N2728" s="475">
        <f t="shared" si="155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53"/>
        <v>-13964205166.285196</v>
      </c>
      <c r="J2729" s="455">
        <f t="array" ref="J2729">IFERROR(INDEX('Retirement Calculator'!J:J,MATCH('Isaac 401k'!N2729,'Retirement Calculator'!A:A,0),0),0)</f>
        <v>0</v>
      </c>
      <c r="K2729" s="455">
        <f t="shared" ca="1" si="151"/>
        <v>-58184188.192854986</v>
      </c>
      <c r="L2729" s="455">
        <f t="shared" ca="1" si="152"/>
        <v>-14022389354.478052</v>
      </c>
      <c r="M2729" s="471">
        <f t="shared" si="154"/>
        <v>0.05</v>
      </c>
      <c r="N2729" s="475">
        <f t="shared" si="155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53"/>
        <v>-14022389354.478052</v>
      </c>
      <c r="J2730" s="455">
        <f t="array" ref="J2730">IFERROR(INDEX('Retirement Calculator'!J:J,MATCH('Isaac 401k'!N2730,'Retirement Calculator'!A:A,0),0),0)</f>
        <v>0</v>
      </c>
      <c r="K2730" s="455">
        <f t="shared" ca="1" si="151"/>
        <v>-58426622.310325213</v>
      </c>
      <c r="L2730" s="455">
        <f t="shared" ca="1" si="152"/>
        <v>-14080815976.788378</v>
      </c>
      <c r="M2730" s="471">
        <f t="shared" si="154"/>
        <v>0.05</v>
      </c>
      <c r="N2730" s="475">
        <f t="shared" si="155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53"/>
        <v>-14080815976.788378</v>
      </c>
      <c r="J2731" s="455">
        <f t="array" ref="J2731">IFERROR(INDEX('Retirement Calculator'!J:J,MATCH('Isaac 401k'!N2731,'Retirement Calculator'!A:A,0),0),0)</f>
        <v>0</v>
      </c>
      <c r="K2731" s="455">
        <f t="shared" ca="1" si="151"/>
        <v>-58670066.569951572</v>
      </c>
      <c r="L2731" s="455">
        <f t="shared" ca="1" si="152"/>
        <v>-14139486043.35833</v>
      </c>
      <c r="M2731" s="471">
        <f t="shared" si="154"/>
        <v>0.05</v>
      </c>
      <c r="N2731" s="475">
        <f t="shared" si="155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53"/>
        <v>-14139486043.35833</v>
      </c>
      <c r="J2732" s="455">
        <f t="array" ref="J2732">IFERROR(INDEX('Retirement Calculator'!J:J,MATCH('Isaac 401k'!N2732,'Retirement Calculator'!A:A,0),0),0)</f>
        <v>0</v>
      </c>
      <c r="K2732" s="455">
        <f t="shared" ca="1" si="151"/>
        <v>-58914525.180659711</v>
      </c>
      <c r="L2732" s="455">
        <f t="shared" ca="1" si="152"/>
        <v>-14198400568.53899</v>
      </c>
      <c r="M2732" s="471">
        <f t="shared" si="154"/>
        <v>0.05</v>
      </c>
      <c r="N2732" s="475">
        <f t="shared" si="155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53"/>
        <v>-14198400568.53899</v>
      </c>
      <c r="J2733" s="455">
        <f t="array" ref="J2733">IFERROR(INDEX('Retirement Calculator'!J:J,MATCH('Isaac 401k'!N2733,'Retirement Calculator'!A:A,0),0),0)</f>
        <v>0</v>
      </c>
      <c r="K2733" s="455">
        <f t="shared" ca="1" si="151"/>
        <v>-59160002.368912458</v>
      </c>
      <c r="L2733" s="455">
        <f t="shared" ca="1" si="152"/>
        <v>-14257560570.907902</v>
      </c>
      <c r="M2733" s="471">
        <f t="shared" si="154"/>
        <v>0.05</v>
      </c>
      <c r="N2733" s="475">
        <f t="shared" si="155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53"/>
        <v>-14257560570.907902</v>
      </c>
      <c r="J2734" s="455">
        <f t="array" ref="J2734">IFERROR(INDEX('Retirement Calculator'!J:J,MATCH('Isaac 401k'!N2734,'Retirement Calculator'!A:A,0),0),0)</f>
        <v>0</v>
      </c>
      <c r="K2734" s="455">
        <f t="shared" ca="1" si="151"/>
        <v>-59406502.378782921</v>
      </c>
      <c r="L2734" s="455">
        <f t="shared" ca="1" si="152"/>
        <v>-14316967073.286684</v>
      </c>
      <c r="M2734" s="471">
        <f t="shared" si="154"/>
        <v>0.05</v>
      </c>
      <c r="N2734" s="475">
        <f t="shared" si="155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53"/>
        <v>-14316967073.286684</v>
      </c>
      <c r="J2735" s="455">
        <f t="array" ref="J2735">IFERROR(INDEX('Retirement Calculator'!J:J,MATCH('Isaac 401k'!N2735,'Retirement Calculator'!A:A,0),0),0)</f>
        <v>0</v>
      </c>
      <c r="K2735" s="455">
        <f t="shared" ca="1" si="151"/>
        <v>-59654029.472027846</v>
      </c>
      <c r="L2735" s="455">
        <f t="shared" ca="1" si="152"/>
        <v>-14376621102.758713</v>
      </c>
      <c r="M2735" s="471">
        <f t="shared" si="154"/>
        <v>0.05</v>
      </c>
      <c r="N2735" s="475">
        <f t="shared" si="155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53"/>
        <v>-14376621102.758713</v>
      </c>
      <c r="J2736" s="455">
        <f t="array" ref="J2736">IFERROR(INDEX('Retirement Calculator'!J:J,MATCH('Isaac 401k'!N2736,'Retirement Calculator'!A:A,0),0),0)</f>
        <v>0</v>
      </c>
      <c r="K2736" s="455">
        <f t="shared" ca="1" si="151"/>
        <v>-59902587.928161301</v>
      </c>
      <c r="L2736" s="455">
        <f t="shared" ca="1" si="152"/>
        <v>-14436523690.686874</v>
      </c>
      <c r="M2736" s="471">
        <f t="shared" si="154"/>
        <v>0.05</v>
      </c>
      <c r="N2736" s="475">
        <f t="shared" si="155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53"/>
        <v>-14436523690.686874</v>
      </c>
      <c r="J2737" s="455">
        <f t="array" ref="J2737">IFERROR(INDEX('Retirement Calculator'!J:J,MATCH('Isaac 401k'!N2737,'Retirement Calculator'!A:A,0),0),0)</f>
        <v>0</v>
      </c>
      <c r="K2737" s="455">
        <f t="shared" ca="1" si="151"/>
        <v>-60152182.044528641</v>
      </c>
      <c r="L2737" s="455">
        <f t="shared" ca="1" si="152"/>
        <v>-14496675872.731403</v>
      </c>
      <c r="M2737" s="471">
        <f t="shared" si="154"/>
        <v>0.05</v>
      </c>
      <c r="N2737" s="475">
        <f t="shared" si="155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53"/>
        <v>-14496675872.731403</v>
      </c>
      <c r="J2738" s="455">
        <f t="array" ref="J2738">IFERROR(INDEX('Retirement Calculator'!J:J,MATCH('Isaac 401k'!N2738,'Retirement Calculator'!A:A,0),0),0)</f>
        <v>0</v>
      </c>
      <c r="K2738" s="455">
        <f t="shared" ca="1" si="151"/>
        <v>-60402816.136380836</v>
      </c>
      <c r="L2738" s="455">
        <f t="shared" ca="1" si="152"/>
        <v>-14557078688.867785</v>
      </c>
      <c r="M2738" s="471">
        <f t="shared" si="154"/>
        <v>0.05</v>
      </c>
      <c r="N2738" s="475">
        <f t="shared" si="155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53"/>
        <v>-14557078688.867785</v>
      </c>
      <c r="J2739" s="455">
        <f t="array" ref="J2739">IFERROR(INDEX('Retirement Calculator'!J:J,MATCH('Isaac 401k'!N2739,'Retirement Calculator'!A:A,0),0),0)</f>
        <v>0</v>
      </c>
      <c r="K2739" s="455">
        <f t="shared" ca="1" si="151"/>
        <v>-60654494.536949098</v>
      </c>
      <c r="L2739" s="455">
        <f t="shared" ca="1" si="152"/>
        <v>-14617733183.404734</v>
      </c>
      <c r="M2739" s="471">
        <f t="shared" si="154"/>
        <v>0.05</v>
      </c>
      <c r="N2739" s="475">
        <f t="shared" si="155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53"/>
        <v>-14617733183.404734</v>
      </c>
      <c r="J2740" s="455">
        <f t="array" ref="J2740">IFERROR(INDEX('Retirement Calculator'!J:J,MATCH('Isaac 401k'!N2740,'Retirement Calculator'!A:A,0),0),0)</f>
        <v>0</v>
      </c>
      <c r="K2740" s="455">
        <f t="shared" ca="1" si="151"/>
        <v>-60907221.597519726</v>
      </c>
      <c r="L2740" s="455">
        <f t="shared" ca="1" si="152"/>
        <v>-14678640405.002253</v>
      </c>
      <c r="M2740" s="471">
        <f t="shared" si="154"/>
        <v>0.05</v>
      </c>
      <c r="N2740" s="475">
        <f t="shared" si="155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53"/>
        <v>-14678640405.002253</v>
      </c>
      <c r="J2741" s="455">
        <f t="array" ref="J2741">IFERROR(INDEX('Retirement Calculator'!J:J,MATCH('Isaac 401k'!N2741,'Retirement Calculator'!A:A,0),0),0)</f>
        <v>0</v>
      </c>
      <c r="K2741" s="455">
        <f t="shared" ca="1" si="151"/>
        <v>-61161001.687509388</v>
      </c>
      <c r="L2741" s="455">
        <f t="shared" ca="1" si="152"/>
        <v>-14739801406.689762</v>
      </c>
      <c r="M2741" s="471">
        <f t="shared" si="154"/>
        <v>0.05</v>
      </c>
      <c r="N2741" s="475">
        <f t="shared" si="155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53"/>
        <v>-14739801406.689762</v>
      </c>
      <c r="J2742" s="455">
        <f t="array" ref="J2742">IFERROR(INDEX('Retirement Calculator'!J:J,MATCH('Isaac 401k'!N2742,'Retirement Calculator'!A:A,0),0),0)</f>
        <v>0</v>
      </c>
      <c r="K2742" s="455">
        <f t="shared" ca="1" si="151"/>
        <v>-61415839.194540679</v>
      </c>
      <c r="L2742" s="455">
        <f t="shared" ca="1" si="152"/>
        <v>-14801217245.884302</v>
      </c>
      <c r="M2742" s="471">
        <f t="shared" si="154"/>
        <v>0.05</v>
      </c>
      <c r="N2742" s="475">
        <f t="shared" si="155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53"/>
        <v>-14801217245.884302</v>
      </c>
      <c r="J2743" s="455">
        <f t="array" ref="J2743">IFERROR(INDEX('Retirement Calculator'!J:J,MATCH('Isaac 401k'!N2743,'Retirement Calculator'!A:A,0),0),0)</f>
        <v>0</v>
      </c>
      <c r="K2743" s="455">
        <f t="shared" ca="1" si="151"/>
        <v>-61671738.524517924</v>
      </c>
      <c r="L2743" s="455">
        <f t="shared" ca="1" si="152"/>
        <v>-14862888984.408819</v>
      </c>
      <c r="M2743" s="471">
        <f t="shared" si="154"/>
        <v>0.05</v>
      </c>
      <c r="N2743" s="475">
        <f t="shared" si="155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53"/>
        <v>-14862888984.408819</v>
      </c>
      <c r="J2744" s="455">
        <f t="array" ref="J2744">IFERROR(INDEX('Retirement Calculator'!J:J,MATCH('Isaac 401k'!N2744,'Retirement Calculator'!A:A,0),0),0)</f>
        <v>0</v>
      </c>
      <c r="K2744" s="455">
        <f t="shared" ca="1" si="151"/>
        <v>-61928704.101703405</v>
      </c>
      <c r="L2744" s="455">
        <f t="shared" ca="1" si="152"/>
        <v>-14924817688.510523</v>
      </c>
      <c r="M2744" s="471">
        <f t="shared" si="154"/>
        <v>0.05</v>
      </c>
      <c r="N2744" s="475">
        <f t="shared" si="155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53"/>
        <v>-14924817688.510523</v>
      </c>
      <c r="J2745" s="455">
        <f t="array" ref="J2745">IFERROR(INDEX('Retirement Calculator'!J:J,MATCH('Isaac 401k'!N2745,'Retirement Calculator'!A:A,0),0),0)</f>
        <v>0</v>
      </c>
      <c r="K2745" s="455">
        <f t="shared" ca="1" si="151"/>
        <v>-62186740.368793845</v>
      </c>
      <c r="L2745" s="455">
        <f t="shared" ca="1" si="152"/>
        <v>-14987004428.879316</v>
      </c>
      <c r="M2745" s="471">
        <f t="shared" si="154"/>
        <v>0.05</v>
      </c>
      <c r="N2745" s="475">
        <f t="shared" si="155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53"/>
        <v>-14987004428.879316</v>
      </c>
      <c r="J2746" s="455">
        <f t="array" ref="J2746">IFERROR(INDEX('Retirement Calculator'!J:J,MATCH('Isaac 401k'!N2746,'Retirement Calculator'!A:A,0),0),0)</f>
        <v>0</v>
      </c>
      <c r="K2746" s="455">
        <f t="shared" ca="1" si="151"/>
        <v>-62445851.786997147</v>
      </c>
      <c r="L2746" s="455">
        <f t="shared" ca="1" si="152"/>
        <v>-15049450280.666313</v>
      </c>
      <c r="M2746" s="471">
        <f t="shared" si="154"/>
        <v>0.05</v>
      </c>
      <c r="N2746" s="475">
        <f t="shared" si="155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53"/>
        <v>-15049450280.666313</v>
      </c>
      <c r="J2747" s="455">
        <f t="array" ref="J2747">IFERROR(INDEX('Retirement Calculator'!J:J,MATCH('Isaac 401k'!N2747,'Retirement Calculator'!A:A,0),0),0)</f>
        <v>0</v>
      </c>
      <c r="K2747" s="455">
        <f t="shared" ca="1" si="151"/>
        <v>-62706042.836109646</v>
      </c>
      <c r="L2747" s="455">
        <f t="shared" ca="1" si="152"/>
        <v>-15112156323.502422</v>
      </c>
      <c r="M2747" s="471">
        <f t="shared" si="154"/>
        <v>0.05</v>
      </c>
      <c r="N2747" s="475">
        <f t="shared" si="155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53"/>
        <v>-15112156323.502422</v>
      </c>
      <c r="J2748" s="455">
        <f t="array" ref="J2748">IFERROR(INDEX('Retirement Calculator'!J:J,MATCH('Isaac 401k'!N2748,'Retirement Calculator'!A:A,0),0),0)</f>
        <v>0</v>
      </c>
      <c r="K2748" s="455">
        <f t="shared" ca="1" si="151"/>
        <v>-62967318.014593422</v>
      </c>
      <c r="L2748" s="455">
        <f t="shared" ca="1" si="152"/>
        <v>-15175123641.517015</v>
      </c>
      <c r="M2748" s="471">
        <f t="shared" si="154"/>
        <v>0.05</v>
      </c>
      <c r="N2748" s="475">
        <f t="shared" si="155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53"/>
        <v>-15175123641.517015</v>
      </c>
      <c r="J2749" s="455">
        <f t="array" ref="J2749">IFERROR(INDEX('Retirement Calculator'!J:J,MATCH('Isaac 401k'!N2749,'Retirement Calculator'!A:A,0),0),0)</f>
        <v>0</v>
      </c>
      <c r="K2749" s="455">
        <f t="shared" ca="1" si="151"/>
        <v>-63229681.839654237</v>
      </c>
      <c r="L2749" s="455">
        <f t="shared" ca="1" si="152"/>
        <v>-15238353323.35667</v>
      </c>
      <c r="M2749" s="471">
        <f t="shared" si="154"/>
        <v>0.05</v>
      </c>
      <c r="N2749" s="475">
        <f t="shared" si="155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53"/>
        <v>-15238353323.35667</v>
      </c>
      <c r="J2750" s="455">
        <f t="array" ref="J2750">IFERROR(INDEX('Retirement Calculator'!J:J,MATCH('Isaac 401k'!N2750,'Retirement Calculator'!A:A,0),0),0)</f>
        <v>0</v>
      </c>
      <c r="K2750" s="455">
        <f t="shared" ca="1" si="151"/>
        <v>-63493138.847319454</v>
      </c>
      <c r="L2750" s="455">
        <f t="shared" ca="1" si="152"/>
        <v>-15301846462.203989</v>
      </c>
      <c r="M2750" s="471">
        <f t="shared" si="154"/>
        <v>0.05</v>
      </c>
      <c r="N2750" s="475">
        <f t="shared" si="155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53"/>
        <v>-15301846462.203989</v>
      </c>
      <c r="J2751" s="455">
        <f t="array" ref="J2751">IFERROR(INDEX('Retirement Calculator'!J:J,MATCH('Isaac 401k'!N2751,'Retirement Calculator'!A:A,0),0),0)</f>
        <v>0</v>
      </c>
      <c r="K2751" s="455">
        <f t="shared" ca="1" si="151"/>
        <v>-63757693.592516623</v>
      </c>
      <c r="L2751" s="455">
        <f t="shared" ca="1" si="152"/>
        <v>-15365604155.796505</v>
      </c>
      <c r="M2751" s="471">
        <f t="shared" si="154"/>
        <v>0.05</v>
      </c>
      <c r="N2751" s="475">
        <f t="shared" si="155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53"/>
        <v>-15365604155.796505</v>
      </c>
      <c r="J2752" s="455">
        <f t="array" ref="J2752">IFERROR(INDEX('Retirement Calculator'!J:J,MATCH('Isaac 401k'!N2752,'Retirement Calculator'!A:A,0),0),0)</f>
        <v>0</v>
      </c>
      <c r="K2752" s="455">
        <f t="shared" ca="1" si="151"/>
        <v>-64023350.649152108</v>
      </c>
      <c r="L2752" s="455">
        <f t="shared" ca="1" si="152"/>
        <v>-15429627506.445658</v>
      </c>
      <c r="M2752" s="471">
        <f t="shared" si="154"/>
        <v>0.05</v>
      </c>
      <c r="N2752" s="475">
        <f t="shared" si="155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53"/>
        <v>-15429627506.445658</v>
      </c>
      <c r="J2753" s="455">
        <f t="array" ref="J2753">IFERROR(INDEX('Retirement Calculator'!J:J,MATCH('Isaac 401k'!N2753,'Retirement Calculator'!A:A,0),0),0)</f>
        <v>0</v>
      </c>
      <c r="K2753" s="455">
        <f t="shared" ca="1" si="151"/>
        <v>-64290114.61019025</v>
      </c>
      <c r="L2753" s="455">
        <f t="shared" ca="1" si="152"/>
        <v>-15493917621.055847</v>
      </c>
      <c r="M2753" s="471">
        <f t="shared" si="154"/>
        <v>0.05</v>
      </c>
      <c r="N2753" s="475">
        <f t="shared" si="155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53"/>
        <v>-15493917621.055847</v>
      </c>
      <c r="J2754" s="455">
        <f t="array" ref="J2754">IFERROR(INDEX('Retirement Calculator'!J:J,MATCH('Isaac 401k'!N2754,'Retirement Calculator'!A:A,0),0),0)</f>
        <v>0</v>
      </c>
      <c r="K2754" s="455">
        <f t="shared" ca="1" si="151"/>
        <v>-64557990.087732702</v>
      </c>
      <c r="L2754" s="455">
        <f t="shared" ca="1" si="152"/>
        <v>-15558475611.143579</v>
      </c>
      <c r="M2754" s="471">
        <f t="shared" si="154"/>
        <v>0.05</v>
      </c>
      <c r="N2754" s="475">
        <f t="shared" si="155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53"/>
        <v>-15558475611.143579</v>
      </c>
      <c r="J2755" s="455">
        <f t="array" ref="J2755">IFERROR(INDEX('Retirement Calculator'!J:J,MATCH('Isaac 401k'!N2755,'Retirement Calculator'!A:A,0),0),0)</f>
        <v>0</v>
      </c>
      <c r="K2755" s="455">
        <f t="shared" ca="1" si="151"/>
        <v>-64826981.713098258</v>
      </c>
      <c r="L2755" s="455">
        <f t="shared" ca="1" si="152"/>
        <v>-15623302592.856678</v>
      </c>
      <c r="M2755" s="471">
        <f t="shared" si="154"/>
        <v>0.05</v>
      </c>
      <c r="N2755" s="475">
        <f t="shared" si="155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53"/>
        <v>-15623302592.856678</v>
      </c>
      <c r="J2756" s="455">
        <f t="array" ref="J2756">IFERROR(INDEX('Retirement Calculator'!J:J,MATCH('Isaac 401k'!N2756,'Retirement Calculator'!A:A,0),0),0)</f>
        <v>0</v>
      </c>
      <c r="K2756" s="455">
        <f t="shared" ca="1" si="151"/>
        <v>-65097094.136902817</v>
      </c>
      <c r="L2756" s="455">
        <f t="shared" ca="1" si="152"/>
        <v>-15688399686.993582</v>
      </c>
      <c r="M2756" s="471">
        <f t="shared" si="154"/>
        <v>0.05</v>
      </c>
      <c r="N2756" s="475">
        <f t="shared" si="155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53"/>
        <v>-15688399686.993582</v>
      </c>
      <c r="J2757" s="455">
        <f t="array" ref="J2757">IFERROR(INDEX('Retirement Calculator'!J:J,MATCH('Isaac 401k'!N2757,'Retirement Calculator'!A:A,0),0),0)</f>
        <v>0</v>
      </c>
      <c r="K2757" s="455">
        <f t="shared" ca="1" si="151"/>
        <v>-65368332.029139921</v>
      </c>
      <c r="L2757" s="455">
        <f t="shared" ca="1" si="152"/>
        <v>-15753768019.022722</v>
      </c>
      <c r="M2757" s="471">
        <f t="shared" si="154"/>
        <v>0.05</v>
      </c>
      <c r="N2757" s="475">
        <f t="shared" si="155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53"/>
        <v>-15753768019.022722</v>
      </c>
      <c r="J2758" s="455">
        <f t="array" ref="J2758">IFERROR(INDEX('Retirement Calculator'!J:J,MATCH('Isaac 401k'!N2758,'Retirement Calculator'!A:A,0),0),0)</f>
        <v>0</v>
      </c>
      <c r="K2758" s="455">
        <f t="shared" ca="1" si="151"/>
        <v>-65640700.07926134</v>
      </c>
      <c r="L2758" s="455">
        <f t="shared" ca="1" si="152"/>
        <v>-15819408719.101984</v>
      </c>
      <c r="M2758" s="471">
        <f t="shared" si="154"/>
        <v>0.05</v>
      </c>
      <c r="N2758" s="475">
        <f t="shared" si="155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53"/>
        <v>-15819408719.101984</v>
      </c>
      <c r="J2759" s="455">
        <f t="array" ref="J2759">IFERROR(INDEX('Retirement Calculator'!J:J,MATCH('Isaac 401k'!N2759,'Retirement Calculator'!A:A,0),0),0)</f>
        <v>0</v>
      </c>
      <c r="K2759" s="455">
        <f t="shared" ca="1" si="151"/>
        <v>-65914202.996258274</v>
      </c>
      <c r="L2759" s="455">
        <f t="shared" ca="1" si="152"/>
        <v>-15885322922.098242</v>
      </c>
      <c r="M2759" s="471">
        <f t="shared" si="154"/>
        <v>0.05</v>
      </c>
      <c r="N2759" s="475">
        <f t="shared" si="155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53"/>
        <v>-15885322922.098242</v>
      </c>
      <c r="J2760" s="455">
        <f t="array" ref="J2760">IFERROR(INDEX('Retirement Calculator'!J:J,MATCH('Isaac 401k'!N2760,'Retirement Calculator'!A:A,0),0),0)</f>
        <v>0</v>
      </c>
      <c r="K2760" s="455">
        <f t="shared" ca="1" si="151"/>
        <v>-66188845.508742683</v>
      </c>
      <c r="L2760" s="455">
        <f t="shared" ca="1" si="152"/>
        <v>-15951511767.606985</v>
      </c>
      <c r="M2760" s="471">
        <f t="shared" si="154"/>
        <v>0.05</v>
      </c>
      <c r="N2760" s="475">
        <f t="shared" si="155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53"/>
        <v>-15951511767.606985</v>
      </c>
      <c r="J2761" s="455">
        <f t="array" ref="J2761">IFERROR(INDEX('Retirement Calculator'!J:J,MATCH('Isaac 401k'!N2761,'Retirement Calculator'!A:A,0),0),0)</f>
        <v>0</v>
      </c>
      <c r="K2761" s="455">
        <f t="shared" ca="1" si="151"/>
        <v>-66464632.365029104</v>
      </c>
      <c r="L2761" s="455">
        <f t="shared" ca="1" si="152"/>
        <v>-16017976399.972013</v>
      </c>
      <c r="M2761" s="471">
        <f t="shared" si="154"/>
        <v>0.05</v>
      </c>
      <c r="N2761" s="475">
        <f t="shared" si="155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53"/>
        <v>-16017976399.972013</v>
      </c>
      <c r="J2762" s="455">
        <f t="array" ref="J2762">IFERROR(INDEX('Retirement Calculator'!J:J,MATCH('Isaac 401k'!N2762,'Retirement Calculator'!A:A,0),0),0)</f>
        <v>0</v>
      </c>
      <c r="K2762" s="455">
        <f t="shared" ca="1" si="151"/>
        <v>-66741568.333216719</v>
      </c>
      <c r="L2762" s="455">
        <f t="shared" ca="1" si="152"/>
        <v>-16084717968.305231</v>
      </c>
      <c r="M2762" s="471">
        <f t="shared" si="154"/>
        <v>0.05</v>
      </c>
      <c r="N2762" s="475">
        <f t="shared" si="155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53"/>
        <v>-16084717968.305231</v>
      </c>
      <c r="J2763" s="455">
        <f t="array" ref="J2763">IFERROR(INDEX('Retirement Calculator'!J:J,MATCH('Isaac 401k'!N2763,'Retirement Calculator'!A:A,0),0),0)</f>
        <v>0</v>
      </c>
      <c r="K2763" s="455">
        <f t="shared" ca="1" si="151"/>
        <v>-67019658.201271802</v>
      </c>
      <c r="L2763" s="455">
        <f t="shared" ca="1" si="152"/>
        <v>-16151737626.506502</v>
      </c>
      <c r="M2763" s="471">
        <f t="shared" si="154"/>
        <v>0.05</v>
      </c>
      <c r="N2763" s="475">
        <f t="shared" si="155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53"/>
        <v>-16151737626.506502</v>
      </c>
      <c r="J2764" s="455">
        <f t="array" ref="J2764">IFERROR(INDEX('Retirement Calculator'!J:J,MATCH('Isaac 401k'!N2764,'Retirement Calculator'!A:A,0),0),0)</f>
        <v>0</v>
      </c>
      <c r="K2764" s="455">
        <f t="shared" ca="1" si="151"/>
        <v>-67298906.777110428</v>
      </c>
      <c r="L2764" s="455">
        <f t="shared" ca="1" si="152"/>
        <v>-16219036533.283613</v>
      </c>
      <c r="M2764" s="471">
        <f t="shared" si="154"/>
        <v>0.05</v>
      </c>
      <c r="N2764" s="475">
        <f t="shared" si="155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53"/>
        <v>-16219036533.283613</v>
      </c>
      <c r="J2765" s="455">
        <f t="array" ref="J2765">IFERROR(INDEX('Retirement Calculator'!J:J,MATCH('Isaac 401k'!N2765,'Retirement Calculator'!A:A,0),0),0)</f>
        <v>0</v>
      </c>
      <c r="K2765" s="455">
        <f t="shared" ca="1" si="151"/>
        <v>-67579318.888681725</v>
      </c>
      <c r="L2765" s="455">
        <f t="shared" ca="1" si="152"/>
        <v>-16286615852.172295</v>
      </c>
      <c r="M2765" s="471">
        <f t="shared" si="154"/>
        <v>0.05</v>
      </c>
      <c r="N2765" s="475">
        <f t="shared" si="155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53"/>
        <v>-16286615852.172295</v>
      </c>
      <c r="J2766" s="455">
        <f t="array" ref="J2766">IFERROR(INDEX('Retirement Calculator'!J:J,MATCH('Isaac 401k'!N2766,'Retirement Calculator'!A:A,0),0),0)</f>
        <v>0</v>
      </c>
      <c r="K2766" s="455">
        <f t="shared" ca="1" si="151"/>
        <v>-67860899.384051234</v>
      </c>
      <c r="L2766" s="455">
        <f t="shared" ca="1" si="152"/>
        <v>-16354476751.556345</v>
      </c>
      <c r="M2766" s="471">
        <f t="shared" si="154"/>
        <v>0.05</v>
      </c>
      <c r="N2766" s="475">
        <f t="shared" si="155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53"/>
        <v>-16354476751.556345</v>
      </c>
      <c r="J2767" s="455">
        <f t="array" ref="J2767">IFERROR(INDEX('Retirement Calculator'!J:J,MATCH('Isaac 401k'!N2767,'Retirement Calculator'!A:A,0),0),0)</f>
        <v>0</v>
      </c>
      <c r="K2767" s="455">
        <f t="shared" ca="1" si="151"/>
        <v>-68143653.131484777</v>
      </c>
      <c r="L2767" s="455">
        <f t="shared" ca="1" si="152"/>
        <v>-16422620404.68783</v>
      </c>
      <c r="M2767" s="471">
        <f t="shared" si="154"/>
        <v>0.05</v>
      </c>
      <c r="N2767" s="475">
        <f t="shared" si="155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53"/>
        <v>-16422620404.68783</v>
      </c>
      <c r="J2768" s="455">
        <f t="array" ref="J2768">IFERROR(INDEX('Retirement Calculator'!J:J,MATCH('Isaac 401k'!N2768,'Retirement Calculator'!A:A,0),0),0)</f>
        <v>0</v>
      </c>
      <c r="K2768" s="455">
        <f t="shared" ca="1" si="151"/>
        <v>-68427585.019532621</v>
      </c>
      <c r="L2768" s="455">
        <f t="shared" ca="1" si="152"/>
        <v>-16491047989.707363</v>
      </c>
      <c r="M2768" s="471">
        <f t="shared" si="154"/>
        <v>0.05</v>
      </c>
      <c r="N2768" s="475">
        <f t="shared" si="155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53"/>
        <v>-16491047989.707363</v>
      </c>
      <c r="J2769" s="455">
        <f t="array" ref="J2769">IFERROR(INDEX('Retirement Calculator'!J:J,MATCH('Isaac 401k'!N2769,'Retirement Calculator'!A:A,0),0),0)</f>
        <v>0</v>
      </c>
      <c r="K2769" s="455">
        <f t="shared" ca="1" si="151"/>
        <v>-68712699.957114011</v>
      </c>
      <c r="L2769" s="455">
        <f t="shared" ca="1" si="152"/>
        <v>-16559760689.664476</v>
      </c>
      <c r="M2769" s="471">
        <f t="shared" si="154"/>
        <v>0.05</v>
      </c>
      <c r="N2769" s="475">
        <f t="shared" si="155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53"/>
        <v>-16559760689.664476</v>
      </c>
      <c r="J2770" s="455">
        <f t="array" ref="J2770">IFERROR(INDEX('Retirement Calculator'!J:J,MATCH('Isaac 401k'!N2770,'Retirement Calculator'!A:A,0),0),0)</f>
        <v>0</v>
      </c>
      <c r="K2770" s="455">
        <f t="shared" ca="1" si="151"/>
        <v>-68999002.873601988</v>
      </c>
      <c r="L2770" s="455">
        <f t="shared" ca="1" si="152"/>
        <v>-16628759692.538078</v>
      </c>
      <c r="M2770" s="471">
        <f t="shared" si="154"/>
        <v>0.05</v>
      </c>
      <c r="N2770" s="475">
        <f t="shared" si="155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53"/>
        <v>-16628759692.538078</v>
      </c>
      <c r="J2771" s="455">
        <f t="array" ref="J2771">IFERROR(INDEX('Retirement Calculator'!J:J,MATCH('Isaac 401k'!N2771,'Retirement Calculator'!A:A,0),0),0)</f>
        <v>0</v>
      </c>
      <c r="K2771" s="455">
        <f t="shared" ca="1" si="151"/>
        <v>-69286498.718908653</v>
      </c>
      <c r="L2771" s="455">
        <f t="shared" ca="1" si="152"/>
        <v>-16698046191.256987</v>
      </c>
      <c r="M2771" s="471">
        <f t="shared" si="154"/>
        <v>0.05</v>
      </c>
      <c r="N2771" s="475">
        <f t="shared" si="155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53"/>
        <v>-16698046191.256987</v>
      </c>
      <c r="J2772" s="455">
        <f t="array" ref="J2772">IFERROR(INDEX('Retirement Calculator'!J:J,MATCH('Isaac 401k'!N2772,'Retirement Calculator'!A:A,0),0),0)</f>
        <v>0</v>
      </c>
      <c r="K2772" s="455">
        <f t="shared" ca="1" si="151"/>
        <v>-69575192.463570774</v>
      </c>
      <c r="L2772" s="455">
        <f t="shared" ca="1" si="152"/>
        <v>-16767621383.720558</v>
      </c>
      <c r="M2772" s="471">
        <f t="shared" si="154"/>
        <v>0.05</v>
      </c>
      <c r="N2772" s="475">
        <f t="shared" si="155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53"/>
        <v>-16767621383.720558</v>
      </c>
      <c r="J2773" s="455">
        <f t="array" ref="J2773">IFERROR(INDEX('Retirement Calculator'!J:J,MATCH('Isaac 401k'!N2773,'Retirement Calculator'!A:A,0),0),0)</f>
        <v>0</v>
      </c>
      <c r="K2773" s="455">
        <f t="shared" ca="1" si="151"/>
        <v>-69865089.098835662</v>
      </c>
      <c r="L2773" s="455">
        <f t="shared" ca="1" si="152"/>
        <v>-16837486472.819393</v>
      </c>
      <c r="M2773" s="471">
        <f t="shared" si="154"/>
        <v>0.05</v>
      </c>
      <c r="N2773" s="475">
        <f t="shared" si="155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53"/>
        <v>-16837486472.819393</v>
      </c>
      <c r="J2774" s="455">
        <f t="array" ref="J2774">IFERROR(INDEX('Retirement Calculator'!J:J,MATCH('Isaac 401k'!N2774,'Retirement Calculator'!A:A,0),0),0)</f>
        <v>0</v>
      </c>
      <c r="K2774" s="455">
        <f t="shared" ca="1" si="151"/>
        <v>-70156193.636747479</v>
      </c>
      <c r="L2774" s="455">
        <f t="shared" ca="1" si="152"/>
        <v>-16907642666.456141</v>
      </c>
      <c r="M2774" s="471">
        <f t="shared" si="154"/>
        <v>0.05</v>
      </c>
      <c r="N2774" s="475">
        <f t="shared" si="155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53"/>
        <v>-16907642666.456141</v>
      </c>
      <c r="J2775" s="455">
        <f t="array" ref="J2775">IFERROR(INDEX('Retirement Calculator'!J:J,MATCH('Isaac 401k'!N2775,'Retirement Calculator'!A:A,0),0),0)</f>
        <v>0</v>
      </c>
      <c r="K2775" s="455">
        <f t="shared" ca="1" si="151"/>
        <v>-70448511.110233933</v>
      </c>
      <c r="L2775" s="455">
        <f t="shared" ca="1" si="152"/>
        <v>-16978091177.566374</v>
      </c>
      <c r="M2775" s="471">
        <f t="shared" si="154"/>
        <v>0.05</v>
      </c>
      <c r="N2775" s="475">
        <f t="shared" si="155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53"/>
        <v>-16978091177.566374</v>
      </c>
      <c r="J2776" s="455">
        <f t="array" ref="J2776">IFERROR(INDEX('Retirement Calculator'!J:J,MATCH('Isaac 401k'!N2776,'Retirement Calculator'!A:A,0),0),0)</f>
        <v>0</v>
      </c>
      <c r="K2776" s="455">
        <f t="shared" ca="1" si="151"/>
        <v>-70742046.573193237</v>
      </c>
      <c r="L2776" s="455">
        <f t="shared" ca="1" si="152"/>
        <v>-17048833224.139566</v>
      </c>
      <c r="M2776" s="471">
        <f t="shared" si="154"/>
        <v>0.05</v>
      </c>
      <c r="N2776" s="475">
        <f t="shared" si="155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53"/>
        <v>-17048833224.139566</v>
      </c>
      <c r="J2777" s="455">
        <f t="array" ref="J2777">IFERROR(INDEX('Retirement Calculator'!J:J,MATCH('Isaac 401k'!N2777,'Retirement Calculator'!A:A,0),0),0)</f>
        <v>0</v>
      </c>
      <c r="K2777" s="455">
        <f t="shared" ca="1" si="151"/>
        <v>-71036805.100581512</v>
      </c>
      <c r="L2777" s="455">
        <f t="shared" ca="1" si="152"/>
        <v>-17119870029.240149</v>
      </c>
      <c r="M2777" s="471">
        <f t="shared" si="154"/>
        <v>0.05</v>
      </c>
      <c r="N2777" s="475">
        <f t="shared" si="155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53"/>
        <v>-17119870029.240149</v>
      </c>
      <c r="J2778" s="455">
        <f t="array" ref="J2778">IFERROR(INDEX('Retirement Calculator'!J:J,MATCH('Isaac 401k'!N2778,'Retirement Calculator'!A:A,0),0),0)</f>
        <v>0</v>
      </c>
      <c r="K2778" s="455">
        <f t="shared" ca="1" si="151"/>
        <v>-71332791.788500622</v>
      </c>
      <c r="L2778" s="455">
        <f t="shared" ca="1" si="152"/>
        <v>-17191202821.028648</v>
      </c>
      <c r="M2778" s="471">
        <f t="shared" si="154"/>
        <v>0.05</v>
      </c>
      <c r="N2778" s="475">
        <f t="shared" si="155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53"/>
        <v>-17191202821.028648</v>
      </c>
      <c r="J2779" s="455">
        <f t="array" ref="J2779">IFERROR(INDEX('Retirement Calculator'!J:J,MATCH('Isaac 401k'!N2779,'Retirement Calculator'!A:A,0),0),0)</f>
        <v>0</v>
      </c>
      <c r="K2779" s="455">
        <f t="shared" ca="1" si="151"/>
        <v>-71630011.754286036</v>
      </c>
      <c r="L2779" s="455">
        <f t="shared" ca="1" si="152"/>
        <v>-17262832832.782936</v>
      </c>
      <c r="M2779" s="471">
        <f t="shared" si="154"/>
        <v>0.05</v>
      </c>
      <c r="N2779" s="475">
        <f t="shared" si="155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53"/>
        <v>-17262832832.782936</v>
      </c>
      <c r="J2780" s="455">
        <f t="array" ref="J2780">IFERROR(INDEX('Retirement Calculator'!J:J,MATCH('Isaac 401k'!N2780,'Retirement Calculator'!A:A,0),0),0)</f>
        <v>0</v>
      </c>
      <c r="K2780" s="455">
        <f t="shared" ca="1" si="151"/>
        <v>-71928470.136595562</v>
      </c>
      <c r="L2780" s="455">
        <f t="shared" ca="1" si="152"/>
        <v>-17334761302.919533</v>
      </c>
      <c r="M2780" s="471">
        <f t="shared" si="154"/>
        <v>0.05</v>
      </c>
      <c r="N2780" s="475">
        <f t="shared" si="155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53"/>
        <v>-17334761302.919533</v>
      </c>
      <c r="J2781" s="455">
        <f t="array" ref="J2781">IFERROR(INDEX('Retirement Calculator'!J:J,MATCH('Isaac 401k'!N2781,'Retirement Calculator'!A:A,0),0),0)</f>
        <v>0</v>
      </c>
      <c r="K2781" s="455">
        <f t="shared" ca="1" si="151"/>
        <v>-72228172.095498055</v>
      </c>
      <c r="L2781" s="455">
        <f t="shared" ca="1" si="152"/>
        <v>-17406989475.01503</v>
      </c>
      <c r="M2781" s="471">
        <f t="shared" si="154"/>
        <v>0.05</v>
      </c>
      <c r="N2781" s="475">
        <f t="shared" si="155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53"/>
        <v>-17406989475.01503</v>
      </c>
      <c r="J2782" s="455">
        <f t="array" ref="J2782">IFERROR(INDEX('Retirement Calculator'!J:J,MATCH('Isaac 401k'!N2782,'Retirement Calculator'!A:A,0),0),0)</f>
        <v>0</v>
      </c>
      <c r="K2782" s="455">
        <f t="shared" ca="1" si="151"/>
        <v>-72529122.81256263</v>
      </c>
      <c r="L2782" s="455">
        <f t="shared" ca="1" si="152"/>
        <v>-17479518597.827591</v>
      </c>
      <c r="M2782" s="471">
        <f t="shared" si="154"/>
        <v>0.05</v>
      </c>
      <c r="N2782" s="475">
        <f t="shared" si="155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53"/>
        <v>-17479518597.827591</v>
      </c>
      <c r="J2783" s="455">
        <f t="array" ref="J2783">IFERROR(INDEX('Retirement Calculator'!J:J,MATCH('Isaac 401k'!N2783,'Retirement Calculator'!A:A,0),0),0)</f>
        <v>0</v>
      </c>
      <c r="K2783" s="455">
        <f t="shared" ca="1" si="151"/>
        <v>-72831327.49094829</v>
      </c>
      <c r="L2783" s="455">
        <f t="shared" ca="1" si="152"/>
        <v>-17552349925.318539</v>
      </c>
      <c r="M2783" s="471">
        <f t="shared" si="154"/>
        <v>0.05</v>
      </c>
      <c r="N2783" s="475">
        <f t="shared" si="155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53"/>
        <v>-17552349925.318539</v>
      </c>
      <c r="J2784" s="455">
        <f t="array" ref="J2784">IFERROR(INDEX('Retirement Calculator'!J:J,MATCH('Isaac 401k'!N2784,'Retirement Calculator'!A:A,0),0),0)</f>
        <v>0</v>
      </c>
      <c r="K2784" s="455">
        <f t="shared" ca="1" si="151"/>
        <v>-73134791.355493903</v>
      </c>
      <c r="L2784" s="455">
        <f t="shared" ca="1" si="152"/>
        <v>-17625484716.674034</v>
      </c>
      <c r="M2784" s="471">
        <f t="shared" si="154"/>
        <v>0.05</v>
      </c>
      <c r="N2784" s="475">
        <f t="shared" si="155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53"/>
        <v>-17625484716.674034</v>
      </c>
      <c r="J2785" s="455">
        <f t="array" ref="J2785">IFERROR(INDEX('Retirement Calculator'!J:J,MATCH('Isaac 401k'!N2785,'Retirement Calculator'!A:A,0),0),0)</f>
        <v>0</v>
      </c>
      <c r="K2785" s="455">
        <f t="shared" ca="1" si="151"/>
        <v>-73439519.652808473</v>
      </c>
      <c r="L2785" s="455">
        <f t="shared" ca="1" si="152"/>
        <v>-17698924236.326843</v>
      </c>
      <c r="M2785" s="471">
        <f t="shared" si="154"/>
        <v>0.05</v>
      </c>
      <c r="N2785" s="475">
        <f t="shared" si="155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53"/>
        <v>-17698924236.326843</v>
      </c>
      <c r="J2786" s="455">
        <f t="array" ref="J2786">IFERROR(INDEX('Retirement Calculator'!J:J,MATCH('Isaac 401k'!N2786,'Retirement Calculator'!A:A,0),0),0)</f>
        <v>0</v>
      </c>
      <c r="K2786" s="455">
        <f t="shared" ca="1" si="151"/>
        <v>-73745517.651361853</v>
      </c>
      <c r="L2786" s="455">
        <f t="shared" ca="1" si="152"/>
        <v>-17772669753.978207</v>
      </c>
      <c r="M2786" s="471">
        <f t="shared" si="154"/>
        <v>0.05</v>
      </c>
      <c r="N2786" s="475">
        <f t="shared" si="155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53"/>
        <v>-17772669753.978207</v>
      </c>
      <c r="J2787" s="455">
        <f t="array" ref="J2787">IFERROR(INDEX('Retirement Calculator'!J:J,MATCH('Isaac 401k'!N2787,'Retirement Calculator'!A:A,0),0),0)</f>
        <v>0</v>
      </c>
      <c r="K2787" s="455">
        <f t="shared" ca="1" si="151"/>
        <v>-74052790.641575858</v>
      </c>
      <c r="L2787" s="455">
        <f t="shared" ca="1" si="152"/>
        <v>-17846722544.619781</v>
      </c>
      <c r="M2787" s="471">
        <f t="shared" si="154"/>
        <v>0.05</v>
      </c>
      <c r="N2787" s="475">
        <f t="shared" si="155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53"/>
        <v>-17846722544.619781</v>
      </c>
      <c r="J2788" s="455">
        <f t="array" ref="J2788">IFERROR(INDEX('Retirement Calculator'!J:J,MATCH('Isaac 401k'!N2788,'Retirement Calculator'!A:A,0),0),0)</f>
        <v>0</v>
      </c>
      <c r="K2788" s="455">
        <f t="shared" ca="1" si="151"/>
        <v>-74361343.935915753</v>
      </c>
      <c r="L2788" s="455">
        <f t="shared" ca="1" si="152"/>
        <v>-17921083888.555698</v>
      </c>
      <c r="M2788" s="471">
        <f t="shared" si="154"/>
        <v>0.05</v>
      </c>
      <c r="N2788" s="475">
        <f t="shared" si="155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53"/>
        <v>-17921083888.555698</v>
      </c>
      <c r="J2789" s="455">
        <f t="array" ref="J2789">IFERROR(INDEX('Retirement Calculator'!J:J,MATCH('Isaac 401k'!N2789,'Retirement Calculator'!A:A,0),0),0)</f>
        <v>0</v>
      </c>
      <c r="K2789" s="455">
        <f t="shared" ca="1" si="151"/>
        <v>-74671182.868982077</v>
      </c>
      <c r="L2789" s="455">
        <f t="shared" ca="1" si="152"/>
        <v>-17995755071.424679</v>
      </c>
      <c r="M2789" s="471">
        <f t="shared" si="154"/>
        <v>0.05</v>
      </c>
      <c r="N2789" s="475">
        <f t="shared" si="155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53"/>
        <v>-17995755071.424679</v>
      </c>
      <c r="J2790" s="455">
        <f t="array" ref="J2790">IFERROR(INDEX('Retirement Calculator'!J:J,MATCH('Isaac 401k'!N2790,'Retirement Calculator'!A:A,0),0),0)</f>
        <v>0</v>
      </c>
      <c r="K2790" s="455">
        <f t="shared" ca="1" si="151"/>
        <v>-74982312.797602832</v>
      </c>
      <c r="L2790" s="455">
        <f t="shared" ca="1" si="152"/>
        <v>-18070737384.222282</v>
      </c>
      <c r="M2790" s="471">
        <f t="shared" si="154"/>
        <v>0.05</v>
      </c>
      <c r="N2790" s="475">
        <f t="shared" si="155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53"/>
        <v>-18070737384.222282</v>
      </c>
      <c r="J2791" s="455">
        <f t="array" ref="J2791">IFERROR(INDEX('Retirement Calculator'!J:J,MATCH('Isaac 401k'!N2791,'Retirement Calculator'!A:A,0),0),0)</f>
        <v>0</v>
      </c>
      <c r="K2791" s="455">
        <f t="shared" ca="1" si="151"/>
        <v>-75294739.100926176</v>
      </c>
      <c r="L2791" s="455">
        <f t="shared" ca="1" si="152"/>
        <v>-18146032123.323208</v>
      </c>
      <c r="M2791" s="471">
        <f t="shared" si="154"/>
        <v>0.05</v>
      </c>
      <c r="N2791" s="475">
        <f t="shared" si="155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53"/>
        <v>-18146032123.323208</v>
      </c>
      <c r="J2792" s="455">
        <f t="array" ref="J2792">IFERROR(INDEX('Retirement Calculator'!J:J,MATCH('Isaac 401k'!N2792,'Retirement Calculator'!A:A,0),0),0)</f>
        <v>0</v>
      </c>
      <c r="K2792" s="455">
        <f t="shared" ca="1" si="151"/>
        <v>-75608467.180513367</v>
      </c>
      <c r="L2792" s="455">
        <f t="shared" ca="1" si="152"/>
        <v>-18221640590.503719</v>
      </c>
      <c r="M2792" s="471">
        <f t="shared" si="154"/>
        <v>0.05</v>
      </c>
      <c r="N2792" s="475">
        <f t="shared" si="155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53"/>
        <v>-18221640590.503719</v>
      </c>
      <c r="J2793" s="455">
        <f t="array" ref="J2793">IFERROR(INDEX('Retirement Calculator'!J:J,MATCH('Isaac 401k'!N2793,'Retirement Calculator'!A:A,0),0),0)</f>
        <v>0</v>
      </c>
      <c r="K2793" s="455">
        <f t="shared" ca="1" si="151"/>
        <v>-75923502.460432157</v>
      </c>
      <c r="L2793" s="455">
        <f t="shared" ca="1" si="152"/>
        <v>-18297564092.964153</v>
      </c>
      <c r="M2793" s="471">
        <f t="shared" si="154"/>
        <v>0.05</v>
      </c>
      <c r="N2793" s="475">
        <f t="shared" si="155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53"/>
        <v>-18297564092.964153</v>
      </c>
      <c r="J2794" s="455">
        <f t="array" ref="J2794">IFERROR(INDEX('Retirement Calculator'!J:J,MATCH('Isaac 401k'!N2794,'Retirement Calculator'!A:A,0),0),0)</f>
        <v>0</v>
      </c>
      <c r="K2794" s="455">
        <f t="shared" ca="1" si="151"/>
        <v>-76239850.387350634</v>
      </c>
      <c r="L2794" s="455">
        <f t="shared" ca="1" si="152"/>
        <v>-18373803943.351505</v>
      </c>
      <c r="M2794" s="471">
        <f t="shared" si="154"/>
        <v>0.05</v>
      </c>
      <c r="N2794" s="475">
        <f t="shared" si="155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53"/>
        <v>-18373803943.351505</v>
      </c>
      <c r="J2795" s="455">
        <f t="array" ref="J2795">IFERROR(INDEX('Retirement Calculator'!J:J,MATCH('Isaac 401k'!N2795,'Retirement Calculator'!A:A,0),0),0)</f>
        <v>0</v>
      </c>
      <c r="K2795" s="455">
        <f t="shared" ca="1" si="151"/>
        <v>-76557516.430631265</v>
      </c>
      <c r="L2795" s="455">
        <f t="shared" ca="1" si="152"/>
        <v>-18450361459.782135</v>
      </c>
      <c r="M2795" s="471">
        <f t="shared" si="154"/>
        <v>0.05</v>
      </c>
      <c r="N2795" s="475">
        <f t="shared" si="155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53"/>
        <v>-18450361459.782135</v>
      </c>
      <c r="J2796" s="455">
        <f t="array" ref="J2796">IFERROR(INDEX('Retirement Calculator'!J:J,MATCH('Isaac 401k'!N2796,'Retirement Calculator'!A:A,0),0),0)</f>
        <v>0</v>
      </c>
      <c r="K2796" s="455">
        <f t="shared" ca="1" si="151"/>
        <v>-76876506.082425565</v>
      </c>
      <c r="L2796" s="455">
        <f t="shared" ca="1" si="152"/>
        <v>-18527237965.864559</v>
      </c>
      <c r="M2796" s="471">
        <f t="shared" si="154"/>
        <v>0.05</v>
      </c>
      <c r="N2796" s="475">
        <f t="shared" si="155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53"/>
        <v>-18527237965.864559</v>
      </c>
      <c r="J2797" s="455">
        <f t="array" ref="J2797">IFERROR(INDEX('Retirement Calculator'!J:J,MATCH('Isaac 401k'!N2797,'Retirement Calculator'!A:A,0),0),0)</f>
        <v>0</v>
      </c>
      <c r="K2797" s="455">
        <f t="shared" ca="1" si="151"/>
        <v>-77196824.857768998</v>
      </c>
      <c r="L2797" s="455">
        <f t="shared" ca="1" si="152"/>
        <v>-18604434790.722328</v>
      </c>
      <c r="M2797" s="471">
        <f t="shared" si="154"/>
        <v>0.05</v>
      </c>
      <c r="N2797" s="475">
        <f t="shared" si="155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53"/>
        <v>-18604434790.722328</v>
      </c>
      <c r="J2798" s="455">
        <f t="array" ref="J2798">IFERROR(INDEX('Retirement Calculator'!J:J,MATCH('Isaac 401k'!N2798,'Retirement Calculator'!A:A,0),0),0)</f>
        <v>0</v>
      </c>
      <c r="K2798" s="455">
        <f t="shared" ca="1" si="151"/>
        <v>-77518478.294676363</v>
      </c>
      <c r="L2798" s="455">
        <f t="shared" ca="1" si="152"/>
        <v>-18681953269.017006</v>
      </c>
      <c r="M2798" s="471">
        <f t="shared" si="154"/>
        <v>0.05</v>
      </c>
      <c r="N2798" s="475">
        <f t="shared" si="155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53"/>
        <v>-18681953269.017006</v>
      </c>
      <c r="J2799" s="455">
        <f t="array" ref="J2799">IFERROR(INDEX('Retirement Calculator'!J:J,MATCH('Isaac 401k'!N2799,'Retirement Calculator'!A:A,0),0),0)</f>
        <v>0</v>
      </c>
      <c r="K2799" s="455">
        <f t="shared" ca="1" si="151"/>
        <v>-77841471.954237521</v>
      </c>
      <c r="L2799" s="455">
        <f t="shared" ca="1" si="152"/>
        <v>-18759794740.971245</v>
      </c>
      <c r="M2799" s="471">
        <f t="shared" si="154"/>
        <v>0.05</v>
      </c>
      <c r="N2799" s="475">
        <f t="shared" si="155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53"/>
        <v>-18759794740.971245</v>
      </c>
      <c r="J2800" s="455">
        <f t="array" ref="J2800">IFERROR(INDEX('Retirement Calculator'!J:J,MATCH('Isaac 401k'!N2800,'Retirement Calculator'!A:A,0),0),0)</f>
        <v>0</v>
      </c>
      <c r="K2800" s="455">
        <f t="shared" ca="1" si="151"/>
        <v>-78165811.420713514</v>
      </c>
      <c r="L2800" s="455">
        <f t="shared" ca="1" si="152"/>
        <v>-18837960552.39196</v>
      </c>
      <c r="M2800" s="471">
        <f t="shared" si="154"/>
        <v>0.05</v>
      </c>
      <c r="N2800" s="475">
        <f t="shared" si="155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53"/>
        <v>-18837960552.39196</v>
      </c>
      <c r="J2801" s="455">
        <f t="array" ref="J2801">IFERROR(INDEX('Retirement Calculator'!J:J,MATCH('Isaac 401k'!N2801,'Retirement Calculator'!A:A,0),0),0)</f>
        <v>0</v>
      </c>
      <c r="K2801" s="455">
        <f t="shared" ca="1" si="151"/>
        <v>-78491502.301633164</v>
      </c>
      <c r="L2801" s="455">
        <f t="shared" ca="1" si="152"/>
        <v>-18916452054.693592</v>
      </c>
      <c r="M2801" s="471">
        <f t="shared" si="154"/>
        <v>0.05</v>
      </c>
      <c r="N2801" s="475">
        <f t="shared" si="155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53"/>
        <v>-18916452054.693592</v>
      </c>
      <c r="J2802" s="455">
        <f t="array" ref="J2802">IFERROR(INDEX('Retirement Calculator'!J:J,MATCH('Isaac 401k'!N2802,'Retirement Calculator'!A:A,0),0),0)</f>
        <v>0</v>
      </c>
      <c r="K2802" s="455">
        <f t="shared" ca="1" si="151"/>
        <v>-78818550.22788997</v>
      </c>
      <c r="L2802" s="455">
        <f t="shared" ca="1" si="152"/>
        <v>-18995270604.921482</v>
      </c>
      <c r="M2802" s="471">
        <f t="shared" si="154"/>
        <v>0.05</v>
      </c>
      <c r="N2802" s="475">
        <f t="shared" si="155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53"/>
        <v>-18995270604.921482</v>
      </c>
      <c r="J2803" s="455">
        <f t="array" ref="J2803">IFERROR(INDEX('Retirement Calculator'!J:J,MATCH('Isaac 401k'!N2803,'Retirement Calculator'!A:A,0),0),0)</f>
        <v>0</v>
      </c>
      <c r="K2803" s="455">
        <f t="shared" ca="1" si="151"/>
        <v>-79146960.853839502</v>
      </c>
      <c r="L2803" s="455">
        <f t="shared" ca="1" si="152"/>
        <v>-19074417565.775322</v>
      </c>
      <c r="M2803" s="471">
        <f t="shared" si="154"/>
        <v>0.05</v>
      </c>
      <c r="N2803" s="475">
        <f t="shared" si="155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53"/>
        <v>-19074417565.775322</v>
      </c>
      <c r="J2804" s="455">
        <f t="array" ref="J2804">IFERROR(INDEX('Retirement Calculator'!J:J,MATCH('Isaac 401k'!N2804,'Retirement Calculator'!A:A,0),0),0)</f>
        <v>0</v>
      </c>
      <c r="K2804" s="455">
        <f t="shared" ca="1" si="151"/>
        <v>-79476739.857397169</v>
      </c>
      <c r="L2804" s="455">
        <f t="shared" ca="1" si="152"/>
        <v>-19153894305.632721</v>
      </c>
      <c r="M2804" s="471">
        <f t="shared" si="154"/>
        <v>0.05</v>
      </c>
      <c r="N2804" s="475">
        <f t="shared" si="155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53"/>
        <v>-19153894305.632721</v>
      </c>
      <c r="J2805" s="455">
        <f t="array" ref="J2805">IFERROR(INDEX('Retirement Calculator'!J:J,MATCH('Isaac 401k'!N2805,'Retirement Calculator'!A:A,0),0),0)</f>
        <v>0</v>
      </c>
      <c r="K2805" s="455">
        <f t="shared" ca="1" si="151"/>
        <v>-79807892.940136343</v>
      </c>
      <c r="L2805" s="455">
        <f t="shared" ca="1" si="152"/>
        <v>-19233702198.572857</v>
      </c>
      <c r="M2805" s="471">
        <f t="shared" si="154"/>
        <v>0.05</v>
      </c>
      <c r="N2805" s="475">
        <f t="shared" si="155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53"/>
        <v>-19233702198.572857</v>
      </c>
      <c r="J2806" s="455">
        <f t="array" ref="J2806">IFERROR(INDEX('Retirement Calculator'!J:J,MATCH('Isaac 401k'!N2806,'Retirement Calculator'!A:A,0),0),0)</f>
        <v>0</v>
      </c>
      <c r="K2806" s="455">
        <f t="shared" ca="1" si="151"/>
        <v>-80140425.827386901</v>
      </c>
      <c r="L2806" s="455">
        <f t="shared" ca="1" si="152"/>
        <v>-19313842624.400246</v>
      </c>
      <c r="M2806" s="471">
        <f t="shared" si="154"/>
        <v>0.05</v>
      </c>
      <c r="N2806" s="475">
        <f t="shared" si="155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53"/>
        <v>-19313842624.400246</v>
      </c>
      <c r="J2807" s="455">
        <f t="array" ref="J2807">IFERROR(INDEX('Retirement Calculator'!J:J,MATCH('Isaac 401k'!N2807,'Retirement Calculator'!A:A,0),0),0)</f>
        <v>0</v>
      </c>
      <c r="K2807" s="455">
        <f t="shared" ca="1" si="151"/>
        <v>-80474344.268334359</v>
      </c>
      <c r="L2807" s="455">
        <f t="shared" ca="1" si="152"/>
        <v>-19394316968.668579</v>
      </c>
      <c r="M2807" s="471">
        <f t="shared" si="154"/>
        <v>0.05</v>
      </c>
      <c r="N2807" s="475">
        <f t="shared" si="155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53"/>
        <v>-19394316968.668579</v>
      </c>
      <c r="J2808" s="455">
        <f t="array" ref="J2808">IFERROR(INDEX('Retirement Calculator'!J:J,MATCH('Isaac 401k'!N2808,'Retirement Calculator'!A:A,0),0),0)</f>
        <v>0</v>
      </c>
      <c r="K2808" s="455">
        <f t="shared" ca="1" si="151"/>
        <v>-80809654.036119074</v>
      </c>
      <c r="L2808" s="455">
        <f t="shared" ca="1" si="152"/>
        <v>-19475126622.704697</v>
      </c>
      <c r="M2808" s="471">
        <f t="shared" si="154"/>
        <v>0.05</v>
      </c>
      <c r="N2808" s="475">
        <f t="shared" si="155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53"/>
        <v>-19475126622.704697</v>
      </c>
      <c r="J2809" s="455">
        <f t="array" ref="J2809">IFERROR(INDEX('Retirement Calculator'!J:J,MATCH('Isaac 401k'!N2809,'Retirement Calculator'!A:A,0),0),0)</f>
        <v>0</v>
      </c>
      <c r="K2809" s="455">
        <f t="shared" ca="1" si="151"/>
        <v>-81146360.927936241</v>
      </c>
      <c r="L2809" s="455">
        <f t="shared" ca="1" si="152"/>
        <v>-19556272983.632633</v>
      </c>
      <c r="M2809" s="471">
        <f t="shared" si="154"/>
        <v>0.05</v>
      </c>
      <c r="N2809" s="475">
        <f t="shared" si="155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53"/>
        <v>-19556272983.632633</v>
      </c>
      <c r="J2810" s="455">
        <f t="array" ref="J2810">IFERROR(INDEX('Retirement Calculator'!J:J,MATCH('Isaac 401k'!N2810,'Retirement Calculator'!A:A,0),0),0)</f>
        <v>0</v>
      </c>
      <c r="K2810" s="455">
        <f t="shared" ca="1" si="151"/>
        <v>-81484470.765135974</v>
      </c>
      <c r="L2810" s="455">
        <f t="shared" ca="1" si="152"/>
        <v>-19637757454.39777</v>
      </c>
      <c r="M2810" s="471">
        <f t="shared" si="154"/>
        <v>0.05</v>
      </c>
      <c r="N2810" s="475">
        <f t="shared" si="155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53"/>
        <v>-19637757454.39777</v>
      </c>
      <c r="J2811" s="455">
        <f t="array" ref="J2811">IFERROR(INDEX('Retirement Calculator'!J:J,MATCH('Isaac 401k'!N2811,'Retirement Calculator'!A:A,0),0),0)</f>
        <v>0</v>
      </c>
      <c r="K2811" s="455">
        <f t="shared" ca="1" si="151"/>
        <v>-81823989.393324047</v>
      </c>
      <c r="L2811" s="455">
        <f t="shared" ca="1" si="152"/>
        <v>-19719581443.791096</v>
      </c>
      <c r="M2811" s="471">
        <f t="shared" si="154"/>
        <v>0.05</v>
      </c>
      <c r="N2811" s="475">
        <f t="shared" si="155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53"/>
        <v>-19719581443.791096</v>
      </c>
      <c r="J2812" s="455">
        <f t="array" ref="J2812">IFERROR(INDEX('Retirement Calculator'!J:J,MATCH('Isaac 401k'!N2812,'Retirement Calculator'!A:A,0),0),0)</f>
        <v>0</v>
      </c>
      <c r="K2812" s="455">
        <f t="shared" ca="1" si="151"/>
        <v>-82164922.682462901</v>
      </c>
      <c r="L2812" s="455">
        <f t="shared" ca="1" si="152"/>
        <v>-19801746366.47356</v>
      </c>
      <c r="M2812" s="471">
        <f t="shared" si="154"/>
        <v>0.05</v>
      </c>
      <c r="N2812" s="475">
        <f t="shared" si="155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53"/>
        <v>-19801746366.47356</v>
      </c>
      <c r="J2813" s="455">
        <f t="array" ref="J2813">IFERROR(INDEX('Retirement Calculator'!J:J,MATCH('Isaac 401k'!N2813,'Retirement Calculator'!A:A,0),0),0)</f>
        <v>0</v>
      </c>
      <c r="K2813" s="455">
        <f t="shared" ref="K2813:K3067" ca="1" si="156">IPMT(M2813/12,1,12,-I2813+J2813,,0)</f>
        <v>-82507276.526973173</v>
      </c>
      <c r="L2813" s="455">
        <f t="shared" ref="L2813:L3067" ca="1" si="157">I2813-J2813+K2813</f>
        <v>-19884253643.000534</v>
      </c>
      <c r="M2813" s="471">
        <f t="shared" si="154"/>
        <v>0.05</v>
      </c>
      <c r="N2813" s="475">
        <f t="shared" si="155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58">L2813</f>
        <v>-19884253643.000534</v>
      </c>
      <c r="J2814" s="455">
        <f t="array" ref="J2814">IFERROR(INDEX('Retirement Calculator'!J:J,MATCH('Isaac 401k'!N2814,'Retirement Calculator'!A:A,0),0),0)</f>
        <v>0</v>
      </c>
      <c r="K2814" s="455">
        <f t="shared" ca="1" si="156"/>
        <v>-82851056.845835552</v>
      </c>
      <c r="L2814" s="455">
        <f t="shared" ca="1" si="157"/>
        <v>-19967104699.846371</v>
      </c>
      <c r="M2814" s="471">
        <f t="shared" ref="M2814:M3068" si="159">M2813</f>
        <v>0.05</v>
      </c>
      <c r="N2814" s="475">
        <f t="shared" ref="N2814:N3068" si="160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58"/>
        <v>-19967104699.846371</v>
      </c>
      <c r="J2815" s="455">
        <f t="array" ref="J2815">IFERROR(INDEX('Retirement Calculator'!J:J,MATCH('Isaac 401k'!N2815,'Retirement Calculator'!A:A,0),0),0)</f>
        <v>0</v>
      </c>
      <c r="K2815" s="455">
        <f t="shared" ca="1" si="156"/>
        <v>-83196269.582693204</v>
      </c>
      <c r="L2815" s="455">
        <f t="shared" ca="1" si="157"/>
        <v>-20050300969.429066</v>
      </c>
      <c r="M2815" s="471">
        <f t="shared" si="159"/>
        <v>0.05</v>
      </c>
      <c r="N2815" s="475">
        <f t="shared" si="160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58"/>
        <v>-20050300969.429066</v>
      </c>
      <c r="J2816" s="455">
        <f t="array" ref="J2816">IFERROR(INDEX('Retirement Calculator'!J:J,MATCH('Isaac 401k'!N2816,'Retirement Calculator'!A:A,0),0),0)</f>
        <v>0</v>
      </c>
      <c r="K2816" s="455">
        <f t="shared" ca="1" si="156"/>
        <v>-83542920.705954432</v>
      </c>
      <c r="L2816" s="455">
        <f t="shared" ca="1" si="157"/>
        <v>-20133843890.135021</v>
      </c>
      <c r="M2816" s="471">
        <f t="shared" si="159"/>
        <v>0.05</v>
      </c>
      <c r="N2816" s="475">
        <f t="shared" si="160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58"/>
        <v>-20133843890.135021</v>
      </c>
      <c r="J2817" s="455">
        <f t="array" ref="J2817">IFERROR(INDEX('Retirement Calculator'!J:J,MATCH('Isaac 401k'!N2817,'Retirement Calculator'!A:A,0),0),0)</f>
        <v>0</v>
      </c>
      <c r="K2817" s="455">
        <f t="shared" ca="1" si="156"/>
        <v>-83891016.208895922</v>
      </c>
      <c r="L2817" s="455">
        <f t="shared" ca="1" si="157"/>
        <v>-20217734906.343918</v>
      </c>
      <c r="M2817" s="471">
        <f t="shared" si="159"/>
        <v>0.05</v>
      </c>
      <c r="N2817" s="475">
        <f t="shared" si="160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58"/>
        <v>-20217734906.343918</v>
      </c>
      <c r="J2818" s="455">
        <f t="array" ref="J2818">IFERROR(INDEX('Retirement Calculator'!J:J,MATCH('Isaac 401k'!N2818,'Retirement Calculator'!A:A,0),0),0)</f>
        <v>0</v>
      </c>
      <c r="K2818" s="455">
        <f t="shared" ca="1" si="156"/>
        <v>-84240562.109766319</v>
      </c>
      <c r="L2818" s="455">
        <f t="shared" ca="1" si="157"/>
        <v>-20301975468.453686</v>
      </c>
      <c r="M2818" s="471">
        <f t="shared" si="159"/>
        <v>0.05</v>
      </c>
      <c r="N2818" s="475">
        <f t="shared" si="160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58"/>
        <v>-20301975468.453686</v>
      </c>
      <c r="J2819" s="455">
        <f t="array" ref="J2819">IFERROR(INDEX('Retirement Calculator'!J:J,MATCH('Isaac 401k'!N2819,'Retirement Calculator'!A:A,0),0),0)</f>
        <v>0</v>
      </c>
      <c r="K2819" s="455">
        <f t="shared" ca="1" si="156"/>
        <v>-84591564.451890349</v>
      </c>
      <c r="L2819" s="455">
        <f t="shared" ca="1" si="157"/>
        <v>-20386567032.905575</v>
      </c>
      <c r="M2819" s="471">
        <f t="shared" si="159"/>
        <v>0.05</v>
      </c>
      <c r="N2819" s="475">
        <f t="shared" si="160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58"/>
        <v>-20386567032.905575</v>
      </c>
      <c r="J2820" s="455">
        <f t="array" ref="J2820">IFERROR(INDEX('Retirement Calculator'!J:J,MATCH('Isaac 401k'!N2820,'Retirement Calculator'!A:A,0),0),0)</f>
        <v>0</v>
      </c>
      <c r="K2820" s="455">
        <f t="shared" ca="1" si="156"/>
        <v>-84944029.303773224</v>
      </c>
      <c r="L2820" s="455">
        <f t="shared" ca="1" si="157"/>
        <v>-20471511062.209347</v>
      </c>
      <c r="M2820" s="471">
        <f t="shared" si="159"/>
        <v>0.05</v>
      </c>
      <c r="N2820" s="475">
        <f t="shared" si="160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58"/>
        <v>-20471511062.209347</v>
      </c>
      <c r="J2821" s="455">
        <f t="array" ref="J2821">IFERROR(INDEX('Retirement Calculator'!J:J,MATCH('Isaac 401k'!N2821,'Retirement Calculator'!A:A,0),0),0)</f>
        <v>0</v>
      </c>
      <c r="K2821" s="455">
        <f t="shared" ca="1" si="156"/>
        <v>-85297962.75920561</v>
      </c>
      <c r="L2821" s="455">
        <f t="shared" ca="1" si="157"/>
        <v>-20556809024.968552</v>
      </c>
      <c r="M2821" s="471">
        <f t="shared" si="159"/>
        <v>0.05</v>
      </c>
      <c r="N2821" s="475">
        <f t="shared" si="160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58"/>
        <v>-20556809024.968552</v>
      </c>
      <c r="J2822" s="455">
        <f t="array" ref="J2822">IFERROR(INDEX('Retirement Calculator'!J:J,MATCH('Isaac 401k'!N2822,'Retirement Calculator'!A:A,0),0),0)</f>
        <v>0</v>
      </c>
      <c r="K2822" s="455">
        <f t="shared" ca="1" si="156"/>
        <v>-85653370.937368959</v>
      </c>
      <c r="L2822" s="455">
        <f t="shared" ca="1" si="157"/>
        <v>-20642462395.905922</v>
      </c>
      <c r="M2822" s="471">
        <f t="shared" si="159"/>
        <v>0.05</v>
      </c>
      <c r="N2822" s="475">
        <f t="shared" si="160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58"/>
        <v>-20642462395.905922</v>
      </c>
      <c r="J2823" s="455">
        <f t="array" ref="J2823">IFERROR(INDEX('Retirement Calculator'!J:J,MATCH('Isaac 401k'!N2823,'Retirement Calculator'!A:A,0),0),0)</f>
        <v>0</v>
      </c>
      <c r="K2823" s="455">
        <f t="shared" ca="1" si="156"/>
        <v>-86010259.982941344</v>
      </c>
      <c r="L2823" s="455">
        <f t="shared" ca="1" si="157"/>
        <v>-20728472655.888863</v>
      </c>
      <c r="M2823" s="471">
        <f t="shared" si="159"/>
        <v>0.05</v>
      </c>
      <c r="N2823" s="475">
        <f t="shared" si="160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58"/>
        <v>-20728472655.888863</v>
      </c>
      <c r="J2824" s="455">
        <f t="array" ref="J2824">IFERROR(INDEX('Retirement Calculator'!J:J,MATCH('Isaac 401k'!N2824,'Retirement Calculator'!A:A,0),0),0)</f>
        <v>0</v>
      </c>
      <c r="K2824" s="455">
        <f t="shared" ca="1" si="156"/>
        <v>-86368636.066203594</v>
      </c>
      <c r="L2824" s="455">
        <f t="shared" ca="1" si="157"/>
        <v>-20814841291.955067</v>
      </c>
      <c r="M2824" s="471">
        <f t="shared" si="159"/>
        <v>0.05</v>
      </c>
      <c r="N2824" s="475">
        <f t="shared" si="160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58"/>
        <v>-20814841291.955067</v>
      </c>
      <c r="J2825" s="455">
        <f t="array" ref="J2825">IFERROR(INDEX('Retirement Calculator'!J:J,MATCH('Isaac 401k'!N2825,'Retirement Calculator'!A:A,0),0),0)</f>
        <v>0</v>
      </c>
      <c r="K2825" s="455">
        <f t="shared" ca="1" si="156"/>
        <v>-86728505.383146107</v>
      </c>
      <c r="L2825" s="455">
        <f t="shared" ca="1" si="157"/>
        <v>-20901569797.338211</v>
      </c>
      <c r="M2825" s="471">
        <f t="shared" si="159"/>
        <v>0.05</v>
      </c>
      <c r="N2825" s="475">
        <f t="shared" si="160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58"/>
        <v>-20901569797.338211</v>
      </c>
      <c r="J2826" s="455">
        <f t="array" ref="J2826">IFERROR(INDEX('Retirement Calculator'!J:J,MATCH('Isaac 401k'!N2826,'Retirement Calculator'!A:A,0),0),0)</f>
        <v>0</v>
      </c>
      <c r="K2826" s="455">
        <f t="shared" ca="1" si="156"/>
        <v>-87089874.155575871</v>
      </c>
      <c r="L2826" s="455">
        <f t="shared" ca="1" si="157"/>
        <v>-20988659671.493786</v>
      </c>
      <c r="M2826" s="471">
        <f t="shared" si="159"/>
        <v>0.05</v>
      </c>
      <c r="N2826" s="475">
        <f t="shared" si="160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58"/>
        <v>-20988659671.493786</v>
      </c>
      <c r="J2827" s="455">
        <f t="array" ref="J2827">IFERROR(INDEX('Retirement Calculator'!J:J,MATCH('Isaac 401k'!N2827,'Retirement Calculator'!A:A,0),0),0)</f>
        <v>0</v>
      </c>
      <c r="K2827" s="455">
        <f t="shared" ca="1" si="156"/>
        <v>-87452748.631224111</v>
      </c>
      <c r="L2827" s="455">
        <f t="shared" ca="1" si="157"/>
        <v>-21076112420.125011</v>
      </c>
      <c r="M2827" s="471">
        <f t="shared" si="159"/>
        <v>0.05</v>
      </c>
      <c r="N2827" s="475">
        <f t="shared" si="160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58"/>
        <v>-21076112420.125011</v>
      </c>
      <c r="J2828" s="455">
        <f t="array" ref="J2828">IFERROR(INDEX('Retirement Calculator'!J:J,MATCH('Isaac 401k'!N2828,'Retirement Calculator'!A:A,0),0),0)</f>
        <v>0</v>
      </c>
      <c r="K2828" s="455">
        <f t="shared" ca="1" si="156"/>
        <v>-87817135.083854213</v>
      </c>
      <c r="L2828" s="455">
        <f t="shared" ca="1" si="157"/>
        <v>-21163929555.208866</v>
      </c>
      <c r="M2828" s="471">
        <f t="shared" si="159"/>
        <v>0.05</v>
      </c>
      <c r="N2828" s="475">
        <f t="shared" si="160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58"/>
        <v>-21163929555.208866</v>
      </c>
      <c r="J2829" s="455">
        <f t="array" ref="J2829">IFERROR(INDEX('Retirement Calculator'!J:J,MATCH('Isaac 401k'!N2829,'Retirement Calculator'!A:A,0),0),0)</f>
        <v>0</v>
      </c>
      <c r="K2829" s="455">
        <f t="shared" ca="1" si="156"/>
        <v>-88183039.813370273</v>
      </c>
      <c r="L2829" s="455">
        <f t="shared" ca="1" si="157"/>
        <v>-21252112595.022236</v>
      </c>
      <c r="M2829" s="471">
        <f t="shared" si="159"/>
        <v>0.05</v>
      </c>
      <c r="N2829" s="475">
        <f t="shared" si="160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58"/>
        <v>-21252112595.022236</v>
      </c>
      <c r="J2830" s="455">
        <f t="array" ref="J2830">IFERROR(INDEX('Retirement Calculator'!J:J,MATCH('Isaac 401k'!N2830,'Retirement Calculator'!A:A,0),0),0)</f>
        <v>0</v>
      </c>
      <c r="K2830" s="455">
        <f t="shared" ca="1" si="156"/>
        <v>-88550469.145925984</v>
      </c>
      <c r="L2830" s="455">
        <f t="shared" ca="1" si="157"/>
        <v>-21340663064.168163</v>
      </c>
      <c r="M2830" s="471">
        <f t="shared" si="159"/>
        <v>0.05</v>
      </c>
      <c r="N2830" s="475">
        <f t="shared" si="160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58"/>
        <v>-21340663064.168163</v>
      </c>
      <c r="J2831" s="455">
        <f t="array" ref="J2831">IFERROR(INDEX('Retirement Calculator'!J:J,MATCH('Isaac 401k'!N2831,'Retirement Calculator'!A:A,0),0),0)</f>
        <v>0</v>
      </c>
      <c r="K2831" s="455">
        <f t="shared" ca="1" si="156"/>
        <v>-88919429.43403402</v>
      </c>
      <c r="L2831" s="455">
        <f t="shared" ca="1" si="157"/>
        <v>-21429582493.602196</v>
      </c>
      <c r="M2831" s="471">
        <f t="shared" si="159"/>
        <v>0.05</v>
      </c>
      <c r="N2831" s="475">
        <f t="shared" si="160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58"/>
        <v>-21429582493.602196</v>
      </c>
      <c r="J2832" s="455">
        <f t="array" ref="J2832">IFERROR(INDEX('Retirement Calculator'!J:J,MATCH('Isaac 401k'!N2832,'Retirement Calculator'!A:A,0),0),0)</f>
        <v>0</v>
      </c>
      <c r="K2832" s="455">
        <f t="shared" ca="1" si="156"/>
        <v>-89289927.056675822</v>
      </c>
      <c r="L2832" s="455">
        <f t="shared" ca="1" si="157"/>
        <v>-21518872420.658871</v>
      </c>
      <c r="M2832" s="471">
        <f t="shared" si="159"/>
        <v>0.05</v>
      </c>
      <c r="N2832" s="475">
        <f t="shared" si="160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58"/>
        <v>-21518872420.658871</v>
      </c>
      <c r="J2833" s="455">
        <f t="array" ref="J2833">IFERROR(INDEX('Retirement Calculator'!J:J,MATCH('Isaac 401k'!N2833,'Retirement Calculator'!A:A,0),0),0)</f>
        <v>0</v>
      </c>
      <c r="K2833" s="455">
        <f t="shared" ca="1" si="156"/>
        <v>-89661968.419411957</v>
      </c>
      <c r="L2833" s="455">
        <f t="shared" ca="1" si="157"/>
        <v>-21608534389.078281</v>
      </c>
      <c r="M2833" s="471">
        <f t="shared" si="159"/>
        <v>0.05</v>
      </c>
      <c r="N2833" s="475">
        <f t="shared" si="160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58"/>
        <v>-21608534389.078281</v>
      </c>
      <c r="J2834" s="455">
        <f t="array" ref="J2834">IFERROR(INDEX('Retirement Calculator'!J:J,MATCH('Isaac 401k'!N2834,'Retirement Calculator'!A:A,0),0),0)</f>
        <v>0</v>
      </c>
      <c r="K2834" s="455">
        <f t="shared" ca="1" si="156"/>
        <v>-90035559.954492837</v>
      </c>
      <c r="L2834" s="455">
        <f t="shared" ca="1" si="157"/>
        <v>-21698569949.032776</v>
      </c>
      <c r="M2834" s="471">
        <f t="shared" si="159"/>
        <v>0.05</v>
      </c>
      <c r="N2834" s="475">
        <f t="shared" si="160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58"/>
        <v>-21698569949.032776</v>
      </c>
      <c r="J2835" s="455">
        <f t="array" ref="J2835">IFERROR(INDEX('Retirement Calculator'!J:J,MATCH('Isaac 401k'!N2835,'Retirement Calculator'!A:A,0),0),0)</f>
        <v>0</v>
      </c>
      <c r="K2835" s="455">
        <f t="shared" ca="1" si="156"/>
        <v>-90410708.120969892</v>
      </c>
      <c r="L2835" s="455">
        <f t="shared" ca="1" si="157"/>
        <v>-21788980657.153748</v>
      </c>
      <c r="M2835" s="471">
        <f t="shared" si="159"/>
        <v>0.05</v>
      </c>
      <c r="N2835" s="475">
        <f t="shared" si="160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58"/>
        <v>-21788980657.153748</v>
      </c>
      <c r="J2836" s="455">
        <f t="array" ref="J2836">IFERROR(INDEX('Retirement Calculator'!J:J,MATCH('Isaac 401k'!N2836,'Retirement Calculator'!A:A,0),0),0)</f>
        <v>0</v>
      </c>
      <c r="K2836" s="455">
        <f t="shared" ca="1" si="156"/>
        <v>-90787419.404807284</v>
      </c>
      <c r="L2836" s="455">
        <f t="shared" ca="1" si="157"/>
        <v>-21879768076.558556</v>
      </c>
      <c r="M2836" s="471">
        <f t="shared" si="159"/>
        <v>0.05</v>
      </c>
      <c r="N2836" s="475">
        <f t="shared" si="160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58"/>
        <v>-21879768076.558556</v>
      </c>
      <c r="J2837" s="455">
        <f t="array" ref="J2837">IFERROR(INDEX('Retirement Calculator'!J:J,MATCH('Isaac 401k'!N2837,'Retirement Calculator'!A:A,0),0),0)</f>
        <v>0</v>
      </c>
      <c r="K2837" s="455">
        <f t="shared" ca="1" si="156"/>
        <v>-91165700.318993986</v>
      </c>
      <c r="L2837" s="455">
        <f t="shared" ca="1" si="157"/>
        <v>-21970933776.877548</v>
      </c>
      <c r="M2837" s="471">
        <f t="shared" si="159"/>
        <v>0.05</v>
      </c>
      <c r="N2837" s="475">
        <f t="shared" si="160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58"/>
        <v>-21970933776.877548</v>
      </c>
      <c r="J2838" s="455">
        <f t="array" ref="J2838">IFERROR(INDEX('Retirement Calculator'!J:J,MATCH('Isaac 401k'!N2838,'Retirement Calculator'!A:A,0),0),0)</f>
        <v>0</v>
      </c>
      <c r="K2838" s="455">
        <f t="shared" ca="1" si="156"/>
        <v>-91545557.403656453</v>
      </c>
      <c r="L2838" s="455">
        <f t="shared" ca="1" si="157"/>
        <v>-22062479334.281204</v>
      </c>
      <c r="M2838" s="471">
        <f t="shared" si="159"/>
        <v>0.05</v>
      </c>
      <c r="N2838" s="475">
        <f t="shared" si="160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58"/>
        <v>-22062479334.281204</v>
      </c>
      <c r="J2839" s="455">
        <f t="array" ref="J2839">IFERROR(INDEX('Retirement Calculator'!J:J,MATCH('Isaac 401k'!N2839,'Retirement Calculator'!A:A,0),0),0)</f>
        <v>0</v>
      </c>
      <c r="K2839" s="455">
        <f t="shared" ca="1" si="156"/>
        <v>-91926997.226171687</v>
      </c>
      <c r="L2839" s="455">
        <f t="shared" ca="1" si="157"/>
        <v>-22154406331.507378</v>
      </c>
      <c r="M2839" s="471">
        <f t="shared" si="159"/>
        <v>0.05</v>
      </c>
      <c r="N2839" s="475">
        <f t="shared" si="160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58"/>
        <v>-22154406331.507378</v>
      </c>
      <c r="J2840" s="455">
        <f t="array" ref="J2840">IFERROR(INDEX('Retirement Calculator'!J:J,MATCH('Isaac 401k'!N2840,'Retirement Calculator'!A:A,0),0),0)</f>
        <v>0</v>
      </c>
      <c r="K2840" s="455">
        <f t="shared" ca="1" si="156"/>
        <v>-92310026.381280735</v>
      </c>
      <c r="L2840" s="455">
        <f t="shared" ca="1" si="157"/>
        <v>-22246716357.888657</v>
      </c>
      <c r="M2840" s="471">
        <f t="shared" si="159"/>
        <v>0.05</v>
      </c>
      <c r="N2840" s="475">
        <f t="shared" si="160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58"/>
        <v>-22246716357.888657</v>
      </c>
      <c r="J2841" s="455">
        <f t="array" ref="J2841">IFERROR(INDEX('Retirement Calculator'!J:J,MATCH('Isaac 401k'!N2841,'Retirement Calculator'!A:A,0),0),0)</f>
        <v>0</v>
      </c>
      <c r="K2841" s="455">
        <f t="shared" ca="1" si="156"/>
        <v>-92694651.491202742</v>
      </c>
      <c r="L2841" s="455">
        <f t="shared" ca="1" si="157"/>
        <v>-22339411009.37986</v>
      </c>
      <c r="M2841" s="471">
        <f t="shared" si="159"/>
        <v>0.05</v>
      </c>
      <c r="N2841" s="475">
        <f t="shared" si="160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58"/>
        <v>-22339411009.37986</v>
      </c>
      <c r="J2842" s="455">
        <f t="array" ref="J2842">IFERROR(INDEX('Retirement Calculator'!J:J,MATCH('Isaac 401k'!N2842,'Retirement Calculator'!A:A,0),0),0)</f>
        <v>0</v>
      </c>
      <c r="K2842" s="455">
        <f t="shared" ca="1" si="156"/>
        <v>-93080879.205749422</v>
      </c>
      <c r="L2842" s="455">
        <f t="shared" ca="1" si="157"/>
        <v>-22432491888.585609</v>
      </c>
      <c r="M2842" s="471">
        <f t="shared" si="159"/>
        <v>0.05</v>
      </c>
      <c r="N2842" s="475">
        <f t="shared" si="160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58"/>
        <v>-22432491888.585609</v>
      </c>
      <c r="J2843" s="455">
        <f t="array" ref="J2843">IFERROR(INDEX('Retirement Calculator'!J:J,MATCH('Isaac 401k'!N2843,'Retirement Calculator'!A:A,0),0),0)</f>
        <v>0</v>
      </c>
      <c r="K2843" s="455">
        <f t="shared" ca="1" si="156"/>
        <v>-93468716.202440038</v>
      </c>
      <c r="L2843" s="455">
        <f t="shared" ca="1" si="157"/>
        <v>-22525960604.788048</v>
      </c>
      <c r="M2843" s="471">
        <f t="shared" si="159"/>
        <v>0.05</v>
      </c>
      <c r="N2843" s="475">
        <f t="shared" si="160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58"/>
        <v>-22525960604.788048</v>
      </c>
      <c r="J2844" s="455">
        <f t="array" ref="J2844">IFERROR(INDEX('Retirement Calculator'!J:J,MATCH('Isaac 401k'!N2844,'Retirement Calculator'!A:A,0),0),0)</f>
        <v>0</v>
      </c>
      <c r="K2844" s="455">
        <f t="shared" ca="1" si="156"/>
        <v>-93858169.186616868</v>
      </c>
      <c r="L2844" s="455">
        <f t="shared" ca="1" si="157"/>
        <v>-22619818773.974663</v>
      </c>
      <c r="M2844" s="471">
        <f t="shared" si="159"/>
        <v>0.05</v>
      </c>
      <c r="N2844" s="475">
        <f t="shared" si="160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58"/>
        <v>-22619818773.974663</v>
      </c>
      <c r="J2845" s="455">
        <f t="array" ref="J2845">IFERROR(INDEX('Retirement Calculator'!J:J,MATCH('Isaac 401k'!N2845,'Retirement Calculator'!A:A,0),0),0)</f>
        <v>0</v>
      </c>
      <c r="K2845" s="455">
        <f t="shared" ca="1" si="156"/>
        <v>-94249244.891561091</v>
      </c>
      <c r="L2845" s="455">
        <f t="shared" ca="1" si="157"/>
        <v>-22714068018.866222</v>
      </c>
      <c r="M2845" s="471">
        <f t="shared" si="159"/>
        <v>0.05</v>
      </c>
      <c r="N2845" s="475">
        <f t="shared" si="160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58"/>
        <v>-22714068018.866222</v>
      </c>
      <c r="J2846" s="455">
        <f t="array" ref="J2846">IFERROR(INDEX('Retirement Calculator'!J:J,MATCH('Isaac 401k'!N2846,'Retirement Calculator'!A:A,0),0),0)</f>
        <v>0</v>
      </c>
      <c r="K2846" s="455">
        <f t="shared" ca="1" si="156"/>
        <v>-94641950.078609258</v>
      </c>
      <c r="L2846" s="455">
        <f t="shared" ca="1" si="157"/>
        <v>-22808709968.944832</v>
      </c>
      <c r="M2846" s="471">
        <f t="shared" si="159"/>
        <v>0.05</v>
      </c>
      <c r="N2846" s="475">
        <f t="shared" si="160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58"/>
        <v>-22808709968.944832</v>
      </c>
      <c r="J2847" s="455">
        <f t="array" ref="J2847">IFERROR(INDEX('Retirement Calculator'!J:J,MATCH('Isaac 401k'!N2847,'Retirement Calculator'!A:A,0),0),0)</f>
        <v>0</v>
      </c>
      <c r="K2847" s="455">
        <f t="shared" ca="1" si="156"/>
        <v>-95036291.537270129</v>
      </c>
      <c r="L2847" s="455">
        <f t="shared" ca="1" si="157"/>
        <v>-22903746260.482101</v>
      </c>
      <c r="M2847" s="471">
        <f t="shared" si="159"/>
        <v>0.05</v>
      </c>
      <c r="N2847" s="475">
        <f t="shared" si="160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58"/>
        <v>-22903746260.482101</v>
      </c>
      <c r="J2848" s="455">
        <f t="array" ref="J2848">IFERROR(INDEX('Retirement Calculator'!J:J,MATCH('Isaac 401k'!N2848,'Retirement Calculator'!A:A,0),0),0)</f>
        <v>0</v>
      </c>
      <c r="K2848" s="455">
        <f t="shared" ca="1" si="156"/>
        <v>-95432276.085342094</v>
      </c>
      <c r="L2848" s="455">
        <f t="shared" ca="1" si="157"/>
        <v>-22999178536.567444</v>
      </c>
      <c r="M2848" s="471">
        <f t="shared" si="159"/>
        <v>0.05</v>
      </c>
      <c r="N2848" s="475">
        <f t="shared" si="160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58"/>
        <v>-22999178536.567444</v>
      </c>
      <c r="J2849" s="455">
        <f t="array" ref="J2849">IFERROR(INDEX('Retirement Calculator'!J:J,MATCH('Isaac 401k'!N2849,'Retirement Calculator'!A:A,0),0),0)</f>
        <v>0</v>
      </c>
      <c r="K2849" s="455">
        <f t="shared" ca="1" si="156"/>
        <v>-95829910.569031015</v>
      </c>
      <c r="L2849" s="455">
        <f t="shared" ca="1" si="157"/>
        <v>-23095008447.136475</v>
      </c>
      <c r="M2849" s="471">
        <f t="shared" si="159"/>
        <v>0.05</v>
      </c>
      <c r="N2849" s="475">
        <f t="shared" si="160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58"/>
        <v>-23095008447.136475</v>
      </c>
      <c r="J2850" s="455">
        <f t="array" ref="J2850">IFERROR(INDEX('Retirement Calculator'!J:J,MATCH('Isaac 401k'!N2850,'Retirement Calculator'!A:A,0),0),0)</f>
        <v>0</v>
      </c>
      <c r="K2850" s="455">
        <f t="shared" ca="1" si="156"/>
        <v>-96229201.86306864</v>
      </c>
      <c r="L2850" s="455">
        <f t="shared" ca="1" si="157"/>
        <v>-23191237648.999542</v>
      </c>
      <c r="M2850" s="471">
        <f t="shared" si="159"/>
        <v>0.05</v>
      </c>
      <c r="N2850" s="475">
        <f t="shared" si="160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58"/>
        <v>-23191237648.999542</v>
      </c>
      <c r="J2851" s="455">
        <f t="array" ref="J2851">IFERROR(INDEX('Retirement Calculator'!J:J,MATCH('Isaac 401k'!N2851,'Retirement Calculator'!A:A,0),0),0)</f>
        <v>0</v>
      </c>
      <c r="K2851" s="455">
        <f t="shared" ca="1" si="156"/>
        <v>-96630156.87083143</v>
      </c>
      <c r="L2851" s="455">
        <f t="shared" ca="1" si="157"/>
        <v>-23287867805.870373</v>
      </c>
      <c r="M2851" s="471">
        <f t="shared" si="159"/>
        <v>0.05</v>
      </c>
      <c r="N2851" s="475">
        <f t="shared" si="160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58"/>
        <v>-23287867805.870373</v>
      </c>
      <c r="J2852" s="455">
        <f t="array" ref="J2852">IFERROR(INDEX('Retirement Calculator'!J:J,MATCH('Isaac 401k'!N2852,'Retirement Calculator'!A:A,0),0),0)</f>
        <v>0</v>
      </c>
      <c r="K2852" s="455">
        <f t="shared" ca="1" si="156"/>
        <v>-97032782.524459884</v>
      </c>
      <c r="L2852" s="455">
        <f t="shared" ca="1" si="157"/>
        <v>-23384900588.394833</v>
      </c>
      <c r="M2852" s="471">
        <f t="shared" si="159"/>
        <v>0.05</v>
      </c>
      <c r="N2852" s="475">
        <f t="shared" si="160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58"/>
        <v>-23384900588.394833</v>
      </c>
      <c r="J2853" s="455">
        <f t="array" ref="J2853">IFERROR(INDEX('Retirement Calculator'!J:J,MATCH('Isaac 401k'!N2853,'Retirement Calculator'!A:A,0),0),0)</f>
        <v>0</v>
      </c>
      <c r="K2853" s="455">
        <f t="shared" ca="1" si="156"/>
        <v>-97437085.784978464</v>
      </c>
      <c r="L2853" s="455">
        <f t="shared" ca="1" si="157"/>
        <v>-23482337674.17981</v>
      </c>
      <c r="M2853" s="471">
        <f t="shared" si="159"/>
        <v>0.05</v>
      </c>
      <c r="N2853" s="475">
        <f t="shared" si="160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58"/>
        <v>-23482337674.17981</v>
      </c>
      <c r="J2854" s="455">
        <f t="array" ref="J2854">IFERROR(INDEX('Retirement Calculator'!J:J,MATCH('Isaac 401k'!N2854,'Retirement Calculator'!A:A,0),0),0)</f>
        <v>0</v>
      </c>
      <c r="K2854" s="455">
        <f t="shared" ca="1" si="156"/>
        <v>-97843073.642415866</v>
      </c>
      <c r="L2854" s="455">
        <f t="shared" ca="1" si="157"/>
        <v>-23580180747.822224</v>
      </c>
      <c r="M2854" s="471">
        <f t="shared" si="159"/>
        <v>0.05</v>
      </c>
      <c r="N2854" s="475">
        <f t="shared" si="160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58"/>
        <v>-23580180747.822224</v>
      </c>
      <c r="J2855" s="455">
        <f t="array" ref="J2855">IFERROR(INDEX('Retirement Calculator'!J:J,MATCH('Isaac 401k'!N2855,'Retirement Calculator'!A:A,0),0),0)</f>
        <v>0</v>
      </c>
      <c r="K2855" s="455">
        <f t="shared" ca="1" si="156"/>
        <v>-98250753.115925938</v>
      </c>
      <c r="L2855" s="455">
        <f t="shared" ca="1" si="157"/>
        <v>-23678431500.938148</v>
      </c>
      <c r="M2855" s="471">
        <f t="shared" si="159"/>
        <v>0.05</v>
      </c>
      <c r="N2855" s="475">
        <f t="shared" si="160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58"/>
        <v>-23678431500.938148</v>
      </c>
      <c r="J2856" s="455">
        <f t="array" ref="J2856">IFERROR(INDEX('Retirement Calculator'!J:J,MATCH('Isaac 401k'!N2856,'Retirement Calculator'!A:A,0),0),0)</f>
        <v>0</v>
      </c>
      <c r="K2856" s="455">
        <f t="shared" ca="1" si="156"/>
        <v>-98660131.253908947</v>
      </c>
      <c r="L2856" s="455">
        <f t="shared" ca="1" si="157"/>
        <v>-23777091632.192059</v>
      </c>
      <c r="M2856" s="471">
        <f t="shared" si="159"/>
        <v>0.05</v>
      </c>
      <c r="N2856" s="475">
        <f t="shared" si="160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58"/>
        <v>-23777091632.192059</v>
      </c>
      <c r="J2857" s="455">
        <f t="array" ref="J2857">IFERROR(INDEX('Retirement Calculator'!J:J,MATCH('Isaac 401k'!N2857,'Retirement Calculator'!A:A,0),0),0)</f>
        <v>0</v>
      </c>
      <c r="K2857" s="455">
        <f t="shared" ca="1" si="156"/>
        <v>-99071215.134133577</v>
      </c>
      <c r="L2857" s="455">
        <f t="shared" ca="1" si="157"/>
        <v>-23876162847.326191</v>
      </c>
      <c r="M2857" s="471">
        <f t="shared" si="159"/>
        <v>0.05</v>
      </c>
      <c r="N2857" s="475">
        <f t="shared" si="160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58"/>
        <v>-23876162847.326191</v>
      </c>
      <c r="J2858" s="455">
        <f t="array" ref="J2858">IFERROR(INDEX('Retirement Calculator'!J:J,MATCH('Isaac 401k'!N2858,'Retirement Calculator'!A:A,0),0),0)</f>
        <v>0</v>
      </c>
      <c r="K2858" s="455">
        <f t="shared" ca="1" si="156"/>
        <v>-99484011.863859132</v>
      </c>
      <c r="L2858" s="455">
        <f t="shared" ca="1" si="157"/>
        <v>-23975646859.190048</v>
      </c>
      <c r="M2858" s="471">
        <f t="shared" si="159"/>
        <v>0.05</v>
      </c>
      <c r="N2858" s="475">
        <f t="shared" si="160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58"/>
        <v>-23975646859.190048</v>
      </c>
      <c r="J2859" s="455">
        <f t="array" ref="J2859">IFERROR(INDEX('Retirement Calculator'!J:J,MATCH('Isaac 401k'!N2859,'Retirement Calculator'!A:A,0),0),0)</f>
        <v>0</v>
      </c>
      <c r="K2859" s="455">
        <f t="shared" ca="1" si="156"/>
        <v>-99898528.579958528</v>
      </c>
      <c r="L2859" s="455">
        <f t="shared" ca="1" si="157"/>
        <v>-24075545387.770008</v>
      </c>
      <c r="M2859" s="471">
        <f t="shared" si="159"/>
        <v>0.05</v>
      </c>
      <c r="N2859" s="475">
        <f t="shared" si="160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58"/>
        <v>-24075545387.770008</v>
      </c>
      <c r="J2860" s="455">
        <f t="array" ref="J2860">IFERROR(INDEX('Retirement Calculator'!J:J,MATCH('Isaac 401k'!N2860,'Retirement Calculator'!A:A,0),0),0)</f>
        <v>0</v>
      </c>
      <c r="K2860" s="455">
        <f t="shared" ca="1" si="156"/>
        <v>-100314772.44904169</v>
      </c>
      <c r="L2860" s="455">
        <f t="shared" ca="1" si="157"/>
        <v>-24175860160.219051</v>
      </c>
      <c r="M2860" s="471">
        <f t="shared" si="159"/>
        <v>0.05</v>
      </c>
      <c r="N2860" s="475">
        <f t="shared" si="160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58"/>
        <v>-24175860160.219051</v>
      </c>
      <c r="J2861" s="455">
        <f t="array" ref="J2861">IFERROR(INDEX('Retirement Calculator'!J:J,MATCH('Isaac 401k'!N2861,'Retirement Calculator'!A:A,0),0),0)</f>
        <v>0</v>
      </c>
      <c r="K2861" s="455">
        <f t="shared" ca="1" si="156"/>
        <v>-100732750.66757938</v>
      </c>
      <c r="L2861" s="455">
        <f t="shared" ca="1" si="157"/>
        <v>-24276592910.886631</v>
      </c>
      <c r="M2861" s="471">
        <f t="shared" si="159"/>
        <v>0.05</v>
      </c>
      <c r="N2861" s="475">
        <f t="shared" si="160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58"/>
        <v>-24276592910.886631</v>
      </c>
      <c r="J2862" s="455">
        <f t="array" ref="J2862">IFERROR(INDEX('Retirement Calculator'!J:J,MATCH('Isaac 401k'!N2862,'Retirement Calculator'!A:A,0),0),0)</f>
        <v>0</v>
      </c>
      <c r="K2862" s="455">
        <f t="shared" ca="1" si="156"/>
        <v>-101152470.46202762</v>
      </c>
      <c r="L2862" s="455">
        <f t="shared" ca="1" si="157"/>
        <v>-24377745381.34866</v>
      </c>
      <c r="M2862" s="471">
        <f t="shared" si="159"/>
        <v>0.05</v>
      </c>
      <c r="N2862" s="475">
        <f t="shared" si="160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58"/>
        <v>-24377745381.34866</v>
      </c>
      <c r="J2863" s="455">
        <f t="array" ref="J2863">IFERROR(INDEX('Retirement Calculator'!J:J,MATCH('Isaac 401k'!N2863,'Retirement Calculator'!A:A,0),0),0)</f>
        <v>0</v>
      </c>
      <c r="K2863" s="455">
        <f t="shared" ca="1" si="156"/>
        <v>-101573939.08895275</v>
      </c>
      <c r="L2863" s="455">
        <f t="shared" ca="1" si="157"/>
        <v>-24479319320.437611</v>
      </c>
      <c r="M2863" s="471">
        <f t="shared" si="159"/>
        <v>0.05</v>
      </c>
      <c r="N2863" s="475">
        <f t="shared" si="160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58"/>
        <v>-24479319320.437611</v>
      </c>
      <c r="J2864" s="455">
        <f t="array" ref="J2864">IFERROR(INDEX('Retirement Calculator'!J:J,MATCH('Isaac 401k'!N2864,'Retirement Calculator'!A:A,0),0),0)</f>
        <v>0</v>
      </c>
      <c r="K2864" s="455">
        <f t="shared" ca="1" si="156"/>
        <v>-101997163.83515671</v>
      </c>
      <c r="L2864" s="455">
        <f t="shared" ca="1" si="157"/>
        <v>-24581316484.272766</v>
      </c>
      <c r="M2864" s="471">
        <f t="shared" si="159"/>
        <v>0.05</v>
      </c>
      <c r="N2864" s="475">
        <f t="shared" si="160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58"/>
        <v>-24581316484.272766</v>
      </c>
      <c r="J2865" s="455">
        <f t="array" ref="J2865">IFERROR(INDEX('Retirement Calculator'!J:J,MATCH('Isaac 401k'!N2865,'Retirement Calculator'!A:A,0),0),0)</f>
        <v>0</v>
      </c>
      <c r="K2865" s="455">
        <f t="shared" ca="1" si="156"/>
        <v>-102422152.01780319</v>
      </c>
      <c r="L2865" s="455">
        <f t="shared" ca="1" si="157"/>
        <v>-24683738636.290569</v>
      </c>
      <c r="M2865" s="471">
        <f t="shared" si="159"/>
        <v>0.05</v>
      </c>
      <c r="N2865" s="475">
        <f t="shared" si="160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58"/>
        <v>-24683738636.290569</v>
      </c>
      <c r="J2866" s="455">
        <f t="array" ref="J2866">IFERROR(INDEX('Retirement Calculator'!J:J,MATCH('Isaac 401k'!N2866,'Retirement Calculator'!A:A,0),0),0)</f>
        <v>0</v>
      </c>
      <c r="K2866" s="455">
        <f t="shared" ca="1" si="156"/>
        <v>-102848910.98454404</v>
      </c>
      <c r="L2866" s="455">
        <f t="shared" ca="1" si="157"/>
        <v>-24786587547.275112</v>
      </c>
      <c r="M2866" s="471">
        <f t="shared" si="159"/>
        <v>0.05</v>
      </c>
      <c r="N2866" s="475">
        <f t="shared" si="160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58"/>
        <v>-24786587547.275112</v>
      </c>
      <c r="J2867" s="455">
        <f t="array" ref="J2867">IFERROR(INDEX('Retirement Calculator'!J:J,MATCH('Isaac 401k'!N2867,'Retirement Calculator'!A:A,0),0),0)</f>
        <v>0</v>
      </c>
      <c r="K2867" s="455">
        <f t="shared" ca="1" si="156"/>
        <v>-103277448.1136463</v>
      </c>
      <c r="L2867" s="455">
        <f t="shared" ca="1" si="157"/>
        <v>-24889864995.38876</v>
      </c>
      <c r="M2867" s="471">
        <f t="shared" si="159"/>
        <v>0.05</v>
      </c>
      <c r="N2867" s="475">
        <f t="shared" si="160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58"/>
        <v>-24889864995.38876</v>
      </c>
      <c r="J2868" s="455">
        <f t="array" ref="J2868">IFERROR(INDEX('Retirement Calculator'!J:J,MATCH('Isaac 401k'!N2868,'Retirement Calculator'!A:A,0),0),0)</f>
        <v>0</v>
      </c>
      <c r="K2868" s="455">
        <f t="shared" ca="1" si="156"/>
        <v>-103707770.81411983</v>
      </c>
      <c r="L2868" s="455">
        <f t="shared" ca="1" si="157"/>
        <v>-24993572766.202881</v>
      </c>
      <c r="M2868" s="471">
        <f t="shared" si="159"/>
        <v>0.05</v>
      </c>
      <c r="N2868" s="475">
        <f t="shared" si="160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58"/>
        <v>-24993572766.202881</v>
      </c>
      <c r="J2869" s="455">
        <f t="array" ref="J2869">IFERROR(INDEX('Retirement Calculator'!J:J,MATCH('Isaac 401k'!N2869,'Retirement Calculator'!A:A,0),0),0)</f>
        <v>0</v>
      </c>
      <c r="K2869" s="455">
        <f t="shared" ca="1" si="156"/>
        <v>-104139886.52584533</v>
      </c>
      <c r="L2869" s="455">
        <f t="shared" ca="1" si="157"/>
        <v>-25097712652.728725</v>
      </c>
      <c r="M2869" s="471">
        <f t="shared" si="159"/>
        <v>0.05</v>
      </c>
      <c r="N2869" s="475">
        <f t="shared" si="160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58"/>
        <v>-25097712652.728725</v>
      </c>
      <c r="J2870" s="455">
        <f t="array" ref="J2870">IFERROR(INDEX('Retirement Calculator'!J:J,MATCH('Isaac 401k'!N2870,'Retirement Calculator'!A:A,0),0),0)</f>
        <v>0</v>
      </c>
      <c r="K2870" s="455">
        <f t="shared" ca="1" si="156"/>
        <v>-104573802.71970302</v>
      </c>
      <c r="L2870" s="455">
        <f t="shared" ca="1" si="157"/>
        <v>-25202286455.448429</v>
      </c>
      <c r="M2870" s="471">
        <f t="shared" si="159"/>
        <v>0.05</v>
      </c>
      <c r="N2870" s="475">
        <f t="shared" si="160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58"/>
        <v>-25202286455.448429</v>
      </c>
      <c r="J2871" s="455">
        <f t="array" ref="J2871">IFERROR(INDEX('Retirement Calculator'!J:J,MATCH('Isaac 401k'!N2871,'Retirement Calculator'!A:A,0),0),0)</f>
        <v>0</v>
      </c>
      <c r="K2871" s="455">
        <f t="shared" ca="1" si="156"/>
        <v>-105009526.89770178</v>
      </c>
      <c r="L2871" s="455">
        <f t="shared" ca="1" si="157"/>
        <v>-25307295982.34613</v>
      </c>
      <c r="M2871" s="471">
        <f t="shared" si="159"/>
        <v>0.05</v>
      </c>
      <c r="N2871" s="475">
        <f t="shared" si="160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58"/>
        <v>-25307295982.34613</v>
      </c>
      <c r="J2872" s="455">
        <f t="array" ref="J2872">IFERROR(INDEX('Retirement Calculator'!J:J,MATCH('Isaac 401k'!N2872,'Retirement Calculator'!A:A,0),0),0)</f>
        <v>0</v>
      </c>
      <c r="K2872" s="455">
        <f t="shared" ca="1" si="156"/>
        <v>-105447066.59310888</v>
      </c>
      <c r="L2872" s="455">
        <f t="shared" ca="1" si="157"/>
        <v>-25412743048.93924</v>
      </c>
      <c r="M2872" s="471">
        <f t="shared" si="159"/>
        <v>0.05</v>
      </c>
      <c r="N2872" s="475">
        <f t="shared" si="160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58"/>
        <v>-25412743048.93924</v>
      </c>
      <c r="J2873" s="455">
        <f t="array" ref="J2873">IFERROR(INDEX('Retirement Calculator'!J:J,MATCH('Isaac 401k'!N2873,'Retirement Calculator'!A:A,0),0),0)</f>
        <v>0</v>
      </c>
      <c r="K2873" s="455">
        <f t="shared" ca="1" si="156"/>
        <v>-105886429.37058017</v>
      </c>
      <c r="L2873" s="455">
        <f t="shared" ca="1" si="157"/>
        <v>-25518629478.309818</v>
      </c>
      <c r="M2873" s="471">
        <f t="shared" si="159"/>
        <v>0.05</v>
      </c>
      <c r="N2873" s="475">
        <f t="shared" si="160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58"/>
        <v>-25518629478.309818</v>
      </c>
      <c r="J2874" s="455">
        <f t="array" ref="J2874">IFERROR(INDEX('Retirement Calculator'!J:J,MATCH('Isaac 401k'!N2874,'Retirement Calculator'!A:A,0),0),0)</f>
        <v>0</v>
      </c>
      <c r="K2874" s="455">
        <f t="shared" ca="1" si="156"/>
        <v>-106327622.82629091</v>
      </c>
      <c r="L2874" s="455">
        <f t="shared" ca="1" si="157"/>
        <v>-25624957101.136108</v>
      </c>
      <c r="M2874" s="471">
        <f t="shared" si="159"/>
        <v>0.05</v>
      </c>
      <c r="N2874" s="475">
        <f t="shared" si="160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58"/>
        <v>-25624957101.136108</v>
      </c>
      <c r="J2875" s="455">
        <f t="array" ref="J2875">IFERROR(INDEX('Retirement Calculator'!J:J,MATCH('Isaac 401k'!N2875,'Retirement Calculator'!A:A,0),0),0)</f>
        <v>0</v>
      </c>
      <c r="K2875" s="455">
        <f t="shared" ca="1" si="156"/>
        <v>-106770654.58806711</v>
      </c>
      <c r="L2875" s="455">
        <f t="shared" ca="1" si="157"/>
        <v>-25731727755.724174</v>
      </c>
      <c r="M2875" s="471">
        <f t="shared" si="159"/>
        <v>0.05</v>
      </c>
      <c r="N2875" s="475">
        <f t="shared" si="160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58"/>
        <v>-25731727755.724174</v>
      </c>
      <c r="J2876" s="455">
        <f t="array" ref="J2876">IFERROR(INDEX('Retirement Calculator'!J:J,MATCH('Isaac 401k'!N2876,'Retirement Calculator'!A:A,0),0),0)</f>
        <v>0</v>
      </c>
      <c r="K2876" s="455">
        <f t="shared" ca="1" si="156"/>
        <v>-107215532.3155174</v>
      </c>
      <c r="L2876" s="455">
        <f t="shared" ca="1" si="157"/>
        <v>-25838943288.039692</v>
      </c>
      <c r="M2876" s="471">
        <f t="shared" si="159"/>
        <v>0.05</v>
      </c>
      <c r="N2876" s="475">
        <f t="shared" si="160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58"/>
        <v>-25838943288.039692</v>
      </c>
      <c r="J2877" s="455">
        <f t="array" ref="J2877">IFERROR(INDEX('Retirement Calculator'!J:J,MATCH('Isaac 401k'!N2877,'Retirement Calculator'!A:A,0),0),0)</f>
        <v>0</v>
      </c>
      <c r="K2877" s="455">
        <f t="shared" ca="1" si="156"/>
        <v>-107662263.70016538</v>
      </c>
      <c r="L2877" s="455">
        <f t="shared" ca="1" si="157"/>
        <v>-25946605551.739857</v>
      </c>
      <c r="M2877" s="471">
        <f t="shared" si="159"/>
        <v>0.05</v>
      </c>
      <c r="N2877" s="475">
        <f t="shared" si="160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58"/>
        <v>-25946605551.739857</v>
      </c>
      <c r="J2878" s="455">
        <f t="array" ref="J2878">IFERROR(INDEX('Retirement Calculator'!J:J,MATCH('Isaac 401k'!N2878,'Retirement Calculator'!A:A,0),0),0)</f>
        <v>0</v>
      </c>
      <c r="K2878" s="455">
        <f t="shared" ca="1" si="156"/>
        <v>-108110856.46558273</v>
      </c>
      <c r="L2878" s="455">
        <f t="shared" ca="1" si="157"/>
        <v>-26054716408.205441</v>
      </c>
      <c r="M2878" s="471">
        <f t="shared" si="159"/>
        <v>0.05</v>
      </c>
      <c r="N2878" s="475">
        <f t="shared" si="160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58"/>
        <v>-26054716408.205441</v>
      </c>
      <c r="J2879" s="455">
        <f t="array" ref="J2879">IFERROR(INDEX('Retirement Calculator'!J:J,MATCH('Isaac 401k'!N2879,'Retirement Calculator'!A:A,0),0),0)</f>
        <v>0</v>
      </c>
      <c r="K2879" s="455">
        <f t="shared" ca="1" si="156"/>
        <v>-108561318.36752267</v>
      </c>
      <c r="L2879" s="455">
        <f t="shared" ca="1" si="157"/>
        <v>-26163277726.572964</v>
      </c>
      <c r="M2879" s="471">
        <f t="shared" si="159"/>
        <v>0.05</v>
      </c>
      <c r="N2879" s="475">
        <f t="shared" si="160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58"/>
        <v>-26163277726.572964</v>
      </c>
      <c r="J2880" s="455">
        <f t="array" ref="J2880">IFERROR(INDEX('Retirement Calculator'!J:J,MATCH('Isaac 401k'!N2880,'Retirement Calculator'!A:A,0),0),0)</f>
        <v>0</v>
      </c>
      <c r="K2880" s="455">
        <f t="shared" ca="1" si="156"/>
        <v>-109013657.19405401</v>
      </c>
      <c r="L2880" s="455">
        <f t="shared" ca="1" si="157"/>
        <v>-26272291383.767017</v>
      </c>
      <c r="M2880" s="471">
        <f t="shared" si="159"/>
        <v>0.05</v>
      </c>
      <c r="N2880" s="475">
        <f t="shared" si="160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58"/>
        <v>-26272291383.767017</v>
      </c>
      <c r="J2881" s="455">
        <f t="array" ref="J2881">IFERROR(INDEX('Retirement Calculator'!J:J,MATCH('Isaac 401k'!N2881,'Retirement Calculator'!A:A,0),0),0)</f>
        <v>0</v>
      </c>
      <c r="K2881" s="455">
        <f t="shared" ca="1" si="156"/>
        <v>-109467880.7656959</v>
      </c>
      <c r="L2881" s="455">
        <f t="shared" ca="1" si="157"/>
        <v>-26381759264.532715</v>
      </c>
      <c r="M2881" s="471">
        <f t="shared" si="159"/>
        <v>0.05</v>
      </c>
      <c r="N2881" s="475">
        <f t="shared" si="160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58"/>
        <v>-26381759264.532715</v>
      </c>
      <c r="J2882" s="455">
        <f t="array" ref="J2882">IFERROR(INDEX('Retirement Calculator'!J:J,MATCH('Isaac 401k'!N2882,'Retirement Calculator'!A:A,0),0),0)</f>
        <v>0</v>
      </c>
      <c r="K2882" s="455">
        <f t="shared" ca="1" si="156"/>
        <v>-109923996.93555297</v>
      </c>
      <c r="L2882" s="455">
        <f t="shared" ca="1" si="157"/>
        <v>-26491683261.468269</v>
      </c>
      <c r="M2882" s="471">
        <f t="shared" si="159"/>
        <v>0.05</v>
      </c>
      <c r="N2882" s="475">
        <f t="shared" si="160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58"/>
        <v>-26491683261.468269</v>
      </c>
      <c r="J2883" s="455">
        <f t="array" ref="J2883">IFERROR(INDEX('Retirement Calculator'!J:J,MATCH('Isaac 401k'!N2883,'Retirement Calculator'!A:A,0),0),0)</f>
        <v>0</v>
      </c>
      <c r="K2883" s="455">
        <f t="shared" ca="1" si="156"/>
        <v>-110382013.58945112</v>
      </c>
      <c r="L2883" s="455">
        <f t="shared" ca="1" si="157"/>
        <v>-26602065275.05772</v>
      </c>
      <c r="M2883" s="471">
        <f t="shared" si="159"/>
        <v>0.05</v>
      </c>
      <c r="N2883" s="475">
        <f t="shared" si="160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58"/>
        <v>-26602065275.05772</v>
      </c>
      <c r="J2884" s="455">
        <f t="array" ref="J2884">IFERROR(INDEX('Retirement Calculator'!J:J,MATCH('Isaac 401k'!N2884,'Retirement Calculator'!A:A,0),0),0)</f>
        <v>0</v>
      </c>
      <c r="K2884" s="455">
        <f t="shared" ca="1" si="156"/>
        <v>-110841938.64607383</v>
      </c>
      <c r="L2884" s="455">
        <f t="shared" ca="1" si="157"/>
        <v>-26712907213.703793</v>
      </c>
      <c r="M2884" s="471">
        <f t="shared" si="159"/>
        <v>0.05</v>
      </c>
      <c r="N2884" s="475">
        <f t="shared" si="160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58"/>
        <v>-26712907213.703793</v>
      </c>
      <c r="J2885" s="455">
        <f t="array" ref="J2885">IFERROR(INDEX('Retirement Calculator'!J:J,MATCH('Isaac 401k'!N2885,'Retirement Calculator'!A:A,0),0),0)</f>
        <v>0</v>
      </c>
      <c r="K2885" s="455">
        <f t="shared" ca="1" si="156"/>
        <v>-111303780.05709913</v>
      </c>
      <c r="L2885" s="455">
        <f t="shared" ca="1" si="157"/>
        <v>-26824210993.760891</v>
      </c>
      <c r="M2885" s="471">
        <f t="shared" si="159"/>
        <v>0.05</v>
      </c>
      <c r="N2885" s="475">
        <f t="shared" si="160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58"/>
        <v>-26824210993.760891</v>
      </c>
      <c r="J2886" s="455">
        <f t="array" ref="J2886">IFERROR(INDEX('Retirement Calculator'!J:J,MATCH('Isaac 401k'!N2886,'Retirement Calculator'!A:A,0),0),0)</f>
        <v>0</v>
      </c>
      <c r="K2886" s="455">
        <f t="shared" ca="1" si="156"/>
        <v>-111767545.80733703</v>
      </c>
      <c r="L2886" s="455">
        <f t="shared" ca="1" si="157"/>
        <v>-26935978539.56823</v>
      </c>
      <c r="M2886" s="471">
        <f t="shared" si="159"/>
        <v>0.05</v>
      </c>
      <c r="N2886" s="475">
        <f t="shared" si="160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58"/>
        <v>-26935978539.56823</v>
      </c>
      <c r="J2887" s="455">
        <f t="array" ref="J2887">IFERROR(INDEX('Retirement Calculator'!J:J,MATCH('Isaac 401k'!N2887,'Retirement Calculator'!A:A,0),0),0)</f>
        <v>0</v>
      </c>
      <c r="K2887" s="455">
        <f t="shared" ca="1" si="156"/>
        <v>-112233243.91486761</v>
      </c>
      <c r="L2887" s="455">
        <f t="shared" ca="1" si="157"/>
        <v>-27048211783.483097</v>
      </c>
      <c r="M2887" s="471">
        <f t="shared" si="159"/>
        <v>0.05</v>
      </c>
      <c r="N2887" s="475">
        <f t="shared" si="160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58"/>
        <v>-27048211783.483097</v>
      </c>
      <c r="J2888" s="455">
        <f t="array" ref="J2888">IFERROR(INDEX('Retirement Calculator'!J:J,MATCH('Isaac 401k'!N2888,'Retirement Calculator'!A:A,0),0),0)</f>
        <v>0</v>
      </c>
      <c r="K2888" s="455">
        <f t="shared" ca="1" si="156"/>
        <v>-112700882.43117957</v>
      </c>
      <c r="L2888" s="455">
        <f t="shared" ca="1" si="157"/>
        <v>-27160912665.914276</v>
      </c>
      <c r="M2888" s="471">
        <f t="shared" si="159"/>
        <v>0.05</v>
      </c>
      <c r="N2888" s="475">
        <f t="shared" si="160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58"/>
        <v>-27160912665.914276</v>
      </c>
      <c r="J2889" s="455">
        <f t="array" ref="J2889">IFERROR(INDEX('Retirement Calculator'!J:J,MATCH('Isaac 401k'!N2889,'Retirement Calculator'!A:A,0),0),0)</f>
        <v>0</v>
      </c>
      <c r="K2889" s="455">
        <f t="shared" ca="1" si="156"/>
        <v>-113170469.44130948</v>
      </c>
      <c r="L2889" s="455">
        <f t="shared" ca="1" si="157"/>
        <v>-27274083135.355587</v>
      </c>
      <c r="M2889" s="471">
        <f t="shared" si="159"/>
        <v>0.05</v>
      </c>
      <c r="N2889" s="475">
        <f t="shared" si="160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58"/>
        <v>-27274083135.355587</v>
      </c>
      <c r="J2890" s="455">
        <f t="array" ref="J2890">IFERROR(INDEX('Retirement Calculator'!J:J,MATCH('Isaac 401k'!N2890,'Retirement Calculator'!A:A,0),0),0)</f>
        <v>0</v>
      </c>
      <c r="K2890" s="455">
        <f t="shared" ca="1" si="156"/>
        <v>-113642013.06398161</v>
      </c>
      <c r="L2890" s="455">
        <f t="shared" ca="1" si="157"/>
        <v>-27387725148.419567</v>
      </c>
      <c r="M2890" s="471">
        <f t="shared" si="159"/>
        <v>0.05</v>
      </c>
      <c r="N2890" s="475">
        <f t="shared" si="160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58"/>
        <v>-27387725148.419567</v>
      </c>
      <c r="J2891" s="455">
        <f t="array" ref="J2891">IFERROR(INDEX('Retirement Calculator'!J:J,MATCH('Isaac 401k'!N2891,'Retirement Calculator'!A:A,0),0),0)</f>
        <v>0</v>
      </c>
      <c r="K2891" s="455">
        <f t="shared" ca="1" si="156"/>
        <v>-114115521.45174821</v>
      </c>
      <c r="L2891" s="455">
        <f t="shared" ca="1" si="157"/>
        <v>-27501840669.871315</v>
      </c>
      <c r="M2891" s="471">
        <f t="shared" si="159"/>
        <v>0.05</v>
      </c>
      <c r="N2891" s="475">
        <f t="shared" si="160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58"/>
        <v>-27501840669.871315</v>
      </c>
      <c r="J2892" s="455">
        <f t="array" ref="J2892">IFERROR(INDEX('Retirement Calculator'!J:J,MATCH('Isaac 401k'!N2892,'Retirement Calculator'!A:A,0),0),0)</f>
        <v>0</v>
      </c>
      <c r="K2892" s="455">
        <f t="shared" ca="1" si="156"/>
        <v>-114591002.79113048</v>
      </c>
      <c r="L2892" s="455">
        <f t="shared" ca="1" si="157"/>
        <v>-27616431672.662445</v>
      </c>
      <c r="M2892" s="471">
        <f t="shared" si="159"/>
        <v>0.05</v>
      </c>
      <c r="N2892" s="475">
        <f t="shared" si="160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58"/>
        <v>-27616431672.662445</v>
      </c>
      <c r="J2893" s="455">
        <f t="array" ref="J2893">IFERROR(INDEX('Retirement Calculator'!J:J,MATCH('Isaac 401k'!N2893,'Retirement Calculator'!A:A,0),0),0)</f>
        <v>0</v>
      </c>
      <c r="K2893" s="455">
        <f t="shared" ca="1" si="156"/>
        <v>-115068465.30276018</v>
      </c>
      <c r="L2893" s="455">
        <f t="shared" ca="1" si="157"/>
        <v>-27731500137.965206</v>
      </c>
      <c r="M2893" s="471">
        <f t="shared" si="159"/>
        <v>0.05</v>
      </c>
      <c r="N2893" s="475">
        <f t="shared" si="160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58"/>
        <v>-27731500137.965206</v>
      </c>
      <c r="J2894" s="455">
        <f t="array" ref="J2894">IFERROR(INDEX('Retirement Calculator'!J:J,MATCH('Isaac 401k'!N2894,'Retirement Calculator'!A:A,0),0),0)</f>
        <v>0</v>
      </c>
      <c r="K2894" s="455">
        <f t="shared" ca="1" si="156"/>
        <v>-115547917.2415217</v>
      </c>
      <c r="L2894" s="455">
        <f t="shared" ca="1" si="157"/>
        <v>-27847048055.206726</v>
      </c>
      <c r="M2894" s="471">
        <f t="shared" si="159"/>
        <v>0.05</v>
      </c>
      <c r="N2894" s="475">
        <f t="shared" si="160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58"/>
        <v>-27847048055.206726</v>
      </c>
      <c r="J2895" s="455">
        <f t="array" ref="J2895">IFERROR(INDEX('Retirement Calculator'!J:J,MATCH('Isaac 401k'!N2895,'Retirement Calculator'!A:A,0),0),0)</f>
        <v>0</v>
      </c>
      <c r="K2895" s="455">
        <f t="shared" ca="1" si="156"/>
        <v>-116029366.89669468</v>
      </c>
      <c r="L2895" s="455">
        <f t="shared" ca="1" si="157"/>
        <v>-27963077422.10342</v>
      </c>
      <c r="M2895" s="471">
        <f t="shared" si="159"/>
        <v>0.05</v>
      </c>
      <c r="N2895" s="475">
        <f t="shared" si="160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58"/>
        <v>-27963077422.10342</v>
      </c>
      <c r="J2896" s="455">
        <f t="array" ref="J2896">IFERROR(INDEX('Retirement Calculator'!J:J,MATCH('Isaac 401k'!N2896,'Retirement Calculator'!A:A,0),0),0)</f>
        <v>0</v>
      </c>
      <c r="K2896" s="455">
        <f t="shared" ca="1" si="156"/>
        <v>-116512822.59209757</v>
      </c>
      <c r="L2896" s="455">
        <f t="shared" ca="1" si="157"/>
        <v>-28079590244.695518</v>
      </c>
      <c r="M2896" s="471">
        <f t="shared" si="159"/>
        <v>0.05</v>
      </c>
      <c r="N2896" s="475">
        <f t="shared" si="160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58"/>
        <v>-28079590244.695518</v>
      </c>
      <c r="J2897" s="455">
        <f t="array" ref="J2897">IFERROR(INDEX('Retirement Calculator'!J:J,MATCH('Isaac 401k'!N2897,'Retirement Calculator'!A:A,0),0),0)</f>
        <v>0</v>
      </c>
      <c r="K2897" s="455">
        <f t="shared" ca="1" si="156"/>
        <v>-116998292.68623132</v>
      </c>
      <c r="L2897" s="455">
        <f t="shared" ca="1" si="157"/>
        <v>-28196588537.381748</v>
      </c>
      <c r="M2897" s="471">
        <f t="shared" si="159"/>
        <v>0.05</v>
      </c>
      <c r="N2897" s="475">
        <f t="shared" si="160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58"/>
        <v>-28196588537.381748</v>
      </c>
      <c r="J2898" s="455">
        <f t="array" ref="J2898">IFERROR(INDEX('Retirement Calculator'!J:J,MATCH('Isaac 401k'!N2898,'Retirement Calculator'!A:A,0),0),0)</f>
        <v>0</v>
      </c>
      <c r="K2898" s="455">
        <f t="shared" ca="1" si="156"/>
        <v>-117485785.57242393</v>
      </c>
      <c r="L2898" s="455">
        <f t="shared" ca="1" si="157"/>
        <v>-28314074322.95417</v>
      </c>
      <c r="M2898" s="471">
        <f t="shared" si="159"/>
        <v>0.05</v>
      </c>
      <c r="N2898" s="475">
        <f t="shared" si="160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58"/>
        <v>-28314074322.95417</v>
      </c>
      <c r="J2899" s="455">
        <f t="array" ref="J2899">IFERROR(INDEX('Retirement Calculator'!J:J,MATCH('Isaac 401k'!N2899,'Retirement Calculator'!A:A,0),0),0)</f>
        <v>0</v>
      </c>
      <c r="K2899" s="455">
        <f t="shared" ca="1" si="156"/>
        <v>-117975309.6789757</v>
      </c>
      <c r="L2899" s="455">
        <f t="shared" ca="1" si="157"/>
        <v>-28432049632.633144</v>
      </c>
      <c r="M2899" s="471">
        <f t="shared" si="159"/>
        <v>0.05</v>
      </c>
      <c r="N2899" s="475">
        <f t="shared" si="160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58"/>
        <v>-28432049632.633144</v>
      </c>
      <c r="J2900" s="455">
        <f t="array" ref="J2900">IFERROR(INDEX('Retirement Calculator'!J:J,MATCH('Isaac 401k'!N2900,'Retirement Calculator'!A:A,0),0),0)</f>
        <v>0</v>
      </c>
      <c r="K2900" s="455">
        <f t="shared" ca="1" si="156"/>
        <v>-118466873.46930477</v>
      </c>
      <c r="L2900" s="455">
        <f t="shared" ca="1" si="157"/>
        <v>-28550516506.102448</v>
      </c>
      <c r="M2900" s="471">
        <f t="shared" si="159"/>
        <v>0.05</v>
      </c>
      <c r="N2900" s="475">
        <f t="shared" si="160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58"/>
        <v>-28550516506.102448</v>
      </c>
      <c r="J2901" s="455">
        <f t="array" ref="J2901">IFERROR(INDEX('Retirement Calculator'!J:J,MATCH('Isaac 401k'!N2901,'Retirement Calculator'!A:A,0),0),0)</f>
        <v>0</v>
      </c>
      <c r="K2901" s="455">
        <f t="shared" ca="1" si="156"/>
        <v>-118960485.44209354</v>
      </c>
      <c r="L2901" s="455">
        <f t="shared" ca="1" si="157"/>
        <v>-28669476991.54454</v>
      </c>
      <c r="M2901" s="471">
        <f t="shared" si="159"/>
        <v>0.05</v>
      </c>
      <c r="N2901" s="475">
        <f t="shared" si="160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58"/>
        <v>-28669476991.54454</v>
      </c>
      <c r="J2902" s="455">
        <f t="array" ref="J2902">IFERROR(INDEX('Retirement Calculator'!J:J,MATCH('Isaac 401k'!N2902,'Retirement Calculator'!A:A,0),0),0)</f>
        <v>0</v>
      </c>
      <c r="K2902" s="455">
        <f t="shared" ca="1" si="156"/>
        <v>-119456154.13143557</v>
      </c>
      <c r="L2902" s="455">
        <f t="shared" ca="1" si="157"/>
        <v>-28788933145.675976</v>
      </c>
      <c r="M2902" s="471">
        <f t="shared" si="159"/>
        <v>0.05</v>
      </c>
      <c r="N2902" s="475">
        <f t="shared" si="160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58"/>
        <v>-28788933145.675976</v>
      </c>
      <c r="J2903" s="455">
        <f t="array" ref="J2903">IFERROR(INDEX('Retirement Calculator'!J:J,MATCH('Isaac 401k'!N2903,'Retirement Calculator'!A:A,0),0),0)</f>
        <v>0</v>
      </c>
      <c r="K2903" s="455">
        <f t="shared" ca="1" si="156"/>
        <v>-119953888.10698323</v>
      </c>
      <c r="L2903" s="455">
        <f t="shared" ca="1" si="157"/>
        <v>-28908887033.782959</v>
      </c>
      <c r="M2903" s="471">
        <f t="shared" si="159"/>
        <v>0.05</v>
      </c>
      <c r="N2903" s="475">
        <f t="shared" si="160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58"/>
        <v>-28908887033.782959</v>
      </c>
      <c r="J2904" s="455">
        <f t="array" ref="J2904">IFERROR(INDEX('Retirement Calculator'!J:J,MATCH('Isaac 401k'!N2904,'Retirement Calculator'!A:A,0),0),0)</f>
        <v>0</v>
      </c>
      <c r="K2904" s="455">
        <f t="shared" ca="1" si="156"/>
        <v>-120453695.97409564</v>
      </c>
      <c r="L2904" s="455">
        <f t="shared" ca="1" si="157"/>
        <v>-29029340729.757053</v>
      </c>
      <c r="M2904" s="471">
        <f t="shared" si="159"/>
        <v>0.05</v>
      </c>
      <c r="N2904" s="475">
        <f t="shared" si="160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58"/>
        <v>-29029340729.757053</v>
      </c>
      <c r="J2905" s="455">
        <f t="array" ref="J2905">IFERROR(INDEX('Retirement Calculator'!J:J,MATCH('Isaac 401k'!N2905,'Retirement Calculator'!A:A,0),0),0)</f>
        <v>0</v>
      </c>
      <c r="K2905" s="455">
        <f t="shared" ca="1" si="156"/>
        <v>-120955586.3739877</v>
      </c>
      <c r="L2905" s="455">
        <f t="shared" ca="1" si="157"/>
        <v>-29150296316.131042</v>
      </c>
      <c r="M2905" s="471">
        <f t="shared" si="159"/>
        <v>0.05</v>
      </c>
      <c r="N2905" s="475">
        <f t="shared" si="160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58"/>
        <v>-29150296316.131042</v>
      </c>
      <c r="J2906" s="455">
        <f t="array" ref="J2906">IFERROR(INDEX('Retirement Calculator'!J:J,MATCH('Isaac 401k'!N2906,'Retirement Calculator'!A:A,0),0),0)</f>
        <v>0</v>
      </c>
      <c r="K2906" s="455">
        <f t="shared" ca="1" si="156"/>
        <v>-121459567.98387936</v>
      </c>
      <c r="L2906" s="455">
        <f t="shared" ca="1" si="157"/>
        <v>-29271755884.114922</v>
      </c>
      <c r="M2906" s="471">
        <f t="shared" si="159"/>
        <v>0.05</v>
      </c>
      <c r="N2906" s="475">
        <f t="shared" si="160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58"/>
        <v>-29271755884.114922</v>
      </c>
      <c r="J2907" s="455">
        <f t="array" ref="J2907">IFERROR(INDEX('Retirement Calculator'!J:J,MATCH('Isaac 401k'!N2907,'Retirement Calculator'!A:A,0),0),0)</f>
        <v>0</v>
      </c>
      <c r="K2907" s="455">
        <f t="shared" ca="1" si="156"/>
        <v>-121965649.51714551</v>
      </c>
      <c r="L2907" s="455">
        <f t="shared" ca="1" si="157"/>
        <v>-29393721533.632069</v>
      </c>
      <c r="M2907" s="471">
        <f t="shared" si="159"/>
        <v>0.05</v>
      </c>
      <c r="N2907" s="475">
        <f t="shared" si="160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58"/>
        <v>-29393721533.632069</v>
      </c>
      <c r="J2908" s="455">
        <f t="array" ref="J2908">IFERROR(INDEX('Retirement Calculator'!J:J,MATCH('Isaac 401k'!N2908,'Retirement Calculator'!A:A,0),0),0)</f>
        <v>0</v>
      </c>
      <c r="K2908" s="455">
        <f t="shared" ca="1" si="156"/>
        <v>-122473839.72346696</v>
      </c>
      <c r="L2908" s="455">
        <f t="shared" ca="1" si="157"/>
        <v>-29516195373.355537</v>
      </c>
      <c r="M2908" s="471">
        <f t="shared" si="159"/>
        <v>0.05</v>
      </c>
      <c r="N2908" s="475">
        <f t="shared" si="160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58"/>
        <v>-29516195373.355537</v>
      </c>
      <c r="J2909" s="455">
        <f t="array" ref="J2909">IFERROR(INDEX('Retirement Calculator'!J:J,MATCH('Isaac 401k'!N2909,'Retirement Calculator'!A:A,0),0),0)</f>
        <v>0</v>
      </c>
      <c r="K2909" s="455">
        <f t="shared" ca="1" si="156"/>
        <v>-122984147.38898139</v>
      </c>
      <c r="L2909" s="455">
        <f t="shared" ca="1" si="157"/>
        <v>-29639179520.744518</v>
      </c>
      <c r="M2909" s="471">
        <f t="shared" si="159"/>
        <v>0.05</v>
      </c>
      <c r="N2909" s="475">
        <f t="shared" si="160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58"/>
        <v>-29639179520.744518</v>
      </c>
      <c r="J2910" s="455">
        <f t="array" ref="J2910">IFERROR(INDEX('Retirement Calculator'!J:J,MATCH('Isaac 401k'!N2910,'Retirement Calculator'!A:A,0),0),0)</f>
        <v>0</v>
      </c>
      <c r="K2910" s="455">
        <f t="shared" ca="1" si="156"/>
        <v>-123496581.3364355</v>
      </c>
      <c r="L2910" s="455">
        <f t="shared" ca="1" si="157"/>
        <v>-29762676102.080956</v>
      </c>
      <c r="M2910" s="471">
        <f t="shared" si="159"/>
        <v>0.05</v>
      </c>
      <c r="N2910" s="475">
        <f t="shared" si="160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58"/>
        <v>-29762676102.080956</v>
      </c>
      <c r="J2911" s="455">
        <f t="array" ref="J2911">IFERROR(INDEX('Retirement Calculator'!J:J,MATCH('Isaac 401k'!N2911,'Retirement Calculator'!A:A,0),0),0)</f>
        <v>0</v>
      </c>
      <c r="K2911" s="455">
        <f t="shared" ca="1" si="156"/>
        <v>-124011150.42533731</v>
      </c>
      <c r="L2911" s="455">
        <f t="shared" ca="1" si="157"/>
        <v>-29886687252.506294</v>
      </c>
      <c r="M2911" s="471">
        <f t="shared" si="159"/>
        <v>0.05</v>
      </c>
      <c r="N2911" s="475">
        <f t="shared" si="160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58"/>
        <v>-29886687252.506294</v>
      </c>
      <c r="J2912" s="455">
        <f t="array" ref="J2912">IFERROR(INDEX('Retirement Calculator'!J:J,MATCH('Isaac 401k'!N2912,'Retirement Calculator'!A:A,0),0),0)</f>
        <v>0</v>
      </c>
      <c r="K2912" s="455">
        <f t="shared" ca="1" si="156"/>
        <v>-124527863.55210955</v>
      </c>
      <c r="L2912" s="455">
        <f t="shared" ca="1" si="157"/>
        <v>-30011215116.058403</v>
      </c>
      <c r="M2912" s="471">
        <f t="shared" si="159"/>
        <v>0.05</v>
      </c>
      <c r="N2912" s="475">
        <f t="shared" si="160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58"/>
        <v>-30011215116.058403</v>
      </c>
      <c r="J2913" s="455">
        <f t="array" ref="J2913">IFERROR(INDEX('Retirement Calculator'!J:J,MATCH('Isaac 401k'!N2913,'Retirement Calculator'!A:A,0),0),0)</f>
        <v>0</v>
      </c>
      <c r="K2913" s="455">
        <f t="shared" ca="1" si="156"/>
        <v>-125046729.65024334</v>
      </c>
      <c r="L2913" s="455">
        <f t="shared" ca="1" si="157"/>
        <v>-30136261845.708645</v>
      </c>
      <c r="M2913" s="471">
        <f t="shared" si="159"/>
        <v>0.05</v>
      </c>
      <c r="N2913" s="475">
        <f t="shared" si="160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58"/>
        <v>-30136261845.708645</v>
      </c>
      <c r="J2914" s="455">
        <f t="array" ref="J2914">IFERROR(INDEX('Retirement Calculator'!J:J,MATCH('Isaac 401k'!N2914,'Retirement Calculator'!A:A,0),0),0)</f>
        <v>0</v>
      </c>
      <c r="K2914" s="455">
        <f t="shared" ca="1" si="156"/>
        <v>-125567757.69045268</v>
      </c>
      <c r="L2914" s="455">
        <f t="shared" ca="1" si="157"/>
        <v>-30261829603.399097</v>
      </c>
      <c r="M2914" s="471">
        <f t="shared" si="159"/>
        <v>0.05</v>
      </c>
      <c r="N2914" s="475">
        <f t="shared" si="160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58"/>
        <v>-30261829603.399097</v>
      </c>
      <c r="J2915" s="455">
        <f t="array" ref="J2915">IFERROR(INDEX('Retirement Calculator'!J:J,MATCH('Isaac 401k'!N2915,'Retirement Calculator'!A:A,0),0),0)</f>
        <v>0</v>
      </c>
      <c r="K2915" s="455">
        <f t="shared" ca="1" si="156"/>
        <v>-126090956.68082957</v>
      </c>
      <c r="L2915" s="455">
        <f t="shared" ca="1" si="157"/>
        <v>-30387920560.079926</v>
      </c>
      <c r="M2915" s="471">
        <f t="shared" si="159"/>
        <v>0.05</v>
      </c>
      <c r="N2915" s="475">
        <f t="shared" si="160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58"/>
        <v>-30387920560.079926</v>
      </c>
      <c r="J2916" s="455">
        <f t="array" ref="J2916">IFERROR(INDEX('Retirement Calculator'!J:J,MATCH('Isaac 401k'!N2916,'Retirement Calculator'!A:A,0),0),0)</f>
        <v>0</v>
      </c>
      <c r="K2916" s="455">
        <f t="shared" ca="1" si="156"/>
        <v>-126616335.6669997</v>
      </c>
      <c r="L2916" s="455">
        <f t="shared" ca="1" si="157"/>
        <v>-30514536895.746925</v>
      </c>
      <c r="M2916" s="471">
        <f t="shared" si="159"/>
        <v>0.05</v>
      </c>
      <c r="N2916" s="475">
        <f t="shared" si="160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58"/>
        <v>-30514536895.746925</v>
      </c>
      <c r="J2917" s="455">
        <f t="array" ref="J2917">IFERROR(INDEX('Retirement Calculator'!J:J,MATCH('Isaac 401k'!N2917,'Retirement Calculator'!A:A,0),0),0)</f>
        <v>0</v>
      </c>
      <c r="K2917" s="455">
        <f t="shared" ca="1" si="156"/>
        <v>-127143903.73227885</v>
      </c>
      <c r="L2917" s="455">
        <f t="shared" ca="1" si="157"/>
        <v>-30641680799.479206</v>
      </c>
      <c r="M2917" s="471">
        <f t="shared" si="159"/>
        <v>0.05</v>
      </c>
      <c r="N2917" s="475">
        <f t="shared" si="160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58"/>
        <v>-30641680799.479206</v>
      </c>
      <c r="J2918" s="455">
        <f t="array" ref="J2918">IFERROR(INDEX('Retirement Calculator'!J:J,MATCH('Isaac 401k'!N2918,'Retirement Calculator'!A:A,0),0),0)</f>
        <v>0</v>
      </c>
      <c r="K2918" s="455">
        <f t="shared" ca="1" si="156"/>
        <v>-127673669.99783002</v>
      </c>
      <c r="L2918" s="455">
        <f t="shared" ca="1" si="157"/>
        <v>-30769354469.477036</v>
      </c>
      <c r="M2918" s="471">
        <f t="shared" si="159"/>
        <v>0.05</v>
      </c>
      <c r="N2918" s="475">
        <f t="shared" si="160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58"/>
        <v>-30769354469.477036</v>
      </c>
      <c r="J2919" s="455">
        <f t="array" ref="J2919">IFERROR(INDEX('Retirement Calculator'!J:J,MATCH('Isaac 401k'!N2919,'Retirement Calculator'!A:A,0),0),0)</f>
        <v>0</v>
      </c>
      <c r="K2919" s="455">
        <f t="shared" ca="1" si="156"/>
        <v>-128205643.62282097</v>
      </c>
      <c r="L2919" s="455">
        <f t="shared" ca="1" si="157"/>
        <v>-30897560113.099857</v>
      </c>
      <c r="M2919" s="471">
        <f t="shared" si="159"/>
        <v>0.05</v>
      </c>
      <c r="N2919" s="475">
        <f t="shared" si="160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58"/>
        <v>-30897560113.099857</v>
      </c>
      <c r="J2920" s="455">
        <f t="array" ref="J2920">IFERROR(INDEX('Retirement Calculator'!J:J,MATCH('Isaac 401k'!N2920,'Retirement Calculator'!A:A,0),0),0)</f>
        <v>0</v>
      </c>
      <c r="K2920" s="455">
        <f t="shared" ca="1" si="156"/>
        <v>-128739833.80458273</v>
      </c>
      <c r="L2920" s="455">
        <f t="shared" ca="1" si="157"/>
        <v>-31026299946.904442</v>
      </c>
      <c r="M2920" s="471">
        <f t="shared" si="159"/>
        <v>0.05</v>
      </c>
      <c r="N2920" s="475">
        <f t="shared" si="160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58"/>
        <v>-31026299946.904442</v>
      </c>
      <c r="J2921" s="455">
        <f t="array" ref="J2921">IFERROR(INDEX('Retirement Calculator'!J:J,MATCH('Isaac 401k'!N2921,'Retirement Calculator'!A:A,0),0),0)</f>
        <v>0</v>
      </c>
      <c r="K2921" s="455">
        <f t="shared" ca="1" si="156"/>
        <v>-129276249.77876851</v>
      </c>
      <c r="L2921" s="455">
        <f t="shared" ca="1" si="157"/>
        <v>-31155576196.683208</v>
      </c>
      <c r="M2921" s="471">
        <f t="shared" si="159"/>
        <v>0.05</v>
      </c>
      <c r="N2921" s="475">
        <f t="shared" si="160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58"/>
        <v>-31155576196.683208</v>
      </c>
      <c r="J2922" s="455">
        <f t="array" ref="J2922">IFERROR(INDEX('Retirement Calculator'!J:J,MATCH('Isaac 401k'!N2922,'Retirement Calculator'!A:A,0),0),0)</f>
        <v>0</v>
      </c>
      <c r="K2922" s="455">
        <f t="shared" ca="1" si="156"/>
        <v>-129814900.81951337</v>
      </c>
      <c r="L2922" s="455">
        <f t="shared" ca="1" si="157"/>
        <v>-31285391097.502724</v>
      </c>
      <c r="M2922" s="471">
        <f t="shared" si="159"/>
        <v>0.05</v>
      </c>
      <c r="N2922" s="475">
        <f t="shared" si="160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58"/>
        <v>-31285391097.502724</v>
      </c>
      <c r="J2923" s="455">
        <f t="array" ref="J2923">IFERROR(INDEX('Retirement Calculator'!J:J,MATCH('Isaac 401k'!N2923,'Retirement Calculator'!A:A,0),0),0)</f>
        <v>0</v>
      </c>
      <c r="K2923" s="455">
        <f t="shared" ca="1" si="156"/>
        <v>-130355796.23959468</v>
      </c>
      <c r="L2923" s="455">
        <f t="shared" ca="1" si="157"/>
        <v>-31415746893.742317</v>
      </c>
      <c r="M2923" s="471">
        <f t="shared" si="159"/>
        <v>0.05</v>
      </c>
      <c r="N2923" s="475">
        <f t="shared" si="160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58"/>
        <v>-31415746893.742317</v>
      </c>
      <c r="J2924" s="455">
        <f t="array" ref="J2924">IFERROR(INDEX('Retirement Calculator'!J:J,MATCH('Isaac 401k'!N2924,'Retirement Calculator'!A:A,0),0),0)</f>
        <v>0</v>
      </c>
      <c r="K2924" s="455">
        <f t="shared" ca="1" si="156"/>
        <v>-130898945.39059299</v>
      </c>
      <c r="L2924" s="455">
        <f t="shared" ca="1" si="157"/>
        <v>-31546645839.132912</v>
      </c>
      <c r="M2924" s="471">
        <f t="shared" si="159"/>
        <v>0.05</v>
      </c>
      <c r="N2924" s="475">
        <f t="shared" si="160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58"/>
        <v>-31546645839.132912</v>
      </c>
      <c r="J2925" s="455">
        <f t="array" ref="J2925">IFERROR(INDEX('Retirement Calculator'!J:J,MATCH('Isaac 401k'!N2925,'Retirement Calculator'!A:A,0),0),0)</f>
        <v>0</v>
      </c>
      <c r="K2925" s="455">
        <f t="shared" ca="1" si="156"/>
        <v>-131444357.6630538</v>
      </c>
      <c r="L2925" s="455">
        <f t="shared" ca="1" si="157"/>
        <v>-31678090196.795967</v>
      </c>
      <c r="M2925" s="471">
        <f t="shared" si="159"/>
        <v>0.05</v>
      </c>
      <c r="N2925" s="475">
        <f t="shared" si="160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58"/>
        <v>-31678090196.795967</v>
      </c>
      <c r="J2926" s="455">
        <f t="array" ref="J2926">IFERROR(INDEX('Retirement Calculator'!J:J,MATCH('Isaac 401k'!N2926,'Retirement Calculator'!A:A,0),0),0)</f>
        <v>0</v>
      </c>
      <c r="K2926" s="455">
        <f t="shared" ca="1" si="156"/>
        <v>-131992042.48664987</v>
      </c>
      <c r="L2926" s="455">
        <f t="shared" ca="1" si="157"/>
        <v>-31810082239.282616</v>
      </c>
      <c r="M2926" s="471">
        <f t="shared" si="159"/>
        <v>0.05</v>
      </c>
      <c r="N2926" s="475">
        <f t="shared" si="160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58"/>
        <v>-31810082239.282616</v>
      </c>
      <c r="J2927" s="455">
        <f t="array" ref="J2927">IFERROR(INDEX('Retirement Calculator'!J:J,MATCH('Isaac 401k'!N2927,'Retirement Calculator'!A:A,0),0),0)</f>
        <v>0</v>
      </c>
      <c r="K2927" s="455">
        <f t="shared" ca="1" si="156"/>
        <v>-132542009.33034424</v>
      </c>
      <c r="L2927" s="455">
        <f t="shared" ca="1" si="157"/>
        <v>-31942624248.612961</v>
      </c>
      <c r="M2927" s="471">
        <f t="shared" si="159"/>
        <v>0.05</v>
      </c>
      <c r="N2927" s="475">
        <f t="shared" si="160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58"/>
        <v>-31942624248.612961</v>
      </c>
      <c r="J2928" s="455">
        <f t="array" ref="J2928">IFERROR(INDEX('Retirement Calculator'!J:J,MATCH('Isaac 401k'!N2928,'Retirement Calculator'!A:A,0),0),0)</f>
        <v>0</v>
      </c>
      <c r="K2928" s="455">
        <f t="shared" ca="1" si="156"/>
        <v>-133094267.702554</v>
      </c>
      <c r="L2928" s="455">
        <f t="shared" ca="1" si="157"/>
        <v>-32075718516.315514</v>
      </c>
      <c r="M2928" s="471">
        <f t="shared" si="159"/>
        <v>0.05</v>
      </c>
      <c r="N2928" s="475">
        <f t="shared" si="160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58"/>
        <v>-32075718516.315514</v>
      </c>
      <c r="J2929" s="455">
        <f t="array" ref="J2929">IFERROR(INDEX('Retirement Calculator'!J:J,MATCH('Isaac 401k'!N2929,'Retirement Calculator'!A:A,0),0),0)</f>
        <v>0</v>
      </c>
      <c r="K2929" s="455">
        <f t="shared" ca="1" si="156"/>
        <v>-133648827.15131463</v>
      </c>
      <c r="L2929" s="455">
        <f t="shared" ca="1" si="157"/>
        <v>-32209367343.466827</v>
      </c>
      <c r="M2929" s="471">
        <f t="shared" si="159"/>
        <v>0.05</v>
      </c>
      <c r="N2929" s="475">
        <f t="shared" si="160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58"/>
        <v>-32209367343.466827</v>
      </c>
      <c r="J2930" s="455">
        <f t="array" ref="J2930">IFERROR(INDEX('Retirement Calculator'!J:J,MATCH('Isaac 401k'!N2930,'Retirement Calculator'!A:A,0),0),0)</f>
        <v>0</v>
      </c>
      <c r="K2930" s="455">
        <f t="shared" ca="1" si="156"/>
        <v>-134205697.2644451</v>
      </c>
      <c r="L2930" s="455">
        <f t="shared" ca="1" si="157"/>
        <v>-32343573040.731274</v>
      </c>
      <c r="M2930" s="471">
        <f t="shared" si="159"/>
        <v>0.05</v>
      </c>
      <c r="N2930" s="475">
        <f t="shared" si="160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58"/>
        <v>-32343573040.731274</v>
      </c>
      <c r="J2931" s="455">
        <f t="array" ref="J2931">IFERROR(INDEX('Retirement Calculator'!J:J,MATCH('Isaac 401k'!N2931,'Retirement Calculator'!A:A,0),0),0)</f>
        <v>0</v>
      </c>
      <c r="K2931" s="455">
        <f t="shared" ca="1" si="156"/>
        <v>-134764887.66971365</v>
      </c>
      <c r="L2931" s="455">
        <f t="shared" ca="1" si="157"/>
        <v>-32478337928.400986</v>
      </c>
      <c r="M2931" s="471">
        <f t="shared" si="159"/>
        <v>0.05</v>
      </c>
      <c r="N2931" s="475">
        <f t="shared" si="160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58"/>
        <v>-32478337928.400986</v>
      </c>
      <c r="J2932" s="455">
        <f t="array" ref="J2932">IFERROR(INDEX('Retirement Calculator'!J:J,MATCH('Isaac 401k'!N2932,'Retirement Calculator'!A:A,0),0),0)</f>
        <v>0</v>
      </c>
      <c r="K2932" s="455">
        <f t="shared" ca="1" si="156"/>
        <v>-135326408.03500411</v>
      </c>
      <c r="L2932" s="455">
        <f t="shared" ca="1" si="157"/>
        <v>-32613664336.435989</v>
      </c>
      <c r="M2932" s="471">
        <f t="shared" si="159"/>
        <v>0.05</v>
      </c>
      <c r="N2932" s="475">
        <f t="shared" si="160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58"/>
        <v>-32613664336.435989</v>
      </c>
      <c r="J2933" s="455">
        <f t="array" ref="J2933">IFERROR(INDEX('Retirement Calculator'!J:J,MATCH('Isaac 401k'!N2933,'Retirement Calculator'!A:A,0),0),0)</f>
        <v>0</v>
      </c>
      <c r="K2933" s="455">
        <f t="shared" ca="1" si="156"/>
        <v>-135890268.06848326</v>
      </c>
      <c r="L2933" s="455">
        <f t="shared" ca="1" si="157"/>
        <v>-32749554604.504471</v>
      </c>
      <c r="M2933" s="471">
        <f t="shared" si="159"/>
        <v>0.05</v>
      </c>
      <c r="N2933" s="475">
        <f t="shared" si="160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58"/>
        <v>-32749554604.504471</v>
      </c>
      <c r="J2934" s="455">
        <f t="array" ref="J2934">IFERROR(INDEX('Retirement Calculator'!J:J,MATCH('Isaac 401k'!N2934,'Retirement Calculator'!A:A,0),0),0)</f>
        <v>0</v>
      </c>
      <c r="K2934" s="455">
        <f t="shared" ca="1" si="156"/>
        <v>-136456477.51876864</v>
      </c>
      <c r="L2934" s="455">
        <f t="shared" ca="1" si="157"/>
        <v>-32886011082.023239</v>
      </c>
      <c r="M2934" s="471">
        <f t="shared" si="159"/>
        <v>0.05</v>
      </c>
      <c r="N2934" s="475">
        <f t="shared" si="160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58"/>
        <v>-32886011082.023239</v>
      </c>
      <c r="J2935" s="455">
        <f t="array" ref="J2935">IFERROR(INDEX('Retirement Calculator'!J:J,MATCH('Isaac 401k'!N2935,'Retirement Calculator'!A:A,0),0),0)</f>
        <v>0</v>
      </c>
      <c r="K2935" s="455">
        <f t="shared" ca="1" si="156"/>
        <v>-137025046.17509684</v>
      </c>
      <c r="L2935" s="455">
        <f t="shared" ca="1" si="157"/>
        <v>-33023036128.198338</v>
      </c>
      <c r="M2935" s="471">
        <f t="shared" si="159"/>
        <v>0.05</v>
      </c>
      <c r="N2935" s="475">
        <f t="shared" si="160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58"/>
        <v>-33023036128.198338</v>
      </c>
      <c r="J2936" s="455">
        <f t="array" ref="J2936">IFERROR(INDEX('Retirement Calculator'!J:J,MATCH('Isaac 401k'!N2936,'Retirement Calculator'!A:A,0),0),0)</f>
        <v>0</v>
      </c>
      <c r="K2936" s="455">
        <f t="shared" ca="1" si="156"/>
        <v>-137595983.86749309</v>
      </c>
      <c r="L2936" s="455">
        <f t="shared" ca="1" si="157"/>
        <v>-33160632112.06583</v>
      </c>
      <c r="M2936" s="471">
        <f t="shared" si="159"/>
        <v>0.05</v>
      </c>
      <c r="N2936" s="475">
        <f t="shared" si="160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58"/>
        <v>-33160632112.06583</v>
      </c>
      <c r="J2937" s="455">
        <f t="array" ref="J2937">IFERROR(INDEX('Retirement Calculator'!J:J,MATCH('Isaac 401k'!N2937,'Retirement Calculator'!A:A,0),0),0)</f>
        <v>0</v>
      </c>
      <c r="K2937" s="455">
        <f t="shared" ca="1" si="156"/>
        <v>-138169300.46694097</v>
      </c>
      <c r="L2937" s="455">
        <f t="shared" ca="1" si="157"/>
        <v>-33298801412.532772</v>
      </c>
      <c r="M2937" s="471">
        <f t="shared" si="159"/>
        <v>0.05</v>
      </c>
      <c r="N2937" s="475">
        <f t="shared" si="160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58"/>
        <v>-33298801412.532772</v>
      </c>
      <c r="J2938" s="455">
        <f t="array" ref="J2938">IFERROR(INDEX('Retirement Calculator'!J:J,MATCH('Isaac 401k'!N2938,'Retirement Calculator'!A:A,0),0),0)</f>
        <v>0</v>
      </c>
      <c r="K2938" s="455">
        <f t="shared" ca="1" si="156"/>
        <v>-138745005.88555321</v>
      </c>
      <c r="L2938" s="455">
        <f t="shared" ca="1" si="157"/>
        <v>-33437546418.418324</v>
      </c>
      <c r="M2938" s="471">
        <f t="shared" si="159"/>
        <v>0.05</v>
      </c>
      <c r="N2938" s="475">
        <f t="shared" si="160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58"/>
        <v>-33437546418.418324</v>
      </c>
      <c r="J2939" s="455">
        <f t="array" ref="J2939">IFERROR(INDEX('Retirement Calculator'!J:J,MATCH('Isaac 401k'!N2939,'Retirement Calculator'!A:A,0),0),0)</f>
        <v>0</v>
      </c>
      <c r="K2939" s="455">
        <f t="shared" ca="1" si="156"/>
        <v>-139323110.07674301</v>
      </c>
      <c r="L2939" s="455">
        <f t="shared" ca="1" si="157"/>
        <v>-33576869528.495068</v>
      </c>
      <c r="M2939" s="471">
        <f t="shared" si="159"/>
        <v>0.05</v>
      </c>
      <c r="N2939" s="475">
        <f t="shared" si="160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58"/>
        <v>-33576869528.495068</v>
      </c>
      <c r="J2940" s="455">
        <f t="array" ref="J2940">IFERROR(INDEX('Retirement Calculator'!J:J,MATCH('Isaac 401k'!N2940,'Retirement Calculator'!A:A,0),0),0)</f>
        <v>0</v>
      </c>
      <c r="K2940" s="455">
        <f t="shared" ca="1" si="156"/>
        <v>-139903623.0353961</v>
      </c>
      <c r="L2940" s="455">
        <f t="shared" ca="1" si="157"/>
        <v>-33716773151.530464</v>
      </c>
      <c r="M2940" s="471">
        <f t="shared" si="159"/>
        <v>0.05</v>
      </c>
      <c r="N2940" s="475">
        <f t="shared" si="160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58"/>
        <v>-33716773151.530464</v>
      </c>
      <c r="J2941" s="455">
        <f t="array" ref="J2941">IFERROR(INDEX('Retirement Calculator'!J:J,MATCH('Isaac 401k'!N2941,'Retirement Calculator'!A:A,0),0),0)</f>
        <v>0</v>
      </c>
      <c r="K2941" s="455">
        <f t="shared" ca="1" si="156"/>
        <v>-140486554.79804358</v>
      </c>
      <c r="L2941" s="455">
        <f t="shared" ca="1" si="157"/>
        <v>-33857259706.328506</v>
      </c>
      <c r="M2941" s="471">
        <f t="shared" si="159"/>
        <v>0.05</v>
      </c>
      <c r="N2941" s="475">
        <f t="shared" si="160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58"/>
        <v>-33857259706.328506</v>
      </c>
      <c r="J2942" s="455">
        <f t="array" ref="J2942">IFERROR(INDEX('Retirement Calculator'!J:J,MATCH('Isaac 401k'!N2942,'Retirement Calculator'!A:A,0),0),0)</f>
        <v>0</v>
      </c>
      <c r="K2942" s="455">
        <f t="shared" ca="1" si="156"/>
        <v>-141071915.44303545</v>
      </c>
      <c r="L2942" s="455">
        <f t="shared" ca="1" si="157"/>
        <v>-33998331621.771542</v>
      </c>
      <c r="M2942" s="471">
        <f t="shared" si="159"/>
        <v>0.05</v>
      </c>
      <c r="N2942" s="475">
        <f t="shared" si="160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58"/>
        <v>-33998331621.771542</v>
      </c>
      <c r="J2943" s="455">
        <f t="array" ref="J2943">IFERROR(INDEX('Retirement Calculator'!J:J,MATCH('Isaac 401k'!N2943,'Retirement Calculator'!A:A,0),0),0)</f>
        <v>0</v>
      </c>
      <c r="K2943" s="455">
        <f t="shared" ca="1" si="156"/>
        <v>-141659715.09071475</v>
      </c>
      <c r="L2943" s="455">
        <f t="shared" ca="1" si="157"/>
        <v>-34139991336.862255</v>
      </c>
      <c r="M2943" s="471">
        <f t="shared" si="159"/>
        <v>0.05</v>
      </c>
      <c r="N2943" s="475">
        <f t="shared" si="160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58"/>
        <v>-34139991336.862255</v>
      </c>
      <c r="J2944" s="455">
        <f t="array" ref="J2944">IFERROR(INDEX('Retirement Calculator'!J:J,MATCH('Isaac 401k'!N2944,'Retirement Calculator'!A:A,0),0),0)</f>
        <v>0</v>
      </c>
      <c r="K2944" s="455">
        <f t="shared" ca="1" si="156"/>
        <v>-142249963.90359274</v>
      </c>
      <c r="L2944" s="455">
        <f t="shared" ca="1" si="157"/>
        <v>-34282241300.765846</v>
      </c>
      <c r="M2944" s="471">
        <f t="shared" si="159"/>
        <v>0.05</v>
      </c>
      <c r="N2944" s="475">
        <f t="shared" si="160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58"/>
        <v>-34282241300.765846</v>
      </c>
      <c r="J2945" s="455">
        <f t="array" ref="J2945">IFERROR(INDEX('Retirement Calculator'!J:J,MATCH('Isaac 401k'!N2945,'Retirement Calculator'!A:A,0),0),0)</f>
        <v>0</v>
      </c>
      <c r="K2945" s="455">
        <f t="shared" ca="1" si="156"/>
        <v>-142842672.08652437</v>
      </c>
      <c r="L2945" s="455">
        <f t="shared" ca="1" si="157"/>
        <v>-34425083972.852371</v>
      </c>
      <c r="M2945" s="471">
        <f t="shared" si="159"/>
        <v>0.05</v>
      </c>
      <c r="N2945" s="475">
        <f t="shared" si="160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58"/>
        <v>-34425083972.852371</v>
      </c>
      <c r="J2946" s="455">
        <f t="array" ref="J2946">IFERROR(INDEX('Retirement Calculator'!J:J,MATCH('Isaac 401k'!N2946,'Retirement Calculator'!A:A,0),0),0)</f>
        <v>0</v>
      </c>
      <c r="K2946" s="455">
        <f t="shared" ca="1" si="156"/>
        <v>-143437849.88688487</v>
      </c>
      <c r="L2946" s="455">
        <f t="shared" ca="1" si="157"/>
        <v>-34568521822.739258</v>
      </c>
      <c r="M2946" s="471">
        <f t="shared" si="159"/>
        <v>0.05</v>
      </c>
      <c r="N2946" s="475">
        <f t="shared" si="160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58"/>
        <v>-34568521822.739258</v>
      </c>
      <c r="J2947" s="455">
        <f t="array" ref="J2947">IFERROR(INDEX('Retirement Calculator'!J:J,MATCH('Isaac 401k'!N2947,'Retirement Calculator'!A:A,0),0),0)</f>
        <v>0</v>
      </c>
      <c r="K2947" s="455">
        <f t="shared" ca="1" si="156"/>
        <v>-144035507.59474692</v>
      </c>
      <c r="L2947" s="455">
        <f t="shared" ca="1" si="157"/>
        <v>-34712557330.334007</v>
      </c>
      <c r="M2947" s="471">
        <f t="shared" si="159"/>
        <v>0.05</v>
      </c>
      <c r="N2947" s="475">
        <f t="shared" si="160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58"/>
        <v>-34712557330.334007</v>
      </c>
      <c r="J2948" s="455">
        <f t="array" ref="J2948">IFERROR(INDEX('Retirement Calculator'!J:J,MATCH('Isaac 401k'!N2948,'Retirement Calculator'!A:A,0),0),0)</f>
        <v>0</v>
      </c>
      <c r="K2948" s="455">
        <f t="shared" ca="1" si="156"/>
        <v>-144635655.54305837</v>
      </c>
      <c r="L2948" s="455">
        <f t="shared" ca="1" si="157"/>
        <v>-34857192985.877068</v>
      </c>
      <c r="M2948" s="471">
        <f t="shared" si="159"/>
        <v>0.05</v>
      </c>
      <c r="N2948" s="475">
        <f t="shared" si="160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58"/>
        <v>-34857192985.877068</v>
      </c>
      <c r="J2949" s="455">
        <f t="array" ref="J2949">IFERROR(INDEX('Retirement Calculator'!J:J,MATCH('Isaac 401k'!N2949,'Retirement Calculator'!A:A,0),0),0)</f>
        <v>0</v>
      </c>
      <c r="K2949" s="455">
        <f t="shared" ca="1" si="156"/>
        <v>-145238304.10782111</v>
      </c>
      <c r="L2949" s="455">
        <f t="shared" ca="1" si="157"/>
        <v>-35002431289.984886</v>
      </c>
      <c r="M2949" s="471">
        <f t="shared" si="159"/>
        <v>0.05</v>
      </c>
      <c r="N2949" s="475">
        <f t="shared" si="160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58"/>
        <v>-35002431289.984886</v>
      </c>
      <c r="J2950" s="455">
        <f t="array" ref="J2950">IFERROR(INDEX('Retirement Calculator'!J:J,MATCH('Isaac 401k'!N2950,'Retirement Calculator'!A:A,0),0),0)</f>
        <v>0</v>
      </c>
      <c r="K2950" s="455">
        <f t="shared" ca="1" si="156"/>
        <v>-145843463.70827037</v>
      </c>
      <c r="L2950" s="455">
        <f t="shared" ca="1" si="157"/>
        <v>-35148274753.693153</v>
      </c>
      <c r="M2950" s="471">
        <f t="shared" si="159"/>
        <v>0.05</v>
      </c>
      <c r="N2950" s="475">
        <f t="shared" si="160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58"/>
        <v>-35148274753.693153</v>
      </c>
      <c r="J2951" s="455">
        <f t="array" ref="J2951">IFERROR(INDEX('Retirement Calculator'!J:J,MATCH('Isaac 401k'!N2951,'Retirement Calculator'!A:A,0),0),0)</f>
        <v>0</v>
      </c>
      <c r="K2951" s="455">
        <f t="shared" ca="1" si="156"/>
        <v>-146451144.80705482</v>
      </c>
      <c r="L2951" s="455">
        <f t="shared" ca="1" si="157"/>
        <v>-35294725898.500206</v>
      </c>
      <c r="M2951" s="471">
        <f t="shared" si="159"/>
        <v>0.05</v>
      </c>
      <c r="N2951" s="475">
        <f t="shared" si="160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58"/>
        <v>-35294725898.500206</v>
      </c>
      <c r="J2952" s="455">
        <f t="array" ref="J2952">IFERROR(INDEX('Retirement Calculator'!J:J,MATCH('Isaac 401k'!N2952,'Retirement Calculator'!A:A,0),0),0)</f>
        <v>0</v>
      </c>
      <c r="K2952" s="455">
        <f t="shared" ca="1" si="156"/>
        <v>-147061357.91041753</v>
      </c>
      <c r="L2952" s="455">
        <f t="shared" ca="1" si="157"/>
        <v>-35441787256.410622</v>
      </c>
      <c r="M2952" s="471">
        <f t="shared" si="159"/>
        <v>0.05</v>
      </c>
      <c r="N2952" s="475">
        <f t="shared" si="160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58"/>
        <v>-35441787256.410622</v>
      </c>
      <c r="J2953" s="455">
        <f t="array" ref="J2953">IFERROR(INDEX('Retirement Calculator'!J:J,MATCH('Isaac 401k'!N2953,'Retirement Calculator'!A:A,0),0),0)</f>
        <v>0</v>
      </c>
      <c r="K2953" s="455">
        <f t="shared" ca="1" si="156"/>
        <v>-147674113.56837758</v>
      </c>
      <c r="L2953" s="455">
        <f t="shared" ca="1" si="157"/>
        <v>-35589461369.978996</v>
      </c>
      <c r="M2953" s="471">
        <f t="shared" si="159"/>
        <v>0.05</v>
      </c>
      <c r="N2953" s="475">
        <f t="shared" si="160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58"/>
        <v>-35589461369.978996</v>
      </c>
      <c r="J2954" s="455">
        <f t="array" ref="J2954">IFERROR(INDEX('Retirement Calculator'!J:J,MATCH('Isaac 401k'!N2954,'Retirement Calculator'!A:A,0),0),0)</f>
        <v>0</v>
      </c>
      <c r="K2954" s="455">
        <f t="shared" ca="1" si="156"/>
        <v>-148289422.37491247</v>
      </c>
      <c r="L2954" s="455">
        <f t="shared" ca="1" si="157"/>
        <v>-35737750792.353912</v>
      </c>
      <c r="M2954" s="471">
        <f t="shared" si="159"/>
        <v>0.05</v>
      </c>
      <c r="N2954" s="475">
        <f t="shared" si="160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58"/>
        <v>-35737750792.353912</v>
      </c>
      <c r="J2955" s="455">
        <f t="array" ref="J2955">IFERROR(INDEX('Retirement Calculator'!J:J,MATCH('Isaac 401k'!N2955,'Retirement Calculator'!A:A,0),0),0)</f>
        <v>0</v>
      </c>
      <c r="K2955" s="455">
        <f t="shared" ca="1" si="156"/>
        <v>-148907294.96814129</v>
      </c>
      <c r="L2955" s="455">
        <f t="shared" ca="1" si="157"/>
        <v>-35886658087.322052</v>
      </c>
      <c r="M2955" s="471">
        <f t="shared" si="159"/>
        <v>0.05</v>
      </c>
      <c r="N2955" s="475">
        <f t="shared" si="160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58"/>
        <v>-35886658087.322052</v>
      </c>
      <c r="J2956" s="455">
        <f t="array" ref="J2956">IFERROR(INDEX('Retirement Calculator'!J:J,MATCH('Isaac 401k'!N2956,'Retirement Calculator'!A:A,0),0),0)</f>
        <v>0</v>
      </c>
      <c r="K2956" s="455">
        <f t="shared" ca="1" si="156"/>
        <v>-149527742.03050855</v>
      </c>
      <c r="L2956" s="455">
        <f t="shared" ca="1" si="157"/>
        <v>-36036185829.352562</v>
      </c>
      <c r="M2956" s="471">
        <f t="shared" si="159"/>
        <v>0.05</v>
      </c>
      <c r="N2956" s="475">
        <f t="shared" si="160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58"/>
        <v>-36036185829.352562</v>
      </c>
      <c r="J2957" s="455">
        <f t="array" ref="J2957">IFERROR(INDEX('Retirement Calculator'!J:J,MATCH('Isaac 401k'!N2957,'Retirement Calculator'!A:A,0),0),0)</f>
        <v>0</v>
      </c>
      <c r="K2957" s="455">
        <f t="shared" ca="1" si="156"/>
        <v>-150150774.28896901</v>
      </c>
      <c r="L2957" s="455">
        <f t="shared" ca="1" si="157"/>
        <v>-36186336603.641533</v>
      </c>
      <c r="M2957" s="471">
        <f t="shared" si="159"/>
        <v>0.05</v>
      </c>
      <c r="N2957" s="475">
        <f t="shared" si="160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58"/>
        <v>-36186336603.641533</v>
      </c>
      <c r="J2958" s="455">
        <f t="array" ref="J2958">IFERROR(INDEX('Retirement Calculator'!J:J,MATCH('Isaac 401k'!N2958,'Retirement Calculator'!A:A,0),0),0)</f>
        <v>0</v>
      </c>
      <c r="K2958" s="455">
        <f t="shared" ca="1" si="156"/>
        <v>-150776402.51517305</v>
      </c>
      <c r="L2958" s="455">
        <f t="shared" ca="1" si="157"/>
        <v>-36337113006.156708</v>
      </c>
      <c r="M2958" s="471">
        <f t="shared" si="159"/>
        <v>0.05</v>
      </c>
      <c r="N2958" s="475">
        <f t="shared" si="160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58"/>
        <v>-36337113006.156708</v>
      </c>
      <c r="J2959" s="455">
        <f t="array" ref="J2959">IFERROR(INDEX('Retirement Calculator'!J:J,MATCH('Isaac 401k'!N2959,'Retirement Calculator'!A:A,0),0),0)</f>
        <v>0</v>
      </c>
      <c r="K2959" s="455">
        <f t="shared" ca="1" si="156"/>
        <v>-151404637.52565295</v>
      </c>
      <c r="L2959" s="455">
        <f t="shared" ca="1" si="157"/>
        <v>-36488517643.682358</v>
      </c>
      <c r="M2959" s="471">
        <f t="shared" si="159"/>
        <v>0.05</v>
      </c>
      <c r="N2959" s="475">
        <f t="shared" si="160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58"/>
        <v>-36488517643.682358</v>
      </c>
      <c r="J2960" s="455">
        <f t="array" ref="J2960">IFERROR(INDEX('Retirement Calculator'!J:J,MATCH('Isaac 401k'!N2960,'Retirement Calculator'!A:A,0),0),0)</f>
        <v>0</v>
      </c>
      <c r="K2960" s="455">
        <f t="shared" ca="1" si="156"/>
        <v>-152035490.18200982</v>
      </c>
      <c r="L2960" s="455">
        <f t="shared" ca="1" si="157"/>
        <v>-36640553133.864365</v>
      </c>
      <c r="M2960" s="471">
        <f t="shared" si="159"/>
        <v>0.05</v>
      </c>
      <c r="N2960" s="475">
        <f t="shared" si="160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58"/>
        <v>-36640553133.864365</v>
      </c>
      <c r="J2961" s="455">
        <f t="array" ref="J2961">IFERROR(INDEX('Retirement Calculator'!J:J,MATCH('Isaac 401k'!N2961,'Retirement Calculator'!A:A,0),0),0)</f>
        <v>0</v>
      </c>
      <c r="K2961" s="455">
        <f t="shared" ca="1" si="156"/>
        <v>-152668971.39110151</v>
      </c>
      <c r="L2961" s="455">
        <f t="shared" ca="1" si="157"/>
        <v>-36793222105.255463</v>
      </c>
      <c r="M2961" s="471">
        <f t="shared" si="159"/>
        <v>0.05</v>
      </c>
      <c r="N2961" s="475">
        <f t="shared" si="160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58"/>
        <v>-36793222105.255463</v>
      </c>
      <c r="J2962" s="455">
        <f t="array" ref="J2962">IFERROR(INDEX('Retirement Calculator'!J:J,MATCH('Isaac 401k'!N2962,'Retirement Calculator'!A:A,0),0),0)</f>
        <v>0</v>
      </c>
      <c r="K2962" s="455">
        <f t="shared" ca="1" si="156"/>
        <v>-153305092.10523111</v>
      </c>
      <c r="L2962" s="455">
        <f t="shared" ca="1" si="157"/>
        <v>-36946527197.360695</v>
      </c>
      <c r="M2962" s="471">
        <f t="shared" si="159"/>
        <v>0.05</v>
      </c>
      <c r="N2962" s="475">
        <f t="shared" si="160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58"/>
        <v>-36946527197.360695</v>
      </c>
      <c r="J2963" s="455">
        <f t="array" ref="J2963">IFERROR(INDEX('Retirement Calculator'!J:J,MATCH('Isaac 401k'!N2963,'Retirement Calculator'!A:A,0),0),0)</f>
        <v>0</v>
      </c>
      <c r="K2963" s="455">
        <f t="shared" ca="1" si="156"/>
        <v>-153943863.32233623</v>
      </c>
      <c r="L2963" s="455">
        <f t="shared" ca="1" si="157"/>
        <v>-37100471060.683029</v>
      </c>
      <c r="M2963" s="471">
        <f t="shared" si="159"/>
        <v>0.05</v>
      </c>
      <c r="N2963" s="475">
        <f t="shared" si="160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58"/>
        <v>-37100471060.683029</v>
      </c>
      <c r="J2964" s="455">
        <f t="array" ref="J2964">IFERROR(INDEX('Retirement Calculator'!J:J,MATCH('Isaac 401k'!N2964,'Retirement Calculator'!A:A,0),0),0)</f>
        <v>0</v>
      </c>
      <c r="K2964" s="455">
        <f t="shared" ca="1" si="156"/>
        <v>-154585296.08617929</v>
      </c>
      <c r="L2964" s="455">
        <f t="shared" ca="1" si="157"/>
        <v>-37255056356.769211</v>
      </c>
      <c r="M2964" s="471">
        <f t="shared" si="159"/>
        <v>0.05</v>
      </c>
      <c r="N2964" s="475">
        <f t="shared" si="160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58"/>
        <v>-37255056356.769211</v>
      </c>
      <c r="J2965" s="455">
        <f t="array" ref="J2965">IFERROR(INDEX('Retirement Calculator'!J:J,MATCH('Isaac 401k'!N2965,'Retirement Calculator'!A:A,0),0),0)</f>
        <v>0</v>
      </c>
      <c r="K2965" s="455">
        <f t="shared" ca="1" si="156"/>
        <v>-155229401.48653838</v>
      </c>
      <c r="L2965" s="455">
        <f t="shared" ca="1" si="157"/>
        <v>-37410285758.255753</v>
      </c>
      <c r="M2965" s="471">
        <f t="shared" si="159"/>
        <v>0.05</v>
      </c>
      <c r="N2965" s="475">
        <f t="shared" si="160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58"/>
        <v>-37410285758.255753</v>
      </c>
      <c r="J2966" s="455">
        <f t="array" ref="J2966">IFERROR(INDEX('Retirement Calculator'!J:J,MATCH('Isaac 401k'!N2966,'Retirement Calculator'!A:A,0),0),0)</f>
        <v>0</v>
      </c>
      <c r="K2966" s="455">
        <f t="shared" ca="1" si="156"/>
        <v>-155876190.65939897</v>
      </c>
      <c r="L2966" s="455">
        <f t="shared" ca="1" si="157"/>
        <v>-37566161948.915154</v>
      </c>
      <c r="M2966" s="471">
        <f t="shared" si="159"/>
        <v>0.05</v>
      </c>
      <c r="N2966" s="475">
        <f t="shared" si="160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58"/>
        <v>-37566161948.915154</v>
      </c>
      <c r="J2967" s="455">
        <f t="array" ref="J2967">IFERROR(INDEX('Retirement Calculator'!J:J,MATCH('Isaac 401k'!N2967,'Retirement Calculator'!A:A,0),0),0)</f>
        <v>0</v>
      </c>
      <c r="K2967" s="455">
        <f t="shared" ca="1" si="156"/>
        <v>-156525674.78714648</v>
      </c>
      <c r="L2967" s="455">
        <f t="shared" ca="1" si="157"/>
        <v>-37722687623.702301</v>
      </c>
      <c r="M2967" s="471">
        <f t="shared" si="159"/>
        <v>0.05</v>
      </c>
      <c r="N2967" s="475">
        <f t="shared" si="160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58"/>
        <v>-37722687623.702301</v>
      </c>
      <c r="J2968" s="455">
        <f t="array" ref="J2968">IFERROR(INDEX('Retirement Calculator'!J:J,MATCH('Isaac 401k'!N2968,'Retirement Calculator'!A:A,0),0),0)</f>
        <v>0</v>
      </c>
      <c r="K2968" s="455">
        <f t="shared" ca="1" si="156"/>
        <v>-157177865.09875959</v>
      </c>
      <c r="L2968" s="455">
        <f t="shared" ca="1" si="157"/>
        <v>-37879865488.801064</v>
      </c>
      <c r="M2968" s="471">
        <f t="shared" si="159"/>
        <v>0.05</v>
      </c>
      <c r="N2968" s="475">
        <f t="shared" si="160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58"/>
        <v>-37879865488.801064</v>
      </c>
      <c r="J2969" s="455">
        <f t="array" ref="J2969">IFERROR(INDEX('Retirement Calculator'!J:J,MATCH('Isaac 401k'!N2969,'Retirement Calculator'!A:A,0),0),0)</f>
        <v>0</v>
      </c>
      <c r="K2969" s="455">
        <f t="shared" ca="1" si="156"/>
        <v>-157832772.87000442</v>
      </c>
      <c r="L2969" s="455">
        <f t="shared" ca="1" si="157"/>
        <v>-38037698261.671066</v>
      </c>
      <c r="M2969" s="471">
        <f t="shared" si="159"/>
        <v>0.05</v>
      </c>
      <c r="N2969" s="475">
        <f t="shared" si="160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58"/>
        <v>-38037698261.671066</v>
      </c>
      <c r="J2970" s="455">
        <f t="array" ref="J2970">IFERROR(INDEX('Retirement Calculator'!J:J,MATCH('Isaac 401k'!N2970,'Retirement Calculator'!A:A,0),0),0)</f>
        <v>0</v>
      </c>
      <c r="K2970" s="455">
        <f t="shared" ca="1" si="156"/>
        <v>-158490409.42362943</v>
      </c>
      <c r="L2970" s="455">
        <f t="shared" ca="1" si="157"/>
        <v>-38196188671.094696</v>
      </c>
      <c r="M2970" s="471">
        <f t="shared" si="159"/>
        <v>0.05</v>
      </c>
      <c r="N2970" s="475">
        <f t="shared" si="160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58"/>
        <v>-38196188671.094696</v>
      </c>
      <c r="J2971" s="455">
        <f t="array" ref="J2971">IFERROR(INDEX('Retirement Calculator'!J:J,MATCH('Isaac 401k'!N2971,'Retirement Calculator'!A:A,0),0),0)</f>
        <v>0</v>
      </c>
      <c r="K2971" s="455">
        <f t="shared" ca="1" si="156"/>
        <v>-159150786.12956125</v>
      </c>
      <c r="L2971" s="455">
        <f t="shared" ca="1" si="157"/>
        <v>-38355339457.224258</v>
      </c>
      <c r="M2971" s="471">
        <f t="shared" si="159"/>
        <v>0.05</v>
      </c>
      <c r="N2971" s="475">
        <f t="shared" si="160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58"/>
        <v>-38355339457.224258</v>
      </c>
      <c r="J2972" s="455">
        <f t="array" ref="J2972">IFERROR(INDEX('Retirement Calculator'!J:J,MATCH('Isaac 401k'!N2972,'Retirement Calculator'!A:A,0),0),0)</f>
        <v>0</v>
      </c>
      <c r="K2972" s="455">
        <f t="shared" ca="1" si="156"/>
        <v>-159813914.40510106</v>
      </c>
      <c r="L2972" s="455">
        <f t="shared" ca="1" si="157"/>
        <v>-38515153371.629356</v>
      </c>
      <c r="M2972" s="471">
        <f t="shared" si="159"/>
        <v>0.05</v>
      </c>
      <c r="N2972" s="475">
        <f t="shared" si="160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58"/>
        <v>-38515153371.629356</v>
      </c>
      <c r="J2973" s="455">
        <f t="array" ref="J2973">IFERROR(INDEX('Retirement Calculator'!J:J,MATCH('Isaac 401k'!N2973,'Retirement Calculator'!A:A,0),0),0)</f>
        <v>0</v>
      </c>
      <c r="K2973" s="455">
        <f t="shared" ca="1" si="156"/>
        <v>-160479805.71512231</v>
      </c>
      <c r="L2973" s="455">
        <f t="shared" ca="1" si="157"/>
        <v>-38675633177.344482</v>
      </c>
      <c r="M2973" s="471">
        <f t="shared" si="159"/>
        <v>0.05</v>
      </c>
      <c r="N2973" s="475">
        <f t="shared" si="160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58"/>
        <v>-38675633177.344482</v>
      </c>
      <c r="J2974" s="455">
        <f t="array" ref="J2974">IFERROR(INDEX('Retirement Calculator'!J:J,MATCH('Isaac 401k'!N2974,'Retirement Calculator'!A:A,0),0),0)</f>
        <v>0</v>
      </c>
      <c r="K2974" s="455">
        <f t="shared" ca="1" si="156"/>
        <v>-161148471.57226866</v>
      </c>
      <c r="L2974" s="455">
        <f t="shared" ca="1" si="157"/>
        <v>-38836781648.916748</v>
      </c>
      <c r="M2974" s="471">
        <f t="shared" si="159"/>
        <v>0.05</v>
      </c>
      <c r="N2974" s="475">
        <f t="shared" si="160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58"/>
        <v>-38836781648.916748</v>
      </c>
      <c r="J2975" s="455">
        <f t="array" ref="J2975">IFERROR(INDEX('Retirement Calculator'!J:J,MATCH('Isaac 401k'!N2975,'Retirement Calculator'!A:A,0),0),0)</f>
        <v>0</v>
      </c>
      <c r="K2975" s="455">
        <f t="shared" ca="1" si="156"/>
        <v>-161819923.53715312</v>
      </c>
      <c r="L2975" s="455">
        <f t="shared" ca="1" si="157"/>
        <v>-38998601572.453903</v>
      </c>
      <c r="M2975" s="471">
        <f t="shared" si="159"/>
        <v>0.05</v>
      </c>
      <c r="N2975" s="475">
        <f t="shared" si="160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58"/>
        <v>-38998601572.453903</v>
      </c>
      <c r="J2976" s="455">
        <f t="array" ref="J2976">IFERROR(INDEX('Retirement Calculator'!J:J,MATCH('Isaac 401k'!N2976,'Retirement Calculator'!A:A,0),0),0)</f>
        <v>0</v>
      </c>
      <c r="K2976" s="455">
        <f t="shared" ca="1" si="156"/>
        <v>-162494173.21855792</v>
      </c>
      <c r="L2976" s="455">
        <f t="shared" ca="1" si="157"/>
        <v>-39161095745.672462</v>
      </c>
      <c r="M2976" s="471">
        <f t="shared" si="159"/>
        <v>0.05</v>
      </c>
      <c r="N2976" s="475">
        <f t="shared" si="160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58"/>
        <v>-39161095745.672462</v>
      </c>
      <c r="J2977" s="455">
        <f t="array" ref="J2977">IFERROR(INDEX('Retirement Calculator'!J:J,MATCH('Isaac 401k'!N2977,'Retirement Calculator'!A:A,0),0),0)</f>
        <v>0</v>
      </c>
      <c r="K2977" s="455">
        <f t="shared" ca="1" si="156"/>
        <v>-163171232.27363527</v>
      </c>
      <c r="L2977" s="455">
        <f t="shared" ca="1" si="157"/>
        <v>-39324266977.946098</v>
      </c>
      <c r="M2977" s="471">
        <f t="shared" si="159"/>
        <v>0.05</v>
      </c>
      <c r="N2977" s="475">
        <f t="shared" si="160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58"/>
        <v>-39324266977.946098</v>
      </c>
      <c r="J2978" s="455">
        <f t="array" ref="J2978">IFERROR(INDEX('Retirement Calculator'!J:J,MATCH('Isaac 401k'!N2978,'Retirement Calculator'!A:A,0),0),0)</f>
        <v>0</v>
      </c>
      <c r="K2978" s="455">
        <f t="shared" ca="1" si="156"/>
        <v>-163851112.40810874</v>
      </c>
      <c r="L2978" s="455">
        <f t="shared" ca="1" si="157"/>
        <v>-39488118090.35421</v>
      </c>
      <c r="M2978" s="471">
        <f t="shared" si="159"/>
        <v>0.05</v>
      </c>
      <c r="N2978" s="475">
        <f t="shared" si="160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58"/>
        <v>-39488118090.35421</v>
      </c>
      <c r="J2979" s="455">
        <f t="array" ref="J2979">IFERROR(INDEX('Retirement Calculator'!J:J,MATCH('Isaac 401k'!N2979,'Retirement Calculator'!A:A,0),0),0)</f>
        <v>0</v>
      </c>
      <c r="K2979" s="455">
        <f t="shared" ca="1" si="156"/>
        <v>-164533825.37647587</v>
      </c>
      <c r="L2979" s="455">
        <f t="shared" ca="1" si="157"/>
        <v>-39652651915.730682</v>
      </c>
      <c r="M2979" s="471">
        <f t="shared" si="159"/>
        <v>0.05</v>
      </c>
      <c r="N2979" s="475">
        <f t="shared" si="160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58"/>
        <v>-39652651915.730682</v>
      </c>
      <c r="J2980" s="455">
        <f t="array" ref="J2980">IFERROR(INDEX('Retirement Calculator'!J:J,MATCH('Isaac 401k'!N2980,'Retirement Calculator'!A:A,0),0),0)</f>
        <v>0</v>
      </c>
      <c r="K2980" s="455">
        <f t="shared" ca="1" si="156"/>
        <v>-165219382.98221117</v>
      </c>
      <c r="L2980" s="455">
        <f t="shared" ca="1" si="157"/>
        <v>-39817871298.712891</v>
      </c>
      <c r="M2980" s="471">
        <f t="shared" si="159"/>
        <v>0.05</v>
      </c>
      <c r="N2980" s="475">
        <f t="shared" si="160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58"/>
        <v>-39817871298.712891</v>
      </c>
      <c r="J2981" s="455">
        <f t="array" ref="J2981">IFERROR(INDEX('Retirement Calculator'!J:J,MATCH('Isaac 401k'!N2981,'Retirement Calculator'!A:A,0),0),0)</f>
        <v>0</v>
      </c>
      <c r="K2981" s="455">
        <f t="shared" ca="1" si="156"/>
        <v>-165907797.07797039</v>
      </c>
      <c r="L2981" s="455">
        <f t="shared" ca="1" si="157"/>
        <v>-39983779095.790863</v>
      </c>
      <c r="M2981" s="471">
        <f t="shared" si="159"/>
        <v>0.05</v>
      </c>
      <c r="N2981" s="475">
        <f t="shared" si="160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58"/>
        <v>-39983779095.790863</v>
      </c>
      <c r="J2982" s="455">
        <f t="array" ref="J2982">IFERROR(INDEX('Retirement Calculator'!J:J,MATCH('Isaac 401k'!N2982,'Retirement Calculator'!A:A,0),0),0)</f>
        <v>0</v>
      </c>
      <c r="K2982" s="455">
        <f t="shared" ca="1" si="156"/>
        <v>-166599079.56579527</v>
      </c>
      <c r="L2982" s="455">
        <f t="shared" ca="1" si="157"/>
        <v>-40150378175.356659</v>
      </c>
      <c r="M2982" s="471">
        <f t="shared" si="159"/>
        <v>0.05</v>
      </c>
      <c r="N2982" s="475">
        <f t="shared" si="160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58"/>
        <v>-40150378175.356659</v>
      </c>
      <c r="J2983" s="455">
        <f t="array" ref="J2983">IFERROR(INDEX('Retirement Calculator'!J:J,MATCH('Isaac 401k'!N2983,'Retirement Calculator'!A:A,0),0),0)</f>
        <v>0</v>
      </c>
      <c r="K2983" s="455">
        <f t="shared" ca="1" si="156"/>
        <v>-167293242.39731941</v>
      </c>
      <c r="L2983" s="455">
        <f t="shared" ca="1" si="157"/>
        <v>-40317671417.753975</v>
      </c>
      <c r="M2983" s="471">
        <f t="shared" si="159"/>
        <v>0.05</v>
      </c>
      <c r="N2983" s="475">
        <f t="shared" si="160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58"/>
        <v>-40317671417.753975</v>
      </c>
      <c r="J2984" s="455">
        <f t="array" ref="J2984">IFERROR(INDEX('Retirement Calculator'!J:J,MATCH('Isaac 401k'!N2984,'Retirement Calculator'!A:A,0),0),0)</f>
        <v>0</v>
      </c>
      <c r="K2984" s="455">
        <f t="shared" ca="1" si="156"/>
        <v>-167990297.57397491</v>
      </c>
      <c r="L2984" s="455">
        <f t="shared" ca="1" si="157"/>
        <v>-40485661715.32795</v>
      </c>
      <c r="M2984" s="471">
        <f t="shared" si="159"/>
        <v>0.05</v>
      </c>
      <c r="N2984" s="475">
        <f t="shared" si="160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58"/>
        <v>-40485661715.32795</v>
      </c>
      <c r="J2985" s="455">
        <f t="array" ref="J2985">IFERROR(INDEX('Retirement Calculator'!J:J,MATCH('Isaac 401k'!N2985,'Retirement Calculator'!A:A,0),0),0)</f>
        <v>0</v>
      </c>
      <c r="K2985" s="455">
        <f t="shared" ca="1" si="156"/>
        <v>-168690257.14719978</v>
      </c>
      <c r="L2985" s="455">
        <f t="shared" ca="1" si="157"/>
        <v>-40654351972.475151</v>
      </c>
      <c r="M2985" s="471">
        <f t="shared" si="159"/>
        <v>0.05</v>
      </c>
      <c r="N2985" s="475">
        <f t="shared" si="160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58"/>
        <v>-40654351972.475151</v>
      </c>
      <c r="J2986" s="455">
        <f t="array" ref="J2986">IFERROR(INDEX('Retirement Calculator'!J:J,MATCH('Isaac 401k'!N2986,'Retirement Calculator'!A:A,0),0),0)</f>
        <v>0</v>
      </c>
      <c r="K2986" s="455">
        <f t="shared" ca="1" si="156"/>
        <v>-169393133.21864647</v>
      </c>
      <c r="L2986" s="455">
        <f t="shared" ca="1" si="157"/>
        <v>-40823745105.693794</v>
      </c>
      <c r="M2986" s="471">
        <f t="shared" si="159"/>
        <v>0.05</v>
      </c>
      <c r="N2986" s="475">
        <f t="shared" si="160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58"/>
        <v>-40823745105.693794</v>
      </c>
      <c r="J2987" s="455">
        <f t="array" ref="J2987">IFERROR(INDEX('Retirement Calculator'!J:J,MATCH('Isaac 401k'!N2987,'Retirement Calculator'!A:A,0),0),0)</f>
        <v>0</v>
      </c>
      <c r="K2987" s="455">
        <f t="shared" ca="1" si="156"/>
        <v>-170098937.9403908</v>
      </c>
      <c r="L2987" s="455">
        <f t="shared" ca="1" si="157"/>
        <v>-40993844043.634186</v>
      </c>
      <c r="M2987" s="471">
        <f t="shared" si="159"/>
        <v>0.05</v>
      </c>
      <c r="N2987" s="475">
        <f t="shared" si="160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58"/>
        <v>-40993844043.634186</v>
      </c>
      <c r="J2988" s="455">
        <f t="array" ref="J2988">IFERROR(INDEX('Retirement Calculator'!J:J,MATCH('Isaac 401k'!N2988,'Retirement Calculator'!A:A,0),0),0)</f>
        <v>0</v>
      </c>
      <c r="K2988" s="455">
        <f t="shared" ca="1" si="156"/>
        <v>-170807683.51514244</v>
      </c>
      <c r="L2988" s="455">
        <f t="shared" ca="1" si="157"/>
        <v>-41164651727.14933</v>
      </c>
      <c r="M2988" s="471">
        <f t="shared" si="159"/>
        <v>0.05</v>
      </c>
      <c r="N2988" s="475">
        <f t="shared" si="160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58"/>
        <v>-41164651727.14933</v>
      </c>
      <c r="J2989" s="455">
        <f t="array" ref="J2989">IFERROR(INDEX('Retirement Calculator'!J:J,MATCH('Isaac 401k'!N2989,'Retirement Calculator'!A:A,0),0),0)</f>
        <v>0</v>
      </c>
      <c r="K2989" s="455">
        <f t="shared" ca="1" si="156"/>
        <v>-171519382.19645554</v>
      </c>
      <c r="L2989" s="455">
        <f t="shared" ca="1" si="157"/>
        <v>-41336171109.345787</v>
      </c>
      <c r="M2989" s="471">
        <f t="shared" si="159"/>
        <v>0.05</v>
      </c>
      <c r="N2989" s="475">
        <f t="shared" si="160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58"/>
        <v>-41336171109.345787</v>
      </c>
      <c r="J2990" s="455">
        <f t="array" ref="J2990">IFERROR(INDEX('Retirement Calculator'!J:J,MATCH('Isaac 401k'!N2990,'Retirement Calculator'!A:A,0),0),0)</f>
        <v>0</v>
      </c>
      <c r="K2990" s="455">
        <f t="shared" ca="1" si="156"/>
        <v>-172234046.28894079</v>
      </c>
      <c r="L2990" s="455">
        <f t="shared" ca="1" si="157"/>
        <v>-41508405155.634727</v>
      </c>
      <c r="M2990" s="471">
        <f t="shared" si="159"/>
        <v>0.05</v>
      </c>
      <c r="N2990" s="475">
        <f t="shared" si="160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58"/>
        <v>-41508405155.634727</v>
      </c>
      <c r="J2991" s="455">
        <f t="array" ref="J2991">IFERROR(INDEX('Retirement Calculator'!J:J,MATCH('Isaac 401k'!N2991,'Retirement Calculator'!A:A,0),0),0)</f>
        <v>0</v>
      </c>
      <c r="K2991" s="455">
        <f t="shared" ca="1" si="156"/>
        <v>-172951688.14847803</v>
      </c>
      <c r="L2991" s="455">
        <f t="shared" ca="1" si="157"/>
        <v>-41681356843.783203</v>
      </c>
      <c r="M2991" s="471">
        <f t="shared" si="159"/>
        <v>0.05</v>
      </c>
      <c r="N2991" s="475">
        <f t="shared" si="160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58"/>
        <v>-41681356843.783203</v>
      </c>
      <c r="J2992" s="455">
        <f t="array" ref="J2992">IFERROR(INDEX('Retirement Calculator'!J:J,MATCH('Isaac 401k'!N2992,'Retirement Calculator'!A:A,0),0),0)</f>
        <v>0</v>
      </c>
      <c r="K2992" s="455">
        <f t="shared" ca="1" si="156"/>
        <v>-173672320.18243</v>
      </c>
      <c r="L2992" s="455">
        <f t="shared" ca="1" si="157"/>
        <v>-41855029163.96563</v>
      </c>
      <c r="M2992" s="471">
        <f t="shared" si="159"/>
        <v>0.05</v>
      </c>
      <c r="N2992" s="475">
        <f t="shared" si="160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58"/>
        <v>-41855029163.96563</v>
      </c>
      <c r="J2993" s="455">
        <f t="array" ref="J2993">IFERROR(INDEX('Retirement Calculator'!J:J,MATCH('Isaac 401k'!N2993,'Retirement Calculator'!A:A,0),0),0)</f>
        <v>0</v>
      </c>
      <c r="K2993" s="455">
        <f t="shared" ca="1" si="156"/>
        <v>-174395954.84985679</v>
      </c>
      <c r="L2993" s="455">
        <f t="shared" ca="1" si="157"/>
        <v>-42029425118.815483</v>
      </c>
      <c r="M2993" s="471">
        <f t="shared" si="159"/>
        <v>0.05</v>
      </c>
      <c r="N2993" s="475">
        <f t="shared" si="160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58"/>
        <v>-42029425118.815483</v>
      </c>
      <c r="J2994" s="455">
        <f t="array" ref="J2994">IFERROR(INDEX('Retirement Calculator'!J:J,MATCH('Isaac 401k'!N2994,'Retirement Calculator'!A:A,0),0),0)</f>
        <v>0</v>
      </c>
      <c r="K2994" s="455">
        <f t="shared" ca="1" si="156"/>
        <v>-175122604.66173118</v>
      </c>
      <c r="L2994" s="455">
        <f t="shared" ca="1" si="157"/>
        <v>-42204547723.477211</v>
      </c>
      <c r="M2994" s="471">
        <f t="shared" si="159"/>
        <v>0.05</v>
      </c>
      <c r="N2994" s="475">
        <f t="shared" si="160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58"/>
        <v>-42204547723.477211</v>
      </c>
      <c r="J2995" s="455">
        <f t="array" ref="J2995">IFERROR(INDEX('Retirement Calculator'!J:J,MATCH('Isaac 401k'!N2995,'Retirement Calculator'!A:A,0),0),0)</f>
        <v>0</v>
      </c>
      <c r="K2995" s="455">
        <f t="shared" ca="1" si="156"/>
        <v>-175852282.18115506</v>
      </c>
      <c r="L2995" s="455">
        <f t="shared" ca="1" si="157"/>
        <v>-42380400005.658363</v>
      </c>
      <c r="M2995" s="471">
        <f t="shared" si="159"/>
        <v>0.05</v>
      </c>
      <c r="N2995" s="475">
        <f t="shared" si="160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58"/>
        <v>-42380400005.658363</v>
      </c>
      <c r="J2996" s="455">
        <f t="array" ref="J2996">IFERROR(INDEX('Retirement Calculator'!J:J,MATCH('Isaac 401k'!N2996,'Retirement Calculator'!A:A,0),0),0)</f>
        <v>0</v>
      </c>
      <c r="K2996" s="455">
        <f t="shared" ca="1" si="156"/>
        <v>-176585000.0235765</v>
      </c>
      <c r="L2996" s="455">
        <f t="shared" ca="1" si="157"/>
        <v>-42556985005.681938</v>
      </c>
      <c r="M2996" s="471">
        <f t="shared" si="159"/>
        <v>0.05</v>
      </c>
      <c r="N2996" s="475">
        <f t="shared" si="160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58"/>
        <v>-42556985005.681938</v>
      </c>
      <c r="J2997" s="455">
        <f t="array" ref="J2997">IFERROR(INDEX('Retirement Calculator'!J:J,MATCH('Isaac 401k'!N2997,'Retirement Calculator'!A:A,0),0),0)</f>
        <v>0</v>
      </c>
      <c r="K2997" s="455">
        <f t="shared" ca="1" si="156"/>
        <v>-177320770.85700807</v>
      </c>
      <c r="L2997" s="455">
        <f t="shared" ca="1" si="157"/>
        <v>-42734305776.538948</v>
      </c>
      <c r="M2997" s="471">
        <f t="shared" si="159"/>
        <v>0.05</v>
      </c>
      <c r="N2997" s="475">
        <f t="shared" si="160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58"/>
        <v>-42734305776.538948</v>
      </c>
      <c r="J2998" s="455">
        <f t="array" ref="J2998">IFERROR(INDEX('Retirement Calculator'!J:J,MATCH('Isaac 401k'!N2998,'Retirement Calculator'!A:A,0),0),0)</f>
        <v>0</v>
      </c>
      <c r="K2998" s="455">
        <f t="shared" ca="1" si="156"/>
        <v>-178059607.40224561</v>
      </c>
      <c r="L2998" s="455">
        <f t="shared" ca="1" si="157"/>
        <v>-42912365383.941193</v>
      </c>
      <c r="M2998" s="471">
        <f t="shared" si="159"/>
        <v>0.05</v>
      </c>
      <c r="N2998" s="475">
        <f t="shared" si="160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58"/>
        <v>-42912365383.941193</v>
      </c>
      <c r="J2999" s="455">
        <f t="array" ref="J2999">IFERROR(INDEX('Retirement Calculator'!J:J,MATCH('Isaac 401k'!N2999,'Retirement Calculator'!A:A,0),0),0)</f>
        <v>0</v>
      </c>
      <c r="K2999" s="455">
        <f t="shared" ca="1" si="156"/>
        <v>-178801522.4330883</v>
      </c>
      <c r="L2999" s="455">
        <f t="shared" ca="1" si="157"/>
        <v>-43091166906.374283</v>
      </c>
      <c r="M2999" s="471">
        <f t="shared" si="159"/>
        <v>0.05</v>
      </c>
      <c r="N2999" s="475">
        <f t="shared" si="160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58"/>
        <v>-43091166906.374283</v>
      </c>
      <c r="J3000" s="455">
        <f t="array" ref="J3000">IFERROR(INDEX('Retirement Calculator'!J:J,MATCH('Isaac 401k'!N3000,'Retirement Calculator'!A:A,0),0),0)</f>
        <v>0</v>
      </c>
      <c r="K3000" s="455">
        <f t="shared" ca="1" si="156"/>
        <v>-179546528.7765595</v>
      </c>
      <c r="L3000" s="455">
        <f t="shared" ca="1" si="157"/>
        <v>-43270713435.150841</v>
      </c>
      <c r="M3000" s="471">
        <f t="shared" si="159"/>
        <v>0.05</v>
      </c>
      <c r="N3000" s="475">
        <f t="shared" si="160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58"/>
        <v>-43270713435.150841</v>
      </c>
      <c r="J3001" s="455">
        <f t="array" ref="J3001">IFERROR(INDEX('Retirement Calculator'!J:J,MATCH('Isaac 401k'!N3001,'Retirement Calculator'!A:A,0),0),0)</f>
        <v>0</v>
      </c>
      <c r="K3001" s="455">
        <f t="shared" ca="1" si="156"/>
        <v>-180294639.3131285</v>
      </c>
      <c r="L3001" s="455">
        <f t="shared" ca="1" si="157"/>
        <v>-43451008074.463966</v>
      </c>
      <c r="M3001" s="471">
        <f t="shared" si="159"/>
        <v>0.05</v>
      </c>
      <c r="N3001" s="475">
        <f t="shared" si="160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58"/>
        <v>-43451008074.463966</v>
      </c>
      <c r="J3002" s="455">
        <f t="array" ref="J3002">IFERROR(INDEX('Retirement Calculator'!J:J,MATCH('Isaac 401k'!N3002,'Retirement Calculator'!A:A,0),0),0)</f>
        <v>0</v>
      </c>
      <c r="K3002" s="455">
        <f t="shared" ca="1" si="156"/>
        <v>-181045866.97693318</v>
      </c>
      <c r="L3002" s="455">
        <f t="shared" ca="1" si="157"/>
        <v>-43632053941.440903</v>
      </c>
      <c r="M3002" s="471">
        <f t="shared" si="159"/>
        <v>0.05</v>
      </c>
      <c r="N3002" s="475">
        <f t="shared" si="160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58"/>
        <v>-43632053941.440903</v>
      </c>
      <c r="J3003" s="455">
        <f t="array" ref="J3003">IFERROR(INDEX('Retirement Calculator'!J:J,MATCH('Isaac 401k'!N3003,'Retirement Calculator'!A:A,0),0),0)</f>
        <v>0</v>
      </c>
      <c r="K3003" s="455">
        <f t="shared" ca="1" si="156"/>
        <v>-181800224.75600377</v>
      </c>
      <c r="L3003" s="455">
        <f t="shared" ca="1" si="157"/>
        <v>-43813854166.196907</v>
      </c>
      <c r="M3003" s="471">
        <f t="shared" si="159"/>
        <v>0.05</v>
      </c>
      <c r="N3003" s="475">
        <f t="shared" si="160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58"/>
        <v>-43813854166.196907</v>
      </c>
      <c r="J3004" s="455">
        <f t="array" ref="J3004">IFERROR(INDEX('Retirement Calculator'!J:J,MATCH('Isaac 401k'!N3004,'Retirement Calculator'!A:A,0),0),0)</f>
        <v>0</v>
      </c>
      <c r="K3004" s="455">
        <f t="shared" ca="1" si="156"/>
        <v>-182557725.69248712</v>
      </c>
      <c r="L3004" s="455">
        <f t="shared" ca="1" si="157"/>
        <v>-43996411891.889397</v>
      </c>
      <c r="M3004" s="471">
        <f t="shared" si="159"/>
        <v>0.05</v>
      </c>
      <c r="N3004" s="475">
        <f t="shared" si="160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58"/>
        <v>-43996411891.889397</v>
      </c>
      <c r="J3005" s="455">
        <f t="array" ref="J3005">IFERROR(INDEX('Retirement Calculator'!J:J,MATCH('Isaac 401k'!N3005,'Retirement Calculator'!A:A,0),0),0)</f>
        <v>0</v>
      </c>
      <c r="K3005" s="455">
        <f t="shared" ca="1" si="156"/>
        <v>-183318382.88287249</v>
      </c>
      <c r="L3005" s="455">
        <f t="shared" ca="1" si="157"/>
        <v>-44179730274.77227</v>
      </c>
      <c r="M3005" s="471">
        <f t="shared" si="159"/>
        <v>0.05</v>
      </c>
      <c r="N3005" s="475">
        <f t="shared" si="160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58"/>
        <v>-44179730274.77227</v>
      </c>
      <c r="J3006" s="455">
        <f t="array" ref="J3006">IFERROR(INDEX('Retirement Calculator'!J:J,MATCH('Isaac 401k'!N3006,'Retirement Calculator'!A:A,0),0),0)</f>
        <v>0</v>
      </c>
      <c r="K3006" s="455">
        <f t="shared" ca="1" si="156"/>
        <v>-184082209.47821778</v>
      </c>
      <c r="L3006" s="455">
        <f t="shared" ca="1" si="157"/>
        <v>-44363812484.250488</v>
      </c>
      <c r="M3006" s="471">
        <f t="shared" si="159"/>
        <v>0.05</v>
      </c>
      <c r="N3006" s="475">
        <f t="shared" si="160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58"/>
        <v>-44363812484.250488</v>
      </c>
      <c r="J3007" s="455">
        <f t="array" ref="J3007">IFERROR(INDEX('Retirement Calculator'!J:J,MATCH('Isaac 401k'!N3007,'Retirement Calculator'!A:A,0),0),0)</f>
        <v>0</v>
      </c>
      <c r="K3007" s="455">
        <f t="shared" ca="1" si="156"/>
        <v>-184849218.68437704</v>
      </c>
      <c r="L3007" s="455">
        <f t="shared" ca="1" si="157"/>
        <v>-44548661702.934868</v>
      </c>
      <c r="M3007" s="471">
        <f t="shared" si="159"/>
        <v>0.05</v>
      </c>
      <c r="N3007" s="475">
        <f t="shared" si="160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58"/>
        <v>-44548661702.934868</v>
      </c>
      <c r="J3008" s="455">
        <f t="array" ref="J3008">IFERROR(INDEX('Retirement Calculator'!J:J,MATCH('Isaac 401k'!N3008,'Retirement Calculator'!A:A,0),0),0)</f>
        <v>0</v>
      </c>
      <c r="K3008" s="455">
        <f t="shared" ca="1" si="156"/>
        <v>-185619423.76222861</v>
      </c>
      <c r="L3008" s="455">
        <f t="shared" ca="1" si="157"/>
        <v>-44734281126.697098</v>
      </c>
      <c r="M3008" s="471">
        <f t="shared" si="159"/>
        <v>0.05</v>
      </c>
      <c r="N3008" s="475">
        <f t="shared" si="160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58"/>
        <v>-44734281126.697098</v>
      </c>
      <c r="J3009" s="455">
        <f t="array" ref="J3009">IFERROR(INDEX('Retirement Calculator'!J:J,MATCH('Isaac 401k'!N3009,'Retirement Calculator'!A:A,0),0),0)</f>
        <v>0</v>
      </c>
      <c r="K3009" s="455">
        <f t="shared" ca="1" si="156"/>
        <v>-186392838.02790457</v>
      </c>
      <c r="L3009" s="455">
        <f t="shared" ca="1" si="157"/>
        <v>-44920673964.725006</v>
      </c>
      <c r="M3009" s="471">
        <f t="shared" si="159"/>
        <v>0.05</v>
      </c>
      <c r="N3009" s="475">
        <f t="shared" si="160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58"/>
        <v>-44920673964.725006</v>
      </c>
      <c r="J3010" s="455">
        <f t="array" ref="J3010">IFERROR(INDEX('Retirement Calculator'!J:J,MATCH('Isaac 401k'!N3010,'Retirement Calculator'!A:A,0),0),0)</f>
        <v>0</v>
      </c>
      <c r="K3010" s="455">
        <f t="shared" ca="1" si="156"/>
        <v>-187169474.85302085</v>
      </c>
      <c r="L3010" s="455">
        <f t="shared" ca="1" si="157"/>
        <v>-45107843439.578026</v>
      </c>
      <c r="M3010" s="471">
        <f t="shared" si="159"/>
        <v>0.05</v>
      </c>
      <c r="N3010" s="475">
        <f t="shared" si="160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58"/>
        <v>-45107843439.578026</v>
      </c>
      <c r="J3011" s="455">
        <f t="array" ref="J3011">IFERROR(INDEX('Retirement Calculator'!J:J,MATCH('Isaac 401k'!N3011,'Retirement Calculator'!A:A,0),0),0)</f>
        <v>0</v>
      </c>
      <c r="K3011" s="455">
        <f t="shared" ca="1" si="156"/>
        <v>-187949347.66490844</v>
      </c>
      <c r="L3011" s="455">
        <f t="shared" ca="1" si="157"/>
        <v>-45295792787.242935</v>
      </c>
      <c r="M3011" s="471">
        <f t="shared" si="159"/>
        <v>0.05</v>
      </c>
      <c r="N3011" s="475">
        <f t="shared" si="160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58"/>
        <v>-45295792787.242935</v>
      </c>
      <c r="J3012" s="455">
        <f t="array" ref="J3012">IFERROR(INDEX('Retirement Calculator'!J:J,MATCH('Isaac 401k'!N3012,'Retirement Calculator'!A:A,0),0),0)</f>
        <v>0</v>
      </c>
      <c r="K3012" s="455">
        <f t="shared" ca="1" si="156"/>
        <v>-188732469.94684556</v>
      </c>
      <c r="L3012" s="455">
        <f t="shared" ca="1" si="157"/>
        <v>-45484525257.189781</v>
      </c>
      <c r="M3012" s="471">
        <f t="shared" si="159"/>
        <v>0.05</v>
      </c>
      <c r="N3012" s="475">
        <f t="shared" si="160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58"/>
        <v>-45484525257.189781</v>
      </c>
      <c r="J3013" s="455">
        <f t="array" ref="J3013">IFERROR(INDEX('Retirement Calculator'!J:J,MATCH('Isaac 401k'!N3013,'Retirement Calculator'!A:A,0),0),0)</f>
        <v>0</v>
      </c>
      <c r="K3013" s="455">
        <f t="shared" ca="1" si="156"/>
        <v>-189518855.23829076</v>
      </c>
      <c r="L3013" s="455">
        <f t="shared" ca="1" si="157"/>
        <v>-45674044112.42807</v>
      </c>
      <c r="M3013" s="471">
        <f t="shared" si="159"/>
        <v>0.05</v>
      </c>
      <c r="N3013" s="475">
        <f t="shared" si="160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58"/>
        <v>-45674044112.42807</v>
      </c>
      <c r="J3014" s="455">
        <f t="array" ref="J3014">IFERROR(INDEX('Retirement Calculator'!J:J,MATCH('Isaac 401k'!N3014,'Retirement Calculator'!A:A,0),0),0)</f>
        <v>0</v>
      </c>
      <c r="K3014" s="455">
        <f t="shared" ca="1" si="156"/>
        <v>-190308517.13511696</v>
      </c>
      <c r="L3014" s="455">
        <f t="shared" ca="1" si="157"/>
        <v>-45864352629.563187</v>
      </c>
      <c r="M3014" s="471">
        <f t="shared" si="159"/>
        <v>0.05</v>
      </c>
      <c r="N3014" s="475">
        <f t="shared" si="160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58"/>
        <v>-45864352629.563187</v>
      </c>
      <c r="J3015" s="455">
        <f t="array" ref="J3015">IFERROR(INDEX('Retirement Calculator'!J:J,MATCH('Isaac 401k'!N3015,'Retirement Calculator'!A:A,0),0),0)</f>
        <v>0</v>
      </c>
      <c r="K3015" s="455">
        <f t="shared" ca="1" si="156"/>
        <v>-191101469.2898466</v>
      </c>
      <c r="L3015" s="455">
        <f t="shared" ca="1" si="157"/>
        <v>-46055454098.853035</v>
      </c>
      <c r="M3015" s="471">
        <f t="shared" si="159"/>
        <v>0.05</v>
      </c>
      <c r="N3015" s="475">
        <f t="shared" si="160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58"/>
        <v>-46055454098.853035</v>
      </c>
      <c r="J3016" s="455">
        <f t="array" ref="J3016">IFERROR(INDEX('Retirement Calculator'!J:J,MATCH('Isaac 401k'!N3016,'Retirement Calculator'!A:A,0),0),0)</f>
        <v>0</v>
      </c>
      <c r="K3016" s="455">
        <f t="shared" ca="1" si="156"/>
        <v>-191897725.41188765</v>
      </c>
      <c r="L3016" s="455">
        <f t="shared" ca="1" si="157"/>
        <v>-46247351824.264923</v>
      </c>
      <c r="M3016" s="471">
        <f t="shared" si="159"/>
        <v>0.05</v>
      </c>
      <c r="N3016" s="475">
        <f t="shared" si="160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58"/>
        <v>-46247351824.264923</v>
      </c>
      <c r="J3017" s="455">
        <f t="array" ref="J3017">IFERROR(INDEX('Retirement Calculator'!J:J,MATCH('Isaac 401k'!N3017,'Retirement Calculator'!A:A,0),0),0)</f>
        <v>0</v>
      </c>
      <c r="K3017" s="455">
        <f t="shared" ca="1" si="156"/>
        <v>-192697299.2677705</v>
      </c>
      <c r="L3017" s="455">
        <f t="shared" ca="1" si="157"/>
        <v>-46440049123.532692</v>
      </c>
      <c r="M3017" s="471">
        <f t="shared" si="159"/>
        <v>0.05</v>
      </c>
      <c r="N3017" s="475">
        <f t="shared" si="160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58"/>
        <v>-46440049123.532692</v>
      </c>
      <c r="J3018" s="455">
        <f t="array" ref="J3018">IFERROR(INDEX('Retirement Calculator'!J:J,MATCH('Isaac 401k'!N3018,'Retirement Calculator'!A:A,0),0),0)</f>
        <v>0</v>
      </c>
      <c r="K3018" s="455">
        <f t="shared" ca="1" si="156"/>
        <v>-193500204.6813862</v>
      </c>
      <c r="L3018" s="455">
        <f t="shared" ca="1" si="157"/>
        <v>-46633549328.214081</v>
      </c>
      <c r="M3018" s="471">
        <f t="shared" si="159"/>
        <v>0.05</v>
      </c>
      <c r="N3018" s="475">
        <f t="shared" si="160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58"/>
        <v>-46633549328.214081</v>
      </c>
      <c r="J3019" s="455">
        <f t="array" ref="J3019">IFERROR(INDEX('Retirement Calculator'!J:J,MATCH('Isaac 401k'!N3019,'Retirement Calculator'!A:A,0),0),0)</f>
        <v>0</v>
      </c>
      <c r="K3019" s="455">
        <f t="shared" ca="1" si="156"/>
        <v>-194306455.53422534</v>
      </c>
      <c r="L3019" s="455">
        <f t="shared" ca="1" si="157"/>
        <v>-46827855783.748306</v>
      </c>
      <c r="M3019" s="471">
        <f t="shared" si="159"/>
        <v>0.05</v>
      </c>
      <c r="N3019" s="475">
        <f t="shared" si="160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58"/>
        <v>-46827855783.748306</v>
      </c>
      <c r="J3020" s="455">
        <f t="array" ref="J3020">IFERROR(INDEX('Retirement Calculator'!J:J,MATCH('Isaac 401k'!N3020,'Retirement Calculator'!A:A,0),0),0)</f>
        <v>0</v>
      </c>
      <c r="K3020" s="455">
        <f t="shared" ca="1" si="156"/>
        <v>-195116065.76561794</v>
      </c>
      <c r="L3020" s="455">
        <f t="shared" ca="1" si="157"/>
        <v>-47022971849.513924</v>
      </c>
      <c r="M3020" s="471">
        <f t="shared" si="159"/>
        <v>0.05</v>
      </c>
      <c r="N3020" s="475">
        <f t="shared" si="160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58"/>
        <v>-47022971849.513924</v>
      </c>
      <c r="J3021" s="455">
        <f t="array" ref="J3021">IFERROR(INDEX('Retirement Calculator'!J:J,MATCH('Isaac 401k'!N3021,'Retirement Calculator'!A:A,0),0),0)</f>
        <v>0</v>
      </c>
      <c r="K3021" s="455">
        <f t="shared" ca="1" si="156"/>
        <v>-195929049.37297469</v>
      </c>
      <c r="L3021" s="455">
        <f t="shared" ca="1" si="157"/>
        <v>-47218900898.886902</v>
      </c>
      <c r="M3021" s="471">
        <f t="shared" si="159"/>
        <v>0.05</v>
      </c>
      <c r="N3021" s="475">
        <f t="shared" si="160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58"/>
        <v>-47218900898.886902</v>
      </c>
      <c r="J3022" s="455">
        <f t="array" ref="J3022">IFERROR(INDEX('Retirement Calculator'!J:J,MATCH('Isaac 401k'!N3022,'Retirement Calculator'!A:A,0),0),0)</f>
        <v>0</v>
      </c>
      <c r="K3022" s="455">
        <f t="shared" ca="1" si="156"/>
        <v>-196745420.41202876</v>
      </c>
      <c r="L3022" s="455">
        <f t="shared" ca="1" si="157"/>
        <v>-47415646319.298927</v>
      </c>
      <c r="M3022" s="471">
        <f t="shared" si="159"/>
        <v>0.05</v>
      </c>
      <c r="N3022" s="475">
        <f t="shared" si="160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58"/>
        <v>-47415646319.298927</v>
      </c>
      <c r="J3023" s="455">
        <f t="array" ref="J3023">IFERROR(INDEX('Retirement Calculator'!J:J,MATCH('Isaac 401k'!N3023,'Retirement Calculator'!A:A,0),0),0)</f>
        <v>0</v>
      </c>
      <c r="K3023" s="455">
        <f t="shared" ca="1" si="156"/>
        <v>-197565192.99707887</v>
      </c>
      <c r="L3023" s="455">
        <f t="shared" ca="1" si="157"/>
        <v>-47613211512.296005</v>
      </c>
      <c r="M3023" s="471">
        <f t="shared" si="159"/>
        <v>0.05</v>
      </c>
      <c r="N3023" s="475">
        <f t="shared" si="160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58"/>
        <v>-47613211512.296005</v>
      </c>
      <c r="J3024" s="455">
        <f t="array" ref="J3024">IFERROR(INDEX('Retirement Calculator'!J:J,MATCH('Isaac 401k'!N3024,'Retirement Calculator'!A:A,0),0),0)</f>
        <v>0</v>
      </c>
      <c r="K3024" s="455">
        <f t="shared" ca="1" si="156"/>
        <v>-198388381.30123335</v>
      </c>
      <c r="L3024" s="455">
        <f t="shared" ca="1" si="157"/>
        <v>-47811599893.597237</v>
      </c>
      <c r="M3024" s="471">
        <f t="shared" si="159"/>
        <v>0.05</v>
      </c>
      <c r="N3024" s="475">
        <f t="shared" si="160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58"/>
        <v>-47811599893.597237</v>
      </c>
      <c r="J3025" s="455">
        <f t="array" ref="J3025">IFERROR(INDEX('Retirement Calculator'!J:J,MATCH('Isaac 401k'!N3025,'Retirement Calculator'!A:A,0),0),0)</f>
        <v>0</v>
      </c>
      <c r="K3025" s="455">
        <f t="shared" ca="1" si="156"/>
        <v>-199214999.55665514</v>
      </c>
      <c r="L3025" s="455">
        <f t="shared" ca="1" si="157"/>
        <v>-48010814893.153893</v>
      </c>
      <c r="M3025" s="471">
        <f t="shared" si="159"/>
        <v>0.05</v>
      </c>
      <c r="N3025" s="475">
        <f t="shared" si="160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58"/>
        <v>-48010814893.153893</v>
      </c>
      <c r="J3026" s="455">
        <f t="array" ref="J3026">IFERROR(INDEX('Retirement Calculator'!J:J,MATCH('Isaac 401k'!N3026,'Retirement Calculator'!A:A,0),0),0)</f>
        <v>0</v>
      </c>
      <c r="K3026" s="455">
        <f t="shared" ca="1" si="156"/>
        <v>-200045062.05480787</v>
      </c>
      <c r="L3026" s="455">
        <f t="shared" ca="1" si="157"/>
        <v>-48210859955.208702</v>
      </c>
      <c r="M3026" s="471">
        <f t="shared" si="159"/>
        <v>0.05</v>
      </c>
      <c r="N3026" s="475">
        <f t="shared" si="160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58"/>
        <v>-48210859955.208702</v>
      </c>
      <c r="J3027" s="455">
        <f t="array" ref="J3027">IFERROR(INDEX('Retirement Calculator'!J:J,MATCH('Isaac 401k'!N3027,'Retirement Calculator'!A:A,0),0),0)</f>
        <v>0</v>
      </c>
      <c r="K3027" s="455">
        <f t="shared" ca="1" si="156"/>
        <v>-200878583.14670292</v>
      </c>
      <c r="L3027" s="455">
        <f t="shared" ca="1" si="157"/>
        <v>-48411738538.355408</v>
      </c>
      <c r="M3027" s="471">
        <f t="shared" si="159"/>
        <v>0.05</v>
      </c>
      <c r="N3027" s="475">
        <f t="shared" si="160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58"/>
        <v>-48411738538.355408</v>
      </c>
      <c r="J3028" s="455">
        <f t="array" ref="J3028">IFERROR(INDEX('Retirement Calculator'!J:J,MATCH('Isaac 401k'!N3028,'Retirement Calculator'!A:A,0),0),0)</f>
        <v>0</v>
      </c>
      <c r="K3028" s="455">
        <f t="shared" ca="1" si="156"/>
        <v>-201715577.24314752</v>
      </c>
      <c r="L3028" s="455">
        <f t="shared" ca="1" si="157"/>
        <v>-48613454115.598557</v>
      </c>
      <c r="M3028" s="471">
        <f t="shared" si="159"/>
        <v>0.05</v>
      </c>
      <c r="N3028" s="475">
        <f t="shared" si="160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58"/>
        <v>-48613454115.598557</v>
      </c>
      <c r="J3029" s="455">
        <f t="array" ref="J3029">IFERROR(INDEX('Retirement Calculator'!J:J,MATCH('Isaac 401k'!N3029,'Retirement Calculator'!A:A,0),0),0)</f>
        <v>0</v>
      </c>
      <c r="K3029" s="455">
        <f t="shared" ca="1" si="156"/>
        <v>-202556058.81499398</v>
      </c>
      <c r="L3029" s="455">
        <f t="shared" ca="1" si="157"/>
        <v>-48816010174.413551</v>
      </c>
      <c r="M3029" s="471">
        <f t="shared" si="159"/>
        <v>0.05</v>
      </c>
      <c r="N3029" s="475">
        <f t="shared" si="160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58"/>
        <v>-48816010174.413551</v>
      </c>
      <c r="J3030" s="455">
        <f t="array" ref="J3030">IFERROR(INDEX('Retirement Calculator'!J:J,MATCH('Isaac 401k'!N3030,'Retirement Calculator'!A:A,0),0),0)</f>
        <v>0</v>
      </c>
      <c r="K3030" s="455">
        <f t="shared" ca="1" si="156"/>
        <v>-203400042.39338979</v>
      </c>
      <c r="L3030" s="455">
        <f t="shared" ca="1" si="157"/>
        <v>-49019410216.806938</v>
      </c>
      <c r="M3030" s="471">
        <f t="shared" si="159"/>
        <v>0.05</v>
      </c>
      <c r="N3030" s="475">
        <f t="shared" si="160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58"/>
        <v>-49019410216.806938</v>
      </c>
      <c r="J3031" s="455">
        <f t="array" ref="J3031">IFERROR(INDEX('Retirement Calculator'!J:J,MATCH('Isaac 401k'!N3031,'Retirement Calculator'!A:A,0),0),0)</f>
        <v>0</v>
      </c>
      <c r="K3031" s="455">
        <f t="shared" ca="1" si="156"/>
        <v>-204247542.5700289</v>
      </c>
      <c r="L3031" s="455">
        <f t="shared" ca="1" si="157"/>
        <v>-49223657759.376968</v>
      </c>
      <c r="M3031" s="471">
        <f t="shared" si="159"/>
        <v>0.05</v>
      </c>
      <c r="N3031" s="475">
        <f t="shared" si="160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58"/>
        <v>-49223657759.376968</v>
      </c>
      <c r="J3032" s="455">
        <f t="array" ref="J3032">IFERROR(INDEX('Retirement Calculator'!J:J,MATCH('Isaac 401k'!N3032,'Retirement Calculator'!A:A,0),0),0)</f>
        <v>0</v>
      </c>
      <c r="K3032" s="455">
        <f t="shared" ca="1" si="156"/>
        <v>-205098573.99740404</v>
      </c>
      <c r="L3032" s="455">
        <f t="shared" ca="1" si="157"/>
        <v>-49428756333.374374</v>
      </c>
      <c r="M3032" s="471">
        <f t="shared" si="159"/>
        <v>0.05</v>
      </c>
      <c r="N3032" s="475">
        <f t="shared" si="160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58"/>
        <v>-49428756333.374374</v>
      </c>
      <c r="J3033" s="455">
        <f t="array" ref="J3033">IFERROR(INDEX('Retirement Calculator'!J:J,MATCH('Isaac 401k'!N3033,'Retirement Calculator'!A:A,0),0),0)</f>
        <v>0</v>
      </c>
      <c r="K3033" s="455">
        <f t="shared" ca="1" si="156"/>
        <v>-205953151.3890599</v>
      </c>
      <c r="L3033" s="455">
        <f t="shared" ca="1" si="157"/>
        <v>-49634709484.763435</v>
      </c>
      <c r="M3033" s="471">
        <f t="shared" si="159"/>
        <v>0.05</v>
      </c>
      <c r="N3033" s="475">
        <f t="shared" si="160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58"/>
        <v>-49634709484.763435</v>
      </c>
      <c r="J3034" s="455">
        <f t="array" ref="J3034">IFERROR(INDEX('Retirement Calculator'!J:J,MATCH('Isaac 401k'!N3034,'Retirement Calculator'!A:A,0),0),0)</f>
        <v>0</v>
      </c>
      <c r="K3034" s="455">
        <f t="shared" ca="1" si="156"/>
        <v>-206811289.51984763</v>
      </c>
      <c r="L3034" s="455">
        <f t="shared" ca="1" si="157"/>
        <v>-49841520774.283279</v>
      </c>
      <c r="M3034" s="471">
        <f t="shared" si="159"/>
        <v>0.05</v>
      </c>
      <c r="N3034" s="475">
        <f t="shared" si="160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58"/>
        <v>-49841520774.283279</v>
      </c>
      <c r="J3035" s="455">
        <f t="array" ref="J3035">IFERROR(INDEX('Retirement Calculator'!J:J,MATCH('Isaac 401k'!N3035,'Retirement Calculator'!A:A,0),0),0)</f>
        <v>0</v>
      </c>
      <c r="K3035" s="455">
        <f t="shared" ca="1" si="156"/>
        <v>-207673003.22618032</v>
      </c>
      <c r="L3035" s="455">
        <f t="shared" ca="1" si="157"/>
        <v>-50049193777.50946</v>
      </c>
      <c r="M3035" s="471">
        <f t="shared" si="159"/>
        <v>0.05</v>
      </c>
      <c r="N3035" s="475">
        <f t="shared" si="160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58"/>
        <v>-50049193777.50946</v>
      </c>
      <c r="J3036" s="455">
        <f t="array" ref="J3036">IFERROR(INDEX('Retirement Calculator'!J:J,MATCH('Isaac 401k'!N3036,'Retirement Calculator'!A:A,0),0),0)</f>
        <v>0</v>
      </c>
      <c r="K3036" s="455">
        <f t="shared" ca="1" si="156"/>
        <v>-208538307.40628943</v>
      </c>
      <c r="L3036" s="455">
        <f t="shared" ca="1" si="157"/>
        <v>-50257732084.915749</v>
      </c>
      <c r="M3036" s="471">
        <f t="shared" si="159"/>
        <v>0.05</v>
      </c>
      <c r="N3036" s="475">
        <f t="shared" si="160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58"/>
        <v>-50257732084.915749</v>
      </c>
      <c r="J3037" s="455">
        <f t="array" ref="J3037">IFERROR(INDEX('Retirement Calculator'!J:J,MATCH('Isaac 401k'!N3037,'Retirement Calculator'!A:A,0),0),0)</f>
        <v>0</v>
      </c>
      <c r="K3037" s="455">
        <f t="shared" ca="1" si="156"/>
        <v>-209407217.02048227</v>
      </c>
      <c r="L3037" s="455">
        <f t="shared" ca="1" si="157"/>
        <v>-50467139301.936234</v>
      </c>
      <c r="M3037" s="471">
        <f t="shared" si="159"/>
        <v>0.05</v>
      </c>
      <c r="N3037" s="475">
        <f t="shared" si="160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58"/>
        <v>-50467139301.936234</v>
      </c>
      <c r="J3038" s="455">
        <f t="array" ref="J3038">IFERROR(INDEX('Retirement Calculator'!J:J,MATCH('Isaac 401k'!N3038,'Retirement Calculator'!A:A,0),0),0)</f>
        <v>0</v>
      </c>
      <c r="K3038" s="455">
        <f t="shared" ca="1" si="156"/>
        <v>-210279747.09140098</v>
      </c>
      <c r="L3038" s="455">
        <f t="shared" ca="1" si="157"/>
        <v>-50677419049.027634</v>
      </c>
      <c r="M3038" s="471">
        <f t="shared" si="159"/>
        <v>0.05</v>
      </c>
      <c r="N3038" s="475">
        <f t="shared" si="160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58"/>
        <v>-50677419049.027634</v>
      </c>
      <c r="J3039" s="455">
        <f t="array" ref="J3039">IFERROR(INDEX('Retirement Calculator'!J:J,MATCH('Isaac 401k'!N3039,'Retirement Calculator'!A:A,0),0),0)</f>
        <v>0</v>
      </c>
      <c r="K3039" s="455">
        <f t="shared" ca="1" si="156"/>
        <v>-211155912.70428181</v>
      </c>
      <c r="L3039" s="455">
        <f t="shared" ca="1" si="157"/>
        <v>-50888574961.731918</v>
      </c>
      <c r="M3039" s="471">
        <f t="shared" si="159"/>
        <v>0.05</v>
      </c>
      <c r="N3039" s="475">
        <f t="shared" si="160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58"/>
        <v>-50888574961.731918</v>
      </c>
      <c r="J3040" s="455">
        <f t="array" ref="J3040">IFERROR(INDEX('Retirement Calculator'!J:J,MATCH('Isaac 401k'!N3040,'Retirement Calculator'!A:A,0),0),0)</f>
        <v>0</v>
      </c>
      <c r="K3040" s="455">
        <f t="shared" ca="1" si="156"/>
        <v>-212035729.00721633</v>
      </c>
      <c r="L3040" s="455">
        <f t="shared" ca="1" si="157"/>
        <v>-51100610690.739136</v>
      </c>
      <c r="M3040" s="471">
        <f t="shared" si="159"/>
        <v>0.05</v>
      </c>
      <c r="N3040" s="475">
        <f t="shared" si="160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58"/>
        <v>-51100610690.739136</v>
      </c>
      <c r="J3041" s="455">
        <f t="array" ref="J3041">IFERROR(INDEX('Retirement Calculator'!J:J,MATCH('Isaac 401k'!N3041,'Retirement Calculator'!A:A,0),0),0)</f>
        <v>0</v>
      </c>
      <c r="K3041" s="455">
        <f t="shared" ca="1" si="156"/>
        <v>-212919211.21141306</v>
      </c>
      <c r="L3041" s="455">
        <f t="shared" ca="1" si="157"/>
        <v>-51313529901.950546</v>
      </c>
      <c r="M3041" s="471">
        <f t="shared" si="159"/>
        <v>0.05</v>
      </c>
      <c r="N3041" s="475">
        <f t="shared" si="160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58"/>
        <v>-51313529901.950546</v>
      </c>
      <c r="J3042" s="455">
        <f t="array" ref="J3042">IFERROR(INDEX('Retirement Calculator'!J:J,MATCH('Isaac 401k'!N3042,'Retirement Calculator'!A:A,0),0),0)</f>
        <v>0</v>
      </c>
      <c r="K3042" s="455">
        <f t="shared" ca="1" si="156"/>
        <v>-213806374.59146062</v>
      </c>
      <c r="L3042" s="455">
        <f t="shared" ca="1" si="157"/>
        <v>-51527336276.542007</v>
      </c>
      <c r="M3042" s="471">
        <f t="shared" si="159"/>
        <v>0.05</v>
      </c>
      <c r="N3042" s="475">
        <f t="shared" si="160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58"/>
        <v>-51527336276.542007</v>
      </c>
      <c r="J3043" s="455">
        <f t="array" ref="J3043">IFERROR(INDEX('Retirement Calculator'!J:J,MATCH('Isaac 401k'!N3043,'Retirement Calculator'!A:A,0),0),0)</f>
        <v>0</v>
      </c>
      <c r="K3043" s="455">
        <f t="shared" ca="1" si="156"/>
        <v>-214697234.48559171</v>
      </c>
      <c r="L3043" s="455">
        <f t="shared" ca="1" si="157"/>
        <v>-51742033511.027596</v>
      </c>
      <c r="M3043" s="471">
        <f t="shared" si="159"/>
        <v>0.05</v>
      </c>
      <c r="N3043" s="475">
        <f t="shared" si="160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58"/>
        <v>-51742033511.027596</v>
      </c>
      <c r="J3044" s="455">
        <f t="array" ref="J3044">IFERROR(INDEX('Retirement Calculator'!J:J,MATCH('Isaac 401k'!N3044,'Retirement Calculator'!A:A,0),0),0)</f>
        <v>0</v>
      </c>
      <c r="K3044" s="455">
        <f t="shared" ca="1" si="156"/>
        <v>-215591806.2959483</v>
      </c>
      <c r="L3044" s="455">
        <f t="shared" ca="1" si="157"/>
        <v>-51957625317.323547</v>
      </c>
      <c r="M3044" s="471">
        <f t="shared" si="159"/>
        <v>0.05</v>
      </c>
      <c r="N3044" s="475">
        <f t="shared" si="160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58"/>
        <v>-51957625317.323547</v>
      </c>
      <c r="J3045" s="455">
        <f t="array" ref="J3045">IFERROR(INDEX('Retirement Calculator'!J:J,MATCH('Isaac 401k'!N3045,'Retirement Calculator'!A:A,0),0),0)</f>
        <v>0</v>
      </c>
      <c r="K3045" s="455">
        <f t="shared" ca="1" si="156"/>
        <v>-216490105.48884812</v>
      </c>
      <c r="L3045" s="455">
        <f t="shared" ca="1" si="157"/>
        <v>-52174115422.812393</v>
      </c>
      <c r="M3045" s="471">
        <f t="shared" si="159"/>
        <v>0.05</v>
      </c>
      <c r="N3045" s="475">
        <f t="shared" si="160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58"/>
        <v>-52174115422.812393</v>
      </c>
      <c r="J3046" s="455">
        <f t="array" ref="J3046">IFERROR(INDEX('Retirement Calculator'!J:J,MATCH('Isaac 401k'!N3046,'Retirement Calculator'!A:A,0),0),0)</f>
        <v>0</v>
      </c>
      <c r="K3046" s="455">
        <f t="shared" ca="1" si="156"/>
        <v>-217392147.59505165</v>
      </c>
      <c r="L3046" s="455">
        <f t="shared" ca="1" si="157"/>
        <v>-52391507570.407448</v>
      </c>
      <c r="M3046" s="471">
        <f t="shared" si="159"/>
        <v>0.05</v>
      </c>
      <c r="N3046" s="475">
        <f t="shared" si="160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58"/>
        <v>-52391507570.407448</v>
      </c>
      <c r="J3047" s="455">
        <f t="array" ref="J3047">IFERROR(INDEX('Retirement Calculator'!J:J,MATCH('Isaac 401k'!N3047,'Retirement Calculator'!A:A,0),0),0)</f>
        <v>0</v>
      </c>
      <c r="K3047" s="455">
        <f t="shared" ca="1" si="156"/>
        <v>-218297948.21003103</v>
      </c>
      <c r="L3047" s="455">
        <f t="shared" ca="1" si="157"/>
        <v>-52609805518.617477</v>
      </c>
      <c r="M3047" s="471">
        <f t="shared" si="159"/>
        <v>0.05</v>
      </c>
      <c r="N3047" s="475">
        <f t="shared" si="160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58"/>
        <v>-52609805518.617477</v>
      </c>
      <c r="J3048" s="455">
        <f t="array" ref="J3048">IFERROR(INDEX('Retirement Calculator'!J:J,MATCH('Isaac 401k'!N3048,'Retirement Calculator'!A:A,0),0),0)</f>
        <v>0</v>
      </c>
      <c r="K3048" s="455">
        <f t="shared" ca="1" si="156"/>
        <v>-219207522.99423948</v>
      </c>
      <c r="L3048" s="455">
        <f t="shared" ca="1" si="157"/>
        <v>-52829013041.611717</v>
      </c>
      <c r="M3048" s="471">
        <f t="shared" si="159"/>
        <v>0.05</v>
      </c>
      <c r="N3048" s="475">
        <f t="shared" si="160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58"/>
        <v>-52829013041.611717</v>
      </c>
      <c r="J3049" s="455">
        <f t="array" ref="J3049">IFERROR(INDEX('Retirement Calculator'!J:J,MATCH('Isaac 401k'!N3049,'Retirement Calculator'!A:A,0),0),0)</f>
        <v>0</v>
      </c>
      <c r="K3049" s="455">
        <f t="shared" ca="1" si="156"/>
        <v>-220120887.67338216</v>
      </c>
      <c r="L3049" s="455">
        <f t="shared" ca="1" si="157"/>
        <v>-53049133929.285103</v>
      </c>
      <c r="M3049" s="471">
        <f t="shared" si="159"/>
        <v>0.05</v>
      </c>
      <c r="N3049" s="475">
        <f t="shared" si="160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58"/>
        <v>-53049133929.285103</v>
      </c>
      <c r="J3050" s="455">
        <f t="array" ref="J3050">IFERROR(INDEX('Retirement Calculator'!J:J,MATCH('Isaac 401k'!N3050,'Retirement Calculator'!A:A,0),0),0)</f>
        <v>0</v>
      </c>
      <c r="K3050" s="455">
        <f t="shared" ca="1" si="156"/>
        <v>-221038058.03868791</v>
      </c>
      <c r="L3050" s="455">
        <f t="shared" ca="1" si="157"/>
        <v>-53270171987.323792</v>
      </c>
      <c r="M3050" s="471">
        <f t="shared" si="159"/>
        <v>0.05</v>
      </c>
      <c r="N3050" s="475">
        <f t="shared" si="160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58"/>
        <v>-53270171987.323792</v>
      </c>
      <c r="J3051" s="455">
        <f t="array" ref="J3051">IFERROR(INDEX('Retirement Calculator'!J:J,MATCH('Isaac 401k'!N3051,'Retirement Calculator'!A:A,0),0),0)</f>
        <v>0</v>
      </c>
      <c r="K3051" s="455">
        <f t="shared" ca="1" si="156"/>
        <v>-221959049.94718245</v>
      </c>
      <c r="L3051" s="455">
        <f t="shared" ca="1" si="157"/>
        <v>-53492131037.270973</v>
      </c>
      <c r="M3051" s="471">
        <f t="shared" si="159"/>
        <v>0.05</v>
      </c>
      <c r="N3051" s="475">
        <f t="shared" si="160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58"/>
        <v>-53492131037.270973</v>
      </c>
      <c r="J3052" s="455">
        <f t="array" ref="J3052">IFERROR(INDEX('Retirement Calculator'!J:J,MATCH('Isaac 401k'!N3052,'Retirement Calculator'!A:A,0),0),0)</f>
        <v>0</v>
      </c>
      <c r="K3052" s="455">
        <f t="shared" ca="1" si="156"/>
        <v>-222883879.32196239</v>
      </c>
      <c r="L3052" s="455">
        <f t="shared" ca="1" si="157"/>
        <v>-53715014916.592934</v>
      </c>
      <c r="M3052" s="471">
        <f t="shared" si="159"/>
        <v>0.05</v>
      </c>
      <c r="N3052" s="475">
        <f t="shared" si="160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58"/>
        <v>-53715014916.592934</v>
      </c>
      <c r="J3053" s="455">
        <f t="array" ref="J3053">IFERROR(INDEX('Retirement Calculator'!J:J,MATCH('Isaac 401k'!N3053,'Retirement Calculator'!A:A,0),0),0)</f>
        <v>0</v>
      </c>
      <c r="K3053" s="455">
        <f t="shared" ca="1" si="156"/>
        <v>-223812562.15247053</v>
      </c>
      <c r="L3053" s="455">
        <f t="shared" ca="1" si="157"/>
        <v>-53938827478.745407</v>
      </c>
      <c r="M3053" s="471">
        <f t="shared" si="159"/>
        <v>0.05</v>
      </c>
      <c r="N3053" s="475">
        <f t="shared" si="160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58"/>
        <v>-53938827478.745407</v>
      </c>
      <c r="J3054" s="455">
        <f t="array" ref="J3054">IFERROR(INDEX('Retirement Calculator'!J:J,MATCH('Isaac 401k'!N3054,'Retirement Calculator'!A:A,0),0),0)</f>
        <v>0</v>
      </c>
      <c r="K3054" s="455">
        <f t="shared" ca="1" si="156"/>
        <v>-224745114.49477249</v>
      </c>
      <c r="L3054" s="455">
        <f t="shared" ca="1" si="157"/>
        <v>-54163572593.240181</v>
      </c>
      <c r="M3054" s="471">
        <f t="shared" si="159"/>
        <v>0.05</v>
      </c>
      <c r="N3054" s="475">
        <f t="shared" si="160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58"/>
        <v>-54163572593.240181</v>
      </c>
      <c r="J3055" s="455">
        <f t="array" ref="J3055">IFERROR(INDEX('Retirement Calculator'!J:J,MATCH('Isaac 401k'!N3055,'Retirement Calculator'!A:A,0),0),0)</f>
        <v>0</v>
      </c>
      <c r="K3055" s="455">
        <f t="shared" ca="1" si="156"/>
        <v>-225681552.47183409</v>
      </c>
      <c r="L3055" s="455">
        <f t="shared" ca="1" si="157"/>
        <v>-54389254145.712013</v>
      </c>
      <c r="M3055" s="471">
        <f t="shared" si="159"/>
        <v>0.05</v>
      </c>
      <c r="N3055" s="475">
        <f t="shared" si="160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58"/>
        <v>-54389254145.712013</v>
      </c>
      <c r="J3056" s="455">
        <f t="array" ref="J3056">IFERROR(INDEX('Retirement Calculator'!J:J,MATCH('Isaac 401k'!N3056,'Retirement Calculator'!A:A,0),0),0)</f>
        <v>0</v>
      </c>
      <c r="K3056" s="455">
        <f t="shared" ca="1" si="156"/>
        <v>-226621892.27380005</v>
      </c>
      <c r="L3056" s="455">
        <f t="shared" ca="1" si="157"/>
        <v>-54615876037.985817</v>
      </c>
      <c r="M3056" s="471">
        <f t="shared" si="159"/>
        <v>0.05</v>
      </c>
      <c r="N3056" s="475">
        <f t="shared" si="160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58"/>
        <v>-54615876037.985817</v>
      </c>
      <c r="J3057" s="455">
        <f t="array" ref="J3057">IFERROR(INDEX('Retirement Calculator'!J:J,MATCH('Isaac 401k'!N3057,'Retirement Calculator'!A:A,0),0),0)</f>
        <v>0</v>
      </c>
      <c r="K3057" s="455">
        <f t="shared" ca="1" si="156"/>
        <v>-227566150.15827426</v>
      </c>
      <c r="L3057" s="455">
        <f t="shared" ca="1" si="157"/>
        <v>-54843442188.144089</v>
      </c>
      <c r="M3057" s="471">
        <f t="shared" si="159"/>
        <v>0.05</v>
      </c>
      <c r="N3057" s="475">
        <f t="shared" si="160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58"/>
        <v>-54843442188.144089</v>
      </c>
      <c r="J3058" s="455">
        <f t="array" ref="J3058">IFERROR(INDEX('Retirement Calculator'!J:J,MATCH('Isaac 401k'!N3058,'Retirement Calculator'!A:A,0),0),0)</f>
        <v>0</v>
      </c>
      <c r="K3058" s="455">
        <f t="shared" ca="1" si="156"/>
        <v>-228514342.45060036</v>
      </c>
      <c r="L3058" s="455">
        <f t="shared" ca="1" si="157"/>
        <v>-55071956530.594688</v>
      </c>
      <c r="M3058" s="471">
        <f t="shared" si="159"/>
        <v>0.05</v>
      </c>
      <c r="N3058" s="475">
        <f t="shared" si="160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58"/>
        <v>-55071956530.594688</v>
      </c>
      <c r="J3059" s="455">
        <f t="array" ref="J3059">IFERROR(INDEX('Retirement Calculator'!J:J,MATCH('Isaac 401k'!N3059,'Retirement Calculator'!A:A,0),0),0)</f>
        <v>0</v>
      </c>
      <c r="K3059" s="455">
        <f t="shared" ca="1" si="156"/>
        <v>-229466485.54414454</v>
      </c>
      <c r="L3059" s="455">
        <f t="shared" ca="1" si="157"/>
        <v>-55301423016.138832</v>
      </c>
      <c r="M3059" s="471">
        <f t="shared" si="159"/>
        <v>0.05</v>
      </c>
      <c r="N3059" s="475">
        <f t="shared" si="160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58"/>
        <v>-55301423016.138832</v>
      </c>
      <c r="J3060" s="455">
        <f t="array" ref="J3060">IFERROR(INDEX('Retirement Calculator'!J:J,MATCH('Isaac 401k'!N3060,'Retirement Calculator'!A:A,0),0),0)</f>
        <v>0</v>
      </c>
      <c r="K3060" s="455">
        <f t="shared" ca="1" si="156"/>
        <v>-230422595.90057847</v>
      </c>
      <c r="L3060" s="455">
        <f t="shared" ca="1" si="157"/>
        <v>-55531845612.039413</v>
      </c>
      <c r="M3060" s="471">
        <f t="shared" si="159"/>
        <v>0.05</v>
      </c>
      <c r="N3060" s="475">
        <f t="shared" si="160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58"/>
        <v>-55531845612.039413</v>
      </c>
      <c r="J3061" s="455">
        <f t="array" ref="J3061">IFERROR(INDEX('Retirement Calculator'!J:J,MATCH('Isaac 401k'!N3061,'Retirement Calculator'!A:A,0),0),0)</f>
        <v>0</v>
      </c>
      <c r="K3061" s="455">
        <f t="shared" ca="1" si="156"/>
        <v>-231382690.05016422</v>
      </c>
      <c r="L3061" s="455">
        <f t="shared" ca="1" si="157"/>
        <v>-55763228302.089577</v>
      </c>
      <c r="M3061" s="471">
        <f t="shared" si="159"/>
        <v>0.05</v>
      </c>
      <c r="N3061" s="475">
        <f t="shared" si="160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58"/>
        <v>-55763228302.089577</v>
      </c>
      <c r="J3062" s="455">
        <f t="array" ref="J3062">IFERROR(INDEX('Retirement Calculator'!J:J,MATCH('Isaac 401k'!N3062,'Retirement Calculator'!A:A,0),0),0)</f>
        <v>0</v>
      </c>
      <c r="K3062" s="455">
        <f t="shared" ca="1" si="156"/>
        <v>-232346784.59203991</v>
      </c>
      <c r="L3062" s="455">
        <f t="shared" ca="1" si="157"/>
        <v>-55995575086.681618</v>
      </c>
      <c r="M3062" s="471">
        <f t="shared" si="159"/>
        <v>0.05</v>
      </c>
      <c r="N3062" s="475">
        <f t="shared" si="160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58"/>
        <v>-55995575086.681618</v>
      </c>
      <c r="J3063" s="455">
        <f t="array" ref="J3063">IFERROR(INDEX('Retirement Calculator'!J:J,MATCH('Isaac 401k'!N3063,'Retirement Calculator'!A:A,0),0),0)</f>
        <v>0</v>
      </c>
      <c r="K3063" s="455">
        <f t="shared" ca="1" si="156"/>
        <v>-233314896.19450673</v>
      </c>
      <c r="L3063" s="455">
        <f t="shared" ca="1" si="157"/>
        <v>-56228889982.876122</v>
      </c>
      <c r="M3063" s="471">
        <f t="shared" si="159"/>
        <v>0.05</v>
      </c>
      <c r="N3063" s="475">
        <f t="shared" si="160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58"/>
        <v>-56228889982.876122</v>
      </c>
      <c r="J3064" s="455">
        <f t="array" ref="J3064">IFERROR(INDEX('Retirement Calculator'!J:J,MATCH('Isaac 401k'!N3064,'Retirement Calculator'!A:A,0),0),0)</f>
        <v>0</v>
      </c>
      <c r="K3064" s="455">
        <f t="shared" ca="1" si="156"/>
        <v>-234287041.59531716</v>
      </c>
      <c r="L3064" s="455">
        <f t="shared" ca="1" si="157"/>
        <v>-56463177024.471436</v>
      </c>
      <c r="M3064" s="471">
        <f t="shared" si="159"/>
        <v>0.05</v>
      </c>
      <c r="N3064" s="475">
        <f t="shared" si="160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58"/>
        <v>-56463177024.471436</v>
      </c>
      <c r="J3065" s="455">
        <f t="array" ref="J3065">IFERROR(INDEX('Retirement Calculator'!J:J,MATCH('Isaac 401k'!N3065,'Retirement Calculator'!A:A,0),0),0)</f>
        <v>0</v>
      </c>
      <c r="K3065" s="455">
        <f t="shared" ca="1" si="156"/>
        <v>-235263237.60196427</v>
      </c>
      <c r="L3065" s="455">
        <f t="shared" ca="1" si="157"/>
        <v>-56698440262.073402</v>
      </c>
      <c r="M3065" s="471">
        <f t="shared" si="159"/>
        <v>0.05</v>
      </c>
      <c r="N3065" s="475">
        <f t="shared" si="160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58"/>
        <v>-56698440262.073402</v>
      </c>
      <c r="J3066" s="455">
        <f t="array" ref="J3066">IFERROR(INDEX('Retirement Calculator'!J:J,MATCH('Isaac 401k'!N3066,'Retirement Calculator'!A:A,0),0),0)</f>
        <v>0</v>
      </c>
      <c r="K3066" s="455">
        <f t="shared" ca="1" si="156"/>
        <v>-236243501.0919725</v>
      </c>
      <c r="L3066" s="455">
        <f t="shared" ca="1" si="157"/>
        <v>-56934683763.165375</v>
      </c>
      <c r="M3066" s="471">
        <f t="shared" si="159"/>
        <v>0.05</v>
      </c>
      <c r="N3066" s="475">
        <f t="shared" si="160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58"/>
        <v>-56934683763.165375</v>
      </c>
      <c r="J3067" s="455">
        <f t="array" ref="J3067">IFERROR(INDEX('Retirement Calculator'!J:J,MATCH('Isaac 401k'!N3067,'Retirement Calculator'!A:A,0),0),0)</f>
        <v>0</v>
      </c>
      <c r="K3067" s="455">
        <f t="shared" ca="1" si="156"/>
        <v>-237227849.01318905</v>
      </c>
      <c r="L3067" s="455">
        <f t="shared" ca="1" si="157"/>
        <v>-57171911612.178566</v>
      </c>
      <c r="M3067" s="471">
        <f t="shared" si="159"/>
        <v>0.05</v>
      </c>
      <c r="N3067" s="475">
        <f t="shared" si="160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58"/>
        <v>-57171911612.178566</v>
      </c>
      <c r="J3068" s="455">
        <f t="array" ref="J3068">IFERROR(INDEX('Retirement Calculator'!J:J,MATCH('Isaac 401k'!N3068,'Retirement Calculator'!A:A,0),0),0)</f>
        <v>0</v>
      </c>
      <c r="K3068" s="455">
        <f t="shared" ref="K3068:K3322" ca="1" si="161">IPMT(M3068/12,1,12,-I3068+J3068,,0)</f>
        <v>-238216298.38407734</v>
      </c>
      <c r="L3068" s="455">
        <f t="shared" ref="L3068:L3322" ca="1" si="162">I3068-J3068+K3068</f>
        <v>-57410127910.562645</v>
      </c>
      <c r="M3068" s="471">
        <f t="shared" si="159"/>
        <v>0.05</v>
      </c>
      <c r="N3068" s="475">
        <f t="shared" si="160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63">L3068</f>
        <v>-57410127910.562645</v>
      </c>
      <c r="J3069" s="455">
        <f t="array" ref="J3069">IFERROR(INDEX('Retirement Calculator'!J:J,MATCH('Isaac 401k'!N3069,'Retirement Calculator'!A:A,0),0),0)</f>
        <v>0</v>
      </c>
      <c r="K3069" s="455">
        <f t="shared" ca="1" si="161"/>
        <v>-239208866.29401103</v>
      </c>
      <c r="L3069" s="455">
        <f t="shared" ca="1" si="162"/>
        <v>-57649336776.856659</v>
      </c>
      <c r="M3069" s="471">
        <f t="shared" ref="M3069:M3323" si="164">M3068</f>
        <v>0.05</v>
      </c>
      <c r="N3069" s="475">
        <f t="shared" ref="N3069:N3323" si="165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63"/>
        <v>-57649336776.856659</v>
      </c>
      <c r="J3070" s="455">
        <f t="array" ref="J3070">IFERROR(INDEX('Retirement Calculator'!J:J,MATCH('Isaac 401k'!N3070,'Retirement Calculator'!A:A,0),0),0)</f>
        <v>0</v>
      </c>
      <c r="K3070" s="455">
        <f t="shared" ca="1" si="161"/>
        <v>-240205569.9035694</v>
      </c>
      <c r="L3070" s="455">
        <f t="shared" ca="1" si="162"/>
        <v>-57889542346.760231</v>
      </c>
      <c r="M3070" s="471">
        <f t="shared" si="164"/>
        <v>0.05</v>
      </c>
      <c r="N3070" s="475">
        <f t="shared" si="165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63"/>
        <v>-57889542346.760231</v>
      </c>
      <c r="J3071" s="455">
        <f t="array" ref="J3071">IFERROR(INDEX('Retirement Calculator'!J:J,MATCH('Isaac 401k'!N3071,'Retirement Calculator'!A:A,0),0),0)</f>
        <v>0</v>
      </c>
      <c r="K3071" s="455">
        <f t="shared" ca="1" si="161"/>
        <v>-241206426.44483426</v>
      </c>
      <c r="L3071" s="455">
        <f t="shared" ca="1" si="162"/>
        <v>-58130748773.205063</v>
      </c>
      <c r="M3071" s="471">
        <f t="shared" si="164"/>
        <v>0.05</v>
      </c>
      <c r="N3071" s="475">
        <f t="shared" si="165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63"/>
        <v>-58130748773.205063</v>
      </c>
      <c r="J3072" s="455">
        <f t="array" ref="J3072">IFERROR(INDEX('Retirement Calculator'!J:J,MATCH('Isaac 401k'!N3072,'Retirement Calculator'!A:A,0),0),0)</f>
        <v>0</v>
      </c>
      <c r="K3072" s="455">
        <f t="shared" ca="1" si="161"/>
        <v>-242211453.22168779</v>
      </c>
      <c r="L3072" s="455">
        <f t="shared" ca="1" si="162"/>
        <v>-58372960226.42675</v>
      </c>
      <c r="M3072" s="471">
        <f t="shared" si="164"/>
        <v>0.05</v>
      </c>
      <c r="N3072" s="475">
        <f t="shared" si="165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63"/>
        <v>-58372960226.42675</v>
      </c>
      <c r="J3073" s="455">
        <f t="array" ref="J3073">IFERROR(INDEX('Retirement Calculator'!J:J,MATCH('Isaac 401k'!N3073,'Retirement Calculator'!A:A,0),0),0)</f>
        <v>0</v>
      </c>
      <c r="K3073" s="455">
        <f t="shared" ca="1" si="161"/>
        <v>-243220667.61011142</v>
      </c>
      <c r="L3073" s="455">
        <f t="shared" ca="1" si="162"/>
        <v>-58616180894.036865</v>
      </c>
      <c r="M3073" s="471">
        <f t="shared" si="164"/>
        <v>0.05</v>
      </c>
      <c r="N3073" s="475">
        <f t="shared" si="165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63"/>
        <v>-58616180894.036865</v>
      </c>
      <c r="J3074" s="455">
        <f t="array" ref="J3074">IFERROR(INDEX('Retirement Calculator'!J:J,MATCH('Isaac 401k'!N3074,'Retirement Calculator'!A:A,0),0),0)</f>
        <v>0</v>
      </c>
      <c r="K3074" s="455">
        <f t="shared" ca="1" si="161"/>
        <v>-244234087.05848694</v>
      </c>
      <c r="L3074" s="455">
        <f t="shared" ca="1" si="162"/>
        <v>-58860414981.095352</v>
      </c>
      <c r="M3074" s="471">
        <f t="shared" si="164"/>
        <v>0.05</v>
      </c>
      <c r="N3074" s="475">
        <f t="shared" si="165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63"/>
        <v>-58860414981.095352</v>
      </c>
      <c r="J3075" s="455">
        <f t="array" ref="J3075">IFERROR(INDEX('Retirement Calculator'!J:J,MATCH('Isaac 401k'!N3075,'Retirement Calculator'!A:A,0),0),0)</f>
        <v>0</v>
      </c>
      <c r="K3075" s="455">
        <f t="shared" ca="1" si="161"/>
        <v>-245251729.0878973</v>
      </c>
      <c r="L3075" s="455">
        <f t="shared" ca="1" si="162"/>
        <v>-59105666710.18325</v>
      </c>
      <c r="M3075" s="471">
        <f t="shared" si="164"/>
        <v>0.05</v>
      </c>
      <c r="N3075" s="475">
        <f t="shared" si="165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63"/>
        <v>-59105666710.18325</v>
      </c>
      <c r="J3076" s="455">
        <f t="array" ref="J3076">IFERROR(INDEX('Retirement Calculator'!J:J,MATCH('Isaac 401k'!N3076,'Retirement Calculator'!A:A,0),0),0)</f>
        <v>0</v>
      </c>
      <c r="K3076" s="455">
        <f t="shared" ca="1" si="161"/>
        <v>-246273611.29243019</v>
      </c>
      <c r="L3076" s="455">
        <f t="shared" ca="1" si="162"/>
        <v>-59351940321.475677</v>
      </c>
      <c r="M3076" s="471">
        <f t="shared" si="164"/>
        <v>0.05</v>
      </c>
      <c r="N3076" s="475">
        <f t="shared" si="165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63"/>
        <v>-59351940321.475677</v>
      </c>
      <c r="J3077" s="455">
        <f t="array" ref="J3077">IFERROR(INDEX('Retirement Calculator'!J:J,MATCH('Isaac 401k'!N3077,'Retirement Calculator'!A:A,0),0),0)</f>
        <v>0</v>
      </c>
      <c r="K3077" s="455">
        <f t="shared" ca="1" si="161"/>
        <v>-247299751.33948201</v>
      </c>
      <c r="L3077" s="455">
        <f t="shared" ca="1" si="162"/>
        <v>-59599240072.815163</v>
      </c>
      <c r="M3077" s="471">
        <f t="shared" si="164"/>
        <v>0.05</v>
      </c>
      <c r="N3077" s="475">
        <f t="shared" si="165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63"/>
        <v>-59599240072.815163</v>
      </c>
      <c r="J3078" s="455">
        <f t="array" ref="J3078">IFERROR(INDEX('Retirement Calculator'!J:J,MATCH('Isaac 401k'!N3078,'Retirement Calculator'!A:A,0),0),0)</f>
        <v>0</v>
      </c>
      <c r="K3078" s="455">
        <f t="shared" ca="1" si="161"/>
        <v>-248330166.97006318</v>
      </c>
      <c r="L3078" s="455">
        <f t="shared" ca="1" si="162"/>
        <v>-59847570239.785225</v>
      </c>
      <c r="M3078" s="471">
        <f t="shared" si="164"/>
        <v>0.05</v>
      </c>
      <c r="N3078" s="475">
        <f t="shared" si="165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63"/>
        <v>-59847570239.785225</v>
      </c>
      <c r="J3079" s="455">
        <f t="array" ref="J3079">IFERROR(INDEX('Retirement Calculator'!J:J,MATCH('Isaac 401k'!N3079,'Retirement Calculator'!A:A,0),0),0)</f>
        <v>0</v>
      </c>
      <c r="K3079" s="455">
        <f t="shared" ca="1" si="161"/>
        <v>-249364875.9991051</v>
      </c>
      <c r="L3079" s="455">
        <f t="shared" ca="1" si="162"/>
        <v>-60096935115.784332</v>
      </c>
      <c r="M3079" s="471">
        <f t="shared" si="164"/>
        <v>0.05</v>
      </c>
      <c r="N3079" s="475">
        <f t="shared" si="165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63"/>
        <v>-60096935115.784332</v>
      </c>
      <c r="J3080" s="455">
        <f t="array" ref="J3080">IFERROR(INDEX('Retirement Calculator'!J:J,MATCH('Isaac 401k'!N3080,'Retirement Calculator'!A:A,0),0),0)</f>
        <v>0</v>
      </c>
      <c r="K3080" s="455">
        <f t="shared" ca="1" si="161"/>
        <v>-250403896.31576803</v>
      </c>
      <c r="L3080" s="455">
        <f t="shared" ca="1" si="162"/>
        <v>-60347339012.100098</v>
      </c>
      <c r="M3080" s="471">
        <f t="shared" si="164"/>
        <v>0.05</v>
      </c>
      <c r="N3080" s="475">
        <f t="shared" si="165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63"/>
        <v>-60347339012.100098</v>
      </c>
      <c r="J3081" s="455">
        <f t="array" ref="J3081">IFERROR(INDEX('Retirement Calculator'!J:J,MATCH('Isaac 401k'!N3081,'Retirement Calculator'!A:A,0),0),0)</f>
        <v>0</v>
      </c>
      <c r="K3081" s="455">
        <f t="shared" ca="1" si="161"/>
        <v>-251447245.88375041</v>
      </c>
      <c r="L3081" s="455">
        <f t="shared" ca="1" si="162"/>
        <v>-60598786257.983849</v>
      </c>
      <c r="M3081" s="471">
        <f t="shared" si="164"/>
        <v>0.05</v>
      </c>
      <c r="N3081" s="475">
        <f t="shared" si="165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63"/>
        <v>-60598786257.983849</v>
      </c>
      <c r="J3082" s="455">
        <f t="array" ref="J3082">IFERROR(INDEX('Retirement Calculator'!J:J,MATCH('Isaac 401k'!N3082,'Retirement Calculator'!A:A,0),0),0)</f>
        <v>0</v>
      </c>
      <c r="K3082" s="455">
        <f t="shared" ca="1" si="161"/>
        <v>-252494942.74159935</v>
      </c>
      <c r="L3082" s="455">
        <f t="shared" ca="1" si="162"/>
        <v>-60851281200.725449</v>
      </c>
      <c r="M3082" s="471">
        <f t="shared" si="164"/>
        <v>0.05</v>
      </c>
      <c r="N3082" s="475">
        <f t="shared" si="165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63"/>
        <v>-60851281200.725449</v>
      </c>
      <c r="J3083" s="455">
        <f t="array" ref="J3083">IFERROR(INDEX('Retirement Calculator'!J:J,MATCH('Isaac 401k'!N3083,'Retirement Calculator'!A:A,0),0),0)</f>
        <v>0</v>
      </c>
      <c r="K3083" s="455">
        <f t="shared" ca="1" si="161"/>
        <v>-253547005.0030227</v>
      </c>
      <c r="L3083" s="455">
        <f t="shared" ca="1" si="162"/>
        <v>-61104828205.72847</v>
      </c>
      <c r="M3083" s="471">
        <f t="shared" si="164"/>
        <v>0.05</v>
      </c>
      <c r="N3083" s="475">
        <f t="shared" si="165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63"/>
        <v>-61104828205.72847</v>
      </c>
      <c r="J3084" s="455">
        <f t="array" ref="J3084">IFERROR(INDEX('Retirement Calculator'!J:J,MATCH('Isaac 401k'!N3084,'Retirement Calculator'!A:A,0),0),0)</f>
        <v>0</v>
      </c>
      <c r="K3084" s="455">
        <f t="shared" ca="1" si="161"/>
        <v>-254603450.85720199</v>
      </c>
      <c r="L3084" s="455">
        <f t="shared" ca="1" si="162"/>
        <v>-61359431656.58567</v>
      </c>
      <c r="M3084" s="471">
        <f t="shared" si="164"/>
        <v>0.05</v>
      </c>
      <c r="N3084" s="475">
        <f t="shared" si="165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63"/>
        <v>-61359431656.58567</v>
      </c>
      <c r="J3085" s="455">
        <f t="array" ref="J3085">IFERROR(INDEX('Retirement Calculator'!J:J,MATCH('Isaac 401k'!N3085,'Retirement Calculator'!A:A,0),0),0)</f>
        <v>0</v>
      </c>
      <c r="K3085" s="455">
        <f t="shared" ca="1" si="161"/>
        <v>-255664298.56910694</v>
      </c>
      <c r="L3085" s="455">
        <f t="shared" ca="1" si="162"/>
        <v>-61615095955.154778</v>
      </c>
      <c r="M3085" s="471">
        <f t="shared" si="164"/>
        <v>0.05</v>
      </c>
      <c r="N3085" s="475">
        <f t="shared" si="165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63"/>
        <v>-61615095955.154778</v>
      </c>
      <c r="J3086" s="455">
        <f t="array" ref="J3086">IFERROR(INDEX('Retirement Calculator'!J:J,MATCH('Isaac 401k'!N3086,'Retirement Calculator'!A:A,0),0),0)</f>
        <v>0</v>
      </c>
      <c r="K3086" s="455">
        <f t="shared" ca="1" si="161"/>
        <v>-256729566.47981158</v>
      </c>
      <c r="L3086" s="455">
        <f t="shared" ca="1" si="162"/>
        <v>-61871825521.63459</v>
      </c>
      <c r="M3086" s="471">
        <f t="shared" si="164"/>
        <v>0.05</v>
      </c>
      <c r="N3086" s="475">
        <f t="shared" si="165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63"/>
        <v>-61871825521.63459</v>
      </c>
      <c r="J3087" s="455">
        <f t="array" ref="J3087">IFERROR(INDEX('Retirement Calculator'!J:J,MATCH('Isaac 401k'!N3087,'Retirement Calculator'!A:A,0),0),0)</f>
        <v>0</v>
      </c>
      <c r="K3087" s="455">
        <f t="shared" ca="1" si="161"/>
        <v>-257799273.00681078</v>
      </c>
      <c r="L3087" s="455">
        <f t="shared" ca="1" si="162"/>
        <v>-62129624794.641403</v>
      </c>
      <c r="M3087" s="471">
        <f t="shared" si="164"/>
        <v>0.05</v>
      </c>
      <c r="N3087" s="475">
        <f t="shared" si="165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63"/>
        <v>-62129624794.641403</v>
      </c>
      <c r="J3088" s="455">
        <f t="array" ref="J3088">IFERROR(INDEX('Retirement Calculator'!J:J,MATCH('Isaac 401k'!N3088,'Retirement Calculator'!A:A,0),0),0)</f>
        <v>0</v>
      </c>
      <c r="K3088" s="455">
        <f t="shared" ca="1" si="161"/>
        <v>-258873436.64433914</v>
      </c>
      <c r="L3088" s="455">
        <f t="shared" ca="1" si="162"/>
        <v>-62388498231.285744</v>
      </c>
      <c r="M3088" s="471">
        <f t="shared" si="164"/>
        <v>0.05</v>
      </c>
      <c r="N3088" s="475">
        <f t="shared" si="165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63"/>
        <v>-62388498231.285744</v>
      </c>
      <c r="J3089" s="455">
        <f t="array" ref="J3089">IFERROR(INDEX('Retirement Calculator'!J:J,MATCH('Isaac 401k'!N3089,'Retirement Calculator'!A:A,0),0),0)</f>
        <v>0</v>
      </c>
      <c r="K3089" s="455">
        <f t="shared" ca="1" si="161"/>
        <v>-259952075.96369055</v>
      </c>
      <c r="L3089" s="455">
        <f t="shared" ca="1" si="162"/>
        <v>-62648450307.249435</v>
      </c>
      <c r="M3089" s="471">
        <f t="shared" si="164"/>
        <v>0.05</v>
      </c>
      <c r="N3089" s="475">
        <f t="shared" si="165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63"/>
        <v>-62648450307.249435</v>
      </c>
      <c r="J3090" s="455">
        <f t="array" ref="J3090">IFERROR(INDEX('Retirement Calculator'!J:J,MATCH('Isaac 401k'!N3090,'Retirement Calculator'!A:A,0),0),0)</f>
        <v>0</v>
      </c>
      <c r="K3090" s="455">
        <f t="shared" ca="1" si="161"/>
        <v>-261035209.61353931</v>
      </c>
      <c r="L3090" s="455">
        <f t="shared" ca="1" si="162"/>
        <v>-62909485516.862976</v>
      </c>
      <c r="M3090" s="471">
        <f t="shared" si="164"/>
        <v>0.05</v>
      </c>
      <c r="N3090" s="475">
        <f t="shared" si="165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63"/>
        <v>-62909485516.862976</v>
      </c>
      <c r="J3091" s="455">
        <f t="array" ref="J3091">IFERROR(INDEX('Retirement Calculator'!J:J,MATCH('Isaac 401k'!N3091,'Retirement Calculator'!A:A,0),0),0)</f>
        <v>0</v>
      </c>
      <c r="K3091" s="455">
        <f t="shared" ca="1" si="161"/>
        <v>-262122856.32026243</v>
      </c>
      <c r="L3091" s="455">
        <f t="shared" ca="1" si="162"/>
        <v>-63171608373.183235</v>
      </c>
      <c r="M3091" s="471">
        <f t="shared" si="164"/>
        <v>0.05</v>
      </c>
      <c r="N3091" s="475">
        <f t="shared" si="165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63"/>
        <v>-63171608373.183235</v>
      </c>
      <c r="J3092" s="455">
        <f t="array" ref="J3092">IFERROR(INDEX('Retirement Calculator'!J:J,MATCH('Isaac 401k'!N3092,'Retirement Calculator'!A:A,0),0),0)</f>
        <v>0</v>
      </c>
      <c r="K3092" s="455">
        <f t="shared" ca="1" si="161"/>
        <v>-263215034.88826346</v>
      </c>
      <c r="L3092" s="455">
        <f t="shared" ca="1" si="162"/>
        <v>-63434823408.071495</v>
      </c>
      <c r="M3092" s="471">
        <f t="shared" si="164"/>
        <v>0.05</v>
      </c>
      <c r="N3092" s="475">
        <f t="shared" si="165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63"/>
        <v>-63434823408.071495</v>
      </c>
      <c r="J3093" s="455">
        <f t="array" ref="J3093">IFERROR(INDEX('Retirement Calculator'!J:J,MATCH('Isaac 401k'!N3093,'Retirement Calculator'!A:A,0),0),0)</f>
        <v>0</v>
      </c>
      <c r="K3093" s="455">
        <f t="shared" ca="1" si="161"/>
        <v>-264311764.20029786</v>
      </c>
      <c r="L3093" s="455">
        <f t="shared" ca="1" si="162"/>
        <v>-63699135172.27179</v>
      </c>
      <c r="M3093" s="471">
        <f t="shared" si="164"/>
        <v>0.05</v>
      </c>
      <c r="N3093" s="475">
        <f t="shared" si="165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63"/>
        <v>-63699135172.27179</v>
      </c>
      <c r="J3094" s="455">
        <f t="array" ref="J3094">IFERROR(INDEX('Retirement Calculator'!J:J,MATCH('Isaac 401k'!N3094,'Retirement Calculator'!A:A,0),0),0)</f>
        <v>0</v>
      </c>
      <c r="K3094" s="455">
        <f t="shared" ca="1" si="161"/>
        <v>-265413063.21779913</v>
      </c>
      <c r="L3094" s="455">
        <f t="shared" ca="1" si="162"/>
        <v>-63964548235.489586</v>
      </c>
      <c r="M3094" s="471">
        <f t="shared" si="164"/>
        <v>0.05</v>
      </c>
      <c r="N3094" s="475">
        <f t="shared" si="165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63"/>
        <v>-63964548235.489586</v>
      </c>
      <c r="J3095" s="455">
        <f t="array" ref="J3095">IFERROR(INDEX('Retirement Calculator'!J:J,MATCH('Isaac 401k'!N3095,'Retirement Calculator'!A:A,0),0),0)</f>
        <v>0</v>
      </c>
      <c r="K3095" s="455">
        <f t="shared" ca="1" si="161"/>
        <v>-266518950.98120663</v>
      </c>
      <c r="L3095" s="455">
        <f t="shared" ca="1" si="162"/>
        <v>-64231067186.470795</v>
      </c>
      <c r="M3095" s="471">
        <f t="shared" si="164"/>
        <v>0.05</v>
      </c>
      <c r="N3095" s="475">
        <f t="shared" si="165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63"/>
        <v>-64231067186.470795</v>
      </c>
      <c r="J3096" s="455">
        <f t="array" ref="J3096">IFERROR(INDEX('Retirement Calculator'!J:J,MATCH('Isaac 401k'!N3096,'Retirement Calculator'!A:A,0),0),0)</f>
        <v>0</v>
      </c>
      <c r="K3096" s="455">
        <f t="shared" ca="1" si="161"/>
        <v>-267629446.610295</v>
      </c>
      <c r="L3096" s="455">
        <f t="shared" ca="1" si="162"/>
        <v>-64498696633.081093</v>
      </c>
      <c r="M3096" s="471">
        <f t="shared" si="164"/>
        <v>0.05</v>
      </c>
      <c r="N3096" s="475">
        <f t="shared" si="165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63"/>
        <v>-64498696633.081093</v>
      </c>
      <c r="J3097" s="455">
        <f t="array" ref="J3097">IFERROR(INDEX('Retirement Calculator'!J:J,MATCH('Isaac 401k'!N3097,'Retirement Calculator'!A:A,0),0),0)</f>
        <v>0</v>
      </c>
      <c r="K3097" s="455">
        <f t="shared" ca="1" si="161"/>
        <v>-268744569.30450457</v>
      </c>
      <c r="L3097" s="455">
        <f t="shared" ca="1" si="162"/>
        <v>-64767441202.385597</v>
      </c>
      <c r="M3097" s="471">
        <f t="shared" si="164"/>
        <v>0.05</v>
      </c>
      <c r="N3097" s="475">
        <f t="shared" si="165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63"/>
        <v>-64767441202.385597</v>
      </c>
      <c r="J3098" s="455">
        <f t="array" ref="J3098">IFERROR(INDEX('Retirement Calculator'!J:J,MATCH('Isaac 401k'!N3098,'Retirement Calculator'!A:A,0),0),0)</f>
        <v>0</v>
      </c>
      <c r="K3098" s="455">
        <f t="shared" ca="1" si="161"/>
        <v>-269864338.34327334</v>
      </c>
      <c r="L3098" s="455">
        <f t="shared" ca="1" si="162"/>
        <v>-65037305540.728874</v>
      </c>
      <c r="M3098" s="471">
        <f t="shared" si="164"/>
        <v>0.05</v>
      </c>
      <c r="N3098" s="475">
        <f t="shared" si="165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63"/>
        <v>-65037305540.728874</v>
      </c>
      <c r="J3099" s="455">
        <f t="array" ref="J3099">IFERROR(INDEX('Retirement Calculator'!J:J,MATCH('Isaac 401k'!N3099,'Retirement Calculator'!A:A,0),0),0)</f>
        <v>0</v>
      </c>
      <c r="K3099" s="455">
        <f t="shared" ca="1" si="161"/>
        <v>-270988773.08637029</v>
      </c>
      <c r="L3099" s="455">
        <f t="shared" ca="1" si="162"/>
        <v>-65308294313.815247</v>
      </c>
      <c r="M3099" s="471">
        <f t="shared" si="164"/>
        <v>0.05</v>
      </c>
      <c r="N3099" s="475">
        <f t="shared" si="165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63"/>
        <v>-65308294313.815247</v>
      </c>
      <c r="J3100" s="455">
        <f t="array" ref="J3100">IFERROR(INDEX('Retirement Calculator'!J:J,MATCH('Isaac 401k'!N3100,'Retirement Calculator'!A:A,0),0),0)</f>
        <v>0</v>
      </c>
      <c r="K3100" s="455">
        <f t="shared" ca="1" si="161"/>
        <v>-272117892.97423017</v>
      </c>
      <c r="L3100" s="455">
        <f t="shared" ca="1" si="162"/>
        <v>-65580412206.789474</v>
      </c>
      <c r="M3100" s="471">
        <f t="shared" si="164"/>
        <v>0.05</v>
      </c>
      <c r="N3100" s="475">
        <f t="shared" si="165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63"/>
        <v>-65580412206.789474</v>
      </c>
      <c r="J3101" s="455">
        <f t="array" ref="J3101">IFERROR(INDEX('Retirement Calculator'!J:J,MATCH('Isaac 401k'!N3101,'Retirement Calculator'!A:A,0),0),0)</f>
        <v>0</v>
      </c>
      <c r="K3101" s="455">
        <f t="shared" ca="1" si="161"/>
        <v>-273251717.5282895</v>
      </c>
      <c r="L3101" s="455">
        <f t="shared" ca="1" si="162"/>
        <v>-65853663924.317764</v>
      </c>
      <c r="M3101" s="471">
        <f t="shared" si="164"/>
        <v>0.05</v>
      </c>
      <c r="N3101" s="475">
        <f t="shared" si="165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63"/>
        <v>-65853663924.317764</v>
      </c>
      <c r="J3102" s="455">
        <f t="array" ref="J3102">IFERROR(INDEX('Retirement Calculator'!J:J,MATCH('Isaac 401k'!N3102,'Retirement Calculator'!A:A,0),0),0)</f>
        <v>0</v>
      </c>
      <c r="K3102" s="455">
        <f t="shared" ca="1" si="161"/>
        <v>-274390266.35132402</v>
      </c>
      <c r="L3102" s="455">
        <f t="shared" ca="1" si="162"/>
        <v>-66128054190.66909</v>
      </c>
      <c r="M3102" s="471">
        <f t="shared" si="164"/>
        <v>0.05</v>
      </c>
      <c r="N3102" s="475">
        <f t="shared" si="165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63"/>
        <v>-66128054190.66909</v>
      </c>
      <c r="J3103" s="455">
        <f t="array" ref="J3103">IFERROR(INDEX('Retirement Calculator'!J:J,MATCH('Isaac 401k'!N3103,'Retirement Calculator'!A:A,0),0),0)</f>
        <v>0</v>
      </c>
      <c r="K3103" s="455">
        <f t="shared" ca="1" si="161"/>
        <v>-275533559.12778789</v>
      </c>
      <c r="L3103" s="455">
        <f t="shared" ca="1" si="162"/>
        <v>-66403587749.796875</v>
      </c>
      <c r="M3103" s="471">
        <f t="shared" si="164"/>
        <v>0.05</v>
      </c>
      <c r="N3103" s="475">
        <f t="shared" si="165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63"/>
        <v>-66403587749.796875</v>
      </c>
      <c r="J3104" s="455">
        <f t="array" ref="J3104">IFERROR(INDEX('Retirement Calculator'!J:J,MATCH('Isaac 401k'!N3104,'Retirement Calculator'!A:A,0),0),0)</f>
        <v>0</v>
      </c>
      <c r="K3104" s="455">
        <f t="shared" ca="1" si="161"/>
        <v>-276681615.62415367</v>
      </c>
      <c r="L3104" s="455">
        <f t="shared" ca="1" si="162"/>
        <v>-66680269365.421028</v>
      </c>
      <c r="M3104" s="471">
        <f t="shared" si="164"/>
        <v>0.05</v>
      </c>
      <c r="N3104" s="475">
        <f t="shared" si="165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63"/>
        <v>-66680269365.421028</v>
      </c>
      <c r="J3105" s="455">
        <f t="array" ref="J3105">IFERROR(INDEX('Retirement Calculator'!J:J,MATCH('Isaac 401k'!N3105,'Retirement Calculator'!A:A,0),0),0)</f>
        <v>0</v>
      </c>
      <c r="K3105" s="455">
        <f t="shared" ca="1" si="161"/>
        <v>-277834455.68925428</v>
      </c>
      <c r="L3105" s="455">
        <f t="shared" ca="1" si="162"/>
        <v>-66958103821.110283</v>
      </c>
      <c r="M3105" s="471">
        <f t="shared" si="164"/>
        <v>0.05</v>
      </c>
      <c r="N3105" s="475">
        <f t="shared" si="165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63"/>
        <v>-66958103821.110283</v>
      </c>
      <c r="J3106" s="455">
        <f t="array" ref="J3106">IFERROR(INDEX('Retirement Calculator'!J:J,MATCH('Isaac 401k'!N3106,'Retirement Calculator'!A:A,0),0),0)</f>
        <v>0</v>
      </c>
      <c r="K3106" s="455">
        <f t="shared" ca="1" si="161"/>
        <v>-278992099.25462615</v>
      </c>
      <c r="L3106" s="455">
        <f t="shared" ca="1" si="162"/>
        <v>-67237095920.364906</v>
      </c>
      <c r="M3106" s="471">
        <f t="shared" si="164"/>
        <v>0.05</v>
      </c>
      <c r="N3106" s="475">
        <f t="shared" si="165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63"/>
        <v>-67237095920.364906</v>
      </c>
      <c r="J3107" s="455">
        <f t="array" ref="J3107">IFERROR(INDEX('Retirement Calculator'!J:J,MATCH('Isaac 401k'!N3107,'Retirement Calculator'!A:A,0),0),0)</f>
        <v>0</v>
      </c>
      <c r="K3107" s="455">
        <f t="shared" ca="1" si="161"/>
        <v>-280154566.33485377</v>
      </c>
      <c r="L3107" s="455">
        <f t="shared" ca="1" si="162"/>
        <v>-67517250486.69976</v>
      </c>
      <c r="M3107" s="471">
        <f t="shared" si="164"/>
        <v>0.05</v>
      </c>
      <c r="N3107" s="475">
        <f t="shared" si="165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63"/>
        <v>-67517250486.69976</v>
      </c>
      <c r="J3108" s="455">
        <f t="array" ref="J3108">IFERROR(INDEX('Retirement Calculator'!J:J,MATCH('Isaac 401k'!N3108,'Retirement Calculator'!A:A,0),0),0)</f>
        <v>0</v>
      </c>
      <c r="K3108" s="455">
        <f t="shared" ca="1" si="161"/>
        <v>-281321877.02791566</v>
      </c>
      <c r="L3108" s="455">
        <f t="shared" ca="1" si="162"/>
        <v>-67798572363.727676</v>
      </c>
      <c r="M3108" s="471">
        <f t="shared" si="164"/>
        <v>0.05</v>
      </c>
      <c r="N3108" s="475">
        <f t="shared" si="165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63"/>
        <v>-67798572363.727676</v>
      </c>
      <c r="J3109" s="455">
        <f t="array" ref="J3109">IFERROR(INDEX('Retirement Calculator'!J:J,MATCH('Isaac 401k'!N3109,'Retirement Calculator'!A:A,0),0),0)</f>
        <v>0</v>
      </c>
      <c r="K3109" s="455">
        <f t="shared" ca="1" si="161"/>
        <v>-282494051.51553196</v>
      </c>
      <c r="L3109" s="455">
        <f t="shared" ca="1" si="162"/>
        <v>-68081066415.24321</v>
      </c>
      <c r="M3109" s="471">
        <f t="shared" si="164"/>
        <v>0.05</v>
      </c>
      <c r="N3109" s="475">
        <f t="shared" si="165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63"/>
        <v>-68081066415.24321</v>
      </c>
      <c r="J3110" s="455">
        <f t="array" ref="J3110">IFERROR(INDEX('Retirement Calculator'!J:J,MATCH('Isaac 401k'!N3110,'Retirement Calculator'!A:A,0),0),0)</f>
        <v>0</v>
      </c>
      <c r="K3110" s="455">
        <f t="shared" ca="1" si="161"/>
        <v>-283671110.06351334</v>
      </c>
      <c r="L3110" s="455">
        <f t="shared" ca="1" si="162"/>
        <v>-68364737525.306725</v>
      </c>
      <c r="M3110" s="471">
        <f t="shared" si="164"/>
        <v>0.05</v>
      </c>
      <c r="N3110" s="475">
        <f t="shared" si="165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63"/>
        <v>-68364737525.306725</v>
      </c>
      <c r="J3111" s="455">
        <f t="array" ref="J3111">IFERROR(INDEX('Retirement Calculator'!J:J,MATCH('Isaac 401k'!N3111,'Retirement Calculator'!A:A,0),0),0)</f>
        <v>0</v>
      </c>
      <c r="K3111" s="455">
        <f t="shared" ca="1" si="161"/>
        <v>-284853073.02211136</v>
      </c>
      <c r="L3111" s="455">
        <f t="shared" ca="1" si="162"/>
        <v>-68649590598.328835</v>
      </c>
      <c r="M3111" s="471">
        <f t="shared" si="164"/>
        <v>0.05</v>
      </c>
      <c r="N3111" s="475">
        <f t="shared" si="165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63"/>
        <v>-68649590598.328835</v>
      </c>
      <c r="J3112" s="455">
        <f t="array" ref="J3112">IFERROR(INDEX('Retirement Calculator'!J:J,MATCH('Isaac 401k'!N3112,'Retirement Calculator'!A:A,0),0),0)</f>
        <v>0</v>
      </c>
      <c r="K3112" s="455">
        <f t="shared" ca="1" si="161"/>
        <v>-286039960.82637018</v>
      </c>
      <c r="L3112" s="455">
        <f t="shared" ca="1" si="162"/>
        <v>-68935630559.155197</v>
      </c>
      <c r="M3112" s="471">
        <f t="shared" si="164"/>
        <v>0.05</v>
      </c>
      <c r="N3112" s="475">
        <f t="shared" si="165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63"/>
        <v>-68935630559.155197</v>
      </c>
      <c r="J3113" s="455">
        <f t="array" ref="J3113">IFERROR(INDEX('Retirement Calculator'!J:J,MATCH('Isaac 401k'!N3113,'Retirement Calculator'!A:A,0),0),0)</f>
        <v>0</v>
      </c>
      <c r="K3113" s="455">
        <f t="shared" ca="1" si="161"/>
        <v>-287231793.99647999</v>
      </c>
      <c r="L3113" s="455">
        <f t="shared" ca="1" si="162"/>
        <v>-69222862353.151672</v>
      </c>
      <c r="M3113" s="471">
        <f t="shared" si="164"/>
        <v>0.05</v>
      </c>
      <c r="N3113" s="475">
        <f t="shared" si="165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63"/>
        <v>-69222862353.151672</v>
      </c>
      <c r="J3114" s="455">
        <f t="array" ref="J3114">IFERROR(INDEX('Retirement Calculator'!J:J,MATCH('Isaac 401k'!N3114,'Retirement Calculator'!A:A,0),0),0)</f>
        <v>0</v>
      </c>
      <c r="K3114" s="455">
        <f t="shared" ca="1" si="161"/>
        <v>-288428593.13813198</v>
      </c>
      <c r="L3114" s="455">
        <f t="shared" ca="1" si="162"/>
        <v>-69511290946.28981</v>
      </c>
      <c r="M3114" s="471">
        <f t="shared" si="164"/>
        <v>0.05</v>
      </c>
      <c r="N3114" s="475">
        <f t="shared" si="165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63"/>
        <v>-69511290946.28981</v>
      </c>
      <c r="J3115" s="455">
        <f t="array" ref="J3115">IFERROR(INDEX('Retirement Calculator'!J:J,MATCH('Isaac 401k'!N3115,'Retirement Calculator'!A:A,0),0),0)</f>
        <v>0</v>
      </c>
      <c r="K3115" s="455">
        <f t="shared" ca="1" si="161"/>
        <v>-289630378.94287419</v>
      </c>
      <c r="L3115" s="455">
        <f t="shared" ca="1" si="162"/>
        <v>-69800921325.232681</v>
      </c>
      <c r="M3115" s="471">
        <f t="shared" si="164"/>
        <v>0.05</v>
      </c>
      <c r="N3115" s="475">
        <f t="shared" si="165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63"/>
        <v>-69800921325.232681</v>
      </c>
      <c r="J3116" s="455">
        <f t="array" ref="J3116">IFERROR(INDEX('Retirement Calculator'!J:J,MATCH('Isaac 401k'!N3116,'Retirement Calculator'!A:A,0),0),0)</f>
        <v>0</v>
      </c>
      <c r="K3116" s="455">
        <f t="shared" ca="1" si="161"/>
        <v>-290837172.18846953</v>
      </c>
      <c r="L3116" s="455">
        <f t="shared" ca="1" si="162"/>
        <v>-70091758497.421158</v>
      </c>
      <c r="M3116" s="471">
        <f t="shared" si="164"/>
        <v>0.05</v>
      </c>
      <c r="N3116" s="475">
        <f t="shared" si="165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63"/>
        <v>-70091758497.421158</v>
      </c>
      <c r="J3117" s="455">
        <f t="array" ref="J3117">IFERROR(INDEX('Retirement Calculator'!J:J,MATCH('Isaac 401k'!N3117,'Retirement Calculator'!A:A,0),0),0)</f>
        <v>0</v>
      </c>
      <c r="K3117" s="455">
        <f t="shared" ca="1" si="161"/>
        <v>-292048993.73925483</v>
      </c>
      <c r="L3117" s="455">
        <f t="shared" ca="1" si="162"/>
        <v>-70383807491.160416</v>
      </c>
      <c r="M3117" s="471">
        <f t="shared" si="164"/>
        <v>0.05</v>
      </c>
      <c r="N3117" s="475">
        <f t="shared" si="165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63"/>
        <v>-70383807491.160416</v>
      </c>
      <c r="J3118" s="455">
        <f t="array" ref="J3118">IFERROR(INDEX('Retirement Calculator'!J:J,MATCH('Isaac 401k'!N3118,'Retirement Calculator'!A:A,0),0),0)</f>
        <v>0</v>
      </c>
      <c r="K3118" s="455">
        <f t="shared" ca="1" si="161"/>
        <v>-293265864.54650176</v>
      </c>
      <c r="L3118" s="455">
        <f t="shared" ca="1" si="162"/>
        <v>-70677073355.706924</v>
      </c>
      <c r="M3118" s="471">
        <f t="shared" si="164"/>
        <v>0.05</v>
      </c>
      <c r="N3118" s="475">
        <f t="shared" si="165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63"/>
        <v>-70677073355.706924</v>
      </c>
      <c r="J3119" s="455">
        <f t="array" ref="J3119">IFERROR(INDEX('Retirement Calculator'!J:J,MATCH('Isaac 401k'!N3119,'Retirement Calculator'!A:A,0),0),0)</f>
        <v>0</v>
      </c>
      <c r="K3119" s="455">
        <f t="shared" ca="1" si="161"/>
        <v>-294487805.64877886</v>
      </c>
      <c r="L3119" s="455">
        <f t="shared" ca="1" si="162"/>
        <v>-70971561161.355698</v>
      </c>
      <c r="M3119" s="471">
        <f t="shared" si="164"/>
        <v>0.05</v>
      </c>
      <c r="N3119" s="475">
        <f t="shared" si="165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63"/>
        <v>-70971561161.355698</v>
      </c>
      <c r="J3120" s="455">
        <f t="array" ref="J3120">IFERROR(INDEX('Retirement Calculator'!J:J,MATCH('Isaac 401k'!N3120,'Retirement Calculator'!A:A,0),0),0)</f>
        <v>0</v>
      </c>
      <c r="K3120" s="455">
        <f t="shared" ca="1" si="161"/>
        <v>-295714838.17231542</v>
      </c>
      <c r="L3120" s="455">
        <f t="shared" ca="1" si="162"/>
        <v>-71267275999.528015</v>
      </c>
      <c r="M3120" s="471">
        <f t="shared" si="164"/>
        <v>0.05</v>
      </c>
      <c r="N3120" s="475">
        <f t="shared" si="165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63"/>
        <v>-71267275999.528015</v>
      </c>
      <c r="J3121" s="455">
        <f t="array" ref="J3121">IFERROR(INDEX('Retirement Calculator'!J:J,MATCH('Isaac 401k'!N3121,'Retirement Calculator'!A:A,0),0),0)</f>
        <v>0</v>
      </c>
      <c r="K3121" s="455">
        <f t="shared" ca="1" si="161"/>
        <v>-296946983.33136672</v>
      </c>
      <c r="L3121" s="455">
        <f t="shared" ca="1" si="162"/>
        <v>-71564222982.859375</v>
      </c>
      <c r="M3121" s="471">
        <f t="shared" si="164"/>
        <v>0.05</v>
      </c>
      <c r="N3121" s="475">
        <f t="shared" si="165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63"/>
        <v>-71564222982.859375</v>
      </c>
      <c r="J3122" s="455">
        <f t="array" ref="J3122">IFERROR(INDEX('Retirement Calculator'!J:J,MATCH('Isaac 401k'!N3122,'Retirement Calculator'!A:A,0),0),0)</f>
        <v>0</v>
      </c>
      <c r="K3122" s="455">
        <f t="shared" ca="1" si="161"/>
        <v>-298184262.4285807</v>
      </c>
      <c r="L3122" s="455">
        <f t="shared" ca="1" si="162"/>
        <v>-71862407245.287949</v>
      </c>
      <c r="M3122" s="471">
        <f t="shared" si="164"/>
        <v>0.05</v>
      </c>
      <c r="N3122" s="475">
        <f t="shared" si="165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63"/>
        <v>-71862407245.287949</v>
      </c>
      <c r="J3123" s="455">
        <f t="array" ref="J3123">IFERROR(INDEX('Retirement Calculator'!J:J,MATCH('Isaac 401k'!N3123,'Retirement Calculator'!A:A,0),0),0)</f>
        <v>0</v>
      </c>
      <c r="K3123" s="455">
        <f t="shared" ca="1" si="161"/>
        <v>-299426696.85536647</v>
      </c>
      <c r="L3123" s="455">
        <f t="shared" ca="1" si="162"/>
        <v>-72161833942.143311</v>
      </c>
      <c r="M3123" s="471">
        <f t="shared" si="164"/>
        <v>0.05</v>
      </c>
      <c r="N3123" s="475">
        <f t="shared" si="165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63"/>
        <v>-72161833942.143311</v>
      </c>
      <c r="J3124" s="455">
        <f t="array" ref="J3124">IFERROR(INDEX('Retirement Calculator'!J:J,MATCH('Isaac 401k'!N3124,'Retirement Calculator'!A:A,0),0),0)</f>
        <v>0</v>
      </c>
      <c r="K3124" s="455">
        <f t="shared" ca="1" si="161"/>
        <v>-300674308.09226382</v>
      </c>
      <c r="L3124" s="455">
        <f t="shared" ca="1" si="162"/>
        <v>-72462508250.23558</v>
      </c>
      <c r="M3124" s="471">
        <f t="shared" si="164"/>
        <v>0.05</v>
      </c>
      <c r="N3124" s="475">
        <f t="shared" si="165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63"/>
        <v>-72462508250.23558</v>
      </c>
      <c r="J3125" s="455">
        <f t="array" ref="J3125">IFERROR(INDEX('Retirement Calculator'!J:J,MATCH('Isaac 401k'!N3125,'Retirement Calculator'!A:A,0),0),0)</f>
        <v>0</v>
      </c>
      <c r="K3125" s="455">
        <f t="shared" ca="1" si="161"/>
        <v>-301927117.70931494</v>
      </c>
      <c r="L3125" s="455">
        <f t="shared" ca="1" si="162"/>
        <v>-72764435367.944901</v>
      </c>
      <c r="M3125" s="471">
        <f t="shared" si="164"/>
        <v>0.05</v>
      </c>
      <c r="N3125" s="475">
        <f t="shared" si="165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63"/>
        <v>-72764435367.944901</v>
      </c>
      <c r="J3126" s="455">
        <f t="array" ref="J3126">IFERROR(INDEX('Retirement Calculator'!J:J,MATCH('Isaac 401k'!N3126,'Retirement Calculator'!A:A,0),0),0)</f>
        <v>0</v>
      </c>
      <c r="K3126" s="455">
        <f t="shared" ca="1" si="161"/>
        <v>-303185147.36643708</v>
      </c>
      <c r="L3126" s="455">
        <f t="shared" ca="1" si="162"/>
        <v>-73067620515.31134</v>
      </c>
      <c r="M3126" s="471">
        <f t="shared" si="164"/>
        <v>0.05</v>
      </c>
      <c r="N3126" s="475">
        <f t="shared" si="165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63"/>
        <v>-73067620515.31134</v>
      </c>
      <c r="J3127" s="455">
        <f t="array" ref="J3127">IFERROR(INDEX('Retirement Calculator'!J:J,MATCH('Isaac 401k'!N3127,'Retirement Calculator'!A:A,0),0),0)</f>
        <v>0</v>
      </c>
      <c r="K3127" s="455">
        <f t="shared" ca="1" si="161"/>
        <v>-304448418.81379724</v>
      </c>
      <c r="L3127" s="455">
        <f t="shared" ca="1" si="162"/>
        <v>-73372068934.125137</v>
      </c>
      <c r="M3127" s="471">
        <f t="shared" si="164"/>
        <v>0.05</v>
      </c>
      <c r="N3127" s="475">
        <f t="shared" si="165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63"/>
        <v>-73372068934.125137</v>
      </c>
      <c r="J3128" s="455">
        <f t="array" ref="J3128">IFERROR(INDEX('Retirement Calculator'!J:J,MATCH('Isaac 401k'!N3128,'Retirement Calculator'!A:A,0),0),0)</f>
        <v>0</v>
      </c>
      <c r="K3128" s="455">
        <f t="shared" ca="1" si="161"/>
        <v>-305716953.89218807</v>
      </c>
      <c r="L3128" s="455">
        <f t="shared" ca="1" si="162"/>
        <v>-73677785888.017319</v>
      </c>
      <c r="M3128" s="471">
        <f t="shared" si="164"/>
        <v>0.05</v>
      </c>
      <c r="N3128" s="475">
        <f t="shared" si="165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63"/>
        <v>-73677785888.017319</v>
      </c>
      <c r="J3129" s="455">
        <f t="array" ref="J3129">IFERROR(INDEX('Retirement Calculator'!J:J,MATCH('Isaac 401k'!N3129,'Retirement Calculator'!A:A,0),0),0)</f>
        <v>0</v>
      </c>
      <c r="K3129" s="455">
        <f t="shared" ca="1" si="161"/>
        <v>-306990774.53340548</v>
      </c>
      <c r="L3129" s="455">
        <f t="shared" ca="1" si="162"/>
        <v>-73984776662.55072</v>
      </c>
      <c r="M3129" s="471">
        <f t="shared" si="164"/>
        <v>0.05</v>
      </c>
      <c r="N3129" s="475">
        <f t="shared" si="165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63"/>
        <v>-73984776662.55072</v>
      </c>
      <c r="J3130" s="455">
        <f t="array" ref="J3130">IFERROR(INDEX('Retirement Calculator'!J:J,MATCH('Isaac 401k'!N3130,'Retirement Calculator'!A:A,0),0),0)</f>
        <v>0</v>
      </c>
      <c r="K3130" s="455">
        <f t="shared" ca="1" si="161"/>
        <v>-308269902.76062799</v>
      </c>
      <c r="L3130" s="455">
        <f t="shared" ca="1" si="162"/>
        <v>-74293046565.311356</v>
      </c>
      <c r="M3130" s="471">
        <f t="shared" si="164"/>
        <v>0.05</v>
      </c>
      <c r="N3130" s="475">
        <f t="shared" si="165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63"/>
        <v>-74293046565.311356</v>
      </c>
      <c r="J3131" s="455">
        <f t="array" ref="J3131">IFERROR(INDEX('Retirement Calculator'!J:J,MATCH('Isaac 401k'!N3131,'Retirement Calculator'!A:A,0),0),0)</f>
        <v>0</v>
      </c>
      <c r="K3131" s="455">
        <f t="shared" ca="1" si="161"/>
        <v>-309554360.6887973</v>
      </c>
      <c r="L3131" s="455">
        <f t="shared" ca="1" si="162"/>
        <v>-74602600926.000153</v>
      </c>
      <c r="M3131" s="471">
        <f t="shared" si="164"/>
        <v>0.05</v>
      </c>
      <c r="N3131" s="475">
        <f t="shared" si="165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63"/>
        <v>-74602600926.000153</v>
      </c>
      <c r="J3132" s="455">
        <f t="array" ref="J3132">IFERROR(INDEX('Retirement Calculator'!J:J,MATCH('Isaac 401k'!N3132,'Retirement Calculator'!A:A,0),0),0)</f>
        <v>0</v>
      </c>
      <c r="K3132" s="455">
        <f t="shared" ca="1" si="161"/>
        <v>-310844170.52500063</v>
      </c>
      <c r="L3132" s="455">
        <f t="shared" ca="1" si="162"/>
        <v>-74913445096.525146</v>
      </c>
      <c r="M3132" s="471">
        <f t="shared" si="164"/>
        <v>0.05</v>
      </c>
      <c r="N3132" s="475">
        <f t="shared" si="165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63"/>
        <v>-74913445096.525146</v>
      </c>
      <c r="J3133" s="455">
        <f t="array" ref="J3133">IFERROR(INDEX('Retirement Calculator'!J:J,MATCH('Isaac 401k'!N3133,'Retirement Calculator'!A:A,0),0),0)</f>
        <v>0</v>
      </c>
      <c r="K3133" s="455">
        <f t="shared" ca="1" si="161"/>
        <v>-312139354.56885475</v>
      </c>
      <c r="L3133" s="455">
        <f t="shared" ca="1" si="162"/>
        <v>-75225584451.093994</v>
      </c>
      <c r="M3133" s="471">
        <f t="shared" si="164"/>
        <v>0.05</v>
      </c>
      <c r="N3133" s="475">
        <f t="shared" si="165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63"/>
        <v>-75225584451.093994</v>
      </c>
      <c r="J3134" s="455">
        <f t="array" ref="J3134">IFERROR(INDEX('Retirement Calculator'!J:J,MATCH('Isaac 401k'!N3134,'Retirement Calculator'!A:A,0),0),0)</f>
        <v>0</v>
      </c>
      <c r="K3134" s="455">
        <f t="shared" ca="1" si="161"/>
        <v>-313439935.21289164</v>
      </c>
      <c r="L3134" s="455">
        <f t="shared" ca="1" si="162"/>
        <v>-75539024386.306885</v>
      </c>
      <c r="M3134" s="471">
        <f t="shared" si="164"/>
        <v>0.05</v>
      </c>
      <c r="N3134" s="475">
        <f t="shared" si="165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63"/>
        <v>-75539024386.306885</v>
      </c>
      <c r="J3135" s="455">
        <f t="array" ref="J3135">IFERROR(INDEX('Retirement Calculator'!J:J,MATCH('Isaac 401k'!N3135,'Retirement Calculator'!A:A,0),0),0)</f>
        <v>0</v>
      </c>
      <c r="K3135" s="455">
        <f t="shared" ca="1" si="161"/>
        <v>-314745934.94294536</v>
      </c>
      <c r="L3135" s="455">
        <f t="shared" ca="1" si="162"/>
        <v>-75853770321.249832</v>
      </c>
      <c r="M3135" s="471">
        <f t="shared" si="164"/>
        <v>0.05</v>
      </c>
      <c r="N3135" s="475">
        <f t="shared" si="165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63"/>
        <v>-75853770321.249832</v>
      </c>
      <c r="J3136" s="455">
        <f t="array" ref="J3136">IFERROR(INDEX('Retirement Calculator'!J:J,MATCH('Isaac 401k'!N3136,'Retirement Calculator'!A:A,0),0),0)</f>
        <v>0</v>
      </c>
      <c r="K3136" s="455">
        <f t="shared" ca="1" si="161"/>
        <v>-316057376.33854097</v>
      </c>
      <c r="L3136" s="455">
        <f t="shared" ca="1" si="162"/>
        <v>-76169827697.588379</v>
      </c>
      <c r="M3136" s="471">
        <f t="shared" si="164"/>
        <v>0.05</v>
      </c>
      <c r="N3136" s="475">
        <f t="shared" si="165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63"/>
        <v>-76169827697.588379</v>
      </c>
      <c r="J3137" s="455">
        <f t="array" ref="J3137">IFERROR(INDEX('Retirement Calculator'!J:J,MATCH('Isaac 401k'!N3137,'Retirement Calculator'!A:A,0),0),0)</f>
        <v>0</v>
      </c>
      <c r="K3137" s="455">
        <f t="shared" ca="1" si="161"/>
        <v>-317374282.07328492</v>
      </c>
      <c r="L3137" s="455">
        <f t="shared" ca="1" si="162"/>
        <v>-76487201979.661667</v>
      </c>
      <c r="M3137" s="471">
        <f t="shared" si="164"/>
        <v>0.05</v>
      </c>
      <c r="N3137" s="475">
        <f t="shared" si="165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63"/>
        <v>-76487201979.661667</v>
      </c>
      <c r="J3138" s="455">
        <f t="array" ref="J3138">IFERROR(INDEX('Retirement Calculator'!J:J,MATCH('Isaac 401k'!N3138,'Retirement Calculator'!A:A,0),0),0)</f>
        <v>0</v>
      </c>
      <c r="K3138" s="455">
        <f t="shared" ca="1" si="161"/>
        <v>-318696674.91525692</v>
      </c>
      <c r="L3138" s="455">
        <f t="shared" ca="1" si="162"/>
        <v>-76805898654.57692</v>
      </c>
      <c r="M3138" s="471">
        <f t="shared" si="164"/>
        <v>0.05</v>
      </c>
      <c r="N3138" s="475">
        <f t="shared" si="165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63"/>
        <v>-76805898654.57692</v>
      </c>
      <c r="J3139" s="455">
        <f t="array" ref="J3139">IFERROR(INDEX('Retirement Calculator'!J:J,MATCH('Isaac 401k'!N3139,'Retirement Calculator'!A:A,0),0),0)</f>
        <v>0</v>
      </c>
      <c r="K3139" s="455">
        <f t="shared" ca="1" si="161"/>
        <v>-320024577.72740382</v>
      </c>
      <c r="L3139" s="455">
        <f t="shared" ca="1" si="162"/>
        <v>-77125923232.304321</v>
      </c>
      <c r="M3139" s="471">
        <f t="shared" si="164"/>
        <v>0.05</v>
      </c>
      <c r="N3139" s="475">
        <f t="shared" si="165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63"/>
        <v>-77125923232.304321</v>
      </c>
      <c r="J3140" s="455">
        <f t="array" ref="J3140">IFERROR(INDEX('Retirement Calculator'!J:J,MATCH('Isaac 401k'!N3140,'Retirement Calculator'!A:A,0),0),0)</f>
        <v>0</v>
      </c>
      <c r="K3140" s="455">
        <f t="shared" ca="1" si="161"/>
        <v>-321358013.46793467</v>
      </c>
      <c r="L3140" s="455">
        <f t="shared" ca="1" si="162"/>
        <v>-77447281245.772263</v>
      </c>
      <c r="M3140" s="471">
        <f t="shared" si="164"/>
        <v>0.05</v>
      </c>
      <c r="N3140" s="475">
        <f t="shared" si="165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63"/>
        <v>-77447281245.772263</v>
      </c>
      <c r="J3141" s="455">
        <f t="array" ref="J3141">IFERROR(INDEX('Retirement Calculator'!J:J,MATCH('Isaac 401k'!N3141,'Retirement Calculator'!A:A,0),0),0)</f>
        <v>0</v>
      </c>
      <c r="K3141" s="455">
        <f t="shared" ca="1" si="161"/>
        <v>-322697005.19071776</v>
      </c>
      <c r="L3141" s="455">
        <f t="shared" ca="1" si="162"/>
        <v>-77769978250.962982</v>
      </c>
      <c r="M3141" s="471">
        <f t="shared" si="164"/>
        <v>0.05</v>
      </c>
      <c r="N3141" s="475">
        <f t="shared" si="165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63"/>
        <v>-77769978250.962982</v>
      </c>
      <c r="J3142" s="455">
        <f t="array" ref="J3142">IFERROR(INDEX('Retirement Calculator'!J:J,MATCH('Isaac 401k'!N3142,'Retirement Calculator'!A:A,0),0),0)</f>
        <v>0</v>
      </c>
      <c r="K3142" s="455">
        <f t="shared" ca="1" si="161"/>
        <v>-324041576.04567909</v>
      </c>
      <c r="L3142" s="455">
        <f t="shared" ca="1" si="162"/>
        <v>-78094019827.008667</v>
      </c>
      <c r="M3142" s="471">
        <f t="shared" si="164"/>
        <v>0.05</v>
      </c>
      <c r="N3142" s="475">
        <f t="shared" si="165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63"/>
        <v>-78094019827.008667</v>
      </c>
      <c r="J3143" s="455">
        <f t="array" ref="J3143">IFERROR(INDEX('Retirement Calculator'!J:J,MATCH('Isaac 401k'!N3143,'Retirement Calculator'!A:A,0),0),0)</f>
        <v>0</v>
      </c>
      <c r="K3143" s="455">
        <f t="shared" ca="1" si="161"/>
        <v>-325391749.27920276</v>
      </c>
      <c r="L3143" s="455">
        <f t="shared" ca="1" si="162"/>
        <v>-78419411576.287872</v>
      </c>
      <c r="M3143" s="471">
        <f t="shared" si="164"/>
        <v>0.05</v>
      </c>
      <c r="N3143" s="475">
        <f t="shared" si="165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63"/>
        <v>-78419411576.287872</v>
      </c>
      <c r="J3144" s="455">
        <f t="array" ref="J3144">IFERROR(INDEX('Retirement Calculator'!J:J,MATCH('Isaac 401k'!N3144,'Retirement Calculator'!A:A,0),0),0)</f>
        <v>0</v>
      </c>
      <c r="K3144" s="455">
        <f t="shared" ca="1" si="161"/>
        <v>-326747548.23453277</v>
      </c>
      <c r="L3144" s="455">
        <f t="shared" ca="1" si="162"/>
        <v>-78746159124.5224</v>
      </c>
      <c r="M3144" s="471">
        <f t="shared" si="164"/>
        <v>0.05</v>
      </c>
      <c r="N3144" s="475">
        <f t="shared" si="165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63"/>
        <v>-78746159124.5224</v>
      </c>
      <c r="J3145" s="455">
        <f t="array" ref="J3145">IFERROR(INDEX('Retirement Calculator'!J:J,MATCH('Isaac 401k'!N3145,'Retirement Calculator'!A:A,0),0),0)</f>
        <v>0</v>
      </c>
      <c r="K3145" s="455">
        <f t="shared" ca="1" si="161"/>
        <v>-328108996.35217667</v>
      </c>
      <c r="L3145" s="455">
        <f t="shared" ca="1" si="162"/>
        <v>-79074268120.874573</v>
      </c>
      <c r="M3145" s="471">
        <f t="shared" si="164"/>
        <v>0.05</v>
      </c>
      <c r="N3145" s="475">
        <f t="shared" si="165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63"/>
        <v>-79074268120.874573</v>
      </c>
      <c r="J3146" s="455">
        <f t="array" ref="J3146">IFERROR(INDEX('Retirement Calculator'!J:J,MATCH('Isaac 401k'!N3146,'Retirement Calculator'!A:A,0),0),0)</f>
        <v>0</v>
      </c>
      <c r="K3146" s="455">
        <f t="shared" ca="1" si="161"/>
        <v>-329476117.17031074</v>
      </c>
      <c r="L3146" s="455">
        <f t="shared" ca="1" si="162"/>
        <v>-79403744238.044876</v>
      </c>
      <c r="M3146" s="471">
        <f t="shared" si="164"/>
        <v>0.05</v>
      </c>
      <c r="N3146" s="475">
        <f t="shared" si="165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63"/>
        <v>-79403744238.044876</v>
      </c>
      <c r="J3147" s="455">
        <f t="array" ref="J3147">IFERROR(INDEX('Retirement Calculator'!J:J,MATCH('Isaac 401k'!N3147,'Retirement Calculator'!A:A,0),0),0)</f>
        <v>0</v>
      </c>
      <c r="K3147" s="455">
        <f t="shared" ca="1" si="161"/>
        <v>-330848934.32518697</v>
      </c>
      <c r="L3147" s="455">
        <f t="shared" ca="1" si="162"/>
        <v>-79734593172.370056</v>
      </c>
      <c r="M3147" s="471">
        <f t="shared" si="164"/>
        <v>0.05</v>
      </c>
      <c r="N3147" s="475">
        <f t="shared" si="165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63"/>
        <v>-79734593172.370056</v>
      </c>
      <c r="J3148" s="455">
        <f t="array" ref="J3148">IFERROR(INDEX('Retirement Calculator'!J:J,MATCH('Isaac 401k'!N3148,'Retirement Calculator'!A:A,0),0),0)</f>
        <v>0</v>
      </c>
      <c r="K3148" s="455">
        <f t="shared" ca="1" si="161"/>
        <v>-332227471.55154192</v>
      </c>
      <c r="L3148" s="455">
        <f t="shared" ca="1" si="162"/>
        <v>-80066820643.9216</v>
      </c>
      <c r="M3148" s="471">
        <f t="shared" si="164"/>
        <v>0.05</v>
      </c>
      <c r="N3148" s="475">
        <f t="shared" si="165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63"/>
        <v>-80066820643.9216</v>
      </c>
      <c r="J3149" s="455">
        <f t="array" ref="J3149">IFERROR(INDEX('Retirement Calculator'!J:J,MATCH('Isaac 401k'!N3149,'Retirement Calculator'!A:A,0),0),0)</f>
        <v>0</v>
      </c>
      <c r="K3149" s="455">
        <f t="shared" ca="1" si="161"/>
        <v>-333611752.68300664</v>
      </c>
      <c r="L3149" s="455">
        <f t="shared" ca="1" si="162"/>
        <v>-80400432396.604614</v>
      </c>
      <c r="M3149" s="471">
        <f t="shared" si="164"/>
        <v>0.05</v>
      </c>
      <c r="N3149" s="475">
        <f t="shared" si="165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63"/>
        <v>-80400432396.604614</v>
      </c>
      <c r="J3150" s="455">
        <f t="array" ref="J3150">IFERROR(INDEX('Retirement Calculator'!J:J,MATCH('Isaac 401k'!N3150,'Retirement Calculator'!A:A,0),0),0)</f>
        <v>0</v>
      </c>
      <c r="K3150" s="455">
        <f t="shared" ca="1" si="161"/>
        <v>-335001801.65251923</v>
      </c>
      <c r="L3150" s="455">
        <f t="shared" ca="1" si="162"/>
        <v>-80735434198.257141</v>
      </c>
      <c r="M3150" s="471">
        <f t="shared" si="164"/>
        <v>0.05</v>
      </c>
      <c r="N3150" s="475">
        <f t="shared" si="165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63"/>
        <v>-80735434198.257141</v>
      </c>
      <c r="J3151" s="455">
        <f t="array" ref="J3151">IFERROR(INDEX('Retirement Calculator'!J:J,MATCH('Isaac 401k'!N3151,'Retirement Calculator'!A:A,0),0),0)</f>
        <v>0</v>
      </c>
      <c r="K3151" s="455">
        <f t="shared" ca="1" si="161"/>
        <v>-336397642.49273807</v>
      </c>
      <c r="L3151" s="455">
        <f t="shared" ca="1" si="162"/>
        <v>-81071831840.749878</v>
      </c>
      <c r="M3151" s="471">
        <f t="shared" si="164"/>
        <v>0.05</v>
      </c>
      <c r="N3151" s="475">
        <f t="shared" si="165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63"/>
        <v>-81071831840.749878</v>
      </c>
      <c r="J3152" s="455">
        <f t="array" ref="J3152">IFERROR(INDEX('Retirement Calculator'!J:J,MATCH('Isaac 401k'!N3152,'Retirement Calculator'!A:A,0),0),0)</f>
        <v>0</v>
      </c>
      <c r="K3152" s="455">
        <f t="shared" ca="1" si="161"/>
        <v>-337799299.33645785</v>
      </c>
      <c r="L3152" s="455">
        <f t="shared" ca="1" si="162"/>
        <v>-81409631140.086334</v>
      </c>
      <c r="M3152" s="471">
        <f t="shared" si="164"/>
        <v>0.05</v>
      </c>
      <c r="N3152" s="475">
        <f t="shared" si="165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63"/>
        <v>-81409631140.086334</v>
      </c>
      <c r="J3153" s="455">
        <f t="array" ref="J3153">IFERROR(INDEX('Retirement Calculator'!J:J,MATCH('Isaac 401k'!N3153,'Retirement Calculator'!A:A,0),0),0)</f>
        <v>0</v>
      </c>
      <c r="K3153" s="455">
        <f t="shared" ca="1" si="161"/>
        <v>-339206796.4170264</v>
      </c>
      <c r="L3153" s="455">
        <f t="shared" ca="1" si="162"/>
        <v>-81748837936.503357</v>
      </c>
      <c r="M3153" s="471">
        <f t="shared" si="164"/>
        <v>0.05</v>
      </c>
      <c r="N3153" s="475">
        <f t="shared" si="165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63"/>
        <v>-81748837936.503357</v>
      </c>
      <c r="J3154" s="455">
        <f t="array" ref="J3154">IFERROR(INDEX('Retirement Calculator'!J:J,MATCH('Isaac 401k'!N3154,'Retirement Calculator'!A:A,0),0),0)</f>
        <v>0</v>
      </c>
      <c r="K3154" s="455">
        <f t="shared" ca="1" si="161"/>
        <v>-340620158.06876397</v>
      </c>
      <c r="L3154" s="455">
        <f t="shared" ca="1" si="162"/>
        <v>-82089458094.572128</v>
      </c>
      <c r="M3154" s="471">
        <f t="shared" si="164"/>
        <v>0.05</v>
      </c>
      <c r="N3154" s="475">
        <f t="shared" si="165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63"/>
        <v>-82089458094.572128</v>
      </c>
      <c r="J3155" s="455">
        <f t="array" ref="J3155">IFERROR(INDEX('Retirement Calculator'!J:J,MATCH('Isaac 401k'!N3155,'Retirement Calculator'!A:A,0),0),0)</f>
        <v>0</v>
      </c>
      <c r="K3155" s="455">
        <f t="shared" ca="1" si="161"/>
        <v>-342039408.72738385</v>
      </c>
      <c r="L3155" s="455">
        <f t="shared" ca="1" si="162"/>
        <v>-82431497503.299515</v>
      </c>
      <c r="M3155" s="471">
        <f t="shared" si="164"/>
        <v>0.05</v>
      </c>
      <c r="N3155" s="475">
        <f t="shared" si="165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63"/>
        <v>-82431497503.299515</v>
      </c>
      <c r="J3156" s="455">
        <f t="array" ref="J3156">IFERROR(INDEX('Retirement Calculator'!J:J,MATCH('Isaac 401k'!N3156,'Retirement Calculator'!A:A,0),0),0)</f>
        <v>0</v>
      </c>
      <c r="K3156" s="455">
        <f t="shared" ca="1" si="161"/>
        <v>-343464572.93041462</v>
      </c>
      <c r="L3156" s="455">
        <f t="shared" ca="1" si="162"/>
        <v>-82774962076.229935</v>
      </c>
      <c r="M3156" s="471">
        <f t="shared" si="164"/>
        <v>0.05</v>
      </c>
      <c r="N3156" s="475">
        <f t="shared" si="165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63"/>
        <v>-82774962076.229935</v>
      </c>
      <c r="J3157" s="455">
        <f t="array" ref="J3157">IFERROR(INDEX('Retirement Calculator'!J:J,MATCH('Isaac 401k'!N3157,'Retirement Calculator'!A:A,0),0),0)</f>
        <v>0</v>
      </c>
      <c r="K3157" s="455">
        <f t="shared" ca="1" si="161"/>
        <v>-344895675.31762475</v>
      </c>
      <c r="L3157" s="455">
        <f t="shared" ca="1" si="162"/>
        <v>-83119857751.547562</v>
      </c>
      <c r="M3157" s="471">
        <f t="shared" si="164"/>
        <v>0.05</v>
      </c>
      <c r="N3157" s="475">
        <f t="shared" si="165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63"/>
        <v>-83119857751.547562</v>
      </c>
      <c r="J3158" s="455">
        <f t="array" ref="J3158">IFERROR(INDEX('Retirement Calculator'!J:J,MATCH('Isaac 401k'!N3158,'Retirement Calculator'!A:A,0),0),0)</f>
        <v>0</v>
      </c>
      <c r="K3158" s="455">
        <f t="shared" ca="1" si="161"/>
        <v>-346332740.63144815</v>
      </c>
      <c r="L3158" s="455">
        <f t="shared" ca="1" si="162"/>
        <v>-83466190492.179016</v>
      </c>
      <c r="M3158" s="471">
        <f t="shared" si="164"/>
        <v>0.05</v>
      </c>
      <c r="N3158" s="475">
        <f t="shared" si="165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63"/>
        <v>-83466190492.179016</v>
      </c>
      <c r="J3159" s="455">
        <f t="array" ref="J3159">IFERROR(INDEX('Retirement Calculator'!J:J,MATCH('Isaac 401k'!N3159,'Retirement Calculator'!A:A,0),0),0)</f>
        <v>0</v>
      </c>
      <c r="K3159" s="455">
        <f t="shared" ca="1" si="161"/>
        <v>-347775793.71741259</v>
      </c>
      <c r="L3159" s="455">
        <f t="shared" ca="1" si="162"/>
        <v>-83813966285.896423</v>
      </c>
      <c r="M3159" s="471">
        <f t="shared" si="164"/>
        <v>0.05</v>
      </c>
      <c r="N3159" s="475">
        <f t="shared" si="165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63"/>
        <v>-83813966285.896423</v>
      </c>
      <c r="J3160" s="455">
        <f t="array" ref="J3160">IFERROR(INDEX('Retirement Calculator'!J:J,MATCH('Isaac 401k'!N3160,'Retirement Calculator'!A:A,0),0),0)</f>
        <v>0</v>
      </c>
      <c r="K3160" s="455">
        <f t="shared" ca="1" si="161"/>
        <v>-349224859.52456844</v>
      </c>
      <c r="L3160" s="455">
        <f t="shared" ca="1" si="162"/>
        <v>-84163191145.42099</v>
      </c>
      <c r="M3160" s="471">
        <f t="shared" si="164"/>
        <v>0.05</v>
      </c>
      <c r="N3160" s="475">
        <f t="shared" si="165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63"/>
        <v>-84163191145.42099</v>
      </c>
      <c r="J3161" s="455">
        <f t="array" ref="J3161">IFERROR(INDEX('Retirement Calculator'!J:J,MATCH('Isaac 401k'!N3161,'Retirement Calculator'!A:A,0),0),0)</f>
        <v>0</v>
      </c>
      <c r="K3161" s="455">
        <f t="shared" ca="1" si="161"/>
        <v>-350679963.10592079</v>
      </c>
      <c r="L3161" s="455">
        <f t="shared" ca="1" si="162"/>
        <v>-84513871108.526917</v>
      </c>
      <c r="M3161" s="471">
        <f t="shared" si="164"/>
        <v>0.05</v>
      </c>
      <c r="N3161" s="475">
        <f t="shared" si="165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63"/>
        <v>-84513871108.526917</v>
      </c>
      <c r="J3162" s="455">
        <f t="array" ref="J3162">IFERROR(INDEX('Retirement Calculator'!J:J,MATCH('Isaac 401k'!N3162,'Retirement Calculator'!A:A,0),0),0)</f>
        <v>0</v>
      </c>
      <c r="K3162" s="455">
        <f t="shared" ca="1" si="161"/>
        <v>-352141129.61886215</v>
      </c>
      <c r="L3162" s="455">
        <f t="shared" ca="1" si="162"/>
        <v>-84866012238.145782</v>
      </c>
      <c r="M3162" s="471">
        <f t="shared" si="164"/>
        <v>0.05</v>
      </c>
      <c r="N3162" s="475">
        <f t="shared" si="165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63"/>
        <v>-84866012238.145782</v>
      </c>
      <c r="J3163" s="455">
        <f t="array" ref="J3163">IFERROR(INDEX('Retirement Calculator'!J:J,MATCH('Isaac 401k'!N3163,'Retirement Calculator'!A:A,0),0),0)</f>
        <v>0</v>
      </c>
      <c r="K3163" s="455">
        <f t="shared" ca="1" si="161"/>
        <v>-353608384.32560742</v>
      </c>
      <c r="L3163" s="455">
        <f t="shared" ca="1" si="162"/>
        <v>-85219620622.47139</v>
      </c>
      <c r="M3163" s="471">
        <f t="shared" si="164"/>
        <v>0.05</v>
      </c>
      <c r="N3163" s="475">
        <f t="shared" si="165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63"/>
        <v>-85219620622.47139</v>
      </c>
      <c r="J3164" s="455">
        <f t="array" ref="J3164">IFERROR(INDEX('Retirement Calculator'!J:J,MATCH('Isaac 401k'!N3164,'Retirement Calculator'!A:A,0),0),0)</f>
        <v>0</v>
      </c>
      <c r="K3164" s="455">
        <f t="shared" ca="1" si="161"/>
        <v>-355081752.59363079</v>
      </c>
      <c r="L3164" s="455">
        <f t="shared" ca="1" si="162"/>
        <v>-85574702375.065018</v>
      </c>
      <c r="M3164" s="471">
        <f t="shared" si="164"/>
        <v>0.05</v>
      </c>
      <c r="N3164" s="475">
        <f t="shared" si="165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63"/>
        <v>-85574702375.065018</v>
      </c>
      <c r="J3165" s="455">
        <f t="array" ref="J3165">IFERROR(INDEX('Retirement Calculator'!J:J,MATCH('Isaac 401k'!N3165,'Retirement Calculator'!A:A,0),0),0)</f>
        <v>0</v>
      </c>
      <c r="K3165" s="455">
        <f t="shared" ca="1" si="161"/>
        <v>-356561259.89610422</v>
      </c>
      <c r="L3165" s="455">
        <f t="shared" ca="1" si="162"/>
        <v>-85931263634.961121</v>
      </c>
      <c r="M3165" s="471">
        <f t="shared" si="164"/>
        <v>0.05</v>
      </c>
      <c r="N3165" s="475">
        <f t="shared" si="165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63"/>
        <v>-85931263634.961121</v>
      </c>
      <c r="J3166" s="455">
        <f t="array" ref="J3166">IFERROR(INDEX('Retirement Calculator'!J:J,MATCH('Isaac 401k'!N3166,'Retirement Calculator'!A:A,0),0),0)</f>
        <v>0</v>
      </c>
      <c r="K3166" s="455">
        <f t="shared" ca="1" si="161"/>
        <v>-358046931.81233799</v>
      </c>
      <c r="L3166" s="455">
        <f t="shared" ca="1" si="162"/>
        <v>-86289310566.773453</v>
      </c>
      <c r="M3166" s="471">
        <f t="shared" si="164"/>
        <v>0.05</v>
      </c>
      <c r="N3166" s="475">
        <f t="shared" si="165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63"/>
        <v>-86289310566.773453</v>
      </c>
      <c r="J3167" s="455">
        <f t="array" ref="J3167">IFERROR(INDEX('Retirement Calculator'!J:J,MATCH('Isaac 401k'!N3167,'Retirement Calculator'!A:A,0),0),0)</f>
        <v>0</v>
      </c>
      <c r="K3167" s="455">
        <f t="shared" ca="1" si="161"/>
        <v>-359538794.02822274</v>
      </c>
      <c r="L3167" s="455">
        <f t="shared" ca="1" si="162"/>
        <v>-86648849360.801682</v>
      </c>
      <c r="M3167" s="471">
        <f t="shared" si="164"/>
        <v>0.05</v>
      </c>
      <c r="N3167" s="475">
        <f t="shared" si="165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63"/>
        <v>-86648849360.801682</v>
      </c>
      <c r="J3168" s="455">
        <f t="array" ref="J3168">IFERROR(INDEX('Retirement Calculator'!J:J,MATCH('Isaac 401k'!N3168,'Retirement Calculator'!A:A,0),0),0)</f>
        <v>0</v>
      </c>
      <c r="K3168" s="455">
        <f t="shared" ca="1" si="161"/>
        <v>-361036872.33667368</v>
      </c>
      <c r="L3168" s="455">
        <f t="shared" ca="1" si="162"/>
        <v>-87009886233.138351</v>
      </c>
      <c r="M3168" s="471">
        <f t="shared" si="164"/>
        <v>0.05</v>
      </c>
      <c r="N3168" s="475">
        <f t="shared" si="165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63"/>
        <v>-87009886233.138351</v>
      </c>
      <c r="J3169" s="455">
        <f t="array" ref="J3169">IFERROR(INDEX('Retirement Calculator'!J:J,MATCH('Isaac 401k'!N3169,'Retirement Calculator'!A:A,0),0),0)</f>
        <v>0</v>
      </c>
      <c r="K3169" s="455">
        <f t="shared" ca="1" si="161"/>
        <v>-362541192.63807648</v>
      </c>
      <c r="L3169" s="455">
        <f t="shared" ca="1" si="162"/>
        <v>-87372427425.776428</v>
      </c>
      <c r="M3169" s="471">
        <f t="shared" si="164"/>
        <v>0.05</v>
      </c>
      <c r="N3169" s="475">
        <f t="shared" si="165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63"/>
        <v>-87372427425.776428</v>
      </c>
      <c r="J3170" s="455">
        <f t="array" ref="J3170">IFERROR(INDEX('Retirement Calculator'!J:J,MATCH('Isaac 401k'!N3170,'Retirement Calculator'!A:A,0),0),0)</f>
        <v>0</v>
      </c>
      <c r="K3170" s="455">
        <f t="shared" ca="1" si="161"/>
        <v>-364051780.9407351</v>
      </c>
      <c r="L3170" s="455">
        <f t="shared" ca="1" si="162"/>
        <v>-87736479206.717163</v>
      </c>
      <c r="M3170" s="471">
        <f t="shared" si="164"/>
        <v>0.05</v>
      </c>
      <c r="N3170" s="475">
        <f t="shared" si="165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63"/>
        <v>-87736479206.717163</v>
      </c>
      <c r="J3171" s="455">
        <f t="array" ref="J3171">IFERROR(INDEX('Retirement Calculator'!J:J,MATCH('Isaac 401k'!N3171,'Retirement Calculator'!A:A,0),0),0)</f>
        <v>0</v>
      </c>
      <c r="K3171" s="455">
        <f t="shared" ca="1" si="161"/>
        <v>-365568663.36132151</v>
      </c>
      <c r="L3171" s="455">
        <f t="shared" ca="1" si="162"/>
        <v>-88102047870.078491</v>
      </c>
      <c r="M3171" s="471">
        <f t="shared" si="164"/>
        <v>0.05</v>
      </c>
      <c r="N3171" s="475">
        <f t="shared" si="165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63"/>
        <v>-88102047870.078491</v>
      </c>
      <c r="J3172" s="455">
        <f t="array" ref="J3172">IFERROR(INDEX('Retirement Calculator'!J:J,MATCH('Isaac 401k'!N3172,'Retirement Calculator'!A:A,0),0),0)</f>
        <v>0</v>
      </c>
      <c r="K3172" s="455">
        <f t="shared" ca="1" si="161"/>
        <v>-367091866.12532705</v>
      </c>
      <c r="L3172" s="455">
        <f t="shared" ca="1" si="162"/>
        <v>-88469139736.203812</v>
      </c>
      <c r="M3172" s="471">
        <f t="shared" si="164"/>
        <v>0.05</v>
      </c>
      <c r="N3172" s="475">
        <f t="shared" si="165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63"/>
        <v>-88469139736.203812</v>
      </c>
      <c r="J3173" s="455">
        <f t="array" ref="J3173">IFERROR(INDEX('Retirement Calculator'!J:J,MATCH('Isaac 401k'!N3173,'Retirement Calculator'!A:A,0),0),0)</f>
        <v>0</v>
      </c>
      <c r="K3173" s="455">
        <f t="shared" ca="1" si="161"/>
        <v>-368621415.56751585</v>
      </c>
      <c r="L3173" s="455">
        <f t="shared" ca="1" si="162"/>
        <v>-88837761151.771332</v>
      </c>
      <c r="M3173" s="471">
        <f t="shared" si="164"/>
        <v>0.05</v>
      </c>
      <c r="N3173" s="475">
        <f t="shared" si="165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63"/>
        <v>-88837761151.771332</v>
      </c>
      <c r="J3174" s="455">
        <f t="array" ref="J3174">IFERROR(INDEX('Retirement Calculator'!J:J,MATCH('Isaac 401k'!N3174,'Retirement Calculator'!A:A,0),0),0)</f>
        <v>0</v>
      </c>
      <c r="K3174" s="455">
        <f t="shared" ca="1" si="161"/>
        <v>-370157338.13238055</v>
      </c>
      <c r="L3174" s="455">
        <f t="shared" ca="1" si="162"/>
        <v>-89207918489.903717</v>
      </c>
      <c r="M3174" s="471">
        <f t="shared" si="164"/>
        <v>0.05</v>
      </c>
      <c r="N3174" s="475">
        <f t="shared" si="165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63"/>
        <v>-89207918489.903717</v>
      </c>
      <c r="J3175" s="455">
        <f t="array" ref="J3175">IFERROR(INDEX('Retirement Calculator'!J:J,MATCH('Isaac 401k'!N3175,'Retirement Calculator'!A:A,0),0),0)</f>
        <v>0</v>
      </c>
      <c r="K3175" s="455">
        <f t="shared" ca="1" si="161"/>
        <v>-371699660.3745988</v>
      </c>
      <c r="L3175" s="455">
        <f t="shared" ca="1" si="162"/>
        <v>-89579618150.27832</v>
      </c>
      <c r="M3175" s="471">
        <f t="shared" si="164"/>
        <v>0.05</v>
      </c>
      <c r="N3175" s="475">
        <f t="shared" si="165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63"/>
        <v>-89579618150.27832</v>
      </c>
      <c r="J3176" s="455">
        <f t="array" ref="J3176">IFERROR(INDEX('Retirement Calculator'!J:J,MATCH('Isaac 401k'!N3176,'Retirement Calculator'!A:A,0),0),0)</f>
        <v>0</v>
      </c>
      <c r="K3176" s="455">
        <f t="shared" ca="1" si="161"/>
        <v>-373248408.95949298</v>
      </c>
      <c r="L3176" s="455">
        <f t="shared" ca="1" si="162"/>
        <v>-89952866559.237808</v>
      </c>
      <c r="M3176" s="471">
        <f t="shared" si="164"/>
        <v>0.05</v>
      </c>
      <c r="N3176" s="475">
        <f t="shared" si="165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63"/>
        <v>-89952866559.237808</v>
      </c>
      <c r="J3177" s="455">
        <f t="array" ref="J3177">IFERROR(INDEX('Retirement Calculator'!J:J,MATCH('Isaac 401k'!N3177,'Retirement Calculator'!A:A,0),0),0)</f>
        <v>0</v>
      </c>
      <c r="K3177" s="455">
        <f t="shared" ca="1" si="161"/>
        <v>-374803610.66349089</v>
      </c>
      <c r="L3177" s="455">
        <f t="shared" ca="1" si="162"/>
        <v>-90327670169.901306</v>
      </c>
      <c r="M3177" s="471">
        <f t="shared" si="164"/>
        <v>0.05</v>
      </c>
      <c r="N3177" s="475">
        <f t="shared" si="165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63"/>
        <v>-90327670169.901306</v>
      </c>
      <c r="J3178" s="455">
        <f t="array" ref="J3178">IFERROR(INDEX('Retirement Calculator'!J:J,MATCH('Isaac 401k'!N3178,'Retirement Calculator'!A:A,0),0),0)</f>
        <v>0</v>
      </c>
      <c r="K3178" s="455">
        <f t="shared" ca="1" si="161"/>
        <v>-376365292.37458879</v>
      </c>
      <c r="L3178" s="455">
        <f t="shared" ca="1" si="162"/>
        <v>-90704035462.275894</v>
      </c>
      <c r="M3178" s="471">
        <f t="shared" si="164"/>
        <v>0.05</v>
      </c>
      <c r="N3178" s="475">
        <f t="shared" si="165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63"/>
        <v>-90704035462.275894</v>
      </c>
      <c r="J3179" s="455">
        <f t="array" ref="J3179">IFERROR(INDEX('Retirement Calculator'!J:J,MATCH('Isaac 401k'!N3179,'Retirement Calculator'!A:A,0),0),0)</f>
        <v>0</v>
      </c>
      <c r="K3179" s="455">
        <f t="shared" ca="1" si="161"/>
        <v>-377933481.09281623</v>
      </c>
      <c r="L3179" s="455">
        <f t="shared" ca="1" si="162"/>
        <v>-91081968943.368713</v>
      </c>
      <c r="M3179" s="471">
        <f t="shared" si="164"/>
        <v>0.05</v>
      </c>
      <c r="N3179" s="475">
        <f t="shared" si="165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63"/>
        <v>-91081968943.368713</v>
      </c>
      <c r="J3180" s="455">
        <f t="array" ref="J3180">IFERROR(INDEX('Retirement Calculator'!J:J,MATCH('Isaac 401k'!N3180,'Retirement Calculator'!A:A,0),0),0)</f>
        <v>0</v>
      </c>
      <c r="K3180" s="455">
        <f t="shared" ca="1" si="161"/>
        <v>-379508203.93070298</v>
      </c>
      <c r="L3180" s="455">
        <f t="shared" ca="1" si="162"/>
        <v>-91461477147.299423</v>
      </c>
      <c r="M3180" s="471">
        <f t="shared" si="164"/>
        <v>0.05</v>
      </c>
      <c r="N3180" s="475">
        <f t="shared" si="165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63"/>
        <v>-91461477147.299423</v>
      </c>
      <c r="J3181" s="455">
        <f t="array" ref="J3181">IFERROR(INDEX('Retirement Calculator'!J:J,MATCH('Isaac 401k'!N3181,'Retirement Calculator'!A:A,0),0),0)</f>
        <v>0</v>
      </c>
      <c r="K3181" s="455">
        <f t="shared" ca="1" si="161"/>
        <v>-381089488.1137476</v>
      </c>
      <c r="L3181" s="455">
        <f t="shared" ca="1" si="162"/>
        <v>-91842566635.413177</v>
      </c>
      <c r="M3181" s="471">
        <f t="shared" si="164"/>
        <v>0.05</v>
      </c>
      <c r="N3181" s="475">
        <f t="shared" si="165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63"/>
        <v>-91842566635.413177</v>
      </c>
      <c r="J3182" s="455">
        <f t="array" ref="J3182">IFERROR(INDEX('Retirement Calculator'!J:J,MATCH('Isaac 401k'!N3182,'Retirement Calculator'!A:A,0),0),0)</f>
        <v>0</v>
      </c>
      <c r="K3182" s="455">
        <f t="shared" ca="1" si="161"/>
        <v>-382677360.98088825</v>
      </c>
      <c r="L3182" s="455">
        <f t="shared" ca="1" si="162"/>
        <v>-92225243996.394058</v>
      </c>
      <c r="M3182" s="471">
        <f t="shared" si="164"/>
        <v>0.05</v>
      </c>
      <c r="N3182" s="475">
        <f t="shared" si="165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63"/>
        <v>-92225243996.394058</v>
      </c>
      <c r="J3183" s="455">
        <f t="array" ref="J3183">IFERROR(INDEX('Retirement Calculator'!J:J,MATCH('Isaac 401k'!N3183,'Retirement Calculator'!A:A,0),0),0)</f>
        <v>0</v>
      </c>
      <c r="K3183" s="455">
        <f t="shared" ca="1" si="161"/>
        <v>-384271849.98497522</v>
      </c>
      <c r="L3183" s="455">
        <f t="shared" ca="1" si="162"/>
        <v>-92609515846.379028</v>
      </c>
      <c r="M3183" s="471">
        <f t="shared" si="164"/>
        <v>0.05</v>
      </c>
      <c r="N3183" s="475">
        <f t="shared" si="165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63"/>
        <v>-92609515846.379028</v>
      </c>
      <c r="J3184" s="455">
        <f t="array" ref="J3184">IFERROR(INDEX('Retirement Calculator'!J:J,MATCH('Isaac 401k'!N3184,'Retirement Calculator'!A:A,0),0),0)</f>
        <v>0</v>
      </c>
      <c r="K3184" s="455">
        <f t="shared" ca="1" si="161"/>
        <v>-385872982.69324595</v>
      </c>
      <c r="L3184" s="455">
        <f t="shared" ca="1" si="162"/>
        <v>-92995388829.072281</v>
      </c>
      <c r="M3184" s="471">
        <f t="shared" si="164"/>
        <v>0.05</v>
      </c>
      <c r="N3184" s="475">
        <f t="shared" si="165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63"/>
        <v>-92995388829.072281</v>
      </c>
      <c r="J3185" s="455">
        <f t="array" ref="J3185">IFERROR(INDEX('Retirement Calculator'!J:J,MATCH('Isaac 401k'!N3185,'Retirement Calculator'!A:A,0),0),0)</f>
        <v>0</v>
      </c>
      <c r="K3185" s="455">
        <f t="shared" ca="1" si="161"/>
        <v>-387480786.78780115</v>
      </c>
      <c r="L3185" s="455">
        <f t="shared" ca="1" si="162"/>
        <v>-93382869615.860077</v>
      </c>
      <c r="M3185" s="471">
        <f t="shared" si="164"/>
        <v>0.05</v>
      </c>
      <c r="N3185" s="475">
        <f t="shared" si="165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63"/>
        <v>-93382869615.860077</v>
      </c>
      <c r="J3186" s="455">
        <f t="array" ref="J3186">IFERROR(INDEX('Retirement Calculator'!J:J,MATCH('Isaac 401k'!N3186,'Retirement Calculator'!A:A,0),0),0)</f>
        <v>0</v>
      </c>
      <c r="K3186" s="455">
        <f t="shared" ca="1" si="161"/>
        <v>-389095290.06608367</v>
      </c>
      <c r="L3186" s="455">
        <f t="shared" ca="1" si="162"/>
        <v>-93771964905.926163</v>
      </c>
      <c r="M3186" s="471">
        <f t="shared" si="164"/>
        <v>0.05</v>
      </c>
      <c r="N3186" s="475">
        <f t="shared" si="165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63"/>
        <v>-93771964905.926163</v>
      </c>
      <c r="J3187" s="455">
        <f t="array" ref="J3187">IFERROR(INDEX('Retirement Calculator'!J:J,MATCH('Isaac 401k'!N3187,'Retirement Calculator'!A:A,0),0),0)</f>
        <v>0</v>
      </c>
      <c r="K3187" s="455">
        <f t="shared" ca="1" si="161"/>
        <v>-390716520.44135898</v>
      </c>
      <c r="L3187" s="455">
        <f t="shared" ca="1" si="162"/>
        <v>-94162681426.367523</v>
      </c>
      <c r="M3187" s="471">
        <f t="shared" si="164"/>
        <v>0.05</v>
      </c>
      <c r="N3187" s="475">
        <f t="shared" si="165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63"/>
        <v>-94162681426.367523</v>
      </c>
      <c r="J3188" s="455">
        <f t="array" ref="J3188">IFERROR(INDEX('Retirement Calculator'!J:J,MATCH('Isaac 401k'!N3188,'Retirement Calculator'!A:A,0),0),0)</f>
        <v>0</v>
      </c>
      <c r="K3188" s="455">
        <f t="shared" ca="1" si="161"/>
        <v>-392344505.94319803</v>
      </c>
      <c r="L3188" s="455">
        <f t="shared" ca="1" si="162"/>
        <v>-94555025932.310715</v>
      </c>
      <c r="M3188" s="471">
        <f t="shared" si="164"/>
        <v>0.05</v>
      </c>
      <c r="N3188" s="475">
        <f t="shared" si="165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63"/>
        <v>-94555025932.310715</v>
      </c>
      <c r="J3189" s="455">
        <f t="array" ref="J3189">IFERROR(INDEX('Retirement Calculator'!J:J,MATCH('Isaac 401k'!N3189,'Retirement Calculator'!A:A,0),0),0)</f>
        <v>0</v>
      </c>
      <c r="K3189" s="455">
        <f t="shared" ca="1" si="161"/>
        <v>-393979274.71796131</v>
      </c>
      <c r="L3189" s="455">
        <f t="shared" ca="1" si="162"/>
        <v>-94949005207.028671</v>
      </c>
      <c r="M3189" s="471">
        <f t="shared" si="164"/>
        <v>0.05</v>
      </c>
      <c r="N3189" s="475">
        <f t="shared" si="165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63"/>
        <v>-94949005207.028671</v>
      </c>
      <c r="J3190" s="455">
        <f t="array" ref="J3190">IFERROR(INDEX('Retirement Calculator'!J:J,MATCH('Isaac 401k'!N3190,'Retirement Calculator'!A:A,0),0),0)</f>
        <v>0</v>
      </c>
      <c r="K3190" s="455">
        <f t="shared" ca="1" si="161"/>
        <v>-395620855.02928615</v>
      </c>
      <c r="L3190" s="455">
        <f t="shared" ca="1" si="162"/>
        <v>-95344626062.057953</v>
      </c>
      <c r="M3190" s="471">
        <f t="shared" si="164"/>
        <v>0.05</v>
      </c>
      <c r="N3190" s="475">
        <f t="shared" si="165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63"/>
        <v>-95344626062.057953</v>
      </c>
      <c r="J3191" s="455">
        <f t="array" ref="J3191">IFERROR(INDEX('Retirement Calculator'!J:J,MATCH('Isaac 401k'!N3191,'Retirement Calculator'!A:A,0),0),0)</f>
        <v>0</v>
      </c>
      <c r="K3191" s="455">
        <f t="shared" ca="1" si="161"/>
        <v>-397269275.25857478</v>
      </c>
      <c r="L3191" s="455">
        <f t="shared" ca="1" si="162"/>
        <v>-95741895337.316528</v>
      </c>
      <c r="M3191" s="471">
        <f t="shared" si="164"/>
        <v>0.05</v>
      </c>
      <c r="N3191" s="475">
        <f t="shared" si="165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63"/>
        <v>-95741895337.316528</v>
      </c>
      <c r="J3192" s="455">
        <f t="array" ref="J3192">IFERROR(INDEX('Retirement Calculator'!J:J,MATCH('Isaac 401k'!N3192,'Retirement Calculator'!A:A,0),0),0)</f>
        <v>0</v>
      </c>
      <c r="K3192" s="455">
        <f t="shared" ca="1" si="161"/>
        <v>-398924563.90548551</v>
      </c>
      <c r="L3192" s="455">
        <f t="shared" ca="1" si="162"/>
        <v>-96140819901.222015</v>
      </c>
      <c r="M3192" s="471">
        <f t="shared" si="164"/>
        <v>0.05</v>
      </c>
      <c r="N3192" s="475">
        <f t="shared" si="165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63"/>
        <v>-96140819901.222015</v>
      </c>
      <c r="J3193" s="455">
        <f t="array" ref="J3193">IFERROR(INDEX('Retirement Calculator'!J:J,MATCH('Isaac 401k'!N3193,'Retirement Calculator'!A:A,0),0),0)</f>
        <v>0</v>
      </c>
      <c r="K3193" s="455">
        <f t="shared" ca="1" si="161"/>
        <v>-400586749.58842504</v>
      </c>
      <c r="L3193" s="455">
        <f t="shared" ca="1" si="162"/>
        <v>-96541406650.81044</v>
      </c>
      <c r="M3193" s="471">
        <f t="shared" si="164"/>
        <v>0.05</v>
      </c>
      <c r="N3193" s="475">
        <f t="shared" si="165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63"/>
        <v>-96541406650.81044</v>
      </c>
      <c r="J3194" s="455">
        <f t="array" ref="J3194">IFERROR(INDEX('Retirement Calculator'!J:J,MATCH('Isaac 401k'!N3194,'Retirement Calculator'!A:A,0),0),0)</f>
        <v>0</v>
      </c>
      <c r="K3194" s="455">
        <f t="shared" ca="1" si="161"/>
        <v>-402255861.04504347</v>
      </c>
      <c r="L3194" s="455">
        <f t="shared" ca="1" si="162"/>
        <v>-96943662511.855484</v>
      </c>
      <c r="M3194" s="471">
        <f t="shared" si="164"/>
        <v>0.05</v>
      </c>
      <c r="N3194" s="475">
        <f t="shared" si="165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63"/>
        <v>-96943662511.855484</v>
      </c>
      <c r="J3195" s="455">
        <f t="array" ref="J3195">IFERROR(INDEX('Retirement Calculator'!J:J,MATCH('Isaac 401k'!N3195,'Retirement Calculator'!A:A,0),0),0)</f>
        <v>0</v>
      </c>
      <c r="K3195" s="455">
        <f t="shared" ca="1" si="161"/>
        <v>-403931927.1327312</v>
      </c>
      <c r="L3195" s="455">
        <f t="shared" ca="1" si="162"/>
        <v>-97347594438.98822</v>
      </c>
      <c r="M3195" s="471">
        <f t="shared" si="164"/>
        <v>0.05</v>
      </c>
      <c r="N3195" s="475">
        <f t="shared" si="165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63"/>
        <v>-97347594438.98822</v>
      </c>
      <c r="J3196" s="455">
        <f t="array" ref="J3196">IFERROR(INDEX('Retirement Calculator'!J:J,MATCH('Isaac 401k'!N3196,'Retirement Calculator'!A:A,0),0),0)</f>
        <v>0</v>
      </c>
      <c r="K3196" s="455">
        <f t="shared" ca="1" si="161"/>
        <v>-405614976.8291176</v>
      </c>
      <c r="L3196" s="455">
        <f t="shared" ca="1" si="162"/>
        <v>-97753209415.817337</v>
      </c>
      <c r="M3196" s="471">
        <f t="shared" si="164"/>
        <v>0.05</v>
      </c>
      <c r="N3196" s="475">
        <f t="shared" si="165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63"/>
        <v>-97753209415.817337</v>
      </c>
      <c r="J3197" s="455">
        <f t="array" ref="J3197">IFERROR(INDEX('Retirement Calculator'!J:J,MATCH('Isaac 401k'!N3197,'Retirement Calculator'!A:A,0),0),0)</f>
        <v>0</v>
      </c>
      <c r="K3197" s="455">
        <f t="shared" ca="1" si="161"/>
        <v>-407305039.23257226</v>
      </c>
      <c r="L3197" s="455">
        <f t="shared" ca="1" si="162"/>
        <v>-98160514455.049911</v>
      </c>
      <c r="M3197" s="471">
        <f t="shared" si="164"/>
        <v>0.05</v>
      </c>
      <c r="N3197" s="475">
        <f t="shared" si="165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63"/>
        <v>-98160514455.049911</v>
      </c>
      <c r="J3198" s="455">
        <f t="array" ref="J3198">IFERROR(INDEX('Retirement Calculator'!J:J,MATCH('Isaac 401k'!N3198,'Retirement Calculator'!A:A,0),0),0)</f>
        <v>0</v>
      </c>
      <c r="K3198" s="455">
        <f t="shared" ca="1" si="161"/>
        <v>-409002143.56270796</v>
      </c>
      <c r="L3198" s="455">
        <f t="shared" ca="1" si="162"/>
        <v>-98569516598.612625</v>
      </c>
      <c r="M3198" s="471">
        <f t="shared" si="164"/>
        <v>0.05</v>
      </c>
      <c r="N3198" s="475">
        <f t="shared" si="165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63"/>
        <v>-98569516598.612625</v>
      </c>
      <c r="J3199" s="455">
        <f t="array" ref="J3199">IFERROR(INDEX('Retirement Calculator'!J:J,MATCH('Isaac 401k'!N3199,'Retirement Calculator'!A:A,0),0),0)</f>
        <v>0</v>
      </c>
      <c r="K3199" s="455">
        <f t="shared" ca="1" si="161"/>
        <v>-410706319.16088593</v>
      </c>
      <c r="L3199" s="455">
        <f t="shared" ca="1" si="162"/>
        <v>-98980222917.773514</v>
      </c>
      <c r="M3199" s="471">
        <f t="shared" si="164"/>
        <v>0.05</v>
      </c>
      <c r="N3199" s="475">
        <f t="shared" si="165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63"/>
        <v>-98980222917.773514</v>
      </c>
      <c r="J3200" s="455">
        <f t="array" ref="J3200">IFERROR(INDEX('Retirement Calculator'!J:J,MATCH('Isaac 401k'!N3200,'Retirement Calculator'!A:A,0),0),0)</f>
        <v>0</v>
      </c>
      <c r="K3200" s="455">
        <f t="shared" ca="1" si="161"/>
        <v>-412417595.49072295</v>
      </c>
      <c r="L3200" s="455">
        <f t="shared" ca="1" si="162"/>
        <v>-99392640513.264236</v>
      </c>
      <c r="M3200" s="471">
        <f t="shared" si="164"/>
        <v>0.05</v>
      </c>
      <c r="N3200" s="475">
        <f t="shared" si="165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63"/>
        <v>-99392640513.264236</v>
      </c>
      <c r="J3201" s="455">
        <f t="array" ref="J3201">IFERROR(INDEX('Retirement Calculator'!J:J,MATCH('Isaac 401k'!N3201,'Retirement Calculator'!A:A,0),0),0)</f>
        <v>0</v>
      </c>
      <c r="K3201" s="455">
        <f t="shared" ca="1" si="161"/>
        <v>-414136002.13860101</v>
      </c>
      <c r="L3201" s="455">
        <f t="shared" ca="1" si="162"/>
        <v>-99806776515.402832</v>
      </c>
      <c r="M3201" s="471">
        <f t="shared" si="164"/>
        <v>0.05</v>
      </c>
      <c r="N3201" s="475">
        <f t="shared" si="165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63"/>
        <v>-99806776515.402832</v>
      </c>
      <c r="J3202" s="455">
        <f t="array" ref="J3202">IFERROR(INDEX('Retirement Calculator'!J:J,MATCH('Isaac 401k'!N3202,'Retirement Calculator'!A:A,0),0),0)</f>
        <v>0</v>
      </c>
      <c r="K3202" s="455">
        <f t="shared" ca="1" si="161"/>
        <v>-415861568.81417847</v>
      </c>
      <c r="L3202" s="455">
        <f t="shared" ca="1" si="162"/>
        <v>-100222638084.21701</v>
      </c>
      <c r="M3202" s="471">
        <f t="shared" si="164"/>
        <v>0.05</v>
      </c>
      <c r="N3202" s="475">
        <f t="shared" si="165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63"/>
        <v>-100222638084.21701</v>
      </c>
      <c r="J3203" s="455">
        <f t="array" ref="J3203">IFERROR(INDEX('Retirement Calculator'!J:J,MATCH('Isaac 401k'!N3203,'Retirement Calculator'!A:A,0),0),0)</f>
        <v>0</v>
      </c>
      <c r="K3203" s="455">
        <f t="shared" ca="1" si="161"/>
        <v>-417594325.35090423</v>
      </c>
      <c r="L3203" s="455">
        <f t="shared" ca="1" si="162"/>
        <v>-100640232409.56792</v>
      </c>
      <c r="M3203" s="471">
        <f t="shared" si="164"/>
        <v>0.05</v>
      </c>
      <c r="N3203" s="475">
        <f t="shared" si="165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63"/>
        <v>-100640232409.56792</v>
      </c>
      <c r="J3204" s="455">
        <f t="array" ref="J3204">IFERROR(INDEX('Retirement Calculator'!J:J,MATCH('Isaac 401k'!N3204,'Retirement Calculator'!A:A,0),0),0)</f>
        <v>0</v>
      </c>
      <c r="K3204" s="455">
        <f t="shared" ca="1" si="161"/>
        <v>-419334301.70653296</v>
      </c>
      <c r="L3204" s="455">
        <f t="shared" ca="1" si="162"/>
        <v>-101059566711.27444</v>
      </c>
      <c r="M3204" s="471">
        <f t="shared" si="164"/>
        <v>0.05</v>
      </c>
      <c r="N3204" s="475">
        <f t="shared" si="165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63"/>
        <v>-101059566711.27444</v>
      </c>
      <c r="J3205" s="455">
        <f t="array" ref="J3205">IFERROR(INDEX('Retirement Calculator'!J:J,MATCH('Isaac 401k'!N3205,'Retirement Calculator'!A:A,0),0),0)</f>
        <v>0</v>
      </c>
      <c r="K3205" s="455">
        <f t="shared" ca="1" si="161"/>
        <v>-421081527.96364349</v>
      </c>
      <c r="L3205" s="455">
        <f t="shared" ca="1" si="162"/>
        <v>-101480648239.23808</v>
      </c>
      <c r="M3205" s="471">
        <f t="shared" si="164"/>
        <v>0.05</v>
      </c>
      <c r="N3205" s="475">
        <f t="shared" si="165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63"/>
        <v>-101480648239.23808</v>
      </c>
      <c r="J3206" s="455">
        <f t="array" ref="J3206">IFERROR(INDEX('Retirement Calculator'!J:J,MATCH('Isaac 401k'!N3206,'Retirement Calculator'!A:A,0),0),0)</f>
        <v>0</v>
      </c>
      <c r="K3206" s="455">
        <f t="shared" ca="1" si="161"/>
        <v>-422836034.33015865</v>
      </c>
      <c r="L3206" s="455">
        <f t="shared" ca="1" si="162"/>
        <v>-101903484273.56824</v>
      </c>
      <c r="M3206" s="471">
        <f t="shared" si="164"/>
        <v>0.05</v>
      </c>
      <c r="N3206" s="475">
        <f t="shared" si="165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63"/>
        <v>-101903484273.56824</v>
      </c>
      <c r="J3207" s="455">
        <f t="array" ref="J3207">IFERROR(INDEX('Retirement Calculator'!J:J,MATCH('Isaac 401k'!N3207,'Retirement Calculator'!A:A,0),0),0)</f>
        <v>0</v>
      </c>
      <c r="K3207" s="455">
        <f t="shared" ca="1" si="161"/>
        <v>-424597851.13986766</v>
      </c>
      <c r="L3207" s="455">
        <f t="shared" ca="1" si="162"/>
        <v>-102328082124.7081</v>
      </c>
      <c r="M3207" s="471">
        <f t="shared" si="164"/>
        <v>0.05</v>
      </c>
      <c r="N3207" s="475">
        <f t="shared" si="165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63"/>
        <v>-102328082124.7081</v>
      </c>
      <c r="J3208" s="455">
        <f t="array" ref="J3208">IFERROR(INDEX('Retirement Calculator'!J:J,MATCH('Isaac 401k'!N3208,'Retirement Calculator'!A:A,0),0),0)</f>
        <v>0</v>
      </c>
      <c r="K3208" s="455">
        <f t="shared" ca="1" si="161"/>
        <v>-426367008.85295039</v>
      </c>
      <c r="L3208" s="455">
        <f t="shared" ca="1" si="162"/>
        <v>-102754449133.56105</v>
      </c>
      <c r="M3208" s="471">
        <f t="shared" si="164"/>
        <v>0.05</v>
      </c>
      <c r="N3208" s="475">
        <f t="shared" si="165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63"/>
        <v>-102754449133.56105</v>
      </c>
      <c r="J3209" s="455">
        <f t="array" ref="J3209">IFERROR(INDEX('Retirement Calculator'!J:J,MATCH('Isaac 401k'!N3209,'Retirement Calculator'!A:A,0),0),0)</f>
        <v>0</v>
      </c>
      <c r="K3209" s="455">
        <f t="shared" ca="1" si="161"/>
        <v>-428143538.05650437</v>
      </c>
      <c r="L3209" s="455">
        <f t="shared" ca="1" si="162"/>
        <v>-103182592671.61755</v>
      </c>
      <c r="M3209" s="471">
        <f t="shared" si="164"/>
        <v>0.05</v>
      </c>
      <c r="N3209" s="475">
        <f t="shared" si="165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63"/>
        <v>-103182592671.61755</v>
      </c>
      <c r="J3210" s="455">
        <f t="array" ref="J3210">IFERROR(INDEX('Retirement Calculator'!J:J,MATCH('Isaac 401k'!N3210,'Retirement Calculator'!A:A,0),0),0)</f>
        <v>0</v>
      </c>
      <c r="K3210" s="455">
        <f t="shared" ca="1" si="161"/>
        <v>-429927469.46507311</v>
      </c>
      <c r="L3210" s="455">
        <f t="shared" ca="1" si="162"/>
        <v>-103612520141.08263</v>
      </c>
      <c r="M3210" s="471">
        <f t="shared" si="164"/>
        <v>0.05</v>
      </c>
      <c r="N3210" s="475">
        <f t="shared" si="165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63"/>
        <v>-103612520141.08263</v>
      </c>
      <c r="J3211" s="455">
        <f t="array" ref="J3211">IFERROR(INDEX('Retirement Calculator'!J:J,MATCH('Isaac 401k'!N3211,'Retirement Calculator'!A:A,0),0),0)</f>
        <v>0</v>
      </c>
      <c r="K3211" s="455">
        <f t="shared" ca="1" si="161"/>
        <v>-431718833.92117763</v>
      </c>
      <c r="L3211" s="455">
        <f t="shared" ca="1" si="162"/>
        <v>-104044238975.0038</v>
      </c>
      <c r="M3211" s="471">
        <f t="shared" si="164"/>
        <v>0.05</v>
      </c>
      <c r="N3211" s="475">
        <f t="shared" si="165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63"/>
        <v>-104044238975.0038</v>
      </c>
      <c r="J3212" s="455">
        <f t="array" ref="J3212">IFERROR(INDEX('Retirement Calculator'!J:J,MATCH('Isaac 401k'!N3212,'Retirement Calculator'!A:A,0),0),0)</f>
        <v>0</v>
      </c>
      <c r="K3212" s="455">
        <f t="shared" ca="1" si="161"/>
        <v>-433517662.39584917</v>
      </c>
      <c r="L3212" s="455">
        <f t="shared" ca="1" si="162"/>
        <v>-104477756637.39964</v>
      </c>
      <c r="M3212" s="471">
        <f t="shared" si="164"/>
        <v>0.05</v>
      </c>
      <c r="N3212" s="475">
        <f t="shared" si="165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63"/>
        <v>-104477756637.39964</v>
      </c>
      <c r="J3213" s="455">
        <f t="array" ref="J3213">IFERROR(INDEX('Retirement Calculator'!J:J,MATCH('Isaac 401k'!N3213,'Retirement Calculator'!A:A,0),0),0)</f>
        <v>0</v>
      </c>
      <c r="K3213" s="455">
        <f t="shared" ca="1" si="161"/>
        <v>-435323985.98916519</v>
      </c>
      <c r="L3213" s="455">
        <f t="shared" ca="1" si="162"/>
        <v>-104913080623.38881</v>
      </c>
      <c r="M3213" s="471">
        <f t="shared" si="164"/>
        <v>0.05</v>
      </c>
      <c r="N3213" s="475">
        <f t="shared" si="165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63"/>
        <v>-104913080623.38881</v>
      </c>
      <c r="J3214" s="455">
        <f t="array" ref="J3214">IFERROR(INDEX('Retirement Calculator'!J:J,MATCH('Isaac 401k'!N3214,'Retirement Calculator'!A:A,0),0),0)</f>
        <v>0</v>
      </c>
      <c r="K3214" s="455">
        <f t="shared" ca="1" si="161"/>
        <v>-437137835.93078667</v>
      </c>
      <c r="L3214" s="455">
        <f t="shared" ca="1" si="162"/>
        <v>-105350218459.3196</v>
      </c>
      <c r="M3214" s="471">
        <f t="shared" si="164"/>
        <v>0.05</v>
      </c>
      <c r="N3214" s="475">
        <f t="shared" si="165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63"/>
        <v>-105350218459.3196</v>
      </c>
      <c r="J3215" s="455">
        <f t="array" ref="J3215">IFERROR(INDEX('Retirement Calculator'!J:J,MATCH('Isaac 401k'!N3215,'Retirement Calculator'!A:A,0),0),0)</f>
        <v>0</v>
      </c>
      <c r="K3215" s="455">
        <f t="shared" ca="1" si="161"/>
        <v>-438959243.58049828</v>
      </c>
      <c r="L3215" s="455">
        <f t="shared" ca="1" si="162"/>
        <v>-105789177702.9001</v>
      </c>
      <c r="M3215" s="471">
        <f t="shared" si="164"/>
        <v>0.05</v>
      </c>
      <c r="N3215" s="475">
        <f t="shared" si="165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63"/>
        <v>-105789177702.9001</v>
      </c>
      <c r="J3216" s="455">
        <f t="array" ref="J3216">IFERROR(INDEX('Retirement Calculator'!J:J,MATCH('Isaac 401k'!N3216,'Retirement Calculator'!A:A,0),0),0)</f>
        <v>0</v>
      </c>
      <c r="K3216" s="455">
        <f t="shared" ca="1" si="161"/>
        <v>-440788240.4287504</v>
      </c>
      <c r="L3216" s="455">
        <f t="shared" ca="1" si="162"/>
        <v>-106229965943.32886</v>
      </c>
      <c r="M3216" s="471">
        <f t="shared" si="164"/>
        <v>0.05</v>
      </c>
      <c r="N3216" s="475">
        <f t="shared" si="165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63"/>
        <v>-106229965943.32886</v>
      </c>
      <c r="J3217" s="455">
        <f t="array" ref="J3217">IFERROR(INDEX('Retirement Calculator'!J:J,MATCH('Isaac 401k'!N3217,'Retirement Calculator'!A:A,0),0),0)</f>
        <v>0</v>
      </c>
      <c r="K3217" s="455">
        <f t="shared" ca="1" si="161"/>
        <v>-442624858.09720355</v>
      </c>
      <c r="L3217" s="455">
        <f t="shared" ca="1" si="162"/>
        <v>-106672590801.42606</v>
      </c>
      <c r="M3217" s="471">
        <f t="shared" si="164"/>
        <v>0.05</v>
      </c>
      <c r="N3217" s="475">
        <f t="shared" si="165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63"/>
        <v>-106672590801.42606</v>
      </c>
      <c r="J3218" s="455">
        <f t="array" ref="J3218">IFERROR(INDEX('Retirement Calculator'!J:J,MATCH('Isaac 401k'!N3218,'Retirement Calculator'!A:A,0),0),0)</f>
        <v>0</v>
      </c>
      <c r="K3218" s="455">
        <f t="shared" ca="1" si="161"/>
        <v>-444469128.33927524</v>
      </c>
      <c r="L3218" s="455">
        <f t="shared" ca="1" si="162"/>
        <v>-107117059929.76534</v>
      </c>
      <c r="M3218" s="471">
        <f t="shared" si="164"/>
        <v>0.05</v>
      </c>
      <c r="N3218" s="475">
        <f t="shared" si="165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63"/>
        <v>-107117059929.76534</v>
      </c>
      <c r="J3219" s="455">
        <f t="array" ref="J3219">IFERROR(INDEX('Retirement Calculator'!J:J,MATCH('Isaac 401k'!N3219,'Retirement Calculator'!A:A,0),0),0)</f>
        <v>0</v>
      </c>
      <c r="K3219" s="455">
        <f t="shared" ca="1" si="161"/>
        <v>-446321083.04068881</v>
      </c>
      <c r="L3219" s="455">
        <f t="shared" ca="1" si="162"/>
        <v>-107563381012.80603</v>
      </c>
      <c r="M3219" s="471">
        <f t="shared" si="164"/>
        <v>0.05</v>
      </c>
      <c r="N3219" s="475">
        <f t="shared" si="165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63"/>
        <v>-107563381012.80603</v>
      </c>
      <c r="J3220" s="455">
        <f t="array" ref="J3220">IFERROR(INDEX('Retirement Calculator'!J:J,MATCH('Isaac 401k'!N3220,'Retirement Calculator'!A:A,0),0),0)</f>
        <v>0</v>
      </c>
      <c r="K3220" s="455">
        <f t="shared" ca="1" si="161"/>
        <v>-448180754.22002512</v>
      </c>
      <c r="L3220" s="455">
        <f t="shared" ca="1" si="162"/>
        <v>-108011561767.02606</v>
      </c>
      <c r="M3220" s="471">
        <f t="shared" si="164"/>
        <v>0.05</v>
      </c>
      <c r="N3220" s="475">
        <f t="shared" si="165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63"/>
        <v>-108011561767.02606</v>
      </c>
      <c r="J3221" s="455">
        <f t="array" ref="J3221">IFERROR(INDEX('Retirement Calculator'!J:J,MATCH('Isaac 401k'!N3221,'Retirement Calculator'!A:A,0),0),0)</f>
        <v>0</v>
      </c>
      <c r="K3221" s="455">
        <f t="shared" ca="1" si="161"/>
        <v>-450048174.02927518</v>
      </c>
      <c r="L3221" s="455">
        <f t="shared" ca="1" si="162"/>
        <v>-108461609941.05534</v>
      </c>
      <c r="M3221" s="471">
        <f t="shared" si="164"/>
        <v>0.05</v>
      </c>
      <c r="N3221" s="475">
        <f t="shared" si="165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63"/>
        <v>-108461609941.05534</v>
      </c>
      <c r="J3222" s="455">
        <f t="array" ref="J3222">IFERROR(INDEX('Retirement Calculator'!J:J,MATCH('Isaac 401k'!N3222,'Retirement Calculator'!A:A,0),0),0)</f>
        <v>0</v>
      </c>
      <c r="K3222" s="455">
        <f t="shared" ca="1" si="161"/>
        <v>-451923374.75439727</v>
      </c>
      <c r="L3222" s="455">
        <f t="shared" ca="1" si="162"/>
        <v>-108913533315.80974</v>
      </c>
      <c r="M3222" s="471">
        <f t="shared" si="164"/>
        <v>0.05</v>
      </c>
      <c r="N3222" s="475">
        <f t="shared" si="165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63"/>
        <v>-108913533315.80974</v>
      </c>
      <c r="J3223" s="455">
        <f t="array" ref="J3223">IFERROR(INDEX('Retirement Calculator'!J:J,MATCH('Isaac 401k'!N3223,'Retirement Calculator'!A:A,0),0),0)</f>
        <v>0</v>
      </c>
      <c r="K3223" s="455">
        <f t="shared" ca="1" si="161"/>
        <v>-453806388.81587386</v>
      </c>
      <c r="L3223" s="455">
        <f t="shared" ca="1" si="162"/>
        <v>-109367339704.62561</v>
      </c>
      <c r="M3223" s="471">
        <f t="shared" si="164"/>
        <v>0.05</v>
      </c>
      <c r="N3223" s="475">
        <f t="shared" si="165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63"/>
        <v>-109367339704.62561</v>
      </c>
      <c r="J3224" s="455">
        <f t="array" ref="J3224">IFERROR(INDEX('Retirement Calculator'!J:J,MATCH('Isaac 401k'!N3224,'Retirement Calculator'!A:A,0),0),0)</f>
        <v>0</v>
      </c>
      <c r="K3224" s="455">
        <f t="shared" ca="1" si="161"/>
        <v>-455697248.76927334</v>
      </c>
      <c r="L3224" s="455">
        <f t="shared" ca="1" si="162"/>
        <v>-109823036953.39488</v>
      </c>
      <c r="M3224" s="471">
        <f t="shared" si="164"/>
        <v>0.05</v>
      </c>
      <c r="N3224" s="475">
        <f t="shared" si="165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63"/>
        <v>-109823036953.39488</v>
      </c>
      <c r="J3225" s="455">
        <f t="array" ref="J3225">IFERROR(INDEX('Retirement Calculator'!J:J,MATCH('Isaac 401k'!N3225,'Retirement Calculator'!A:A,0),0),0)</f>
        <v>0</v>
      </c>
      <c r="K3225" s="455">
        <f t="shared" ca="1" si="161"/>
        <v>-457595987.305812</v>
      </c>
      <c r="L3225" s="455">
        <f t="shared" ca="1" si="162"/>
        <v>-110280632940.7007</v>
      </c>
      <c r="M3225" s="471">
        <f t="shared" si="164"/>
        <v>0.05</v>
      </c>
      <c r="N3225" s="475">
        <f t="shared" si="165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63"/>
        <v>-110280632940.7007</v>
      </c>
      <c r="J3226" s="455">
        <f t="array" ref="J3226">IFERROR(INDEX('Retirement Calculator'!J:J,MATCH('Isaac 401k'!N3226,'Retirement Calculator'!A:A,0),0),0)</f>
        <v>0</v>
      </c>
      <c r="K3226" s="455">
        <f t="shared" ca="1" si="161"/>
        <v>-459502637.2529195</v>
      </c>
      <c r="L3226" s="455">
        <f t="shared" ca="1" si="162"/>
        <v>-110740135577.95361</v>
      </c>
      <c r="M3226" s="471">
        <f t="shared" si="164"/>
        <v>0.05</v>
      </c>
      <c r="N3226" s="475">
        <f t="shared" si="165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63"/>
        <v>-110740135577.95361</v>
      </c>
      <c r="J3227" s="455">
        <f t="array" ref="J3227">IFERROR(INDEX('Retirement Calculator'!J:J,MATCH('Isaac 401k'!N3227,'Retirement Calculator'!A:A,0),0),0)</f>
        <v>0</v>
      </c>
      <c r="K3227" s="455">
        <f t="shared" ca="1" si="161"/>
        <v>-461417231.57480669</v>
      </c>
      <c r="L3227" s="455">
        <f t="shared" ca="1" si="162"/>
        <v>-111201552809.52843</v>
      </c>
      <c r="M3227" s="471">
        <f t="shared" si="164"/>
        <v>0.05</v>
      </c>
      <c r="N3227" s="475">
        <f t="shared" si="165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63"/>
        <v>-111201552809.52843</v>
      </c>
      <c r="J3228" s="455">
        <f t="array" ref="J3228">IFERROR(INDEX('Retirement Calculator'!J:J,MATCH('Isaac 401k'!N3228,'Retirement Calculator'!A:A,0),0),0)</f>
        <v>0</v>
      </c>
      <c r="K3228" s="455">
        <f t="shared" ca="1" si="161"/>
        <v>-463339803.37303513</v>
      </c>
      <c r="L3228" s="455">
        <f t="shared" ca="1" si="162"/>
        <v>-111664892612.90146</v>
      </c>
      <c r="M3228" s="471">
        <f t="shared" si="164"/>
        <v>0.05</v>
      </c>
      <c r="N3228" s="475">
        <f t="shared" si="165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63"/>
        <v>-111664892612.90146</v>
      </c>
      <c r="J3229" s="455">
        <f t="array" ref="J3229">IFERROR(INDEX('Retirement Calculator'!J:J,MATCH('Isaac 401k'!N3229,'Retirement Calculator'!A:A,0),0),0)</f>
        <v>0</v>
      </c>
      <c r="K3229" s="455">
        <f t="shared" ca="1" si="161"/>
        <v>-465270385.88708943</v>
      </c>
      <c r="L3229" s="455">
        <f t="shared" ca="1" si="162"/>
        <v>-112130162998.78854</v>
      </c>
      <c r="M3229" s="471">
        <f t="shared" si="164"/>
        <v>0.05</v>
      </c>
      <c r="N3229" s="475">
        <f t="shared" si="165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63"/>
        <v>-112130162998.78854</v>
      </c>
      <c r="J3230" s="455">
        <f t="array" ref="J3230">IFERROR(INDEX('Retirement Calculator'!J:J,MATCH('Isaac 401k'!N3230,'Retirement Calculator'!A:A,0),0),0)</f>
        <v>0</v>
      </c>
      <c r="K3230" s="455">
        <f t="shared" ca="1" si="161"/>
        <v>-467209012.49495226</v>
      </c>
      <c r="L3230" s="455">
        <f t="shared" ca="1" si="162"/>
        <v>-112597372011.28349</v>
      </c>
      <c r="M3230" s="471">
        <f t="shared" si="164"/>
        <v>0.05</v>
      </c>
      <c r="N3230" s="475">
        <f t="shared" si="165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63"/>
        <v>-112597372011.28349</v>
      </c>
      <c r="J3231" s="455">
        <f t="array" ref="J3231">IFERROR(INDEX('Retirement Calculator'!J:J,MATCH('Isaac 401k'!N3231,'Retirement Calculator'!A:A,0),0),0)</f>
        <v>0</v>
      </c>
      <c r="K3231" s="455">
        <f t="shared" ca="1" si="161"/>
        <v>-469155716.71368116</v>
      </c>
      <c r="L3231" s="455">
        <f t="shared" ca="1" si="162"/>
        <v>-113066527727.99718</v>
      </c>
      <c r="M3231" s="471">
        <f t="shared" si="164"/>
        <v>0.05</v>
      </c>
      <c r="N3231" s="475">
        <f t="shared" si="165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63"/>
        <v>-113066527727.99718</v>
      </c>
      <c r="J3232" s="455">
        <f t="array" ref="J3232">IFERROR(INDEX('Retirement Calculator'!J:J,MATCH('Isaac 401k'!N3232,'Retirement Calculator'!A:A,0),0),0)</f>
        <v>0</v>
      </c>
      <c r="K3232" s="455">
        <f t="shared" ca="1" si="161"/>
        <v>-471110532.19998831</v>
      </c>
      <c r="L3232" s="455">
        <f t="shared" ca="1" si="162"/>
        <v>-113537638260.19716</v>
      </c>
      <c r="M3232" s="471">
        <f t="shared" si="164"/>
        <v>0.05</v>
      </c>
      <c r="N3232" s="475">
        <f t="shared" si="165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63"/>
        <v>-113537638260.19716</v>
      </c>
      <c r="J3233" s="455">
        <f t="array" ref="J3233">IFERROR(INDEX('Retirement Calculator'!J:J,MATCH('Isaac 401k'!N3233,'Retirement Calculator'!A:A,0),0),0)</f>
        <v>0</v>
      </c>
      <c r="K3233" s="455">
        <f t="shared" ca="1" si="161"/>
        <v>-473073492.75082147</v>
      </c>
      <c r="L3233" s="455">
        <f t="shared" ca="1" si="162"/>
        <v>-114010711752.94798</v>
      </c>
      <c r="M3233" s="471">
        <f t="shared" si="164"/>
        <v>0.05</v>
      </c>
      <c r="N3233" s="475">
        <f t="shared" si="165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63"/>
        <v>-114010711752.94798</v>
      </c>
      <c r="J3234" s="455">
        <f t="array" ref="J3234">IFERROR(INDEX('Retirement Calculator'!J:J,MATCH('Isaac 401k'!N3234,'Retirement Calculator'!A:A,0),0),0)</f>
        <v>0</v>
      </c>
      <c r="K3234" s="455">
        <f t="shared" ca="1" si="161"/>
        <v>-475044632.30394989</v>
      </c>
      <c r="L3234" s="455">
        <f t="shared" ca="1" si="162"/>
        <v>-114485756385.25194</v>
      </c>
      <c r="M3234" s="471">
        <f t="shared" si="164"/>
        <v>0.05</v>
      </c>
      <c r="N3234" s="475">
        <f t="shared" si="165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63"/>
        <v>-114485756385.25194</v>
      </c>
      <c r="J3235" s="455">
        <f t="array" ref="J3235">IFERROR(INDEX('Retirement Calculator'!J:J,MATCH('Isaac 401k'!N3235,'Retirement Calculator'!A:A,0),0),0)</f>
        <v>0</v>
      </c>
      <c r="K3235" s="455">
        <f t="shared" ca="1" si="161"/>
        <v>-477023984.93854976</v>
      </c>
      <c r="L3235" s="455">
        <f t="shared" ca="1" si="162"/>
        <v>-114962780370.19049</v>
      </c>
      <c r="M3235" s="471">
        <f t="shared" si="164"/>
        <v>0.05</v>
      </c>
      <c r="N3235" s="475">
        <f t="shared" si="165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63"/>
        <v>-114962780370.19049</v>
      </c>
      <c r="J3236" s="455">
        <f t="array" ref="J3236">IFERROR(INDEX('Retirement Calculator'!J:J,MATCH('Isaac 401k'!N3236,'Retirement Calculator'!A:A,0),0),0)</f>
        <v>0</v>
      </c>
      <c r="K3236" s="455">
        <f t="shared" ca="1" si="161"/>
        <v>-479011584.8757937</v>
      </c>
      <c r="L3236" s="455">
        <f t="shared" ca="1" si="162"/>
        <v>-115441791955.06628</v>
      </c>
      <c r="M3236" s="471">
        <f t="shared" si="164"/>
        <v>0.05</v>
      </c>
      <c r="N3236" s="475">
        <f t="shared" si="165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63"/>
        <v>-115441791955.06628</v>
      </c>
      <c r="J3237" s="455">
        <f t="array" ref="J3237">IFERROR(INDEX('Retirement Calculator'!J:J,MATCH('Isaac 401k'!N3237,'Retirement Calculator'!A:A,0),0),0)</f>
        <v>0</v>
      </c>
      <c r="K3237" s="455">
        <f t="shared" ca="1" si="161"/>
        <v>-481007466.47944283</v>
      </c>
      <c r="L3237" s="455">
        <f t="shared" ca="1" si="162"/>
        <v>-115922799421.54573</v>
      </c>
      <c r="M3237" s="471">
        <f t="shared" si="164"/>
        <v>0.05</v>
      </c>
      <c r="N3237" s="475">
        <f t="shared" si="165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63"/>
        <v>-115922799421.54573</v>
      </c>
      <c r="J3238" s="455">
        <f t="array" ref="J3238">IFERROR(INDEX('Retirement Calculator'!J:J,MATCH('Isaac 401k'!N3238,'Retirement Calculator'!A:A,0),0),0)</f>
        <v>0</v>
      </c>
      <c r="K3238" s="455">
        <f t="shared" ca="1" si="161"/>
        <v>-483011664.25644052</v>
      </c>
      <c r="L3238" s="455">
        <f t="shared" ca="1" si="162"/>
        <v>-116405811085.80217</v>
      </c>
      <c r="M3238" s="471">
        <f t="shared" si="164"/>
        <v>0.05</v>
      </c>
      <c r="N3238" s="475">
        <f t="shared" si="165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63"/>
        <v>-116405811085.80217</v>
      </c>
      <c r="J3239" s="455">
        <f t="array" ref="J3239">IFERROR(INDEX('Retirement Calculator'!J:J,MATCH('Isaac 401k'!N3239,'Retirement Calculator'!A:A,0),0),0)</f>
        <v>0</v>
      </c>
      <c r="K3239" s="455">
        <f t="shared" ca="1" si="161"/>
        <v>-485024212.85750902</v>
      </c>
      <c r="L3239" s="455">
        <f t="shared" ca="1" si="162"/>
        <v>-116890835298.65968</v>
      </c>
      <c r="M3239" s="471">
        <f t="shared" si="164"/>
        <v>0.05</v>
      </c>
      <c r="N3239" s="475">
        <f t="shared" si="165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63"/>
        <v>-116890835298.65968</v>
      </c>
      <c r="J3240" s="455">
        <f t="array" ref="J3240">IFERROR(INDEX('Retirement Calculator'!J:J,MATCH('Isaac 401k'!N3240,'Retirement Calculator'!A:A,0),0),0)</f>
        <v>0</v>
      </c>
      <c r="K3240" s="455">
        <f t="shared" ca="1" si="161"/>
        <v>-487045147.07774866</v>
      </c>
      <c r="L3240" s="455">
        <f t="shared" ca="1" si="162"/>
        <v>-117377880445.73743</v>
      </c>
      <c r="M3240" s="471">
        <f t="shared" si="164"/>
        <v>0.05</v>
      </c>
      <c r="N3240" s="475">
        <f t="shared" si="165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63"/>
        <v>-117377880445.73743</v>
      </c>
      <c r="J3241" s="455">
        <f t="array" ref="J3241">IFERROR(INDEX('Retirement Calculator'!J:J,MATCH('Isaac 401k'!N3241,'Retirement Calculator'!A:A,0),0),0)</f>
        <v>0</v>
      </c>
      <c r="K3241" s="455">
        <f t="shared" ca="1" si="161"/>
        <v>-489074501.85723931</v>
      </c>
      <c r="L3241" s="455">
        <f t="shared" ca="1" si="162"/>
        <v>-117866954947.59467</v>
      </c>
      <c r="M3241" s="471">
        <f t="shared" si="164"/>
        <v>0.05</v>
      </c>
      <c r="N3241" s="475">
        <f t="shared" si="165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63"/>
        <v>-117866954947.59467</v>
      </c>
      <c r="J3242" s="455">
        <f t="array" ref="J3242">IFERROR(INDEX('Retirement Calculator'!J:J,MATCH('Isaac 401k'!N3242,'Retirement Calculator'!A:A,0),0),0)</f>
        <v>0</v>
      </c>
      <c r="K3242" s="455">
        <f t="shared" ca="1" si="161"/>
        <v>-491112312.2816444</v>
      </c>
      <c r="L3242" s="455">
        <f t="shared" ca="1" si="162"/>
        <v>-118358067259.87631</v>
      </c>
      <c r="M3242" s="471">
        <f t="shared" si="164"/>
        <v>0.05</v>
      </c>
      <c r="N3242" s="475">
        <f t="shared" si="165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63"/>
        <v>-118358067259.87631</v>
      </c>
      <c r="J3243" s="455">
        <f t="array" ref="J3243">IFERROR(INDEX('Retirement Calculator'!J:J,MATCH('Isaac 401k'!N3243,'Retirement Calculator'!A:A,0),0),0)</f>
        <v>0</v>
      </c>
      <c r="K3243" s="455">
        <f t="shared" ca="1" si="161"/>
        <v>-493158613.58281803</v>
      </c>
      <c r="L3243" s="455">
        <f t="shared" ca="1" si="162"/>
        <v>-118851225873.45914</v>
      </c>
      <c r="M3243" s="471">
        <f t="shared" si="164"/>
        <v>0.05</v>
      </c>
      <c r="N3243" s="475">
        <f t="shared" si="165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63"/>
        <v>-118851225873.45914</v>
      </c>
      <c r="J3244" s="455">
        <f t="array" ref="J3244">IFERROR(INDEX('Retirement Calculator'!J:J,MATCH('Isaac 401k'!N3244,'Retirement Calculator'!A:A,0),0),0)</f>
        <v>0</v>
      </c>
      <c r="K3244" s="455">
        <f t="shared" ca="1" si="161"/>
        <v>-495213441.139413</v>
      </c>
      <c r="L3244" s="455">
        <f t="shared" ca="1" si="162"/>
        <v>-119346439314.59856</v>
      </c>
      <c r="M3244" s="471">
        <f t="shared" si="164"/>
        <v>0.05</v>
      </c>
      <c r="N3244" s="475">
        <f t="shared" si="165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63"/>
        <v>-119346439314.59856</v>
      </c>
      <c r="J3245" s="455">
        <f t="array" ref="J3245">IFERROR(INDEX('Retirement Calculator'!J:J,MATCH('Isaac 401k'!N3245,'Retirement Calculator'!A:A,0),0),0)</f>
        <v>0</v>
      </c>
      <c r="K3245" s="455">
        <f t="shared" ca="1" si="161"/>
        <v>-497276830.477494</v>
      </c>
      <c r="L3245" s="455">
        <f t="shared" ca="1" si="162"/>
        <v>-119843716145.07605</v>
      </c>
      <c r="M3245" s="471">
        <f t="shared" si="164"/>
        <v>0.05</v>
      </c>
      <c r="N3245" s="475">
        <f t="shared" si="165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63"/>
        <v>-119843716145.07605</v>
      </c>
      <c r="J3246" s="455">
        <f t="array" ref="J3246">IFERROR(INDEX('Retirement Calculator'!J:J,MATCH('Isaac 401k'!N3246,'Retirement Calculator'!A:A,0),0),0)</f>
        <v>0</v>
      </c>
      <c r="K3246" s="455">
        <f t="shared" ca="1" si="161"/>
        <v>-499348817.27115029</v>
      </c>
      <c r="L3246" s="455">
        <f t="shared" ca="1" si="162"/>
        <v>-120343064962.3472</v>
      </c>
      <c r="M3246" s="471">
        <f t="shared" si="164"/>
        <v>0.05</v>
      </c>
      <c r="N3246" s="475">
        <f t="shared" si="165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63"/>
        <v>-120343064962.3472</v>
      </c>
      <c r="J3247" s="455">
        <f t="array" ref="J3247">IFERROR(INDEX('Retirement Calculator'!J:J,MATCH('Isaac 401k'!N3247,'Retirement Calculator'!A:A,0),0),0)</f>
        <v>0</v>
      </c>
      <c r="K3247" s="455">
        <f t="shared" ca="1" si="161"/>
        <v>-501429437.3431133</v>
      </c>
      <c r="L3247" s="455">
        <f t="shared" ca="1" si="162"/>
        <v>-120844494399.69031</v>
      </c>
      <c r="M3247" s="471">
        <f t="shared" si="164"/>
        <v>0.05</v>
      </c>
      <c r="N3247" s="475">
        <f t="shared" si="165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63"/>
        <v>-120844494399.69031</v>
      </c>
      <c r="J3248" s="455">
        <f t="array" ref="J3248">IFERROR(INDEX('Retirement Calculator'!J:J,MATCH('Isaac 401k'!N3248,'Retirement Calculator'!A:A,0),0),0)</f>
        <v>0</v>
      </c>
      <c r="K3248" s="455">
        <f t="shared" ca="1" si="161"/>
        <v>-503518726.66537625</v>
      </c>
      <c r="L3248" s="455">
        <f t="shared" ca="1" si="162"/>
        <v>-121348013126.35568</v>
      </c>
      <c r="M3248" s="471">
        <f t="shared" si="164"/>
        <v>0.05</v>
      </c>
      <c r="N3248" s="475">
        <f t="shared" si="165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63"/>
        <v>-121348013126.35568</v>
      </c>
      <c r="J3249" s="455">
        <f t="array" ref="J3249">IFERROR(INDEX('Retirement Calculator'!J:J,MATCH('Isaac 401k'!N3249,'Retirement Calculator'!A:A,0),0),0)</f>
        <v>0</v>
      </c>
      <c r="K3249" s="455">
        <f t="shared" ca="1" si="161"/>
        <v>-505616721.35981536</v>
      </c>
      <c r="L3249" s="455">
        <f t="shared" ca="1" si="162"/>
        <v>-121853629847.7155</v>
      </c>
      <c r="M3249" s="471">
        <f t="shared" si="164"/>
        <v>0.05</v>
      </c>
      <c r="N3249" s="475">
        <f t="shared" si="165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63"/>
        <v>-121853629847.7155</v>
      </c>
      <c r="J3250" s="455">
        <f t="array" ref="J3250">IFERROR(INDEX('Retirement Calculator'!J:J,MATCH('Isaac 401k'!N3250,'Retirement Calculator'!A:A,0),0),0)</f>
        <v>0</v>
      </c>
      <c r="K3250" s="455">
        <f t="shared" ca="1" si="161"/>
        <v>-507723457.69881457</v>
      </c>
      <c r="L3250" s="455">
        <f t="shared" ca="1" si="162"/>
        <v>-122361353305.41432</v>
      </c>
      <c r="M3250" s="471">
        <f t="shared" si="164"/>
        <v>0.05</v>
      </c>
      <c r="N3250" s="475">
        <f t="shared" si="165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63"/>
        <v>-122361353305.41432</v>
      </c>
      <c r="J3251" s="455">
        <f t="array" ref="J3251">IFERROR(INDEX('Retirement Calculator'!J:J,MATCH('Isaac 401k'!N3251,'Retirement Calculator'!A:A,0),0),0)</f>
        <v>0</v>
      </c>
      <c r="K3251" s="455">
        <f t="shared" ca="1" si="161"/>
        <v>-509838972.10589302</v>
      </c>
      <c r="L3251" s="455">
        <f t="shared" ca="1" si="162"/>
        <v>-122871192277.52022</v>
      </c>
      <c r="M3251" s="471">
        <f t="shared" si="164"/>
        <v>0.05</v>
      </c>
      <c r="N3251" s="475">
        <f t="shared" si="165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63"/>
        <v>-122871192277.52022</v>
      </c>
      <c r="J3252" s="455">
        <f t="array" ref="J3252">IFERROR(INDEX('Retirement Calculator'!J:J,MATCH('Isaac 401k'!N3252,'Retirement Calculator'!A:A,0),0),0)</f>
        <v>0</v>
      </c>
      <c r="K3252" s="455">
        <f t="shared" ca="1" si="161"/>
        <v>-511963301.15633422</v>
      </c>
      <c r="L3252" s="455">
        <f t="shared" ca="1" si="162"/>
        <v>-123383155578.67656</v>
      </c>
      <c r="M3252" s="471">
        <f t="shared" si="164"/>
        <v>0.05</v>
      </c>
      <c r="N3252" s="475">
        <f t="shared" si="165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63"/>
        <v>-123383155578.67656</v>
      </c>
      <c r="J3253" s="455">
        <f t="array" ref="J3253">IFERROR(INDEX('Retirement Calculator'!J:J,MATCH('Isaac 401k'!N3253,'Retirement Calculator'!A:A,0),0),0)</f>
        <v>0</v>
      </c>
      <c r="K3253" s="455">
        <f t="shared" ca="1" si="161"/>
        <v>-514096481.57781899</v>
      </c>
      <c r="L3253" s="455">
        <f t="shared" ca="1" si="162"/>
        <v>-123897252060.25438</v>
      </c>
      <c r="M3253" s="471">
        <f t="shared" si="164"/>
        <v>0.05</v>
      </c>
      <c r="N3253" s="475">
        <f t="shared" si="165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63"/>
        <v>-123897252060.25438</v>
      </c>
      <c r="J3254" s="455">
        <f t="array" ref="J3254">IFERROR(INDEX('Retirement Calculator'!J:J,MATCH('Isaac 401k'!N3254,'Retirement Calculator'!A:A,0),0),0)</f>
        <v>0</v>
      </c>
      <c r="K3254" s="455">
        <f t="shared" ca="1" si="161"/>
        <v>-516238550.25105983</v>
      </c>
      <c r="L3254" s="455">
        <f t="shared" ca="1" si="162"/>
        <v>-124413490610.50543</v>
      </c>
      <c r="M3254" s="471">
        <f t="shared" si="164"/>
        <v>0.05</v>
      </c>
      <c r="N3254" s="475">
        <f t="shared" si="165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63"/>
        <v>-124413490610.50543</v>
      </c>
      <c r="J3255" s="455">
        <f t="array" ref="J3255">IFERROR(INDEX('Retirement Calculator'!J:J,MATCH('Isaac 401k'!N3255,'Retirement Calculator'!A:A,0),0),0)</f>
        <v>0</v>
      </c>
      <c r="K3255" s="455">
        <f t="shared" ca="1" si="161"/>
        <v>-518389544.21043938</v>
      </c>
      <c r="L3255" s="455">
        <f t="shared" ca="1" si="162"/>
        <v>-124931880154.71587</v>
      </c>
      <c r="M3255" s="471">
        <f t="shared" si="164"/>
        <v>0.05</v>
      </c>
      <c r="N3255" s="475">
        <f t="shared" si="165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63"/>
        <v>-124931880154.71587</v>
      </c>
      <c r="J3256" s="455">
        <f t="array" ref="J3256">IFERROR(INDEX('Retirement Calculator'!J:J,MATCH('Isaac 401k'!N3256,'Retirement Calculator'!A:A,0),0),0)</f>
        <v>0</v>
      </c>
      <c r="K3256" s="455">
        <f t="shared" ca="1" si="161"/>
        <v>-520549500.64464945</v>
      </c>
      <c r="L3256" s="455">
        <f t="shared" ca="1" si="162"/>
        <v>-125452429655.36052</v>
      </c>
      <c r="M3256" s="471">
        <f t="shared" si="164"/>
        <v>0.05</v>
      </c>
      <c r="N3256" s="475">
        <f t="shared" si="165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63"/>
        <v>-125452429655.36052</v>
      </c>
      <c r="J3257" s="455">
        <f t="array" ref="J3257">IFERROR(INDEX('Retirement Calculator'!J:J,MATCH('Isaac 401k'!N3257,'Retirement Calculator'!A:A,0),0),0)</f>
        <v>0</v>
      </c>
      <c r="K3257" s="455">
        <f t="shared" ca="1" si="161"/>
        <v>-522718456.89733553</v>
      </c>
      <c r="L3257" s="455">
        <f t="shared" ca="1" si="162"/>
        <v>-125975148112.25786</v>
      </c>
      <c r="M3257" s="471">
        <f t="shared" si="164"/>
        <v>0.05</v>
      </c>
      <c r="N3257" s="475">
        <f t="shared" si="165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63"/>
        <v>-125975148112.25786</v>
      </c>
      <c r="J3258" s="455">
        <f t="array" ref="J3258">IFERROR(INDEX('Retirement Calculator'!J:J,MATCH('Isaac 401k'!N3258,'Retirement Calculator'!A:A,0),0),0)</f>
        <v>0</v>
      </c>
      <c r="K3258" s="455">
        <f t="shared" ca="1" si="161"/>
        <v>-524896450.46774107</v>
      </c>
      <c r="L3258" s="455">
        <f t="shared" ca="1" si="162"/>
        <v>-126500044562.7256</v>
      </c>
      <c r="M3258" s="471">
        <f t="shared" si="164"/>
        <v>0.05</v>
      </c>
      <c r="N3258" s="475">
        <f t="shared" si="165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63"/>
        <v>-126500044562.7256</v>
      </c>
      <c r="J3259" s="455">
        <f t="array" ref="J3259">IFERROR(INDEX('Retirement Calculator'!J:J,MATCH('Isaac 401k'!N3259,'Retirement Calculator'!A:A,0),0),0)</f>
        <v>0</v>
      </c>
      <c r="K3259" s="455">
        <f t="shared" ca="1" si="161"/>
        <v>-527083519.01135671</v>
      </c>
      <c r="L3259" s="455">
        <f t="shared" ca="1" si="162"/>
        <v>-127027128081.73695</v>
      </c>
      <c r="M3259" s="471">
        <f t="shared" si="164"/>
        <v>0.05</v>
      </c>
      <c r="N3259" s="475">
        <f t="shared" si="165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63"/>
        <v>-127027128081.73695</v>
      </c>
      <c r="J3260" s="455">
        <f t="array" ref="J3260">IFERROR(INDEX('Retirement Calculator'!J:J,MATCH('Isaac 401k'!N3260,'Retirement Calculator'!A:A,0),0),0)</f>
        <v>0</v>
      </c>
      <c r="K3260" s="455">
        <f t="shared" ca="1" si="161"/>
        <v>-529279700.34057063</v>
      </c>
      <c r="L3260" s="455">
        <f t="shared" ca="1" si="162"/>
        <v>-127556407782.07753</v>
      </c>
      <c r="M3260" s="471">
        <f t="shared" si="164"/>
        <v>0.05</v>
      </c>
      <c r="N3260" s="475">
        <f t="shared" si="165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63"/>
        <v>-127556407782.07753</v>
      </c>
      <c r="J3261" s="455">
        <f t="array" ref="J3261">IFERROR(INDEX('Retirement Calculator'!J:J,MATCH('Isaac 401k'!N3261,'Retirement Calculator'!A:A,0),0),0)</f>
        <v>0</v>
      </c>
      <c r="K3261" s="455">
        <f t="shared" ca="1" si="161"/>
        <v>-531485032.42532295</v>
      </c>
      <c r="L3261" s="455">
        <f t="shared" ca="1" si="162"/>
        <v>-128087892814.50285</v>
      </c>
      <c r="M3261" s="471">
        <f t="shared" si="164"/>
        <v>0.05</v>
      </c>
      <c r="N3261" s="475">
        <f t="shared" si="165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63"/>
        <v>-128087892814.50285</v>
      </c>
      <c r="J3262" s="455">
        <f t="array" ref="J3262">IFERROR(INDEX('Retirement Calculator'!J:J,MATCH('Isaac 401k'!N3262,'Retirement Calculator'!A:A,0),0),0)</f>
        <v>0</v>
      </c>
      <c r="K3262" s="455">
        <f t="shared" ca="1" si="161"/>
        <v>-533699553.39376181</v>
      </c>
      <c r="L3262" s="455">
        <f t="shared" ca="1" si="162"/>
        <v>-128621592367.89662</v>
      </c>
      <c r="M3262" s="471">
        <f t="shared" si="164"/>
        <v>0.05</v>
      </c>
      <c r="N3262" s="475">
        <f t="shared" si="165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63"/>
        <v>-128621592367.89662</v>
      </c>
      <c r="J3263" s="455">
        <f t="array" ref="J3263">IFERROR(INDEX('Retirement Calculator'!J:J,MATCH('Isaac 401k'!N3263,'Retirement Calculator'!A:A,0),0),0)</f>
        <v>0</v>
      </c>
      <c r="K3263" s="455">
        <f t="shared" ca="1" si="161"/>
        <v>-535923301.5329026</v>
      </c>
      <c r="L3263" s="455">
        <f t="shared" ca="1" si="162"/>
        <v>-129157515669.42952</v>
      </c>
      <c r="M3263" s="471">
        <f t="shared" si="164"/>
        <v>0.05</v>
      </c>
      <c r="N3263" s="475">
        <f t="shared" si="165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63"/>
        <v>-129157515669.42952</v>
      </c>
      <c r="J3264" s="455">
        <f t="array" ref="J3264">IFERROR(INDEX('Retirement Calculator'!J:J,MATCH('Isaac 401k'!N3264,'Retirement Calculator'!A:A,0),0),0)</f>
        <v>0</v>
      </c>
      <c r="K3264" s="455">
        <f t="shared" ca="1" si="161"/>
        <v>-538156315.28928971</v>
      </c>
      <c r="L3264" s="455">
        <f t="shared" ca="1" si="162"/>
        <v>-129695671984.71881</v>
      </c>
      <c r="M3264" s="471">
        <f t="shared" si="164"/>
        <v>0.05</v>
      </c>
      <c r="N3264" s="475">
        <f t="shared" si="165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63"/>
        <v>-129695671984.71881</v>
      </c>
      <c r="J3265" s="455">
        <f t="array" ref="J3265">IFERROR(INDEX('Retirement Calculator'!J:J,MATCH('Isaac 401k'!N3265,'Retirement Calculator'!A:A,0),0),0)</f>
        <v>0</v>
      </c>
      <c r="K3265" s="455">
        <f t="shared" ca="1" si="161"/>
        <v>-540398633.26966178</v>
      </c>
      <c r="L3265" s="455">
        <f t="shared" ca="1" si="162"/>
        <v>-130236070617.98848</v>
      </c>
      <c r="M3265" s="471">
        <f t="shared" si="164"/>
        <v>0.05</v>
      </c>
      <c r="N3265" s="475">
        <f t="shared" si="165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63"/>
        <v>-130236070617.98848</v>
      </c>
      <c r="J3266" s="455">
        <f t="array" ref="J3266">IFERROR(INDEX('Retirement Calculator'!J:J,MATCH('Isaac 401k'!N3266,'Retirement Calculator'!A:A,0),0),0)</f>
        <v>0</v>
      </c>
      <c r="K3266" s="455">
        <f t="shared" ca="1" si="161"/>
        <v>-542650294.24161863</v>
      </c>
      <c r="L3266" s="455">
        <f t="shared" ca="1" si="162"/>
        <v>-130778720912.2301</v>
      </c>
      <c r="M3266" s="471">
        <f t="shared" si="164"/>
        <v>0.05</v>
      </c>
      <c r="N3266" s="475">
        <f t="shared" si="165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63"/>
        <v>-130778720912.2301</v>
      </c>
      <c r="J3267" s="455">
        <f t="array" ref="J3267">IFERROR(INDEX('Retirement Calculator'!J:J,MATCH('Isaac 401k'!N3267,'Retirement Calculator'!A:A,0),0),0)</f>
        <v>0</v>
      </c>
      <c r="K3267" s="455">
        <f t="shared" ca="1" si="161"/>
        <v>-544911337.13429213</v>
      </c>
      <c r="L3267" s="455">
        <f t="shared" ca="1" si="162"/>
        <v>-131323632249.3644</v>
      </c>
      <c r="M3267" s="471">
        <f t="shared" si="164"/>
        <v>0.05</v>
      </c>
      <c r="N3267" s="475">
        <f t="shared" si="165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63"/>
        <v>-131323632249.3644</v>
      </c>
      <c r="J3268" s="455">
        <f t="array" ref="J3268">IFERROR(INDEX('Retirement Calculator'!J:J,MATCH('Isaac 401k'!N3268,'Retirement Calculator'!A:A,0),0),0)</f>
        <v>0</v>
      </c>
      <c r="K3268" s="455">
        <f t="shared" ca="1" si="161"/>
        <v>-547181801.03901827</v>
      </c>
      <c r="L3268" s="455">
        <f t="shared" ca="1" si="162"/>
        <v>-131870814050.40341</v>
      </c>
      <c r="M3268" s="471">
        <f t="shared" si="164"/>
        <v>0.05</v>
      </c>
      <c r="N3268" s="475">
        <f t="shared" si="165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63"/>
        <v>-131870814050.40341</v>
      </c>
      <c r="J3269" s="455">
        <f t="array" ref="J3269">IFERROR(INDEX('Retirement Calculator'!J:J,MATCH('Isaac 401k'!N3269,'Retirement Calculator'!A:A,0),0),0)</f>
        <v>0</v>
      </c>
      <c r="K3269" s="455">
        <f t="shared" ca="1" si="161"/>
        <v>-549461725.21001422</v>
      </c>
      <c r="L3269" s="455">
        <f t="shared" ca="1" si="162"/>
        <v>-132420275775.61342</v>
      </c>
      <c r="M3269" s="471">
        <f t="shared" si="164"/>
        <v>0.05</v>
      </c>
      <c r="N3269" s="475">
        <f t="shared" si="165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63"/>
        <v>-132420275775.61342</v>
      </c>
      <c r="J3270" s="455">
        <f t="array" ref="J3270">IFERROR(INDEX('Retirement Calculator'!J:J,MATCH('Isaac 401k'!N3270,'Retirement Calculator'!A:A,0),0),0)</f>
        <v>0</v>
      </c>
      <c r="K3270" s="455">
        <f t="shared" ca="1" si="161"/>
        <v>-551751149.06505585</v>
      </c>
      <c r="L3270" s="455">
        <f t="shared" ca="1" si="162"/>
        <v>-132972026924.67847</v>
      </c>
      <c r="M3270" s="471">
        <f t="shared" si="164"/>
        <v>0.05</v>
      </c>
      <c r="N3270" s="475">
        <f t="shared" si="165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63"/>
        <v>-132972026924.67847</v>
      </c>
      <c r="J3271" s="455">
        <f t="array" ref="J3271">IFERROR(INDEX('Retirement Calculator'!J:J,MATCH('Isaac 401k'!N3271,'Retirement Calculator'!A:A,0),0),0)</f>
        <v>0</v>
      </c>
      <c r="K3271" s="455">
        <f t="shared" ca="1" si="161"/>
        <v>-554050112.18616033</v>
      </c>
      <c r="L3271" s="455">
        <f t="shared" ca="1" si="162"/>
        <v>-133526077036.86462</v>
      </c>
      <c r="M3271" s="471">
        <f t="shared" si="164"/>
        <v>0.05</v>
      </c>
      <c r="N3271" s="475">
        <f t="shared" si="165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63"/>
        <v>-133526077036.86462</v>
      </c>
      <c r="J3272" s="455">
        <f t="array" ref="J3272">IFERROR(INDEX('Retirement Calculator'!J:J,MATCH('Isaac 401k'!N3272,'Retirement Calculator'!A:A,0),0),0)</f>
        <v>0</v>
      </c>
      <c r="K3272" s="455">
        <f t="shared" ca="1" si="161"/>
        <v>-556358654.32026923</v>
      </c>
      <c r="L3272" s="455">
        <f t="shared" ca="1" si="162"/>
        <v>-134082435691.18489</v>
      </c>
      <c r="M3272" s="471">
        <f t="shared" si="164"/>
        <v>0.05</v>
      </c>
      <c r="N3272" s="475">
        <f t="shared" si="165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63"/>
        <v>-134082435691.18489</v>
      </c>
      <c r="J3273" s="455">
        <f t="array" ref="J3273">IFERROR(INDEX('Retirement Calculator'!J:J,MATCH('Isaac 401k'!N3273,'Retirement Calculator'!A:A,0),0),0)</f>
        <v>0</v>
      </c>
      <c r="K3273" s="455">
        <f t="shared" ca="1" si="161"/>
        <v>-558676815.37993705</v>
      </c>
      <c r="L3273" s="455">
        <f t="shared" ca="1" si="162"/>
        <v>-134641112506.56483</v>
      </c>
      <c r="M3273" s="471">
        <f t="shared" si="164"/>
        <v>0.05</v>
      </c>
      <c r="N3273" s="475">
        <f t="shared" si="165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63"/>
        <v>-134641112506.56483</v>
      </c>
      <c r="J3274" s="455">
        <f t="array" ref="J3274">IFERROR(INDEX('Retirement Calculator'!J:J,MATCH('Isaac 401k'!N3274,'Retirement Calculator'!A:A,0),0),0)</f>
        <v>0</v>
      </c>
      <c r="K3274" s="455">
        <f t="shared" ca="1" si="161"/>
        <v>-561004635.44402015</v>
      </c>
      <c r="L3274" s="455">
        <f t="shared" ca="1" si="162"/>
        <v>-135202117142.00885</v>
      </c>
      <c r="M3274" s="471">
        <f t="shared" si="164"/>
        <v>0.05</v>
      </c>
      <c r="N3274" s="475">
        <f t="shared" si="165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63"/>
        <v>-135202117142.00885</v>
      </c>
      <c r="J3275" s="455">
        <f t="array" ref="J3275">IFERROR(INDEX('Retirement Calculator'!J:J,MATCH('Isaac 401k'!N3275,'Retirement Calculator'!A:A,0),0),0)</f>
        <v>0</v>
      </c>
      <c r="K3275" s="455">
        <f t="shared" ca="1" si="161"/>
        <v>-563342154.75837016</v>
      </c>
      <c r="L3275" s="455">
        <f t="shared" ca="1" si="162"/>
        <v>-135765459296.76723</v>
      </c>
      <c r="M3275" s="471">
        <f t="shared" si="164"/>
        <v>0.05</v>
      </c>
      <c r="N3275" s="475">
        <f t="shared" si="165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63"/>
        <v>-135765459296.76723</v>
      </c>
      <c r="J3276" s="455">
        <f t="array" ref="J3276">IFERROR(INDEX('Retirement Calculator'!J:J,MATCH('Isaac 401k'!N3276,'Retirement Calculator'!A:A,0),0),0)</f>
        <v>0</v>
      </c>
      <c r="K3276" s="455">
        <f t="shared" ca="1" si="161"/>
        <v>-565689413.73653007</v>
      </c>
      <c r="L3276" s="455">
        <f t="shared" ca="1" si="162"/>
        <v>-136331148710.50375</v>
      </c>
      <c r="M3276" s="471">
        <f t="shared" si="164"/>
        <v>0.05</v>
      </c>
      <c r="N3276" s="475">
        <f t="shared" si="165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63"/>
        <v>-136331148710.50375</v>
      </c>
      <c r="J3277" s="455">
        <f t="array" ref="J3277">IFERROR(INDEX('Retirement Calculator'!J:J,MATCH('Isaac 401k'!N3277,'Retirement Calculator'!A:A,0),0),0)</f>
        <v>0</v>
      </c>
      <c r="K3277" s="455">
        <f t="shared" ca="1" si="161"/>
        <v>-568046452.96043229</v>
      </c>
      <c r="L3277" s="455">
        <f t="shared" ca="1" si="162"/>
        <v>-136899195163.46419</v>
      </c>
      <c r="M3277" s="471">
        <f t="shared" si="164"/>
        <v>0.05</v>
      </c>
      <c r="N3277" s="475">
        <f t="shared" si="165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63"/>
        <v>-136899195163.46419</v>
      </c>
      <c r="J3278" s="455">
        <f t="array" ref="J3278">IFERROR(INDEX('Retirement Calculator'!J:J,MATCH('Isaac 401k'!N3278,'Retirement Calculator'!A:A,0),0),0)</f>
        <v>0</v>
      </c>
      <c r="K3278" s="455">
        <f t="shared" ca="1" si="161"/>
        <v>-570413313.18110085</v>
      </c>
      <c r="L3278" s="455">
        <f t="shared" ca="1" si="162"/>
        <v>-137469608476.64529</v>
      </c>
      <c r="M3278" s="471">
        <f t="shared" si="164"/>
        <v>0.05</v>
      </c>
      <c r="N3278" s="475">
        <f t="shared" si="165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63"/>
        <v>-137469608476.64529</v>
      </c>
      <c r="J3279" s="455">
        <f t="array" ref="J3279">IFERROR(INDEX('Retirement Calculator'!J:J,MATCH('Isaac 401k'!N3279,'Retirement Calculator'!A:A,0),0),0)</f>
        <v>0</v>
      </c>
      <c r="K3279" s="455">
        <f t="shared" ca="1" si="161"/>
        <v>-572790035.31935537</v>
      </c>
      <c r="L3279" s="455">
        <f t="shared" ca="1" si="162"/>
        <v>-138042398511.96466</v>
      </c>
      <c r="M3279" s="471">
        <f t="shared" si="164"/>
        <v>0.05</v>
      </c>
      <c r="N3279" s="475">
        <f t="shared" si="165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63"/>
        <v>-138042398511.96466</v>
      </c>
      <c r="J3280" s="455">
        <f t="array" ref="J3280">IFERROR(INDEX('Retirement Calculator'!J:J,MATCH('Isaac 401k'!N3280,'Retirement Calculator'!A:A,0),0),0)</f>
        <v>0</v>
      </c>
      <c r="K3280" s="455">
        <f t="shared" ca="1" si="161"/>
        <v>-575176660.46651936</v>
      </c>
      <c r="L3280" s="455">
        <f t="shared" ca="1" si="162"/>
        <v>-138617575172.43118</v>
      </c>
      <c r="M3280" s="471">
        <f t="shared" si="164"/>
        <v>0.05</v>
      </c>
      <c r="N3280" s="475">
        <f t="shared" si="165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63"/>
        <v>-138617575172.43118</v>
      </c>
      <c r="J3281" s="455">
        <f t="array" ref="J3281">IFERROR(INDEX('Retirement Calculator'!J:J,MATCH('Isaac 401k'!N3281,'Retirement Calculator'!A:A,0),0),0)</f>
        <v>0</v>
      </c>
      <c r="K3281" s="455">
        <f t="shared" ca="1" si="161"/>
        <v>-577573229.88512993</v>
      </c>
      <c r="L3281" s="455">
        <f t="shared" ca="1" si="162"/>
        <v>-139195148402.31631</v>
      </c>
      <c r="M3281" s="471">
        <f t="shared" si="164"/>
        <v>0.05</v>
      </c>
      <c r="N3281" s="475">
        <f t="shared" si="165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63"/>
        <v>-139195148402.31631</v>
      </c>
      <c r="J3282" s="455">
        <f t="array" ref="J3282">IFERROR(INDEX('Retirement Calculator'!J:J,MATCH('Isaac 401k'!N3282,'Retirement Calculator'!A:A,0),0),0)</f>
        <v>0</v>
      </c>
      <c r="K3282" s="455">
        <f t="shared" ca="1" si="161"/>
        <v>-579979785.0096513</v>
      </c>
      <c r="L3282" s="455">
        <f t="shared" ca="1" si="162"/>
        <v>-139775128187.32596</v>
      </c>
      <c r="M3282" s="471">
        <f t="shared" si="164"/>
        <v>0.05</v>
      </c>
      <c r="N3282" s="475">
        <f t="shared" si="165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63"/>
        <v>-139775128187.32596</v>
      </c>
      <c r="J3283" s="455">
        <f t="array" ref="J3283">IFERROR(INDEX('Retirement Calculator'!J:J,MATCH('Isaac 401k'!N3283,'Retirement Calculator'!A:A,0),0),0)</f>
        <v>0</v>
      </c>
      <c r="K3283" s="455">
        <f t="shared" ca="1" si="161"/>
        <v>-582396367.44719148</v>
      </c>
      <c r="L3283" s="455">
        <f t="shared" ca="1" si="162"/>
        <v>-140357524554.77316</v>
      </c>
      <c r="M3283" s="471">
        <f t="shared" si="164"/>
        <v>0.05</v>
      </c>
      <c r="N3283" s="475">
        <f t="shared" si="165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63"/>
        <v>-140357524554.77316</v>
      </c>
      <c r="J3284" s="455">
        <f t="array" ref="J3284">IFERROR(INDEX('Retirement Calculator'!J:J,MATCH('Isaac 401k'!N3284,'Retirement Calculator'!A:A,0),0),0)</f>
        <v>0</v>
      </c>
      <c r="K3284" s="455">
        <f t="shared" ca="1" si="161"/>
        <v>-584823018.97822154</v>
      </c>
      <c r="L3284" s="455">
        <f t="shared" ca="1" si="162"/>
        <v>-140942347573.75137</v>
      </c>
      <c r="M3284" s="471">
        <f t="shared" si="164"/>
        <v>0.05</v>
      </c>
      <c r="N3284" s="475">
        <f t="shared" si="165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63"/>
        <v>-140942347573.75137</v>
      </c>
      <c r="J3285" s="455">
        <f t="array" ref="J3285">IFERROR(INDEX('Retirement Calculator'!J:J,MATCH('Isaac 401k'!N3285,'Retirement Calculator'!A:A,0),0),0)</f>
        <v>0</v>
      </c>
      <c r="K3285" s="455">
        <f t="shared" ca="1" si="161"/>
        <v>-587259781.55729735</v>
      </c>
      <c r="L3285" s="455">
        <f t="shared" ca="1" si="162"/>
        <v>-141529607355.30869</v>
      </c>
      <c r="M3285" s="471">
        <f t="shared" si="164"/>
        <v>0.05</v>
      </c>
      <c r="N3285" s="475">
        <f t="shared" si="165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63"/>
        <v>-141529607355.30869</v>
      </c>
      <c r="J3286" s="455">
        <f t="array" ref="J3286">IFERROR(INDEX('Retirement Calculator'!J:J,MATCH('Isaac 401k'!N3286,'Retirement Calculator'!A:A,0),0),0)</f>
        <v>0</v>
      </c>
      <c r="K3286" s="455">
        <f t="shared" ca="1" si="161"/>
        <v>-589706697.31378615</v>
      </c>
      <c r="L3286" s="455">
        <f t="shared" ca="1" si="162"/>
        <v>-142119314052.62247</v>
      </c>
      <c r="M3286" s="471">
        <f t="shared" si="164"/>
        <v>0.05</v>
      </c>
      <c r="N3286" s="475">
        <f t="shared" si="165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63"/>
        <v>-142119314052.62247</v>
      </c>
      <c r="J3287" s="455">
        <f t="array" ref="J3287">IFERROR(INDEX('Retirement Calculator'!J:J,MATCH('Isaac 401k'!N3287,'Retirement Calculator'!A:A,0),0),0)</f>
        <v>0</v>
      </c>
      <c r="K3287" s="455">
        <f t="shared" ca="1" si="161"/>
        <v>-592163808.55259359</v>
      </c>
      <c r="L3287" s="455">
        <f t="shared" ca="1" si="162"/>
        <v>-142711477861.17505</v>
      </c>
      <c r="M3287" s="471">
        <f t="shared" si="164"/>
        <v>0.05</v>
      </c>
      <c r="N3287" s="475">
        <f t="shared" si="165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63"/>
        <v>-142711477861.17505</v>
      </c>
      <c r="J3288" s="455">
        <f t="array" ref="J3288">IFERROR(INDEX('Retirement Calculator'!J:J,MATCH('Isaac 401k'!N3288,'Retirement Calculator'!A:A,0),0),0)</f>
        <v>0</v>
      </c>
      <c r="K3288" s="455">
        <f t="shared" ca="1" si="161"/>
        <v>-594631157.75489604</v>
      </c>
      <c r="L3288" s="455">
        <f t="shared" ca="1" si="162"/>
        <v>-143306109018.92993</v>
      </c>
      <c r="M3288" s="471">
        <f t="shared" si="164"/>
        <v>0.05</v>
      </c>
      <c r="N3288" s="475">
        <f t="shared" si="165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63"/>
        <v>-143306109018.92993</v>
      </c>
      <c r="J3289" s="455">
        <f t="array" ref="J3289">IFERROR(INDEX('Retirement Calculator'!J:J,MATCH('Isaac 401k'!N3289,'Retirement Calculator'!A:A,0),0),0)</f>
        <v>0</v>
      </c>
      <c r="K3289" s="455">
        <f t="shared" ca="1" si="161"/>
        <v>-597108787.57887471</v>
      </c>
      <c r="L3289" s="455">
        <f t="shared" ca="1" si="162"/>
        <v>-143903217806.50882</v>
      </c>
      <c r="M3289" s="471">
        <f t="shared" si="164"/>
        <v>0.05</v>
      </c>
      <c r="N3289" s="475">
        <f t="shared" si="165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63"/>
        <v>-143903217806.50882</v>
      </c>
      <c r="J3290" s="455">
        <f t="array" ref="J3290">IFERROR(INDEX('Retirement Calculator'!J:J,MATCH('Isaac 401k'!N3290,'Retirement Calculator'!A:A,0),0),0)</f>
        <v>0</v>
      </c>
      <c r="K3290" s="455">
        <f t="shared" ca="1" si="161"/>
        <v>-599596740.86045337</v>
      </c>
      <c r="L3290" s="455">
        <f t="shared" ca="1" si="162"/>
        <v>-144502814547.36926</v>
      </c>
      <c r="M3290" s="471">
        <f t="shared" si="164"/>
        <v>0.05</v>
      </c>
      <c r="N3290" s="475">
        <f t="shared" si="165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63"/>
        <v>-144502814547.36926</v>
      </c>
      <c r="J3291" s="455">
        <f t="array" ref="J3291">IFERROR(INDEX('Retirement Calculator'!J:J,MATCH('Isaac 401k'!N3291,'Retirement Calculator'!A:A,0),0),0)</f>
        <v>0</v>
      </c>
      <c r="K3291" s="455">
        <f t="shared" ca="1" si="161"/>
        <v>-602095060.61403859</v>
      </c>
      <c r="L3291" s="455">
        <f t="shared" ca="1" si="162"/>
        <v>-145104909607.98331</v>
      </c>
      <c r="M3291" s="471">
        <f t="shared" si="164"/>
        <v>0.05</v>
      </c>
      <c r="N3291" s="475">
        <f t="shared" si="165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63"/>
        <v>-145104909607.98331</v>
      </c>
      <c r="J3292" s="455">
        <f t="array" ref="J3292">IFERROR(INDEX('Retirement Calculator'!J:J,MATCH('Isaac 401k'!N3292,'Retirement Calculator'!A:A,0),0),0)</f>
        <v>0</v>
      </c>
      <c r="K3292" s="455">
        <f t="shared" ca="1" si="161"/>
        <v>-604603790.0332638</v>
      </c>
      <c r="L3292" s="455">
        <f t="shared" ca="1" si="162"/>
        <v>-145709513398.01657</v>
      </c>
      <c r="M3292" s="471">
        <f t="shared" si="164"/>
        <v>0.05</v>
      </c>
      <c r="N3292" s="475">
        <f t="shared" si="165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63"/>
        <v>-145709513398.01657</v>
      </c>
      <c r="J3293" s="455">
        <f t="array" ref="J3293">IFERROR(INDEX('Retirement Calculator'!J:J,MATCH('Isaac 401k'!N3293,'Retirement Calculator'!A:A,0),0),0)</f>
        <v>0</v>
      </c>
      <c r="K3293" s="455">
        <f t="shared" ca="1" si="161"/>
        <v>-607122972.4917357</v>
      </c>
      <c r="L3293" s="455">
        <f t="shared" ca="1" si="162"/>
        <v>-146316636370.5083</v>
      </c>
      <c r="M3293" s="471">
        <f t="shared" si="164"/>
        <v>0.05</v>
      </c>
      <c r="N3293" s="475">
        <f t="shared" si="165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63"/>
        <v>-146316636370.5083</v>
      </c>
      <c r="J3294" s="455">
        <f t="array" ref="J3294">IFERROR(INDEX('Retirement Calculator'!J:J,MATCH('Isaac 401k'!N3294,'Retirement Calculator'!A:A,0),0),0)</f>
        <v>0</v>
      </c>
      <c r="K3294" s="455">
        <f t="shared" ca="1" si="161"/>
        <v>-609652651.54378462</v>
      </c>
      <c r="L3294" s="455">
        <f t="shared" ca="1" si="162"/>
        <v>-146926289022.05209</v>
      </c>
      <c r="M3294" s="471">
        <f t="shared" si="164"/>
        <v>0.05</v>
      </c>
      <c r="N3294" s="475">
        <f t="shared" si="165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63"/>
        <v>-146926289022.05209</v>
      </c>
      <c r="J3295" s="455">
        <f t="array" ref="J3295">IFERROR(INDEX('Retirement Calculator'!J:J,MATCH('Isaac 401k'!N3295,'Retirement Calculator'!A:A,0),0),0)</f>
        <v>0</v>
      </c>
      <c r="K3295" s="455">
        <f t="shared" ca="1" si="161"/>
        <v>-612192870.92521703</v>
      </c>
      <c r="L3295" s="455">
        <f t="shared" ca="1" si="162"/>
        <v>-147538481892.97733</v>
      </c>
      <c r="M3295" s="471">
        <f t="shared" si="164"/>
        <v>0.05</v>
      </c>
      <c r="N3295" s="475">
        <f t="shared" si="165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63"/>
        <v>-147538481892.97733</v>
      </c>
      <c r="J3296" s="455">
        <f t="array" ref="J3296">IFERROR(INDEX('Retirement Calculator'!J:J,MATCH('Isaac 401k'!N3296,'Retirement Calculator'!A:A,0),0),0)</f>
        <v>0</v>
      </c>
      <c r="K3296" s="455">
        <f t="shared" ca="1" si="161"/>
        <v>-614743674.55407214</v>
      </c>
      <c r="L3296" s="455">
        <f t="shared" ca="1" si="162"/>
        <v>-148153225567.5314</v>
      </c>
      <c r="M3296" s="471">
        <f t="shared" si="164"/>
        <v>0.05</v>
      </c>
      <c r="N3296" s="475">
        <f t="shared" si="165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63"/>
        <v>-148153225567.5314</v>
      </c>
      <c r="J3297" s="455">
        <f t="array" ref="J3297">IFERROR(INDEX('Retirement Calculator'!J:J,MATCH('Isaac 401k'!N3297,'Retirement Calculator'!A:A,0),0),0)</f>
        <v>0</v>
      </c>
      <c r="K3297" s="455">
        <f t="shared" ca="1" si="161"/>
        <v>-617305106.53138089</v>
      </c>
      <c r="L3297" s="455">
        <f t="shared" ca="1" si="162"/>
        <v>-148770530674.06277</v>
      </c>
      <c r="M3297" s="471">
        <f t="shared" si="164"/>
        <v>0.05</v>
      </c>
      <c r="N3297" s="475">
        <f t="shared" si="165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63"/>
        <v>-148770530674.06277</v>
      </c>
      <c r="J3298" s="455">
        <f t="array" ref="J3298">IFERROR(INDEX('Retirement Calculator'!J:J,MATCH('Isaac 401k'!N3298,'Retirement Calculator'!A:A,0),0),0)</f>
        <v>0</v>
      </c>
      <c r="K3298" s="455">
        <f t="shared" ca="1" si="161"/>
        <v>-619877211.1419282</v>
      </c>
      <c r="L3298" s="455">
        <f t="shared" ca="1" si="162"/>
        <v>-149390407885.20471</v>
      </c>
      <c r="M3298" s="471">
        <f t="shared" si="164"/>
        <v>0.05</v>
      </c>
      <c r="N3298" s="475">
        <f t="shared" si="165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63"/>
        <v>-149390407885.20471</v>
      </c>
      <c r="J3299" s="455">
        <f t="array" ref="J3299">IFERROR(INDEX('Retirement Calculator'!J:J,MATCH('Isaac 401k'!N3299,'Retirement Calculator'!A:A,0),0),0)</f>
        <v>0</v>
      </c>
      <c r="K3299" s="455">
        <f t="shared" ca="1" si="161"/>
        <v>-622460032.85501957</v>
      </c>
      <c r="L3299" s="455">
        <f t="shared" ca="1" si="162"/>
        <v>-150012867918.05972</v>
      </c>
      <c r="M3299" s="471">
        <f t="shared" si="164"/>
        <v>0.05</v>
      </c>
      <c r="N3299" s="475">
        <f t="shared" si="165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63"/>
        <v>-150012867918.05972</v>
      </c>
      <c r="J3300" s="455">
        <f t="array" ref="J3300">IFERROR(INDEX('Retirement Calculator'!J:J,MATCH('Isaac 401k'!N3300,'Retirement Calculator'!A:A,0),0),0)</f>
        <v>0</v>
      </c>
      <c r="K3300" s="455">
        <f t="shared" ca="1" si="161"/>
        <v>-625053616.32524884</v>
      </c>
      <c r="L3300" s="455">
        <f t="shared" ca="1" si="162"/>
        <v>-150637921534.38498</v>
      </c>
      <c r="M3300" s="471">
        <f t="shared" si="164"/>
        <v>0.05</v>
      </c>
      <c r="N3300" s="475">
        <f t="shared" si="165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63"/>
        <v>-150637921534.38498</v>
      </c>
      <c r="J3301" s="455">
        <f t="array" ref="J3301">IFERROR(INDEX('Retirement Calculator'!J:J,MATCH('Isaac 401k'!N3301,'Retirement Calculator'!A:A,0),0),0)</f>
        <v>0</v>
      </c>
      <c r="K3301" s="455">
        <f t="shared" ca="1" si="161"/>
        <v>-627658006.39327073</v>
      </c>
      <c r="L3301" s="455">
        <f t="shared" ca="1" si="162"/>
        <v>-151265579540.77826</v>
      </c>
      <c r="M3301" s="471">
        <f t="shared" si="164"/>
        <v>0.05</v>
      </c>
      <c r="N3301" s="475">
        <f t="shared" si="165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63"/>
        <v>-151265579540.77826</v>
      </c>
      <c r="J3302" s="455">
        <f t="array" ref="J3302">IFERROR(INDEX('Retirement Calculator'!J:J,MATCH('Isaac 401k'!N3302,'Retirement Calculator'!A:A,0),0),0)</f>
        <v>0</v>
      </c>
      <c r="K3302" s="455">
        <f t="shared" ca="1" si="161"/>
        <v>-630273248.0865761</v>
      </c>
      <c r="L3302" s="455">
        <f t="shared" ca="1" si="162"/>
        <v>-151895852788.86484</v>
      </c>
      <c r="M3302" s="471">
        <f t="shared" si="164"/>
        <v>0.05</v>
      </c>
      <c r="N3302" s="475">
        <f t="shared" si="165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63"/>
        <v>-151895852788.86484</v>
      </c>
      <c r="J3303" s="455">
        <f t="array" ref="J3303">IFERROR(INDEX('Retirement Calculator'!J:J,MATCH('Isaac 401k'!N3303,'Retirement Calculator'!A:A,0),0),0)</f>
        <v>0</v>
      </c>
      <c r="K3303" s="455">
        <f t="shared" ca="1" si="161"/>
        <v>-632899386.62027013</v>
      </c>
      <c r="L3303" s="455">
        <f t="shared" ca="1" si="162"/>
        <v>-152528752175.48511</v>
      </c>
      <c r="M3303" s="471">
        <f t="shared" si="164"/>
        <v>0.05</v>
      </c>
      <c r="N3303" s="475">
        <f t="shared" si="165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63"/>
        <v>-152528752175.48511</v>
      </c>
      <c r="J3304" s="455">
        <f t="array" ref="J3304">IFERROR(INDEX('Retirement Calculator'!J:J,MATCH('Isaac 401k'!N3304,'Retirement Calculator'!A:A,0),0),0)</f>
        <v>0</v>
      </c>
      <c r="K3304" s="455">
        <f t="shared" ca="1" si="161"/>
        <v>-635536467.39785457</v>
      </c>
      <c r="L3304" s="455">
        <f t="shared" ca="1" si="162"/>
        <v>-153164288642.88297</v>
      </c>
      <c r="M3304" s="471">
        <f t="shared" si="164"/>
        <v>0.05</v>
      </c>
      <c r="N3304" s="475">
        <f t="shared" si="165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63"/>
        <v>-153164288642.88297</v>
      </c>
      <c r="J3305" s="455">
        <f t="array" ref="J3305">IFERROR(INDEX('Retirement Calculator'!J:J,MATCH('Isaac 401k'!N3305,'Retirement Calculator'!A:A,0),0),0)</f>
        <v>0</v>
      </c>
      <c r="K3305" s="455">
        <f t="shared" ca="1" si="161"/>
        <v>-638184536.01201236</v>
      </c>
      <c r="L3305" s="455">
        <f t="shared" ca="1" si="162"/>
        <v>-153802473178.89499</v>
      </c>
      <c r="M3305" s="471">
        <f t="shared" si="164"/>
        <v>0.05</v>
      </c>
      <c r="N3305" s="475">
        <f t="shared" si="165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63"/>
        <v>-153802473178.89499</v>
      </c>
      <c r="J3306" s="455">
        <f t="array" ref="J3306">IFERROR(INDEX('Retirement Calculator'!J:J,MATCH('Isaac 401k'!N3306,'Retirement Calculator'!A:A,0),0),0)</f>
        <v>0</v>
      </c>
      <c r="K3306" s="455">
        <f t="shared" ca="1" si="161"/>
        <v>-640843638.24539578</v>
      </c>
      <c r="L3306" s="455">
        <f t="shared" ca="1" si="162"/>
        <v>-154443316817.14038</v>
      </c>
      <c r="M3306" s="471">
        <f t="shared" si="164"/>
        <v>0.05</v>
      </c>
      <c r="N3306" s="475">
        <f t="shared" si="165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63"/>
        <v>-154443316817.14038</v>
      </c>
      <c r="J3307" s="455">
        <f t="array" ref="J3307">IFERROR(INDEX('Retirement Calculator'!J:J,MATCH('Isaac 401k'!N3307,'Retirement Calculator'!A:A,0),0),0)</f>
        <v>0</v>
      </c>
      <c r="K3307" s="455">
        <f t="shared" ca="1" si="161"/>
        <v>-643513820.07141829</v>
      </c>
      <c r="L3307" s="455">
        <f t="shared" ca="1" si="162"/>
        <v>-155086830637.21179</v>
      </c>
      <c r="M3307" s="471">
        <f t="shared" si="164"/>
        <v>0.05</v>
      </c>
      <c r="N3307" s="475">
        <f t="shared" si="165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63"/>
        <v>-155086830637.21179</v>
      </c>
      <c r="J3308" s="455">
        <f t="array" ref="J3308">IFERROR(INDEX('Retirement Calculator'!J:J,MATCH('Isaac 401k'!N3308,'Retirement Calculator'!A:A,0),0),0)</f>
        <v>0</v>
      </c>
      <c r="K3308" s="455">
        <f t="shared" ca="1" si="161"/>
        <v>-646195127.65504909</v>
      </c>
      <c r="L3308" s="455">
        <f t="shared" ca="1" si="162"/>
        <v>-155733025764.86685</v>
      </c>
      <c r="M3308" s="471">
        <f t="shared" si="164"/>
        <v>0.05</v>
      </c>
      <c r="N3308" s="475">
        <f t="shared" si="165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63"/>
        <v>-155733025764.86685</v>
      </c>
      <c r="J3309" s="455">
        <f t="array" ref="J3309">IFERROR(INDEX('Retirement Calculator'!J:J,MATCH('Isaac 401k'!N3309,'Retirement Calculator'!A:A,0),0),0)</f>
        <v>0</v>
      </c>
      <c r="K3309" s="455">
        <f t="shared" ca="1" si="161"/>
        <v>-648887607.35361183</v>
      </c>
      <c r="L3309" s="455">
        <f t="shared" ca="1" si="162"/>
        <v>-156381913372.22046</v>
      </c>
      <c r="M3309" s="471">
        <f t="shared" si="164"/>
        <v>0.05</v>
      </c>
      <c r="N3309" s="475">
        <f t="shared" si="165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63"/>
        <v>-156381913372.22046</v>
      </c>
      <c r="J3310" s="455">
        <f t="array" ref="J3310">IFERROR(INDEX('Retirement Calculator'!J:J,MATCH('Isaac 401k'!N3310,'Retirement Calculator'!A:A,0),0),0)</f>
        <v>0</v>
      </c>
      <c r="K3310" s="455">
        <f t="shared" ca="1" si="161"/>
        <v>-651591305.71758521</v>
      </c>
      <c r="L3310" s="455">
        <f t="shared" ca="1" si="162"/>
        <v>-157033504677.93805</v>
      </c>
      <c r="M3310" s="471">
        <f t="shared" si="164"/>
        <v>0.05</v>
      </c>
      <c r="N3310" s="475">
        <f t="shared" si="165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63"/>
        <v>-157033504677.93805</v>
      </c>
      <c r="J3311" s="455">
        <f t="array" ref="J3311">IFERROR(INDEX('Retirement Calculator'!J:J,MATCH('Isaac 401k'!N3311,'Retirement Calculator'!A:A,0),0),0)</f>
        <v>0</v>
      </c>
      <c r="K3311" s="455">
        <f t="shared" ca="1" si="161"/>
        <v>-654306269.49140859</v>
      </c>
      <c r="L3311" s="455">
        <f t="shared" ca="1" si="162"/>
        <v>-157687810947.42944</v>
      </c>
      <c r="M3311" s="471">
        <f t="shared" si="164"/>
        <v>0.05</v>
      </c>
      <c r="N3311" s="475">
        <f t="shared" si="165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63"/>
        <v>-157687810947.42944</v>
      </c>
      <c r="J3312" s="455">
        <f t="array" ref="J3312">IFERROR(INDEX('Retirement Calculator'!J:J,MATCH('Isaac 401k'!N3312,'Retirement Calculator'!A:A,0),0),0)</f>
        <v>0</v>
      </c>
      <c r="K3312" s="455">
        <f t="shared" ca="1" si="161"/>
        <v>-657032545.61428928</v>
      </c>
      <c r="L3312" s="455">
        <f t="shared" ca="1" si="162"/>
        <v>-158344843493.04373</v>
      </c>
      <c r="M3312" s="471">
        <f t="shared" si="164"/>
        <v>0.05</v>
      </c>
      <c r="N3312" s="475">
        <f t="shared" si="165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63"/>
        <v>-158344843493.04373</v>
      </c>
      <c r="J3313" s="455">
        <f t="array" ref="J3313">IFERROR(INDEX('Retirement Calculator'!J:J,MATCH('Isaac 401k'!N3313,'Retirement Calculator'!A:A,0),0),0)</f>
        <v>0</v>
      </c>
      <c r="K3313" s="455">
        <f t="shared" ca="1" si="161"/>
        <v>-659770181.22101557</v>
      </c>
      <c r="L3313" s="455">
        <f t="shared" ca="1" si="162"/>
        <v>-159004613674.26474</v>
      </c>
      <c r="M3313" s="471">
        <f t="shared" si="164"/>
        <v>0.05</v>
      </c>
      <c r="N3313" s="475">
        <f t="shared" si="165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63"/>
        <v>-159004613674.26474</v>
      </c>
      <c r="J3314" s="455">
        <f t="array" ref="J3314">IFERROR(INDEX('Retirement Calculator'!J:J,MATCH('Isaac 401k'!N3314,'Retirement Calculator'!A:A,0),0),0)</f>
        <v>0</v>
      </c>
      <c r="K3314" s="455">
        <f t="shared" ca="1" si="161"/>
        <v>-662519223.64276969</v>
      </c>
      <c r="L3314" s="455">
        <f t="shared" ca="1" si="162"/>
        <v>-159667132897.9075</v>
      </c>
      <c r="M3314" s="471">
        <f t="shared" si="164"/>
        <v>0.05</v>
      </c>
      <c r="N3314" s="475">
        <f t="shared" si="165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63"/>
        <v>-159667132897.9075</v>
      </c>
      <c r="J3315" s="455">
        <f t="array" ref="J3315">IFERROR(INDEX('Retirement Calculator'!J:J,MATCH('Isaac 401k'!N3315,'Retirement Calculator'!A:A,0),0),0)</f>
        <v>0</v>
      </c>
      <c r="K3315" s="455">
        <f t="shared" ca="1" si="161"/>
        <v>-665279720.4079479</v>
      </c>
      <c r="L3315" s="455">
        <f t="shared" ca="1" si="162"/>
        <v>-160332412618.31546</v>
      </c>
      <c r="M3315" s="471">
        <f t="shared" si="164"/>
        <v>0.05</v>
      </c>
      <c r="N3315" s="475">
        <f t="shared" si="165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63"/>
        <v>-160332412618.31546</v>
      </c>
      <c r="J3316" s="455">
        <f t="array" ref="J3316">IFERROR(INDEX('Retirement Calculator'!J:J,MATCH('Isaac 401k'!N3316,'Retirement Calculator'!A:A,0),0),0)</f>
        <v>0</v>
      </c>
      <c r="K3316" s="455">
        <f t="shared" ca="1" si="161"/>
        <v>-668051719.24298108</v>
      </c>
      <c r="L3316" s="455">
        <f t="shared" ca="1" si="162"/>
        <v>-161000464337.55844</v>
      </c>
      <c r="M3316" s="471">
        <f t="shared" si="164"/>
        <v>0.05</v>
      </c>
      <c r="N3316" s="475">
        <f t="shared" si="165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63"/>
        <v>-161000464337.55844</v>
      </c>
      <c r="J3317" s="455">
        <f t="array" ref="J3317">IFERROR(INDEX('Retirement Calculator'!J:J,MATCH('Isaac 401k'!N3317,'Retirement Calculator'!A:A,0),0),0)</f>
        <v>0</v>
      </c>
      <c r="K3317" s="455">
        <f t="shared" ca="1" si="161"/>
        <v>-670835268.07316017</v>
      </c>
      <c r="L3317" s="455">
        <f t="shared" ca="1" si="162"/>
        <v>-161671299605.63159</v>
      </c>
      <c r="M3317" s="471">
        <f t="shared" si="164"/>
        <v>0.05</v>
      </c>
      <c r="N3317" s="475">
        <f t="shared" si="165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63"/>
        <v>-161671299605.63159</v>
      </c>
      <c r="J3318" s="455">
        <f t="array" ref="J3318">IFERROR(INDEX('Retirement Calculator'!J:J,MATCH('Isaac 401k'!N3318,'Retirement Calculator'!A:A,0),0),0)</f>
        <v>0</v>
      </c>
      <c r="K3318" s="455">
        <f t="shared" ca="1" si="161"/>
        <v>-673630415.02346492</v>
      </c>
      <c r="L3318" s="455">
        <f t="shared" ca="1" si="162"/>
        <v>-162344930020.65506</v>
      </c>
      <c r="M3318" s="471">
        <f t="shared" si="164"/>
        <v>0.05</v>
      </c>
      <c r="N3318" s="475">
        <f t="shared" si="165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63"/>
        <v>-162344930020.65506</v>
      </c>
      <c r="J3319" s="455">
        <f t="array" ref="J3319">IFERROR(INDEX('Retirement Calculator'!J:J,MATCH('Isaac 401k'!N3319,'Retirement Calculator'!A:A,0),0),0)</f>
        <v>0</v>
      </c>
      <c r="K3319" s="455">
        <f t="shared" ca="1" si="161"/>
        <v>-676437208.41939604</v>
      </c>
      <c r="L3319" s="455">
        <f t="shared" ca="1" si="162"/>
        <v>-163021367229.07446</v>
      </c>
      <c r="M3319" s="471">
        <f t="shared" si="164"/>
        <v>0.05</v>
      </c>
      <c r="N3319" s="475">
        <f t="shared" si="165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63"/>
        <v>-163021367229.07446</v>
      </c>
      <c r="J3320" s="455">
        <f t="array" ref="J3320">IFERROR(INDEX('Retirement Calculator'!J:J,MATCH('Isaac 401k'!N3320,'Retirement Calculator'!A:A,0),0),0)</f>
        <v>0</v>
      </c>
      <c r="K3320" s="455">
        <f t="shared" ca="1" si="161"/>
        <v>-679255696.78781021</v>
      </c>
      <c r="L3320" s="455">
        <f t="shared" ca="1" si="162"/>
        <v>-163700622925.86227</v>
      </c>
      <c r="M3320" s="471">
        <f t="shared" si="164"/>
        <v>0.05</v>
      </c>
      <c r="N3320" s="475">
        <f t="shared" si="165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63"/>
        <v>-163700622925.86227</v>
      </c>
      <c r="J3321" s="455">
        <f t="array" ref="J3321">IFERROR(INDEX('Retirement Calculator'!J:J,MATCH('Isaac 401k'!N3321,'Retirement Calculator'!A:A,0),0),0)</f>
        <v>0</v>
      </c>
      <c r="K3321" s="455">
        <f t="shared" ca="1" si="161"/>
        <v>-682085928.85775948</v>
      </c>
      <c r="L3321" s="455">
        <f t="shared" ca="1" si="162"/>
        <v>-164382708854.72003</v>
      </c>
      <c r="M3321" s="471">
        <f t="shared" si="164"/>
        <v>0.05</v>
      </c>
      <c r="N3321" s="475">
        <f t="shared" si="165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63"/>
        <v>-164382708854.72003</v>
      </c>
      <c r="J3322" s="455">
        <f t="array" ref="J3322">IFERROR(INDEX('Retirement Calculator'!J:J,MATCH('Isaac 401k'!N3322,'Retirement Calculator'!A:A,0),0),0)</f>
        <v>0</v>
      </c>
      <c r="K3322" s="455">
        <f t="shared" ca="1" si="161"/>
        <v>-684927953.56133342</v>
      </c>
      <c r="L3322" s="455">
        <f t="shared" ca="1" si="162"/>
        <v>-165067636808.28137</v>
      </c>
      <c r="M3322" s="471">
        <f t="shared" si="164"/>
        <v>0.05</v>
      </c>
      <c r="N3322" s="475">
        <f t="shared" si="165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63"/>
        <v>-165067636808.28137</v>
      </c>
      <c r="J3323" s="455">
        <f t="array" ref="J3323">IFERROR(INDEX('Retirement Calculator'!J:J,MATCH('Isaac 401k'!N3323,'Retirement Calculator'!A:A,0),0),0)</f>
        <v>0</v>
      </c>
      <c r="K3323" s="455">
        <f t="shared" ref="K3323:K3577" ca="1" si="166">IPMT(M3323/12,1,12,-I3323+J3323,,0)</f>
        <v>-687781820.03450572</v>
      </c>
      <c r="L3323" s="455">
        <f t="shared" ref="L3323:L3577" ca="1" si="167">I3323-J3323+K3323</f>
        <v>-165755418628.31589</v>
      </c>
      <c r="M3323" s="471">
        <f t="shared" si="164"/>
        <v>0.05</v>
      </c>
      <c r="N3323" s="475">
        <f t="shared" si="165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68">L3323</f>
        <v>-165755418628.31589</v>
      </c>
      <c r="J3324" s="455">
        <f t="array" ref="J3324">IFERROR(INDEX('Retirement Calculator'!J:J,MATCH('Isaac 401k'!N3324,'Retirement Calculator'!A:A,0),0),0)</f>
        <v>0</v>
      </c>
      <c r="K3324" s="455">
        <f t="shared" ca="1" si="166"/>
        <v>-690647577.61798286</v>
      </c>
      <c r="L3324" s="455">
        <f t="shared" ca="1" si="167"/>
        <v>-166446066205.93387</v>
      </c>
      <c r="M3324" s="471">
        <f t="shared" ref="M3324:M3578" si="169">M3323</f>
        <v>0.05</v>
      </c>
      <c r="N3324" s="475">
        <f t="shared" ref="N3324:N3578" si="170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68"/>
        <v>-166446066205.93387</v>
      </c>
      <c r="J3325" s="455">
        <f t="array" ref="J3325">IFERROR(INDEX('Retirement Calculator'!J:J,MATCH('Isaac 401k'!N3325,'Retirement Calculator'!A:A,0),0),0)</f>
        <v>0</v>
      </c>
      <c r="K3325" s="455">
        <f t="shared" ca="1" si="166"/>
        <v>-693525275.85805774</v>
      </c>
      <c r="L3325" s="455">
        <f t="shared" ca="1" si="167"/>
        <v>-167139591481.79193</v>
      </c>
      <c r="M3325" s="471">
        <f t="shared" si="169"/>
        <v>0.05</v>
      </c>
      <c r="N3325" s="475">
        <f t="shared" si="170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68"/>
        <v>-167139591481.79193</v>
      </c>
      <c r="J3326" s="455">
        <f t="array" ref="J3326">IFERROR(INDEX('Retirement Calculator'!J:J,MATCH('Isaac 401k'!N3326,'Retirement Calculator'!A:A,0),0),0)</f>
        <v>0</v>
      </c>
      <c r="K3326" s="455">
        <f t="shared" ca="1" si="166"/>
        <v>-696414964.50746632</v>
      </c>
      <c r="L3326" s="455">
        <f t="shared" ca="1" si="167"/>
        <v>-167836006446.29941</v>
      </c>
      <c r="M3326" s="471">
        <f t="shared" si="169"/>
        <v>0.05</v>
      </c>
      <c r="N3326" s="475">
        <f t="shared" si="170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68"/>
        <v>-167836006446.29941</v>
      </c>
      <c r="J3327" s="455">
        <f t="array" ref="J3327">IFERROR(INDEX('Retirement Calculator'!J:J,MATCH('Isaac 401k'!N3327,'Retirement Calculator'!A:A,0),0),0)</f>
        <v>0</v>
      </c>
      <c r="K3327" s="455">
        <f t="shared" ca="1" si="166"/>
        <v>-699316693.5262475</v>
      </c>
      <c r="L3327" s="455">
        <f t="shared" ca="1" si="167"/>
        <v>-168535323139.82565</v>
      </c>
      <c r="M3327" s="471">
        <f t="shared" si="169"/>
        <v>0.05</v>
      </c>
      <c r="N3327" s="475">
        <f t="shared" si="170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68"/>
        <v>-168535323139.82565</v>
      </c>
      <c r="J3328" s="455">
        <f t="array" ref="J3328">IFERROR(INDEX('Retirement Calculator'!J:J,MATCH('Isaac 401k'!N3328,'Retirement Calculator'!A:A,0),0),0)</f>
        <v>0</v>
      </c>
      <c r="K3328" s="455">
        <f t="shared" ca="1" si="166"/>
        <v>-702230513.08260691</v>
      </c>
      <c r="L3328" s="455">
        <f t="shared" ca="1" si="167"/>
        <v>-169237553652.90826</v>
      </c>
      <c r="M3328" s="471">
        <f t="shared" si="169"/>
        <v>0.05</v>
      </c>
      <c r="N3328" s="475">
        <f t="shared" si="170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68"/>
        <v>-169237553652.90826</v>
      </c>
      <c r="J3329" s="455">
        <f t="array" ref="J3329">IFERROR(INDEX('Retirement Calculator'!J:J,MATCH('Isaac 401k'!N3329,'Retirement Calculator'!A:A,0),0),0)</f>
        <v>0</v>
      </c>
      <c r="K3329" s="455">
        <f t="shared" ca="1" si="166"/>
        <v>-705156473.55378437</v>
      </c>
      <c r="L3329" s="455">
        <f t="shared" ca="1" si="167"/>
        <v>-169942710126.46204</v>
      </c>
      <c r="M3329" s="471">
        <f t="shared" si="169"/>
        <v>0.05</v>
      </c>
      <c r="N3329" s="475">
        <f t="shared" si="170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68"/>
        <v>-169942710126.46204</v>
      </c>
      <c r="J3330" s="455">
        <f t="array" ref="J3330">IFERROR(INDEX('Retirement Calculator'!J:J,MATCH('Isaac 401k'!N3330,'Retirement Calculator'!A:A,0),0),0)</f>
        <v>0</v>
      </c>
      <c r="K3330" s="455">
        <f t="shared" ca="1" si="166"/>
        <v>-708094625.52692509</v>
      </c>
      <c r="L3330" s="455">
        <f t="shared" ca="1" si="167"/>
        <v>-170650804751.98895</v>
      </c>
      <c r="M3330" s="471">
        <f t="shared" si="169"/>
        <v>0.05</v>
      </c>
      <c r="N3330" s="475">
        <f t="shared" si="170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68"/>
        <v>-170650804751.98895</v>
      </c>
      <c r="J3331" s="455">
        <f t="array" ref="J3331">IFERROR(INDEX('Retirement Calculator'!J:J,MATCH('Isaac 401k'!N3331,'Retirement Calculator'!A:A,0),0),0)</f>
        <v>0</v>
      </c>
      <c r="K3331" s="455">
        <f t="shared" ca="1" si="166"/>
        <v>-711045019.79995394</v>
      </c>
      <c r="L3331" s="455">
        <f t="shared" ca="1" si="167"/>
        <v>-171361849771.78891</v>
      </c>
      <c r="M3331" s="471">
        <f t="shared" si="169"/>
        <v>0.05</v>
      </c>
      <c r="N3331" s="475">
        <f t="shared" si="170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68"/>
        <v>-171361849771.78891</v>
      </c>
      <c r="J3332" s="455">
        <f t="array" ref="J3332">IFERROR(INDEX('Retirement Calculator'!J:J,MATCH('Isaac 401k'!N3332,'Retirement Calculator'!A:A,0),0),0)</f>
        <v>0</v>
      </c>
      <c r="K3332" s="455">
        <f t="shared" ca="1" si="166"/>
        <v>-714007707.3824538</v>
      </c>
      <c r="L3332" s="455">
        <f t="shared" ca="1" si="167"/>
        <v>-172075857479.17136</v>
      </c>
      <c r="M3332" s="471">
        <f t="shared" si="169"/>
        <v>0.05</v>
      </c>
      <c r="N3332" s="475">
        <f t="shared" si="170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68"/>
        <v>-172075857479.17136</v>
      </c>
      <c r="J3333" s="455">
        <f t="array" ref="J3333">IFERROR(INDEX('Retirement Calculator'!J:J,MATCH('Isaac 401k'!N3333,'Retirement Calculator'!A:A,0),0),0)</f>
        <v>0</v>
      </c>
      <c r="K3333" s="455">
        <f t="shared" ca="1" si="166"/>
        <v>-716982739.49654734</v>
      </c>
      <c r="L3333" s="455">
        <f t="shared" ca="1" si="167"/>
        <v>-172792840218.66791</v>
      </c>
      <c r="M3333" s="471">
        <f t="shared" si="169"/>
        <v>0.05</v>
      </c>
      <c r="N3333" s="475">
        <f t="shared" si="170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68"/>
        <v>-172792840218.66791</v>
      </c>
      <c r="J3334" s="455">
        <f t="array" ref="J3334">IFERROR(INDEX('Retirement Calculator'!J:J,MATCH('Isaac 401k'!N3334,'Retirement Calculator'!A:A,0),0),0)</f>
        <v>0</v>
      </c>
      <c r="K3334" s="455">
        <f t="shared" ca="1" si="166"/>
        <v>-719970167.57778299</v>
      </c>
      <c r="L3334" s="455">
        <f t="shared" ca="1" si="167"/>
        <v>-173512810386.2457</v>
      </c>
      <c r="M3334" s="471">
        <f t="shared" si="169"/>
        <v>0.05</v>
      </c>
      <c r="N3334" s="475">
        <f t="shared" si="170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68"/>
        <v>-173512810386.2457</v>
      </c>
      <c r="J3335" s="455">
        <f t="array" ref="J3335">IFERROR(INDEX('Retirement Calculator'!J:J,MATCH('Isaac 401k'!N3335,'Retirement Calculator'!A:A,0),0),0)</f>
        <v>0</v>
      </c>
      <c r="K3335" s="455">
        <f t="shared" ca="1" si="166"/>
        <v>-722970043.27602375</v>
      </c>
      <c r="L3335" s="455">
        <f t="shared" ca="1" si="167"/>
        <v>-174235780429.52173</v>
      </c>
      <c r="M3335" s="471">
        <f t="shared" si="169"/>
        <v>0.05</v>
      </c>
      <c r="N3335" s="475">
        <f t="shared" si="170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68"/>
        <v>-174235780429.52173</v>
      </c>
      <c r="J3336" s="455">
        <f t="array" ref="J3336">IFERROR(INDEX('Retirement Calculator'!J:J,MATCH('Isaac 401k'!N3336,'Retirement Calculator'!A:A,0),0),0)</f>
        <v>0</v>
      </c>
      <c r="K3336" s="455">
        <f t="shared" ca="1" si="166"/>
        <v>-725982418.45634055</v>
      </c>
      <c r="L3336" s="455">
        <f t="shared" ca="1" si="167"/>
        <v>-174961762847.97806</v>
      </c>
      <c r="M3336" s="471">
        <f t="shared" si="169"/>
        <v>0.05</v>
      </c>
      <c r="N3336" s="475">
        <f t="shared" si="170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68"/>
        <v>-174961762847.97806</v>
      </c>
      <c r="J3337" s="455">
        <f t="array" ref="J3337">IFERROR(INDEX('Retirement Calculator'!J:J,MATCH('Isaac 401k'!N3337,'Retirement Calculator'!A:A,0),0),0)</f>
        <v>0</v>
      </c>
      <c r="K3337" s="455">
        <f t="shared" ca="1" si="166"/>
        <v>-729007345.19990861</v>
      </c>
      <c r="L3337" s="455">
        <f t="shared" ca="1" si="167"/>
        <v>-175690770193.17798</v>
      </c>
      <c r="M3337" s="471">
        <f t="shared" si="169"/>
        <v>0.05</v>
      </c>
      <c r="N3337" s="475">
        <f t="shared" si="170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68"/>
        <v>-175690770193.17798</v>
      </c>
      <c r="J3338" s="455">
        <f t="array" ref="J3338">IFERROR(INDEX('Retirement Calculator'!J:J,MATCH('Isaac 401k'!N3338,'Retirement Calculator'!A:A,0),0),0)</f>
        <v>0</v>
      </c>
      <c r="K3338" s="455">
        <f t="shared" ca="1" si="166"/>
        <v>-732044875.80490828</v>
      </c>
      <c r="L3338" s="455">
        <f t="shared" ca="1" si="167"/>
        <v>-176422815068.98288</v>
      </c>
      <c r="M3338" s="471">
        <f t="shared" si="169"/>
        <v>0.05</v>
      </c>
      <c r="N3338" s="475">
        <f t="shared" si="170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68"/>
        <v>-176422815068.98288</v>
      </c>
      <c r="J3339" s="455">
        <f t="array" ref="J3339">IFERROR(INDEX('Retirement Calculator'!J:J,MATCH('Isaac 401k'!N3339,'Retirement Calculator'!A:A,0),0),0)</f>
        <v>0</v>
      </c>
      <c r="K3339" s="455">
        <f t="shared" ca="1" si="166"/>
        <v>-735095062.78742862</v>
      </c>
      <c r="L3339" s="455">
        <f t="shared" ca="1" si="167"/>
        <v>-177157910131.77029</v>
      </c>
      <c r="M3339" s="471">
        <f t="shared" si="169"/>
        <v>0.05</v>
      </c>
      <c r="N3339" s="475">
        <f t="shared" si="170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68"/>
        <v>-177157910131.77029</v>
      </c>
      <c r="J3340" s="455">
        <f t="array" ref="J3340">IFERROR(INDEX('Retirement Calculator'!J:J,MATCH('Isaac 401k'!N3340,'Retirement Calculator'!A:A,0),0),0)</f>
        <v>0</v>
      </c>
      <c r="K3340" s="455">
        <f t="shared" ca="1" si="166"/>
        <v>-738157958.88237619</v>
      </c>
      <c r="L3340" s="455">
        <f t="shared" ca="1" si="167"/>
        <v>-177896068090.65268</v>
      </c>
      <c r="M3340" s="471">
        <f t="shared" si="169"/>
        <v>0.05</v>
      </c>
      <c r="N3340" s="475">
        <f t="shared" si="170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68"/>
        <v>-177896068090.65268</v>
      </c>
      <c r="J3341" s="455">
        <f t="array" ref="J3341">IFERROR(INDEX('Retirement Calculator'!J:J,MATCH('Isaac 401k'!N3341,'Retirement Calculator'!A:A,0),0),0)</f>
        <v>0</v>
      </c>
      <c r="K3341" s="455">
        <f t="shared" ca="1" si="166"/>
        <v>-741233617.04438615</v>
      </c>
      <c r="L3341" s="455">
        <f t="shared" ca="1" si="167"/>
        <v>-178637301707.69705</v>
      </c>
      <c r="M3341" s="471">
        <f t="shared" si="169"/>
        <v>0.05</v>
      </c>
      <c r="N3341" s="475">
        <f t="shared" si="170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68"/>
        <v>-178637301707.69705</v>
      </c>
      <c r="J3342" s="455">
        <f t="array" ref="J3342">IFERROR(INDEX('Retirement Calculator'!J:J,MATCH('Isaac 401k'!N3342,'Retirement Calculator'!A:A,0),0),0)</f>
        <v>0</v>
      </c>
      <c r="K3342" s="455">
        <f t="shared" ca="1" si="166"/>
        <v>-744322090.44873774</v>
      </c>
      <c r="L3342" s="455">
        <f t="shared" ca="1" si="167"/>
        <v>-179381623798.14578</v>
      </c>
      <c r="M3342" s="471">
        <f t="shared" si="169"/>
        <v>0.05</v>
      </c>
      <c r="N3342" s="475">
        <f t="shared" si="170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68"/>
        <v>-179381623798.14578</v>
      </c>
      <c r="J3343" s="455">
        <f t="array" ref="J3343">IFERROR(INDEX('Retirement Calculator'!J:J,MATCH('Isaac 401k'!N3343,'Retirement Calculator'!A:A,0),0),0)</f>
        <v>0</v>
      </c>
      <c r="K3343" s="455">
        <f t="shared" ca="1" si="166"/>
        <v>-747423432.49227405</v>
      </c>
      <c r="L3343" s="455">
        <f t="shared" ca="1" si="167"/>
        <v>-180129047230.63806</v>
      </c>
      <c r="M3343" s="471">
        <f t="shared" si="169"/>
        <v>0.05</v>
      </c>
      <c r="N3343" s="475">
        <f t="shared" si="170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68"/>
        <v>-180129047230.63806</v>
      </c>
      <c r="J3344" s="455">
        <f t="array" ref="J3344">IFERROR(INDEX('Retirement Calculator'!J:J,MATCH('Isaac 401k'!N3344,'Retirement Calculator'!A:A,0),0),0)</f>
        <v>0</v>
      </c>
      <c r="K3344" s="455">
        <f t="shared" ca="1" si="166"/>
        <v>-750537696.79432523</v>
      </c>
      <c r="L3344" s="455">
        <f t="shared" ca="1" si="167"/>
        <v>-180879584927.43237</v>
      </c>
      <c r="M3344" s="471">
        <f t="shared" si="169"/>
        <v>0.05</v>
      </c>
      <c r="N3344" s="475">
        <f t="shared" si="170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68"/>
        <v>-180879584927.43237</v>
      </c>
      <c r="J3345" s="455">
        <f t="array" ref="J3345">IFERROR(INDEX('Retirement Calculator'!J:J,MATCH('Isaac 401k'!N3345,'Retirement Calculator'!A:A,0),0),0)</f>
        <v>0</v>
      </c>
      <c r="K3345" s="455">
        <f t="shared" ca="1" si="166"/>
        <v>-753664937.19763494</v>
      </c>
      <c r="L3345" s="455">
        <f t="shared" ca="1" si="167"/>
        <v>-181633249864.63</v>
      </c>
      <c r="M3345" s="471">
        <f t="shared" si="169"/>
        <v>0.05</v>
      </c>
      <c r="N3345" s="475">
        <f t="shared" si="170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68"/>
        <v>-181633249864.63</v>
      </c>
      <c r="J3346" s="455">
        <f t="array" ref="J3346">IFERROR(INDEX('Retirement Calculator'!J:J,MATCH('Isaac 401k'!N3346,'Retirement Calculator'!A:A,0),0),0)</f>
        <v>0</v>
      </c>
      <c r="K3346" s="455">
        <f t="shared" ca="1" si="166"/>
        <v>-756805207.76929164</v>
      </c>
      <c r="L3346" s="455">
        <f t="shared" ca="1" si="167"/>
        <v>-182390055072.39929</v>
      </c>
      <c r="M3346" s="471">
        <f t="shared" si="169"/>
        <v>0.05</v>
      </c>
      <c r="N3346" s="475">
        <f t="shared" si="170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68"/>
        <v>-182390055072.39929</v>
      </c>
      <c r="J3347" s="455">
        <f t="array" ref="J3347">IFERROR(INDEX('Retirement Calculator'!J:J,MATCH('Isaac 401k'!N3347,'Retirement Calculator'!A:A,0),0),0)</f>
        <v>0</v>
      </c>
      <c r="K3347" s="455">
        <f t="shared" ca="1" si="166"/>
        <v>-759958562.80166376</v>
      </c>
      <c r="L3347" s="455">
        <f t="shared" ca="1" si="167"/>
        <v>-183150013635.20096</v>
      </c>
      <c r="M3347" s="471">
        <f t="shared" si="169"/>
        <v>0.05</v>
      </c>
      <c r="N3347" s="475">
        <f t="shared" si="170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68"/>
        <v>-183150013635.20096</v>
      </c>
      <c r="J3348" s="455">
        <f t="array" ref="J3348">IFERROR(INDEX('Retirement Calculator'!J:J,MATCH('Isaac 401k'!N3348,'Retirement Calculator'!A:A,0),0),0)</f>
        <v>0</v>
      </c>
      <c r="K3348" s="455">
        <f t="shared" ca="1" si="166"/>
        <v>-763125056.81333733</v>
      </c>
      <c r="L3348" s="455">
        <f t="shared" ca="1" si="167"/>
        <v>-183913138692.01428</v>
      </c>
      <c r="M3348" s="471">
        <f t="shared" si="169"/>
        <v>0.05</v>
      </c>
      <c r="N3348" s="475">
        <f t="shared" si="170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68"/>
        <v>-183913138692.01428</v>
      </c>
      <c r="J3349" s="455">
        <f t="array" ref="J3349">IFERROR(INDEX('Retirement Calculator'!J:J,MATCH('Isaac 401k'!N3349,'Retirement Calculator'!A:A,0),0),0)</f>
        <v>0</v>
      </c>
      <c r="K3349" s="455">
        <f t="shared" ca="1" si="166"/>
        <v>-766304744.55005956</v>
      </c>
      <c r="L3349" s="455">
        <f t="shared" ca="1" si="167"/>
        <v>-184679443436.56433</v>
      </c>
      <c r="M3349" s="471">
        <f t="shared" si="169"/>
        <v>0.05</v>
      </c>
      <c r="N3349" s="475">
        <f t="shared" si="170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68"/>
        <v>-184679443436.56433</v>
      </c>
      <c r="J3350" s="455">
        <f t="array" ref="J3350">IFERROR(INDEX('Retirement Calculator'!J:J,MATCH('Isaac 401k'!N3350,'Retirement Calculator'!A:A,0),0),0)</f>
        <v>0</v>
      </c>
      <c r="K3350" s="455">
        <f t="shared" ca="1" si="166"/>
        <v>-769497680.98568475</v>
      </c>
      <c r="L3350" s="455">
        <f t="shared" ca="1" si="167"/>
        <v>-185448941117.55002</v>
      </c>
      <c r="M3350" s="471">
        <f t="shared" si="169"/>
        <v>0.05</v>
      </c>
      <c r="N3350" s="475">
        <f t="shared" si="170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68"/>
        <v>-185448941117.55002</v>
      </c>
      <c r="J3351" s="455">
        <f t="array" ref="J3351">IFERROR(INDEX('Retirement Calculator'!J:J,MATCH('Isaac 401k'!N3351,'Retirement Calculator'!A:A,0),0),0)</f>
        <v>0</v>
      </c>
      <c r="K3351" s="455">
        <f t="shared" ca="1" si="166"/>
        <v>-772703921.32312512</v>
      </c>
      <c r="L3351" s="455">
        <f t="shared" ca="1" si="167"/>
        <v>-186221645038.87314</v>
      </c>
      <c r="M3351" s="471">
        <f t="shared" si="169"/>
        <v>0.05</v>
      </c>
      <c r="N3351" s="475">
        <f t="shared" si="170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68"/>
        <v>-186221645038.87314</v>
      </c>
      <c r="J3352" s="455">
        <f t="array" ref="J3352">IFERROR(INDEX('Retirement Calculator'!J:J,MATCH('Isaac 401k'!N3352,'Retirement Calculator'!A:A,0),0),0)</f>
        <v>0</v>
      </c>
      <c r="K3352" s="455">
        <f t="shared" ca="1" si="166"/>
        <v>-775923520.9953047</v>
      </c>
      <c r="L3352" s="455">
        <f t="shared" ca="1" si="167"/>
        <v>-186997568559.86844</v>
      </c>
      <c r="M3352" s="471">
        <f t="shared" si="169"/>
        <v>0.05</v>
      </c>
      <c r="N3352" s="475">
        <f t="shared" si="170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68"/>
        <v>-186997568559.86844</v>
      </c>
      <c r="J3353" s="455">
        <f t="array" ref="J3353">IFERROR(INDEX('Retirement Calculator'!J:J,MATCH('Isaac 401k'!N3353,'Retirement Calculator'!A:A,0),0),0)</f>
        <v>0</v>
      </c>
      <c r="K3353" s="455">
        <f t="shared" ca="1" si="166"/>
        <v>-779156535.6661185</v>
      </c>
      <c r="L3353" s="455">
        <f t="shared" ca="1" si="167"/>
        <v>-187776725095.53455</v>
      </c>
      <c r="M3353" s="471">
        <f t="shared" si="169"/>
        <v>0.05</v>
      </c>
      <c r="N3353" s="475">
        <f t="shared" si="170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68"/>
        <v>-187776725095.53455</v>
      </c>
      <c r="J3354" s="455">
        <f t="array" ref="J3354">IFERROR(INDEX('Retirement Calculator'!J:J,MATCH('Isaac 401k'!N3354,'Retirement Calculator'!A:A,0),0),0)</f>
        <v>0</v>
      </c>
      <c r="K3354" s="455">
        <f t="shared" ca="1" si="166"/>
        <v>-782403021.23139393</v>
      </c>
      <c r="L3354" s="455">
        <f t="shared" ca="1" si="167"/>
        <v>-188559128116.76593</v>
      </c>
      <c r="M3354" s="471">
        <f t="shared" si="169"/>
        <v>0.05</v>
      </c>
      <c r="N3354" s="475">
        <f t="shared" si="170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68"/>
        <v>-188559128116.76593</v>
      </c>
      <c r="J3355" s="455">
        <f t="array" ref="J3355">IFERROR(INDEX('Retirement Calculator'!J:J,MATCH('Isaac 401k'!N3355,'Retirement Calculator'!A:A,0),0),0)</f>
        <v>0</v>
      </c>
      <c r="K3355" s="455">
        <f t="shared" ca="1" si="166"/>
        <v>-785663033.81985807</v>
      </c>
      <c r="L3355" s="455">
        <f t="shared" ca="1" si="167"/>
        <v>-189344791150.58578</v>
      </c>
      <c r="M3355" s="471">
        <f t="shared" si="169"/>
        <v>0.05</v>
      </c>
      <c r="N3355" s="475">
        <f t="shared" si="170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68"/>
        <v>-189344791150.58578</v>
      </c>
      <c r="J3356" s="455">
        <f t="array" ref="J3356">IFERROR(INDEX('Retirement Calculator'!J:J,MATCH('Isaac 401k'!N3356,'Retirement Calculator'!A:A,0),0),0)</f>
        <v>0</v>
      </c>
      <c r="K3356" s="455">
        <f t="shared" ca="1" si="166"/>
        <v>-788936629.79410744</v>
      </c>
      <c r="L3356" s="455">
        <f t="shared" ca="1" si="167"/>
        <v>-190133727780.37988</v>
      </c>
      <c r="M3356" s="471">
        <f t="shared" si="169"/>
        <v>0.05</v>
      </c>
      <c r="N3356" s="475">
        <f t="shared" si="170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68"/>
        <v>-190133727780.37988</v>
      </c>
      <c r="J3357" s="455">
        <f t="array" ref="J3357">IFERROR(INDEX('Retirement Calculator'!J:J,MATCH('Isaac 401k'!N3357,'Retirement Calculator'!A:A,0),0),0)</f>
        <v>0</v>
      </c>
      <c r="K3357" s="455">
        <f t="shared" ca="1" si="166"/>
        <v>-792223865.75158286</v>
      </c>
      <c r="L3357" s="455">
        <f t="shared" ca="1" si="167"/>
        <v>-190925951646.13147</v>
      </c>
      <c r="M3357" s="471">
        <f t="shared" si="169"/>
        <v>0.05</v>
      </c>
      <c r="N3357" s="475">
        <f t="shared" si="170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68"/>
        <v>-190925951646.13147</v>
      </c>
      <c r="J3358" s="455">
        <f t="array" ref="J3358">IFERROR(INDEX('Retirement Calculator'!J:J,MATCH('Isaac 401k'!N3358,'Retirement Calculator'!A:A,0),0),0)</f>
        <v>0</v>
      </c>
      <c r="K3358" s="455">
        <f t="shared" ca="1" si="166"/>
        <v>-795524798.52554774</v>
      </c>
      <c r="L3358" s="455">
        <f t="shared" ca="1" si="167"/>
        <v>-191721476444.65701</v>
      </c>
      <c r="M3358" s="471">
        <f t="shared" si="169"/>
        <v>0.05</v>
      </c>
      <c r="N3358" s="475">
        <f t="shared" si="170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68"/>
        <v>-191721476444.65701</v>
      </c>
      <c r="J3359" s="455">
        <f t="array" ref="J3359">IFERROR(INDEX('Retirement Calculator'!J:J,MATCH('Isaac 401k'!N3359,'Retirement Calculator'!A:A,0),0),0)</f>
        <v>0</v>
      </c>
      <c r="K3359" s="455">
        <f t="shared" ca="1" si="166"/>
        <v>-798839485.18607092</v>
      </c>
      <c r="L3359" s="455">
        <f t="shared" ca="1" si="167"/>
        <v>-192520315929.84308</v>
      </c>
      <c r="M3359" s="471">
        <f t="shared" si="169"/>
        <v>0.05</v>
      </c>
      <c r="N3359" s="475">
        <f t="shared" si="170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68"/>
        <v>-192520315929.84308</v>
      </c>
      <c r="J3360" s="455">
        <f t="array" ref="J3360">IFERROR(INDEX('Retirement Calculator'!J:J,MATCH('Isaac 401k'!N3360,'Retirement Calculator'!A:A,0),0),0)</f>
        <v>0</v>
      </c>
      <c r="K3360" s="455">
        <f t="shared" ca="1" si="166"/>
        <v>-802167983.04101276</v>
      </c>
      <c r="L3360" s="455">
        <f t="shared" ca="1" si="167"/>
        <v>-193322483912.88409</v>
      </c>
      <c r="M3360" s="471">
        <f t="shared" si="169"/>
        <v>0.05</v>
      </c>
      <c r="N3360" s="475">
        <f t="shared" si="170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68"/>
        <v>-193322483912.88409</v>
      </c>
      <c r="J3361" s="455">
        <f t="array" ref="J3361">IFERROR(INDEX('Retirement Calculator'!J:J,MATCH('Isaac 401k'!N3361,'Retirement Calculator'!A:A,0),0),0)</f>
        <v>0</v>
      </c>
      <c r="K3361" s="455">
        <f t="shared" ca="1" si="166"/>
        <v>-805510349.63701701</v>
      </c>
      <c r="L3361" s="455">
        <f t="shared" ca="1" si="167"/>
        <v>-194127994262.52112</v>
      </c>
      <c r="M3361" s="471">
        <f t="shared" si="169"/>
        <v>0.05</v>
      </c>
      <c r="N3361" s="475">
        <f t="shared" si="170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68"/>
        <v>-194127994262.52112</v>
      </c>
      <c r="J3362" s="455">
        <f t="array" ref="J3362">IFERROR(INDEX('Retirement Calculator'!J:J,MATCH('Isaac 401k'!N3362,'Retirement Calculator'!A:A,0),0),0)</f>
        <v>0</v>
      </c>
      <c r="K3362" s="455">
        <f t="shared" ca="1" si="166"/>
        <v>-808866642.7605046</v>
      </c>
      <c r="L3362" s="455">
        <f t="shared" ca="1" si="167"/>
        <v>-194936860905.28162</v>
      </c>
      <c r="M3362" s="471">
        <f t="shared" si="169"/>
        <v>0.05</v>
      </c>
      <c r="N3362" s="475">
        <f t="shared" si="170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68"/>
        <v>-194936860905.28162</v>
      </c>
      <c r="J3363" s="455">
        <f t="array" ref="J3363">IFERROR(INDEX('Retirement Calculator'!J:J,MATCH('Isaac 401k'!N3363,'Retirement Calculator'!A:A,0),0),0)</f>
        <v>0</v>
      </c>
      <c r="K3363" s="455">
        <f t="shared" ca="1" si="166"/>
        <v>-812236920.43867338</v>
      </c>
      <c r="L3363" s="455">
        <f t="shared" ca="1" si="167"/>
        <v>-195749097825.72028</v>
      </c>
      <c r="M3363" s="471">
        <f t="shared" si="169"/>
        <v>0.05</v>
      </c>
      <c r="N3363" s="475">
        <f t="shared" si="170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68"/>
        <v>-195749097825.72028</v>
      </c>
      <c r="J3364" s="455">
        <f t="array" ref="J3364">IFERROR(INDEX('Retirement Calculator'!J:J,MATCH('Isaac 401k'!N3364,'Retirement Calculator'!A:A,0),0),0)</f>
        <v>0</v>
      </c>
      <c r="K3364" s="455">
        <f t="shared" ca="1" si="166"/>
        <v>-815621240.94050109</v>
      </c>
      <c r="L3364" s="455">
        <f t="shared" ca="1" si="167"/>
        <v>-196564719066.66077</v>
      </c>
      <c r="M3364" s="471">
        <f t="shared" si="169"/>
        <v>0.05</v>
      </c>
      <c r="N3364" s="475">
        <f t="shared" si="170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68"/>
        <v>-196564719066.66077</v>
      </c>
      <c r="J3365" s="455">
        <f t="array" ref="J3365">IFERROR(INDEX('Retirement Calculator'!J:J,MATCH('Isaac 401k'!N3365,'Retirement Calculator'!A:A,0),0),0)</f>
        <v>0</v>
      </c>
      <c r="K3365" s="455">
        <f t="shared" ca="1" si="166"/>
        <v>-819019662.77775323</v>
      </c>
      <c r="L3365" s="455">
        <f t="shared" ca="1" si="167"/>
        <v>-197383738729.43851</v>
      </c>
      <c r="M3365" s="471">
        <f t="shared" si="169"/>
        <v>0.05</v>
      </c>
      <c r="N3365" s="475">
        <f t="shared" si="170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68"/>
        <v>-197383738729.43851</v>
      </c>
      <c r="J3366" s="455">
        <f t="array" ref="J3366">IFERROR(INDEX('Retirement Calculator'!J:J,MATCH('Isaac 401k'!N3366,'Retirement Calculator'!A:A,0),0),0)</f>
        <v>0</v>
      </c>
      <c r="K3366" s="455">
        <f t="shared" ca="1" si="166"/>
        <v>-822432244.70599377</v>
      </c>
      <c r="L3366" s="455">
        <f t="shared" ca="1" si="167"/>
        <v>-198206170974.1445</v>
      </c>
      <c r="M3366" s="471">
        <f t="shared" si="169"/>
        <v>0.05</v>
      </c>
      <c r="N3366" s="475">
        <f t="shared" si="170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68"/>
        <v>-198206170974.1445</v>
      </c>
      <c r="J3367" s="455">
        <f t="array" ref="J3367">IFERROR(INDEX('Retirement Calculator'!J:J,MATCH('Isaac 401k'!N3367,'Retirement Calculator'!A:A,0),0),0)</f>
        <v>0</v>
      </c>
      <c r="K3367" s="455">
        <f t="shared" ca="1" si="166"/>
        <v>-825859045.72560203</v>
      </c>
      <c r="L3367" s="455">
        <f t="shared" ca="1" si="167"/>
        <v>-199032030019.87012</v>
      </c>
      <c r="M3367" s="471">
        <f t="shared" si="169"/>
        <v>0.05</v>
      </c>
      <c r="N3367" s="475">
        <f t="shared" si="170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68"/>
        <v>-199032030019.87012</v>
      </c>
      <c r="J3368" s="455">
        <f t="array" ref="J3368">IFERROR(INDEX('Retirement Calculator'!J:J,MATCH('Isaac 401k'!N3368,'Retirement Calculator'!A:A,0),0),0)</f>
        <v>0</v>
      </c>
      <c r="K3368" s="455">
        <f t="shared" ca="1" si="166"/>
        <v>-829300125.08279216</v>
      </c>
      <c r="L3368" s="455">
        <f t="shared" ca="1" si="167"/>
        <v>-199861330144.95291</v>
      </c>
      <c r="M3368" s="471">
        <f t="shared" si="169"/>
        <v>0.05</v>
      </c>
      <c r="N3368" s="475">
        <f t="shared" si="170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68"/>
        <v>-199861330144.95291</v>
      </c>
      <c r="J3369" s="455">
        <f t="array" ref="J3369">IFERROR(INDEX('Retirement Calculator'!J:J,MATCH('Isaac 401k'!N3369,'Retirement Calculator'!A:A,0),0),0)</f>
        <v>0</v>
      </c>
      <c r="K3369" s="455">
        <f t="shared" ca="1" si="166"/>
        <v>-832755542.27063715</v>
      </c>
      <c r="L3369" s="455">
        <f t="shared" ca="1" si="167"/>
        <v>-200694085687.22354</v>
      </c>
      <c r="M3369" s="471">
        <f t="shared" si="169"/>
        <v>0.05</v>
      </c>
      <c r="N3369" s="475">
        <f t="shared" si="170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68"/>
        <v>-200694085687.22354</v>
      </c>
      <c r="J3370" s="455">
        <f t="array" ref="J3370">IFERROR(INDEX('Retirement Calculator'!J:J,MATCH('Isaac 401k'!N3370,'Retirement Calculator'!A:A,0),0),0)</f>
        <v>0</v>
      </c>
      <c r="K3370" s="455">
        <f t="shared" ca="1" si="166"/>
        <v>-836225357.03009808</v>
      </c>
      <c r="L3370" s="455">
        <f t="shared" ca="1" si="167"/>
        <v>-201530311044.25363</v>
      </c>
      <c r="M3370" s="471">
        <f t="shared" si="169"/>
        <v>0.05</v>
      </c>
      <c r="N3370" s="475">
        <f t="shared" si="170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68"/>
        <v>-201530311044.25363</v>
      </c>
      <c r="J3371" s="455">
        <f t="array" ref="J3371">IFERROR(INDEX('Retirement Calculator'!J:J,MATCH('Isaac 401k'!N3371,'Retirement Calculator'!A:A,0),0),0)</f>
        <v>0</v>
      </c>
      <c r="K3371" s="455">
        <f t="shared" ca="1" si="166"/>
        <v>-839709629.35105681</v>
      </c>
      <c r="L3371" s="455">
        <f t="shared" ca="1" si="167"/>
        <v>-202370020673.60468</v>
      </c>
      <c r="M3371" s="471">
        <f t="shared" si="169"/>
        <v>0.05</v>
      </c>
      <c r="N3371" s="475">
        <f t="shared" si="170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68"/>
        <v>-202370020673.60468</v>
      </c>
      <c r="J3372" s="455">
        <f t="array" ref="J3372">IFERROR(INDEX('Retirement Calculator'!J:J,MATCH('Isaac 401k'!N3372,'Retirement Calculator'!A:A,0),0),0)</f>
        <v>0</v>
      </c>
      <c r="K3372" s="455">
        <f t="shared" ca="1" si="166"/>
        <v>-843208419.47335279</v>
      </c>
      <c r="L3372" s="455">
        <f t="shared" ca="1" si="167"/>
        <v>-203213229093.07803</v>
      </c>
      <c r="M3372" s="471">
        <f t="shared" si="169"/>
        <v>0.05</v>
      </c>
      <c r="N3372" s="475">
        <f t="shared" si="170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68"/>
        <v>-203213229093.07803</v>
      </c>
      <c r="J3373" s="455">
        <f t="array" ref="J3373">IFERROR(INDEX('Retirement Calculator'!J:J,MATCH('Isaac 401k'!N3373,'Retirement Calculator'!A:A,0),0),0)</f>
        <v>0</v>
      </c>
      <c r="K3373" s="455">
        <f t="shared" ca="1" si="166"/>
        <v>-846721787.88782513</v>
      </c>
      <c r="L3373" s="455">
        <f t="shared" ca="1" si="167"/>
        <v>-204059950880.96585</v>
      </c>
      <c r="M3373" s="471">
        <f t="shared" si="169"/>
        <v>0.05</v>
      </c>
      <c r="N3373" s="475">
        <f t="shared" si="170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68"/>
        <v>-204059950880.96585</v>
      </c>
      <c r="J3374" s="455">
        <f t="array" ref="J3374">IFERROR(INDEX('Retirement Calculator'!J:J,MATCH('Isaac 401k'!N3374,'Retirement Calculator'!A:A,0),0),0)</f>
        <v>0</v>
      </c>
      <c r="K3374" s="455">
        <f t="shared" ca="1" si="166"/>
        <v>-850249795.33735776</v>
      </c>
      <c r="L3374" s="455">
        <f t="shared" ca="1" si="167"/>
        <v>-204910200676.30322</v>
      </c>
      <c r="M3374" s="471">
        <f t="shared" si="169"/>
        <v>0.05</v>
      </c>
      <c r="N3374" s="475">
        <f t="shared" si="170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68"/>
        <v>-204910200676.30322</v>
      </c>
      <c r="J3375" s="455">
        <f t="array" ref="J3375">IFERROR(INDEX('Retirement Calculator'!J:J,MATCH('Isaac 401k'!N3375,'Retirement Calculator'!A:A,0),0),0)</f>
        <v>0</v>
      </c>
      <c r="K3375" s="455">
        <f t="shared" ca="1" si="166"/>
        <v>-853792502.8179301</v>
      </c>
      <c r="L3375" s="455">
        <f t="shared" ca="1" si="167"/>
        <v>-205763993179.12115</v>
      </c>
      <c r="M3375" s="471">
        <f t="shared" si="169"/>
        <v>0.05</v>
      </c>
      <c r="N3375" s="475">
        <f t="shared" si="170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68"/>
        <v>-205763993179.12115</v>
      </c>
      <c r="J3376" s="455">
        <f t="array" ref="J3376">IFERROR(INDEX('Retirement Calculator'!J:J,MATCH('Isaac 401k'!N3376,'Retirement Calculator'!A:A,0),0),0)</f>
        <v>0</v>
      </c>
      <c r="K3376" s="455">
        <f t="shared" ca="1" si="166"/>
        <v>-857349971.5796715</v>
      </c>
      <c r="L3376" s="455">
        <f t="shared" ca="1" si="167"/>
        <v>-206621343150.70084</v>
      </c>
      <c r="M3376" s="471">
        <f t="shared" si="169"/>
        <v>0.05</v>
      </c>
      <c r="N3376" s="475">
        <f t="shared" si="170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68"/>
        <v>-206621343150.70084</v>
      </c>
      <c r="J3377" s="455">
        <f t="array" ref="J3377">IFERROR(INDEX('Retirement Calculator'!J:J,MATCH('Isaac 401k'!N3377,'Retirement Calculator'!A:A,0),0),0)</f>
        <v>0</v>
      </c>
      <c r="K3377" s="455">
        <f t="shared" ca="1" si="166"/>
        <v>-860922263.12792015</v>
      </c>
      <c r="L3377" s="455">
        <f t="shared" ca="1" si="167"/>
        <v>-207482265413.82877</v>
      </c>
      <c r="M3377" s="471">
        <f t="shared" si="169"/>
        <v>0.05</v>
      </c>
      <c r="N3377" s="475">
        <f t="shared" si="170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68"/>
        <v>-207482265413.82877</v>
      </c>
      <c r="J3378" s="455">
        <f t="array" ref="J3378">IFERROR(INDEX('Retirement Calculator'!J:J,MATCH('Isaac 401k'!N3378,'Retirement Calculator'!A:A,0),0),0)</f>
        <v>0</v>
      </c>
      <c r="K3378" s="455">
        <f t="shared" ca="1" si="166"/>
        <v>-864509439.22428656</v>
      </c>
      <c r="L3378" s="455">
        <f t="shared" ca="1" si="167"/>
        <v>-208346774853.05304</v>
      </c>
      <c r="M3378" s="471">
        <f t="shared" si="169"/>
        <v>0.05</v>
      </c>
      <c r="N3378" s="475">
        <f t="shared" si="170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68"/>
        <v>-208346774853.05304</v>
      </c>
      <c r="J3379" s="455">
        <f t="array" ref="J3379">IFERROR(INDEX('Retirement Calculator'!J:J,MATCH('Isaac 401k'!N3379,'Retirement Calculator'!A:A,0),0),0)</f>
        <v>0</v>
      </c>
      <c r="K3379" s="455">
        <f t="shared" ca="1" si="166"/>
        <v>-868111561.88772094</v>
      </c>
      <c r="L3379" s="455">
        <f t="shared" ca="1" si="167"/>
        <v>-209214886414.94077</v>
      </c>
      <c r="M3379" s="471">
        <f t="shared" si="169"/>
        <v>0.05</v>
      </c>
      <c r="N3379" s="475">
        <f t="shared" si="170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68"/>
        <v>-209214886414.94077</v>
      </c>
      <c r="J3380" s="455">
        <f t="array" ref="J3380">IFERROR(INDEX('Retirement Calculator'!J:J,MATCH('Isaac 401k'!N3380,'Retirement Calculator'!A:A,0),0),0)</f>
        <v>0</v>
      </c>
      <c r="K3380" s="455">
        <f t="shared" ca="1" si="166"/>
        <v>-871728693.39558649</v>
      </c>
      <c r="L3380" s="455">
        <f t="shared" ca="1" si="167"/>
        <v>-210086615108.33636</v>
      </c>
      <c r="M3380" s="471">
        <f t="shared" si="169"/>
        <v>0.05</v>
      </c>
      <c r="N3380" s="475">
        <f t="shared" si="170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68"/>
        <v>-210086615108.33636</v>
      </c>
      <c r="J3381" s="455">
        <f t="array" ref="J3381">IFERROR(INDEX('Retirement Calculator'!J:J,MATCH('Isaac 401k'!N3381,'Retirement Calculator'!A:A,0),0),0)</f>
        <v>0</v>
      </c>
      <c r="K3381" s="455">
        <f t="shared" ca="1" si="166"/>
        <v>-875360896.28473485</v>
      </c>
      <c r="L3381" s="455">
        <f t="shared" ca="1" si="167"/>
        <v>-210961976004.62109</v>
      </c>
      <c r="M3381" s="471">
        <f t="shared" si="169"/>
        <v>0.05</v>
      </c>
      <c r="N3381" s="475">
        <f t="shared" si="170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68"/>
        <v>-210961976004.62109</v>
      </c>
      <c r="J3382" s="455">
        <f t="array" ref="J3382">IFERROR(INDEX('Retirement Calculator'!J:J,MATCH('Isaac 401k'!N3382,'Retirement Calculator'!A:A,0),0),0)</f>
        <v>0</v>
      </c>
      <c r="K3382" s="455">
        <f t="shared" ca="1" si="166"/>
        <v>-879008233.35258782</v>
      </c>
      <c r="L3382" s="455">
        <f t="shared" ca="1" si="167"/>
        <v>-211840984237.97369</v>
      </c>
      <c r="M3382" s="471">
        <f t="shared" si="169"/>
        <v>0.05</v>
      </c>
      <c r="N3382" s="475">
        <f t="shared" si="170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68"/>
        <v>-211840984237.97369</v>
      </c>
      <c r="J3383" s="455">
        <f t="array" ref="J3383">IFERROR(INDEX('Retirement Calculator'!J:J,MATCH('Isaac 401k'!N3383,'Retirement Calculator'!A:A,0),0),0)</f>
        <v>0</v>
      </c>
      <c r="K3383" s="455">
        <f t="shared" ca="1" si="166"/>
        <v>-882670767.65822375</v>
      </c>
      <c r="L3383" s="455">
        <f t="shared" ca="1" si="167"/>
        <v>-212723655005.63193</v>
      </c>
      <c r="M3383" s="471">
        <f t="shared" si="169"/>
        <v>0.05</v>
      </c>
      <c r="N3383" s="475">
        <f t="shared" si="170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68"/>
        <v>-212723655005.63193</v>
      </c>
      <c r="J3384" s="455">
        <f t="array" ref="J3384">IFERROR(INDEX('Retirement Calculator'!J:J,MATCH('Isaac 401k'!N3384,'Retirement Calculator'!A:A,0),0),0)</f>
        <v>0</v>
      </c>
      <c r="K3384" s="455">
        <f t="shared" ca="1" si="166"/>
        <v>-886348562.52346635</v>
      </c>
      <c r="L3384" s="455">
        <f t="shared" ca="1" si="167"/>
        <v>-213610003568.1554</v>
      </c>
      <c r="M3384" s="471">
        <f t="shared" si="169"/>
        <v>0.05</v>
      </c>
      <c r="N3384" s="475">
        <f t="shared" si="170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68"/>
        <v>-213610003568.1554</v>
      </c>
      <c r="J3385" s="455">
        <f t="array" ref="J3385">IFERROR(INDEX('Retirement Calculator'!J:J,MATCH('Isaac 401k'!N3385,'Retirement Calculator'!A:A,0),0),0)</f>
        <v>0</v>
      </c>
      <c r="K3385" s="455">
        <f t="shared" ca="1" si="166"/>
        <v>-890041681.53398085</v>
      </c>
      <c r="L3385" s="455">
        <f t="shared" ca="1" si="167"/>
        <v>-214500045249.68936</v>
      </c>
      <c r="M3385" s="471">
        <f t="shared" si="169"/>
        <v>0.05</v>
      </c>
      <c r="N3385" s="475">
        <f t="shared" si="170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68"/>
        <v>-214500045249.68936</v>
      </c>
      <c r="J3386" s="455">
        <f t="array" ref="J3386">IFERROR(INDEX('Retirement Calculator'!J:J,MATCH('Isaac 401k'!N3386,'Retirement Calculator'!A:A,0),0),0)</f>
        <v>0</v>
      </c>
      <c r="K3386" s="455">
        <f t="shared" ca="1" si="166"/>
        <v>-893750188.54037249</v>
      </c>
      <c r="L3386" s="455">
        <f t="shared" ca="1" si="167"/>
        <v>-215393795438.22974</v>
      </c>
      <c r="M3386" s="471">
        <f t="shared" si="169"/>
        <v>0.05</v>
      </c>
      <c r="N3386" s="475">
        <f t="shared" si="170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68"/>
        <v>-215393795438.22974</v>
      </c>
      <c r="J3387" s="455">
        <f t="array" ref="J3387">IFERROR(INDEX('Retirement Calculator'!J:J,MATCH('Isaac 401k'!N3387,'Retirement Calculator'!A:A,0),0),0)</f>
        <v>0</v>
      </c>
      <c r="K3387" s="455">
        <f t="shared" ca="1" si="166"/>
        <v>-897474147.65929055</v>
      </c>
      <c r="L3387" s="455">
        <f t="shared" ca="1" si="167"/>
        <v>-216291269585.88904</v>
      </c>
      <c r="M3387" s="471">
        <f t="shared" si="169"/>
        <v>0.05</v>
      </c>
      <c r="N3387" s="475">
        <f t="shared" si="170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68"/>
        <v>-216291269585.88904</v>
      </c>
      <c r="J3388" s="455">
        <f t="array" ref="J3388">IFERROR(INDEX('Retirement Calculator'!J:J,MATCH('Isaac 401k'!N3388,'Retirement Calculator'!A:A,0),0),0)</f>
        <v>0</v>
      </c>
      <c r="K3388" s="455">
        <f t="shared" ca="1" si="166"/>
        <v>-901213623.27453768</v>
      </c>
      <c r="L3388" s="455">
        <f t="shared" ca="1" si="167"/>
        <v>-217192483209.16357</v>
      </c>
      <c r="M3388" s="471">
        <f t="shared" si="169"/>
        <v>0.05</v>
      </c>
      <c r="N3388" s="475">
        <f t="shared" si="170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68"/>
        <v>-217192483209.16357</v>
      </c>
      <c r="J3389" s="455">
        <f t="array" ref="J3389">IFERROR(INDEX('Retirement Calculator'!J:J,MATCH('Isaac 401k'!N3389,'Retirement Calculator'!A:A,0),0),0)</f>
        <v>0</v>
      </c>
      <c r="K3389" s="455">
        <f t="shared" ca="1" si="166"/>
        <v>-904968680.03818154</v>
      </c>
      <c r="L3389" s="455">
        <f t="shared" ca="1" si="167"/>
        <v>-218097451889.20175</v>
      </c>
      <c r="M3389" s="471">
        <f t="shared" si="169"/>
        <v>0.05</v>
      </c>
      <c r="N3389" s="475">
        <f t="shared" si="170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68"/>
        <v>-218097451889.20175</v>
      </c>
      <c r="J3390" s="455">
        <f t="array" ref="J3390">IFERROR(INDEX('Retirement Calculator'!J:J,MATCH('Isaac 401k'!N3390,'Retirement Calculator'!A:A,0),0),0)</f>
        <v>0</v>
      </c>
      <c r="K3390" s="455">
        <f t="shared" ca="1" si="166"/>
        <v>-908739382.87167394</v>
      </c>
      <c r="L3390" s="455">
        <f t="shared" ca="1" si="167"/>
        <v>-219006191272.07343</v>
      </c>
      <c r="M3390" s="471">
        <f t="shared" si="169"/>
        <v>0.05</v>
      </c>
      <c r="N3390" s="475">
        <f t="shared" si="170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68"/>
        <v>-219006191272.07343</v>
      </c>
      <c r="J3391" s="455">
        <f t="array" ref="J3391">IFERROR(INDEX('Retirement Calculator'!J:J,MATCH('Isaac 401k'!N3391,'Retirement Calculator'!A:A,0),0),0)</f>
        <v>0</v>
      </c>
      <c r="K3391" s="455">
        <f t="shared" ca="1" si="166"/>
        <v>-912525796.96697259</v>
      </c>
      <c r="L3391" s="455">
        <f t="shared" ca="1" si="167"/>
        <v>-219918717069.04041</v>
      </c>
      <c r="M3391" s="471">
        <f t="shared" si="169"/>
        <v>0.05</v>
      </c>
      <c r="N3391" s="475">
        <f t="shared" si="170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68"/>
        <v>-219918717069.04041</v>
      </c>
      <c r="J3392" s="455">
        <f t="array" ref="J3392">IFERROR(INDEX('Retirement Calculator'!J:J,MATCH('Isaac 401k'!N3392,'Retirement Calculator'!A:A,0),0),0)</f>
        <v>0</v>
      </c>
      <c r="K3392" s="455">
        <f t="shared" ca="1" si="166"/>
        <v>-916327987.78766835</v>
      </c>
      <c r="L3392" s="455">
        <f t="shared" ca="1" si="167"/>
        <v>-220835045056.82806</v>
      </c>
      <c r="M3392" s="471">
        <f t="shared" si="169"/>
        <v>0.05</v>
      </c>
      <c r="N3392" s="475">
        <f t="shared" si="170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68"/>
        <v>-220835045056.82806</v>
      </c>
      <c r="J3393" s="455">
        <f t="array" ref="J3393">IFERROR(INDEX('Retirement Calculator'!J:J,MATCH('Isaac 401k'!N3393,'Retirement Calculator'!A:A,0),0),0)</f>
        <v>0</v>
      </c>
      <c r="K3393" s="455">
        <f t="shared" ca="1" si="166"/>
        <v>-920146021.07011688</v>
      </c>
      <c r="L3393" s="455">
        <f t="shared" ca="1" si="167"/>
        <v>-221755191077.89819</v>
      </c>
      <c r="M3393" s="471">
        <f t="shared" si="169"/>
        <v>0.05</v>
      </c>
      <c r="N3393" s="475">
        <f t="shared" si="170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68"/>
        <v>-221755191077.89819</v>
      </c>
      <c r="J3394" s="455">
        <f t="array" ref="J3394">IFERROR(INDEX('Retirement Calculator'!J:J,MATCH('Isaac 401k'!N3394,'Retirement Calculator'!A:A,0),0),0)</f>
        <v>0</v>
      </c>
      <c r="K3394" s="455">
        <f t="shared" ca="1" si="166"/>
        <v>-923979962.82457578</v>
      </c>
      <c r="L3394" s="455">
        <f t="shared" ca="1" si="167"/>
        <v>-222679171040.72278</v>
      </c>
      <c r="M3394" s="471">
        <f t="shared" si="169"/>
        <v>0.05</v>
      </c>
      <c r="N3394" s="475">
        <f t="shared" si="170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68"/>
        <v>-222679171040.72278</v>
      </c>
      <c r="J3395" s="455">
        <f t="array" ref="J3395">IFERROR(INDEX('Retirement Calculator'!J:J,MATCH('Isaac 401k'!N3395,'Retirement Calculator'!A:A,0),0),0)</f>
        <v>0</v>
      </c>
      <c r="K3395" s="455">
        <f t="shared" ca="1" si="166"/>
        <v>-927829879.33634484</v>
      </c>
      <c r="L3395" s="455">
        <f t="shared" ca="1" si="167"/>
        <v>-223607000920.05911</v>
      </c>
      <c r="M3395" s="471">
        <f t="shared" si="169"/>
        <v>0.05</v>
      </c>
      <c r="N3395" s="475">
        <f t="shared" si="170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68"/>
        <v>-223607000920.05911</v>
      </c>
      <c r="J3396" s="455">
        <f t="array" ref="J3396">IFERROR(INDEX('Retirement Calculator'!J:J,MATCH('Isaac 401k'!N3396,'Retirement Calculator'!A:A,0),0),0)</f>
        <v>0</v>
      </c>
      <c r="K3396" s="455">
        <f t="shared" ca="1" si="166"/>
        <v>-931695837.16691279</v>
      </c>
      <c r="L3396" s="455">
        <f t="shared" ca="1" si="167"/>
        <v>-224538696757.22601</v>
      </c>
      <c r="M3396" s="471">
        <f t="shared" si="169"/>
        <v>0.05</v>
      </c>
      <c r="N3396" s="475">
        <f t="shared" si="170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68"/>
        <v>-224538696757.22601</v>
      </c>
      <c r="J3397" s="455">
        <f t="array" ref="J3397">IFERROR(INDEX('Retirement Calculator'!J:J,MATCH('Isaac 401k'!N3397,'Retirement Calculator'!A:A,0),0),0)</f>
        <v>0</v>
      </c>
      <c r="K3397" s="455">
        <f t="shared" ca="1" si="166"/>
        <v>-935577903.15510833</v>
      </c>
      <c r="L3397" s="455">
        <f t="shared" ca="1" si="167"/>
        <v>-225474274660.38113</v>
      </c>
      <c r="M3397" s="471">
        <f t="shared" si="169"/>
        <v>0.05</v>
      </c>
      <c r="N3397" s="475">
        <f t="shared" si="170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68"/>
        <v>-225474274660.38113</v>
      </c>
      <c r="J3398" s="455">
        <f t="array" ref="J3398">IFERROR(INDEX('Retirement Calculator'!J:J,MATCH('Isaac 401k'!N3398,'Retirement Calculator'!A:A,0),0),0)</f>
        <v>0</v>
      </c>
      <c r="K3398" s="455">
        <f t="shared" ca="1" si="166"/>
        <v>-939476144.41825473</v>
      </c>
      <c r="L3398" s="455">
        <f t="shared" ca="1" si="167"/>
        <v>-226413750804.79938</v>
      </c>
      <c r="M3398" s="471">
        <f t="shared" si="169"/>
        <v>0.05</v>
      </c>
      <c r="N3398" s="475">
        <f t="shared" si="170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68"/>
        <v>-226413750804.79938</v>
      </c>
      <c r="J3399" s="455">
        <f t="array" ref="J3399">IFERROR(INDEX('Retirement Calculator'!J:J,MATCH('Isaac 401k'!N3399,'Retirement Calculator'!A:A,0),0),0)</f>
        <v>0</v>
      </c>
      <c r="K3399" s="455">
        <f t="shared" ca="1" si="166"/>
        <v>-943390628.35333085</v>
      </c>
      <c r="L3399" s="455">
        <f t="shared" ca="1" si="167"/>
        <v>-227357141433.15271</v>
      </c>
      <c r="M3399" s="471">
        <f t="shared" si="169"/>
        <v>0.05</v>
      </c>
      <c r="N3399" s="475">
        <f t="shared" si="170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68"/>
        <v>-227357141433.15271</v>
      </c>
      <c r="J3400" s="455">
        <f t="array" ref="J3400">IFERROR(INDEX('Retirement Calculator'!J:J,MATCH('Isaac 401k'!N3400,'Retirement Calculator'!A:A,0),0),0)</f>
        <v>0</v>
      </c>
      <c r="K3400" s="455">
        <f t="shared" ca="1" si="166"/>
        <v>-947321422.63813627</v>
      </c>
      <c r="L3400" s="455">
        <f t="shared" ca="1" si="167"/>
        <v>-228304462855.79083</v>
      </c>
      <c r="M3400" s="471">
        <f t="shared" si="169"/>
        <v>0.05</v>
      </c>
      <c r="N3400" s="475">
        <f t="shared" si="170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68"/>
        <v>-228304462855.79083</v>
      </c>
      <c r="J3401" s="455">
        <f t="array" ref="J3401">IFERROR(INDEX('Retirement Calculator'!J:J,MATCH('Isaac 401k'!N3401,'Retirement Calculator'!A:A,0),0),0)</f>
        <v>0</v>
      </c>
      <c r="K3401" s="455">
        <f t="shared" ca="1" si="166"/>
        <v>-951268595.23246181</v>
      </c>
      <c r="L3401" s="455">
        <f t="shared" ca="1" si="167"/>
        <v>-229255731451.02328</v>
      </c>
      <c r="M3401" s="471">
        <f t="shared" si="169"/>
        <v>0.05</v>
      </c>
      <c r="N3401" s="475">
        <f t="shared" si="170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68"/>
        <v>-229255731451.02328</v>
      </c>
      <c r="J3402" s="455">
        <f t="array" ref="J3402">IFERROR(INDEX('Retirement Calculator'!J:J,MATCH('Isaac 401k'!N3402,'Retirement Calculator'!A:A,0),0),0)</f>
        <v>0</v>
      </c>
      <c r="K3402" s="455">
        <f t="shared" ca="1" si="166"/>
        <v>-955232214.37926364</v>
      </c>
      <c r="L3402" s="455">
        <f t="shared" ca="1" si="167"/>
        <v>-230210963665.40256</v>
      </c>
      <c r="M3402" s="471">
        <f t="shared" si="169"/>
        <v>0.05</v>
      </c>
      <c r="N3402" s="475">
        <f t="shared" si="170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68"/>
        <v>-230210963665.40256</v>
      </c>
      <c r="J3403" s="455">
        <f t="array" ref="J3403">IFERROR(INDEX('Retirement Calculator'!J:J,MATCH('Isaac 401k'!N3403,'Retirement Calculator'!A:A,0),0),0)</f>
        <v>0</v>
      </c>
      <c r="K3403" s="455">
        <f t="shared" ca="1" si="166"/>
        <v>-959212348.60584402</v>
      </c>
      <c r="L3403" s="455">
        <f t="shared" ca="1" si="167"/>
        <v>-231170176014.00839</v>
      </c>
      <c r="M3403" s="471">
        <f t="shared" si="169"/>
        <v>0.05</v>
      </c>
      <c r="N3403" s="475">
        <f t="shared" si="170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68"/>
        <v>-231170176014.00839</v>
      </c>
      <c r="J3404" s="455">
        <f t="array" ref="J3404">IFERROR(INDEX('Retirement Calculator'!J:J,MATCH('Isaac 401k'!N3404,'Retirement Calculator'!A:A,0),0),0)</f>
        <v>0</v>
      </c>
      <c r="K3404" s="455">
        <f t="shared" ca="1" si="166"/>
        <v>-963209066.72503495</v>
      </c>
      <c r="L3404" s="455">
        <f t="shared" ca="1" si="167"/>
        <v>-232133385080.73343</v>
      </c>
      <c r="M3404" s="471">
        <f t="shared" si="169"/>
        <v>0.05</v>
      </c>
      <c r="N3404" s="475">
        <f t="shared" si="170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68"/>
        <v>-232133385080.73343</v>
      </c>
      <c r="J3405" s="455">
        <f t="array" ref="J3405">IFERROR(INDEX('Retirement Calculator'!J:J,MATCH('Isaac 401k'!N3405,'Retirement Calculator'!A:A,0),0),0)</f>
        <v>0</v>
      </c>
      <c r="K3405" s="455">
        <f t="shared" ca="1" si="166"/>
        <v>-967222437.83638942</v>
      </c>
      <c r="L3405" s="455">
        <f t="shared" ca="1" si="167"/>
        <v>-233100607518.56982</v>
      </c>
      <c r="M3405" s="471">
        <f t="shared" si="169"/>
        <v>0.05</v>
      </c>
      <c r="N3405" s="475">
        <f t="shared" si="170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68"/>
        <v>-233100607518.56982</v>
      </c>
      <c r="J3406" s="455">
        <f t="array" ref="J3406">IFERROR(INDEX('Retirement Calculator'!J:J,MATCH('Isaac 401k'!N3406,'Retirement Calculator'!A:A,0),0),0)</f>
        <v>0</v>
      </c>
      <c r="K3406" s="455">
        <f t="shared" ca="1" si="166"/>
        <v>-971252531.32737422</v>
      </c>
      <c r="L3406" s="455">
        <f t="shared" ca="1" si="167"/>
        <v>-234071860049.89719</v>
      </c>
      <c r="M3406" s="471">
        <f t="shared" si="169"/>
        <v>0.05</v>
      </c>
      <c r="N3406" s="475">
        <f t="shared" si="170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68"/>
        <v>-234071860049.89719</v>
      </c>
      <c r="J3407" s="455">
        <f t="array" ref="J3407">IFERROR(INDEX('Retirement Calculator'!J:J,MATCH('Isaac 401k'!N3407,'Retirement Calculator'!A:A,0),0),0)</f>
        <v>0</v>
      </c>
      <c r="K3407" s="455">
        <f t="shared" ca="1" si="166"/>
        <v>-975299416.87457156</v>
      </c>
      <c r="L3407" s="455">
        <f t="shared" ca="1" si="167"/>
        <v>-235047159466.77176</v>
      </c>
      <c r="M3407" s="471">
        <f t="shared" si="169"/>
        <v>0.05</v>
      </c>
      <c r="N3407" s="475">
        <f t="shared" si="170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68"/>
        <v>-235047159466.77176</v>
      </c>
      <c r="J3408" s="455">
        <f t="array" ref="J3408">IFERROR(INDEX('Retirement Calculator'!J:J,MATCH('Isaac 401k'!N3408,'Retirement Calculator'!A:A,0),0),0)</f>
        <v>0</v>
      </c>
      <c r="K3408" s="455">
        <f t="shared" ca="1" si="166"/>
        <v>-979363164.44488227</v>
      </c>
      <c r="L3408" s="455">
        <f t="shared" ca="1" si="167"/>
        <v>-236026522631.21664</v>
      </c>
      <c r="M3408" s="471">
        <f t="shared" si="169"/>
        <v>0.05</v>
      </c>
      <c r="N3408" s="475">
        <f t="shared" si="170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68"/>
        <v>-236026522631.21664</v>
      </c>
      <c r="J3409" s="455">
        <f t="array" ref="J3409">IFERROR(INDEX('Retirement Calculator'!J:J,MATCH('Isaac 401k'!N3409,'Retirement Calculator'!A:A,0),0),0)</f>
        <v>0</v>
      </c>
      <c r="K3409" s="455">
        <f t="shared" ca="1" si="166"/>
        <v>-983443844.296736</v>
      </c>
      <c r="L3409" s="455">
        <f t="shared" ca="1" si="167"/>
        <v>-237009966475.51337</v>
      </c>
      <c r="M3409" s="471">
        <f t="shared" si="169"/>
        <v>0.05</v>
      </c>
      <c r="N3409" s="475">
        <f t="shared" si="170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68"/>
        <v>-237009966475.51337</v>
      </c>
      <c r="J3410" s="455">
        <f t="array" ref="J3410">IFERROR(INDEX('Retirement Calculator'!J:J,MATCH('Isaac 401k'!N3410,'Retirement Calculator'!A:A,0),0),0)</f>
        <v>0</v>
      </c>
      <c r="K3410" s="455">
        <f t="shared" ca="1" si="166"/>
        <v>-987541526.98130572</v>
      </c>
      <c r="L3410" s="455">
        <f t="shared" ca="1" si="167"/>
        <v>-237997508002.49466</v>
      </c>
      <c r="M3410" s="471">
        <f t="shared" si="169"/>
        <v>0.05</v>
      </c>
      <c r="N3410" s="475">
        <f t="shared" si="170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68"/>
        <v>-237997508002.49466</v>
      </c>
      <c r="J3411" s="455">
        <f t="array" ref="J3411">IFERROR(INDEX('Retirement Calculator'!J:J,MATCH('Isaac 401k'!N3411,'Retirement Calculator'!A:A,0),0),0)</f>
        <v>0</v>
      </c>
      <c r="K3411" s="455">
        <f t="shared" ca="1" si="166"/>
        <v>-991656283.34372771</v>
      </c>
      <c r="L3411" s="455">
        <f t="shared" ca="1" si="167"/>
        <v>-238989164285.83838</v>
      </c>
      <c r="M3411" s="471">
        <f t="shared" si="169"/>
        <v>0.05</v>
      </c>
      <c r="N3411" s="475">
        <f t="shared" si="170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68"/>
        <v>-238989164285.83838</v>
      </c>
      <c r="J3412" s="455">
        <f t="array" ref="J3412">IFERROR(INDEX('Retirement Calculator'!J:J,MATCH('Isaac 401k'!N3412,'Retirement Calculator'!A:A,0),0),0)</f>
        <v>0</v>
      </c>
      <c r="K3412" s="455">
        <f t="shared" ca="1" si="166"/>
        <v>-995788184.52432668</v>
      </c>
      <c r="L3412" s="455">
        <f t="shared" ca="1" si="167"/>
        <v>-239984952470.3627</v>
      </c>
      <c r="M3412" s="471">
        <f t="shared" si="169"/>
        <v>0.05</v>
      </c>
      <c r="N3412" s="475">
        <f t="shared" si="170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68"/>
        <v>-239984952470.3627</v>
      </c>
      <c r="J3413" s="455">
        <f t="array" ref="J3413">IFERROR(INDEX('Retirement Calculator'!J:J,MATCH('Isaac 401k'!N3413,'Retirement Calculator'!A:A,0),0),0)</f>
        <v>0</v>
      </c>
      <c r="K3413" s="455">
        <f t="shared" ca="1" si="166"/>
        <v>-999937301.95984459</v>
      </c>
      <c r="L3413" s="455">
        <f t="shared" ca="1" si="167"/>
        <v>-240984889772.32254</v>
      </c>
      <c r="M3413" s="471">
        <f t="shared" si="169"/>
        <v>0.05</v>
      </c>
      <c r="N3413" s="475">
        <f t="shared" si="170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68"/>
        <v>-240984889772.32254</v>
      </c>
      <c r="J3414" s="455">
        <f t="array" ref="J3414">IFERROR(INDEX('Retirement Calculator'!J:J,MATCH('Isaac 401k'!N3414,'Retirement Calculator'!A:A,0),0),0)</f>
        <v>0</v>
      </c>
      <c r="K3414" s="455">
        <f t="shared" ca="1" si="166"/>
        <v>-1004103707.3846774</v>
      </c>
      <c r="L3414" s="455">
        <f t="shared" ca="1" si="167"/>
        <v>-241988993479.70721</v>
      </c>
      <c r="M3414" s="471">
        <f t="shared" si="169"/>
        <v>0.05</v>
      </c>
      <c r="N3414" s="475">
        <f t="shared" si="170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68"/>
        <v>-241988993479.70721</v>
      </c>
      <c r="J3415" s="455">
        <f t="array" ref="J3415">IFERROR(INDEX('Retirement Calculator'!J:J,MATCH('Isaac 401k'!N3415,'Retirement Calculator'!A:A,0),0),0)</f>
        <v>0</v>
      </c>
      <c r="K3415" s="455">
        <f t="shared" ca="1" si="166"/>
        <v>-1008287472.8321134</v>
      </c>
      <c r="L3415" s="455">
        <f t="shared" ca="1" si="167"/>
        <v>-242997280952.53934</v>
      </c>
      <c r="M3415" s="471">
        <f t="shared" si="169"/>
        <v>0.05</v>
      </c>
      <c r="N3415" s="475">
        <f t="shared" si="170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68"/>
        <v>-242997280952.53934</v>
      </c>
      <c r="J3416" s="455">
        <f t="array" ref="J3416">IFERROR(INDEX('Retirement Calculator'!J:J,MATCH('Isaac 401k'!N3416,'Retirement Calculator'!A:A,0),0),0)</f>
        <v>0</v>
      </c>
      <c r="K3416" s="455">
        <f t="shared" ca="1" si="166"/>
        <v>-1012488670.6355805</v>
      </c>
      <c r="L3416" s="455">
        <f t="shared" ca="1" si="167"/>
        <v>-244009769623.17493</v>
      </c>
      <c r="M3416" s="471">
        <f t="shared" si="169"/>
        <v>0.05</v>
      </c>
      <c r="N3416" s="475">
        <f t="shared" si="170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68"/>
        <v>-244009769623.17493</v>
      </c>
      <c r="J3417" s="455">
        <f t="array" ref="J3417">IFERROR(INDEX('Retirement Calculator'!J:J,MATCH('Isaac 401k'!N3417,'Retirement Calculator'!A:A,0),0),0)</f>
        <v>0</v>
      </c>
      <c r="K3417" s="455">
        <f t="shared" ca="1" si="166"/>
        <v>-1016707373.4298955</v>
      </c>
      <c r="L3417" s="455">
        <f t="shared" ca="1" si="167"/>
        <v>-245026476996.60483</v>
      </c>
      <c r="M3417" s="471">
        <f t="shared" si="169"/>
        <v>0.05</v>
      </c>
      <c r="N3417" s="475">
        <f t="shared" si="170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68"/>
        <v>-245026476996.60483</v>
      </c>
      <c r="J3418" s="455">
        <f t="array" ref="J3418">IFERROR(INDEX('Retirement Calculator'!J:J,MATCH('Isaac 401k'!N3418,'Retirement Calculator'!A:A,0),0),0)</f>
        <v>0</v>
      </c>
      <c r="K3418" s="455">
        <f t="shared" ca="1" si="166"/>
        <v>-1020943654.1525202</v>
      </c>
      <c r="L3418" s="455">
        <f t="shared" ca="1" si="167"/>
        <v>-246047420650.75735</v>
      </c>
      <c r="M3418" s="471">
        <f t="shared" si="169"/>
        <v>0.05</v>
      </c>
      <c r="N3418" s="475">
        <f t="shared" si="170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68"/>
        <v>-246047420650.75735</v>
      </c>
      <c r="J3419" s="455">
        <f t="array" ref="J3419">IFERROR(INDEX('Retirement Calculator'!J:J,MATCH('Isaac 401k'!N3419,'Retirement Calculator'!A:A,0),0),0)</f>
        <v>0</v>
      </c>
      <c r="K3419" s="455">
        <f t="shared" ca="1" si="166"/>
        <v>-1025197586.0448223</v>
      </c>
      <c r="L3419" s="455">
        <f t="shared" ca="1" si="167"/>
        <v>-247072618236.80219</v>
      </c>
      <c r="M3419" s="471">
        <f t="shared" si="169"/>
        <v>0.05</v>
      </c>
      <c r="N3419" s="475">
        <f t="shared" si="170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68"/>
        <v>-247072618236.80219</v>
      </c>
      <c r="J3420" s="455">
        <f t="array" ref="J3420">IFERROR(INDEX('Retirement Calculator'!J:J,MATCH('Isaac 401k'!N3420,'Retirement Calculator'!A:A,0),0),0)</f>
        <v>0</v>
      </c>
      <c r="K3420" s="455">
        <f t="shared" ca="1" si="166"/>
        <v>-1029469242.6533424</v>
      </c>
      <c r="L3420" s="455">
        <f t="shared" ca="1" si="167"/>
        <v>-248102087479.45554</v>
      </c>
      <c r="M3420" s="471">
        <f t="shared" si="169"/>
        <v>0.05</v>
      </c>
      <c r="N3420" s="475">
        <f t="shared" si="170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68"/>
        <v>-248102087479.45554</v>
      </c>
      <c r="J3421" s="455">
        <f t="array" ref="J3421">IFERROR(INDEX('Retirement Calculator'!J:J,MATCH('Isaac 401k'!N3421,'Retirement Calculator'!A:A,0),0),0)</f>
        <v>0</v>
      </c>
      <c r="K3421" s="455">
        <f t="shared" ca="1" si="166"/>
        <v>-1033758697.8310648</v>
      </c>
      <c r="L3421" s="455">
        <f t="shared" ca="1" si="167"/>
        <v>-249135846177.28659</v>
      </c>
      <c r="M3421" s="471">
        <f t="shared" si="169"/>
        <v>0.05</v>
      </c>
      <c r="N3421" s="475">
        <f t="shared" si="170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68"/>
        <v>-249135846177.28659</v>
      </c>
      <c r="J3422" s="455">
        <f t="array" ref="J3422">IFERROR(INDEX('Retirement Calculator'!J:J,MATCH('Isaac 401k'!N3422,'Retirement Calculator'!A:A,0),0),0)</f>
        <v>0</v>
      </c>
      <c r="K3422" s="455">
        <f t="shared" ca="1" si="166"/>
        <v>-1038066025.738694</v>
      </c>
      <c r="L3422" s="455">
        <f t="shared" ca="1" si="167"/>
        <v>-250173912203.0253</v>
      </c>
      <c r="M3422" s="471">
        <f t="shared" si="169"/>
        <v>0.05</v>
      </c>
      <c r="N3422" s="475">
        <f t="shared" si="170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68"/>
        <v>-250173912203.0253</v>
      </c>
      <c r="J3423" s="455">
        <f t="array" ref="J3423">IFERROR(INDEX('Retirement Calculator'!J:J,MATCH('Isaac 401k'!N3423,'Retirement Calculator'!A:A,0),0),0)</f>
        <v>0</v>
      </c>
      <c r="K3423" s="455">
        <f t="shared" ca="1" si="166"/>
        <v>-1042391300.8459388</v>
      </c>
      <c r="L3423" s="455">
        <f t="shared" ca="1" si="167"/>
        <v>-251216303503.87125</v>
      </c>
      <c r="M3423" s="471">
        <f t="shared" si="169"/>
        <v>0.05</v>
      </c>
      <c r="N3423" s="475">
        <f t="shared" si="170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68"/>
        <v>-251216303503.87125</v>
      </c>
      <c r="J3424" s="455">
        <f t="array" ref="J3424">IFERROR(INDEX('Retirement Calculator'!J:J,MATCH('Isaac 401k'!N3424,'Retirement Calculator'!A:A,0),0),0)</f>
        <v>0</v>
      </c>
      <c r="K3424" s="455">
        <f t="shared" ca="1" si="166"/>
        <v>-1046734597.9327968</v>
      </c>
      <c r="L3424" s="455">
        <f t="shared" ca="1" si="167"/>
        <v>-252263038101.80405</v>
      </c>
      <c r="M3424" s="471">
        <f t="shared" si="169"/>
        <v>0.05</v>
      </c>
      <c r="N3424" s="475">
        <f t="shared" si="170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68"/>
        <v>-252263038101.80405</v>
      </c>
      <c r="J3425" s="455">
        <f t="array" ref="J3425">IFERROR(INDEX('Retirement Calculator'!J:J,MATCH('Isaac 401k'!N3425,'Retirement Calculator'!A:A,0),0),0)</f>
        <v>0</v>
      </c>
      <c r="K3425" s="455">
        <f t="shared" ca="1" si="166"/>
        <v>-1051095992.0908502</v>
      </c>
      <c r="L3425" s="455">
        <f t="shared" ca="1" si="167"/>
        <v>-253314134093.8949</v>
      </c>
      <c r="M3425" s="471">
        <f t="shared" si="169"/>
        <v>0.05</v>
      </c>
      <c r="N3425" s="475">
        <f t="shared" si="170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68"/>
        <v>-253314134093.8949</v>
      </c>
      <c r="J3426" s="455">
        <f t="array" ref="J3426">IFERROR(INDEX('Retirement Calculator'!J:J,MATCH('Isaac 401k'!N3426,'Retirement Calculator'!A:A,0),0),0)</f>
        <v>0</v>
      </c>
      <c r="K3426" s="455">
        <f t="shared" ca="1" si="166"/>
        <v>-1055475558.724562</v>
      </c>
      <c r="L3426" s="455">
        <f t="shared" ca="1" si="167"/>
        <v>-254369609652.61945</v>
      </c>
      <c r="M3426" s="471">
        <f t="shared" si="169"/>
        <v>0.05</v>
      </c>
      <c r="N3426" s="475">
        <f t="shared" si="170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68"/>
        <v>-254369609652.61945</v>
      </c>
      <c r="J3427" s="455">
        <f t="array" ref="J3427">IFERROR(INDEX('Retirement Calculator'!J:J,MATCH('Isaac 401k'!N3427,'Retirement Calculator'!A:A,0),0),0)</f>
        <v>0</v>
      </c>
      <c r="K3427" s="455">
        <f t="shared" ca="1" si="166"/>
        <v>-1059873373.552581</v>
      </c>
      <c r="L3427" s="455">
        <f t="shared" ca="1" si="167"/>
        <v>-255429483026.17203</v>
      </c>
      <c r="M3427" s="471">
        <f t="shared" si="169"/>
        <v>0.05</v>
      </c>
      <c r="N3427" s="475">
        <f t="shared" si="170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68"/>
        <v>-255429483026.17203</v>
      </c>
      <c r="J3428" s="455">
        <f t="array" ref="J3428">IFERROR(INDEX('Retirement Calculator'!J:J,MATCH('Isaac 401k'!N3428,'Retirement Calculator'!A:A,0),0),0)</f>
        <v>0</v>
      </c>
      <c r="K3428" s="455">
        <f t="shared" ca="1" si="166"/>
        <v>-1064289512.6090499</v>
      </c>
      <c r="L3428" s="455">
        <f t="shared" ca="1" si="167"/>
        <v>-256493772538.78107</v>
      </c>
      <c r="M3428" s="471">
        <f t="shared" si="169"/>
        <v>0.05</v>
      </c>
      <c r="N3428" s="475">
        <f t="shared" si="170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68"/>
        <v>-256493772538.78107</v>
      </c>
      <c r="J3429" s="455">
        <f t="array" ref="J3429">IFERROR(INDEX('Retirement Calculator'!J:J,MATCH('Isaac 401k'!N3429,'Retirement Calculator'!A:A,0),0),0)</f>
        <v>0</v>
      </c>
      <c r="K3429" s="455">
        <f t="shared" ca="1" si="166"/>
        <v>-1068724052.244921</v>
      </c>
      <c r="L3429" s="455">
        <f t="shared" ca="1" si="167"/>
        <v>-257562496591.026</v>
      </c>
      <c r="M3429" s="471">
        <f t="shared" si="169"/>
        <v>0.05</v>
      </c>
      <c r="N3429" s="475">
        <f t="shared" si="170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68"/>
        <v>-257562496591.026</v>
      </c>
      <c r="J3430" s="455">
        <f t="array" ref="J3430">IFERROR(INDEX('Retirement Calculator'!J:J,MATCH('Isaac 401k'!N3430,'Retirement Calculator'!A:A,0),0),0)</f>
        <v>0</v>
      </c>
      <c r="K3430" s="455">
        <f t="shared" ca="1" si="166"/>
        <v>-1073177069.129275</v>
      </c>
      <c r="L3430" s="455">
        <f t="shared" ca="1" si="167"/>
        <v>-258635673660.15527</v>
      </c>
      <c r="M3430" s="471">
        <f t="shared" si="169"/>
        <v>0.05</v>
      </c>
      <c r="N3430" s="475">
        <f t="shared" si="170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68"/>
        <v>-258635673660.15527</v>
      </c>
      <c r="J3431" s="455">
        <f t="array" ref="J3431">IFERROR(INDEX('Retirement Calculator'!J:J,MATCH('Isaac 401k'!N3431,'Retirement Calculator'!A:A,0),0),0)</f>
        <v>0</v>
      </c>
      <c r="K3431" s="455">
        <f t="shared" ca="1" si="166"/>
        <v>-1077648640.2506471</v>
      </c>
      <c r="L3431" s="455">
        <f t="shared" ca="1" si="167"/>
        <v>-259713322300.40591</v>
      </c>
      <c r="M3431" s="471">
        <f t="shared" si="169"/>
        <v>0.05</v>
      </c>
      <c r="N3431" s="475">
        <f t="shared" si="170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68"/>
        <v>-259713322300.40591</v>
      </c>
      <c r="J3432" s="455">
        <f t="array" ref="J3432">IFERROR(INDEX('Retirement Calculator'!J:J,MATCH('Isaac 401k'!N3432,'Retirement Calculator'!A:A,0),0),0)</f>
        <v>0</v>
      </c>
      <c r="K3432" s="455">
        <f t="shared" ca="1" si="166"/>
        <v>-1082138842.9183578</v>
      </c>
      <c r="L3432" s="455">
        <f t="shared" ca="1" si="167"/>
        <v>-260795461143.32428</v>
      </c>
      <c r="M3432" s="471">
        <f t="shared" si="169"/>
        <v>0.05</v>
      </c>
      <c r="N3432" s="475">
        <f t="shared" si="170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68"/>
        <v>-260795461143.32428</v>
      </c>
      <c r="J3433" s="455">
        <f t="array" ref="J3433">IFERROR(INDEX('Retirement Calculator'!J:J,MATCH('Isaac 401k'!N3433,'Retirement Calculator'!A:A,0),0),0)</f>
        <v>0</v>
      </c>
      <c r="K3433" s="455">
        <f t="shared" ca="1" si="166"/>
        <v>-1086647754.7638512</v>
      </c>
      <c r="L3433" s="455">
        <f t="shared" ca="1" si="167"/>
        <v>-261882108898.08813</v>
      </c>
      <c r="M3433" s="471">
        <f t="shared" si="169"/>
        <v>0.05</v>
      </c>
      <c r="N3433" s="475">
        <f t="shared" si="170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68"/>
        <v>-261882108898.08813</v>
      </c>
      <c r="J3434" s="455">
        <f t="array" ref="J3434">IFERROR(INDEX('Retirement Calculator'!J:J,MATCH('Isaac 401k'!N3434,'Retirement Calculator'!A:A,0),0),0)</f>
        <v>0</v>
      </c>
      <c r="K3434" s="455">
        <f t="shared" ca="1" si="166"/>
        <v>-1091175453.742034</v>
      </c>
      <c r="L3434" s="455">
        <f t="shared" ca="1" si="167"/>
        <v>-262973284351.83017</v>
      </c>
      <c r="M3434" s="471">
        <f t="shared" si="169"/>
        <v>0.05</v>
      </c>
      <c r="N3434" s="475">
        <f t="shared" si="170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68"/>
        <v>-262973284351.83017</v>
      </c>
      <c r="J3435" s="455">
        <f t="array" ref="J3435">IFERROR(INDEX('Retirement Calculator'!J:J,MATCH('Isaac 401k'!N3435,'Retirement Calculator'!A:A,0),0),0)</f>
        <v>0</v>
      </c>
      <c r="K3435" s="455">
        <f t="shared" ca="1" si="166"/>
        <v>-1095722018.1326256</v>
      </c>
      <c r="L3435" s="455">
        <f t="shared" ca="1" si="167"/>
        <v>-264069006369.9628</v>
      </c>
      <c r="M3435" s="471">
        <f t="shared" si="169"/>
        <v>0.05</v>
      </c>
      <c r="N3435" s="475">
        <f t="shared" si="170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68"/>
        <v>-264069006369.9628</v>
      </c>
      <c r="J3436" s="455">
        <f t="array" ref="J3436">IFERROR(INDEX('Retirement Calculator'!J:J,MATCH('Isaac 401k'!N3436,'Retirement Calculator'!A:A,0),0),0)</f>
        <v>0</v>
      </c>
      <c r="K3436" s="455">
        <f t="shared" ca="1" si="166"/>
        <v>-1100287526.5415115</v>
      </c>
      <c r="L3436" s="455">
        <f t="shared" ca="1" si="167"/>
        <v>-265169293896.5043</v>
      </c>
      <c r="M3436" s="471">
        <f t="shared" si="169"/>
        <v>0.05</v>
      </c>
      <c r="N3436" s="475">
        <f t="shared" si="170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68"/>
        <v>-265169293896.5043</v>
      </c>
      <c r="J3437" s="455">
        <f t="array" ref="J3437">IFERROR(INDEX('Retirement Calculator'!J:J,MATCH('Isaac 401k'!N3437,'Retirement Calculator'!A:A,0),0),0)</f>
        <v>0</v>
      </c>
      <c r="K3437" s="455">
        <f t="shared" ca="1" si="166"/>
        <v>-1104872057.9021013</v>
      </c>
      <c r="L3437" s="455">
        <f t="shared" ca="1" si="167"/>
        <v>-266274165954.4064</v>
      </c>
      <c r="M3437" s="471">
        <f t="shared" si="169"/>
        <v>0.05</v>
      </c>
      <c r="N3437" s="475">
        <f t="shared" si="170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68"/>
        <v>-266274165954.4064</v>
      </c>
      <c r="J3438" s="455">
        <f t="array" ref="J3438">IFERROR(INDEX('Retirement Calculator'!J:J,MATCH('Isaac 401k'!N3438,'Retirement Calculator'!A:A,0),0),0)</f>
        <v>0</v>
      </c>
      <c r="K3438" s="455">
        <f t="shared" ca="1" si="166"/>
        <v>-1109475691.4766934</v>
      </c>
      <c r="L3438" s="455">
        <f t="shared" ca="1" si="167"/>
        <v>-267383641645.88309</v>
      </c>
      <c r="M3438" s="471">
        <f t="shared" si="169"/>
        <v>0.05</v>
      </c>
      <c r="N3438" s="475">
        <f t="shared" si="170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68"/>
        <v>-267383641645.88309</v>
      </c>
      <c r="J3439" s="455">
        <f t="array" ref="J3439">IFERROR(INDEX('Retirement Calculator'!J:J,MATCH('Isaac 401k'!N3439,'Retirement Calculator'!A:A,0),0),0)</f>
        <v>0</v>
      </c>
      <c r="K3439" s="455">
        <f t="shared" ca="1" si="166"/>
        <v>-1114098506.857846</v>
      </c>
      <c r="L3439" s="455">
        <f t="shared" ca="1" si="167"/>
        <v>-268497740152.74094</v>
      </c>
      <c r="M3439" s="471">
        <f t="shared" si="169"/>
        <v>0.05</v>
      </c>
      <c r="N3439" s="475">
        <f t="shared" si="170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68"/>
        <v>-268497740152.74094</v>
      </c>
      <c r="J3440" s="455">
        <f t="array" ref="J3440">IFERROR(INDEX('Retirement Calculator'!J:J,MATCH('Isaac 401k'!N3440,'Retirement Calculator'!A:A,0),0),0)</f>
        <v>0</v>
      </c>
      <c r="K3440" s="455">
        <f t="shared" ca="1" si="166"/>
        <v>-1118740583.969754</v>
      </c>
      <c r="L3440" s="455">
        <f t="shared" ca="1" si="167"/>
        <v>-269616480736.71069</v>
      </c>
      <c r="M3440" s="471">
        <f t="shared" si="169"/>
        <v>0.05</v>
      </c>
      <c r="N3440" s="475">
        <f t="shared" si="170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68"/>
        <v>-269616480736.71069</v>
      </c>
      <c r="J3441" s="455">
        <f t="array" ref="J3441">IFERROR(INDEX('Retirement Calculator'!J:J,MATCH('Isaac 401k'!N3441,'Retirement Calculator'!A:A,0),0),0)</f>
        <v>0</v>
      </c>
      <c r="K3441" s="455">
        <f t="shared" ca="1" si="166"/>
        <v>-1123402003.0696278</v>
      </c>
      <c r="L3441" s="455">
        <f t="shared" ca="1" si="167"/>
        <v>-270739882739.78033</v>
      </c>
      <c r="M3441" s="471">
        <f t="shared" si="169"/>
        <v>0.05</v>
      </c>
      <c r="N3441" s="475">
        <f t="shared" si="170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68"/>
        <v>-270739882739.78033</v>
      </c>
      <c r="J3442" s="455">
        <f t="array" ref="J3442">IFERROR(INDEX('Retirement Calculator'!J:J,MATCH('Isaac 401k'!N3442,'Retirement Calculator'!A:A,0),0),0)</f>
        <v>0</v>
      </c>
      <c r="K3442" s="455">
        <f t="shared" ca="1" si="166"/>
        <v>-1128082844.7490847</v>
      </c>
      <c r="L3442" s="455">
        <f t="shared" ca="1" si="167"/>
        <v>-271867965584.52942</v>
      </c>
      <c r="M3442" s="471">
        <f t="shared" si="169"/>
        <v>0.05</v>
      </c>
      <c r="N3442" s="475">
        <f t="shared" si="170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68"/>
        <v>-271867965584.52942</v>
      </c>
      <c r="J3443" s="455">
        <f t="array" ref="J3443">IFERROR(INDEX('Retirement Calculator'!J:J,MATCH('Isaac 401k'!N3443,'Retirement Calculator'!A:A,0),0),0)</f>
        <v>0</v>
      </c>
      <c r="K3443" s="455">
        <f t="shared" ca="1" si="166"/>
        <v>-1132783189.9355392</v>
      </c>
      <c r="L3443" s="455">
        <f t="shared" ca="1" si="167"/>
        <v>-273000748774.46497</v>
      </c>
      <c r="M3443" s="471">
        <f t="shared" si="169"/>
        <v>0.05</v>
      </c>
      <c r="N3443" s="475">
        <f t="shared" si="170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68"/>
        <v>-273000748774.46497</v>
      </c>
      <c r="J3444" s="455">
        <f t="array" ref="J3444">IFERROR(INDEX('Retirement Calculator'!J:J,MATCH('Isaac 401k'!N3444,'Retirement Calculator'!A:A,0),0),0)</f>
        <v>0</v>
      </c>
      <c r="K3444" s="455">
        <f t="shared" ca="1" si="166"/>
        <v>-1137503119.893604</v>
      </c>
      <c r="L3444" s="455">
        <f t="shared" ca="1" si="167"/>
        <v>-274138251894.35858</v>
      </c>
      <c r="M3444" s="471">
        <f t="shared" si="169"/>
        <v>0.05</v>
      </c>
      <c r="N3444" s="475">
        <f t="shared" si="170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68"/>
        <v>-274138251894.35858</v>
      </c>
      <c r="J3445" s="455">
        <f t="array" ref="J3445">IFERROR(INDEX('Retirement Calculator'!J:J,MATCH('Isaac 401k'!N3445,'Retirement Calculator'!A:A,0),0),0)</f>
        <v>0</v>
      </c>
      <c r="K3445" s="455">
        <f t="shared" ca="1" si="166"/>
        <v>-1142242716.2264941</v>
      </c>
      <c r="L3445" s="455">
        <f t="shared" ca="1" si="167"/>
        <v>-275280494610.58508</v>
      </c>
      <c r="M3445" s="471">
        <f t="shared" si="169"/>
        <v>0.05</v>
      </c>
      <c r="N3445" s="475">
        <f t="shared" si="170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68"/>
        <v>-275280494610.58508</v>
      </c>
      <c r="J3446" s="455">
        <f t="array" ref="J3446">IFERROR(INDEX('Retirement Calculator'!J:J,MATCH('Isaac 401k'!N3446,'Retirement Calculator'!A:A,0),0),0)</f>
        <v>0</v>
      </c>
      <c r="K3446" s="455">
        <f t="shared" ca="1" si="166"/>
        <v>-1147002060.8774378</v>
      </c>
      <c r="L3446" s="455">
        <f t="shared" ca="1" si="167"/>
        <v>-276427496671.46252</v>
      </c>
      <c r="M3446" s="471">
        <f t="shared" si="169"/>
        <v>0.05</v>
      </c>
      <c r="N3446" s="475">
        <f t="shared" si="170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68"/>
        <v>-276427496671.46252</v>
      </c>
      <c r="J3447" s="455">
        <f t="array" ref="J3447">IFERROR(INDEX('Retirement Calculator'!J:J,MATCH('Isaac 401k'!N3447,'Retirement Calculator'!A:A,0),0),0)</f>
        <v>0</v>
      </c>
      <c r="K3447" s="455">
        <f t="shared" ca="1" si="166"/>
        <v>-1151781236.1310937</v>
      </c>
      <c r="L3447" s="455">
        <f t="shared" ca="1" si="167"/>
        <v>-277579277907.59363</v>
      </c>
      <c r="M3447" s="471">
        <f t="shared" si="169"/>
        <v>0.05</v>
      </c>
      <c r="N3447" s="475">
        <f t="shared" si="170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68"/>
        <v>-277579277907.59363</v>
      </c>
      <c r="J3448" s="455">
        <f t="array" ref="J3448">IFERROR(INDEX('Retirement Calculator'!J:J,MATCH('Isaac 401k'!N3448,'Retirement Calculator'!A:A,0),0),0)</f>
        <v>0</v>
      </c>
      <c r="K3448" s="455">
        <f t="shared" ca="1" si="166"/>
        <v>-1156580324.6149735</v>
      </c>
      <c r="L3448" s="455">
        <f t="shared" ca="1" si="167"/>
        <v>-278735858232.20862</v>
      </c>
      <c r="M3448" s="471">
        <f t="shared" si="169"/>
        <v>0.05</v>
      </c>
      <c r="N3448" s="475">
        <f t="shared" si="170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68"/>
        <v>-278735858232.20862</v>
      </c>
      <c r="J3449" s="455">
        <f t="array" ref="J3449">IFERROR(INDEX('Retirement Calculator'!J:J,MATCH('Isaac 401k'!N3449,'Retirement Calculator'!A:A,0),0),0)</f>
        <v>0</v>
      </c>
      <c r="K3449" s="455">
        <f t="shared" ca="1" si="166"/>
        <v>-1161399409.3008692</v>
      </c>
      <c r="L3449" s="455">
        <f t="shared" ca="1" si="167"/>
        <v>-279897257641.50946</v>
      </c>
      <c r="M3449" s="471">
        <f t="shared" si="169"/>
        <v>0.05</v>
      </c>
      <c r="N3449" s="475">
        <f t="shared" si="170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68"/>
        <v>-279897257641.50946</v>
      </c>
      <c r="J3450" s="455">
        <f t="array" ref="J3450">IFERROR(INDEX('Retirement Calculator'!J:J,MATCH('Isaac 401k'!N3450,'Retirement Calculator'!A:A,0),0),0)</f>
        <v>0</v>
      </c>
      <c r="K3450" s="455">
        <f t="shared" ca="1" si="166"/>
        <v>-1166238573.5062895</v>
      </c>
      <c r="L3450" s="455">
        <f t="shared" ca="1" si="167"/>
        <v>-281063496215.01575</v>
      </c>
      <c r="M3450" s="471">
        <f t="shared" si="169"/>
        <v>0.05</v>
      </c>
      <c r="N3450" s="475">
        <f t="shared" si="170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68"/>
        <v>-281063496215.01575</v>
      </c>
      <c r="J3451" s="455">
        <f t="array" ref="J3451">IFERROR(INDEX('Retirement Calculator'!J:J,MATCH('Isaac 401k'!N3451,'Retirement Calculator'!A:A,0),0),0)</f>
        <v>0</v>
      </c>
      <c r="K3451" s="455">
        <f t="shared" ca="1" si="166"/>
        <v>-1171097900.8958988</v>
      </c>
      <c r="L3451" s="455">
        <f t="shared" ca="1" si="167"/>
        <v>-282234594115.91162</v>
      </c>
      <c r="M3451" s="471">
        <f t="shared" si="169"/>
        <v>0.05</v>
      </c>
      <c r="N3451" s="475">
        <f t="shared" si="170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68"/>
        <v>-282234594115.91162</v>
      </c>
      <c r="J3452" s="455">
        <f t="array" ref="J3452">IFERROR(INDEX('Retirement Calculator'!J:J,MATCH('Isaac 401k'!N3452,'Retirement Calculator'!A:A,0),0),0)</f>
        <v>0</v>
      </c>
      <c r="K3452" s="455">
        <f t="shared" ca="1" si="166"/>
        <v>-1175977475.482965</v>
      </c>
      <c r="L3452" s="455">
        <f t="shared" ca="1" si="167"/>
        <v>-283410571591.39459</v>
      </c>
      <c r="M3452" s="471">
        <f t="shared" si="169"/>
        <v>0.05</v>
      </c>
      <c r="N3452" s="475">
        <f t="shared" si="170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68"/>
        <v>-283410571591.39459</v>
      </c>
      <c r="J3453" s="455">
        <f t="array" ref="J3453">IFERROR(INDEX('Retirement Calculator'!J:J,MATCH('Isaac 401k'!N3453,'Retirement Calculator'!A:A,0),0),0)</f>
        <v>0</v>
      </c>
      <c r="K3453" s="455">
        <f t="shared" ca="1" si="166"/>
        <v>-1180877381.6308107</v>
      </c>
      <c r="L3453" s="455">
        <f t="shared" ca="1" si="167"/>
        <v>-284591448973.02539</v>
      </c>
      <c r="M3453" s="471">
        <f t="shared" si="169"/>
        <v>0.05</v>
      </c>
      <c r="N3453" s="475">
        <f t="shared" si="170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68"/>
        <v>-284591448973.02539</v>
      </c>
      <c r="J3454" s="455">
        <f t="array" ref="J3454">IFERROR(INDEX('Retirement Calculator'!J:J,MATCH('Isaac 401k'!N3454,'Retirement Calculator'!A:A,0),0),0)</f>
        <v>0</v>
      </c>
      <c r="K3454" s="455">
        <f t="shared" ca="1" si="166"/>
        <v>-1185797704.0542724</v>
      </c>
      <c r="L3454" s="455">
        <f t="shared" ca="1" si="167"/>
        <v>-285777246677.07965</v>
      </c>
      <c r="M3454" s="471">
        <f t="shared" si="169"/>
        <v>0.05</v>
      </c>
      <c r="N3454" s="475">
        <f t="shared" si="170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68"/>
        <v>-285777246677.07965</v>
      </c>
      <c r="J3455" s="455">
        <f t="array" ref="J3455">IFERROR(INDEX('Retirement Calculator'!J:J,MATCH('Isaac 401k'!N3455,'Retirement Calculator'!A:A,0),0),0)</f>
        <v>0</v>
      </c>
      <c r="K3455" s="455">
        <f t="shared" ca="1" si="166"/>
        <v>-1190738527.8211651</v>
      </c>
      <c r="L3455" s="455">
        <f t="shared" ca="1" si="167"/>
        <v>-286967985204.90082</v>
      </c>
      <c r="M3455" s="471">
        <f t="shared" si="169"/>
        <v>0.05</v>
      </c>
      <c r="N3455" s="475">
        <f t="shared" si="170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68"/>
        <v>-286967985204.90082</v>
      </c>
      <c r="J3456" s="455">
        <f t="array" ref="J3456">IFERROR(INDEX('Retirement Calculator'!J:J,MATCH('Isaac 401k'!N3456,'Retirement Calculator'!A:A,0),0),0)</f>
        <v>0</v>
      </c>
      <c r="K3456" s="455">
        <f t="shared" ca="1" si="166"/>
        <v>-1195699938.3537533</v>
      </c>
      <c r="L3456" s="455">
        <f t="shared" ca="1" si="167"/>
        <v>-288163685143.25458</v>
      </c>
      <c r="M3456" s="471">
        <f t="shared" si="169"/>
        <v>0.05</v>
      </c>
      <c r="N3456" s="475">
        <f t="shared" si="170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68"/>
        <v>-288163685143.25458</v>
      </c>
      <c r="J3457" s="455">
        <f t="array" ref="J3457">IFERROR(INDEX('Retirement Calculator'!J:J,MATCH('Isaac 401k'!N3457,'Retirement Calculator'!A:A,0),0),0)</f>
        <v>0</v>
      </c>
      <c r="K3457" s="455">
        <f t="shared" ca="1" si="166"/>
        <v>-1200682021.4302273</v>
      </c>
      <c r="L3457" s="455">
        <f t="shared" ca="1" si="167"/>
        <v>-289364367164.68481</v>
      </c>
      <c r="M3457" s="471">
        <f t="shared" si="169"/>
        <v>0.05</v>
      </c>
      <c r="N3457" s="475">
        <f t="shared" si="170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68"/>
        <v>-289364367164.68481</v>
      </c>
      <c r="J3458" s="455">
        <f t="array" ref="J3458">IFERROR(INDEX('Retirement Calculator'!J:J,MATCH('Isaac 401k'!N3458,'Retirement Calculator'!A:A,0),0),0)</f>
        <v>0</v>
      </c>
      <c r="K3458" s="455">
        <f t="shared" ca="1" si="166"/>
        <v>-1205684863.1861868</v>
      </c>
      <c r="L3458" s="455">
        <f t="shared" ca="1" si="167"/>
        <v>-290570052027.87097</v>
      </c>
      <c r="M3458" s="471">
        <f t="shared" si="169"/>
        <v>0.05</v>
      </c>
      <c r="N3458" s="475">
        <f t="shared" si="170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68"/>
        <v>-290570052027.87097</v>
      </c>
      <c r="J3459" s="455">
        <f t="array" ref="J3459">IFERROR(INDEX('Retirement Calculator'!J:J,MATCH('Isaac 401k'!N3459,'Retirement Calculator'!A:A,0),0),0)</f>
        <v>0</v>
      </c>
      <c r="K3459" s="455">
        <f t="shared" ca="1" si="166"/>
        <v>-1210708550.1161289</v>
      </c>
      <c r="L3459" s="455">
        <f t="shared" ca="1" si="167"/>
        <v>-291780760577.98712</v>
      </c>
      <c r="M3459" s="471">
        <f t="shared" si="169"/>
        <v>0.05</v>
      </c>
      <c r="N3459" s="475">
        <f t="shared" si="170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68"/>
        <v>-291780760577.98712</v>
      </c>
      <c r="J3460" s="455">
        <f t="array" ref="J3460">IFERROR(INDEX('Retirement Calculator'!J:J,MATCH('Isaac 401k'!N3460,'Retirement Calculator'!A:A,0),0),0)</f>
        <v>0</v>
      </c>
      <c r="K3460" s="455">
        <f t="shared" ca="1" si="166"/>
        <v>-1215753169.0749464</v>
      </c>
      <c r="L3460" s="455">
        <f t="shared" ca="1" si="167"/>
        <v>-292996513747.06207</v>
      </c>
      <c r="M3460" s="471">
        <f t="shared" si="169"/>
        <v>0.05</v>
      </c>
      <c r="N3460" s="475">
        <f t="shared" si="170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68"/>
        <v>-292996513747.06207</v>
      </c>
      <c r="J3461" s="455">
        <f t="array" ref="J3461">IFERROR(INDEX('Retirement Calculator'!J:J,MATCH('Isaac 401k'!N3461,'Retirement Calculator'!A:A,0),0),0)</f>
        <v>0</v>
      </c>
      <c r="K3461" s="455">
        <f t="shared" ca="1" si="166"/>
        <v>-1220818807.2794254</v>
      </c>
      <c r="L3461" s="455">
        <f t="shared" ca="1" si="167"/>
        <v>-294217332554.34149</v>
      </c>
      <c r="M3461" s="471">
        <f t="shared" si="169"/>
        <v>0.05</v>
      </c>
      <c r="N3461" s="475">
        <f t="shared" si="170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68"/>
        <v>-294217332554.34149</v>
      </c>
      <c r="J3462" s="455">
        <f t="array" ref="J3462">IFERROR(INDEX('Retirement Calculator'!J:J,MATCH('Isaac 401k'!N3462,'Retirement Calculator'!A:A,0),0),0)</f>
        <v>0</v>
      </c>
      <c r="K3462" s="455">
        <f t="shared" ca="1" si="166"/>
        <v>-1225905552.3097563</v>
      </c>
      <c r="L3462" s="455">
        <f t="shared" ca="1" si="167"/>
        <v>-295443238106.65125</v>
      </c>
      <c r="M3462" s="471">
        <f t="shared" si="169"/>
        <v>0.05</v>
      </c>
      <c r="N3462" s="475">
        <f t="shared" si="170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68"/>
        <v>-295443238106.65125</v>
      </c>
      <c r="J3463" s="455">
        <f t="array" ref="J3463">IFERROR(INDEX('Retirement Calculator'!J:J,MATCH('Isaac 401k'!N3463,'Retirement Calculator'!A:A,0),0),0)</f>
        <v>0</v>
      </c>
      <c r="K3463" s="455">
        <f t="shared" ca="1" si="166"/>
        <v>-1231013492.1110468</v>
      </c>
      <c r="L3463" s="455">
        <f t="shared" ca="1" si="167"/>
        <v>-296674251598.76227</v>
      </c>
      <c r="M3463" s="471">
        <f t="shared" si="169"/>
        <v>0.05</v>
      </c>
      <c r="N3463" s="475">
        <f t="shared" si="170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68"/>
        <v>-296674251598.76227</v>
      </c>
      <c r="J3464" s="455">
        <f t="array" ref="J3464">IFERROR(INDEX('Retirement Calculator'!J:J,MATCH('Isaac 401k'!N3464,'Retirement Calculator'!A:A,0),0),0)</f>
        <v>0</v>
      </c>
      <c r="K3464" s="455">
        <f t="shared" ca="1" si="166"/>
        <v>-1236142714.9948428</v>
      </c>
      <c r="L3464" s="455">
        <f t="shared" ca="1" si="167"/>
        <v>-297910394313.75714</v>
      </c>
      <c r="M3464" s="471">
        <f t="shared" si="169"/>
        <v>0.05</v>
      </c>
      <c r="N3464" s="475">
        <f t="shared" si="170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68"/>
        <v>-297910394313.75714</v>
      </c>
      <c r="J3465" s="455">
        <f t="array" ref="J3465">IFERROR(INDEX('Retirement Calculator'!J:J,MATCH('Isaac 401k'!N3465,'Retirement Calculator'!A:A,0),0),0)</f>
        <v>0</v>
      </c>
      <c r="K3465" s="455">
        <f t="shared" ca="1" si="166"/>
        <v>-1241293309.6406548</v>
      </c>
      <c r="L3465" s="455">
        <f t="shared" ca="1" si="167"/>
        <v>-299151687623.39777</v>
      </c>
      <c r="M3465" s="471">
        <f t="shared" si="169"/>
        <v>0.05</v>
      </c>
      <c r="N3465" s="475">
        <f t="shared" si="170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68"/>
        <v>-299151687623.39777</v>
      </c>
      <c r="J3466" s="455">
        <f t="array" ref="J3466">IFERROR(INDEX('Retirement Calculator'!J:J,MATCH('Isaac 401k'!N3466,'Retirement Calculator'!A:A,0),0),0)</f>
        <v>0</v>
      </c>
      <c r="K3466" s="455">
        <f t="shared" ca="1" si="166"/>
        <v>-1246465365.0974908</v>
      </c>
      <c r="L3466" s="455">
        <f t="shared" ca="1" si="167"/>
        <v>-300398152988.49524</v>
      </c>
      <c r="M3466" s="471">
        <f t="shared" si="169"/>
        <v>0.05</v>
      </c>
      <c r="N3466" s="475">
        <f t="shared" si="170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68"/>
        <v>-300398152988.49524</v>
      </c>
      <c r="J3467" s="455">
        <f t="array" ref="J3467">IFERROR(INDEX('Retirement Calculator'!J:J,MATCH('Isaac 401k'!N3467,'Retirement Calculator'!A:A,0),0),0)</f>
        <v>0</v>
      </c>
      <c r="K3467" s="455">
        <f t="shared" ca="1" si="166"/>
        <v>-1251658970.7853968</v>
      </c>
      <c r="L3467" s="455">
        <f t="shared" ca="1" si="167"/>
        <v>-301649811959.28064</v>
      </c>
      <c r="M3467" s="471">
        <f t="shared" si="169"/>
        <v>0.05</v>
      </c>
      <c r="N3467" s="475">
        <f t="shared" si="170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68"/>
        <v>-301649811959.28064</v>
      </c>
      <c r="J3468" s="455">
        <f t="array" ref="J3468">IFERROR(INDEX('Retirement Calculator'!J:J,MATCH('Isaac 401k'!N3468,'Retirement Calculator'!A:A,0),0),0)</f>
        <v>0</v>
      </c>
      <c r="K3468" s="455">
        <f t="shared" ca="1" si="166"/>
        <v>-1256874216.4970026</v>
      </c>
      <c r="L3468" s="455">
        <f t="shared" ca="1" si="167"/>
        <v>-302906686175.77765</v>
      </c>
      <c r="M3468" s="471">
        <f t="shared" si="169"/>
        <v>0.05</v>
      </c>
      <c r="N3468" s="475">
        <f t="shared" si="170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68"/>
        <v>-302906686175.77765</v>
      </c>
      <c r="J3469" s="455">
        <f t="array" ref="J3469">IFERROR(INDEX('Retirement Calculator'!J:J,MATCH('Isaac 401k'!N3469,'Retirement Calculator'!A:A,0),0),0)</f>
        <v>0</v>
      </c>
      <c r="K3469" s="455">
        <f t="shared" ca="1" si="166"/>
        <v>-1262111192.3990736</v>
      </c>
      <c r="L3469" s="455">
        <f t="shared" ca="1" si="167"/>
        <v>-304168797368.1767</v>
      </c>
      <c r="M3469" s="471">
        <f t="shared" si="169"/>
        <v>0.05</v>
      </c>
      <c r="N3469" s="475">
        <f t="shared" si="170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68"/>
        <v>-304168797368.1767</v>
      </c>
      <c r="J3470" s="455">
        <f t="array" ref="J3470">IFERROR(INDEX('Retirement Calculator'!J:J,MATCH('Isaac 401k'!N3470,'Retirement Calculator'!A:A,0),0),0)</f>
        <v>0</v>
      </c>
      <c r="K3470" s="455">
        <f t="shared" ca="1" si="166"/>
        <v>-1267369989.0340695</v>
      </c>
      <c r="L3470" s="455">
        <f t="shared" ca="1" si="167"/>
        <v>-305436167357.21075</v>
      </c>
      <c r="M3470" s="471">
        <f t="shared" si="169"/>
        <v>0.05</v>
      </c>
      <c r="N3470" s="475">
        <f t="shared" si="170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68"/>
        <v>-305436167357.21075</v>
      </c>
      <c r="J3471" s="455">
        <f t="array" ref="J3471">IFERROR(INDEX('Retirement Calculator'!J:J,MATCH('Isaac 401k'!N3471,'Retirement Calculator'!A:A,0),0),0)</f>
        <v>0</v>
      </c>
      <c r="K3471" s="455">
        <f t="shared" ca="1" si="166"/>
        <v>-1272650697.3217115</v>
      </c>
      <c r="L3471" s="455">
        <f t="shared" ca="1" si="167"/>
        <v>-306708818054.53247</v>
      </c>
      <c r="M3471" s="471">
        <f t="shared" si="169"/>
        <v>0.05</v>
      </c>
      <c r="N3471" s="475">
        <f t="shared" si="170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68"/>
        <v>-306708818054.53247</v>
      </c>
      <c r="J3472" s="455">
        <f t="array" ref="J3472">IFERROR(INDEX('Retirement Calculator'!J:J,MATCH('Isaac 401k'!N3472,'Retirement Calculator'!A:A,0),0),0)</f>
        <v>0</v>
      </c>
      <c r="K3472" s="455">
        <f t="shared" ca="1" si="166"/>
        <v>-1277953408.5605519</v>
      </c>
      <c r="L3472" s="455">
        <f t="shared" ca="1" si="167"/>
        <v>-307986771463.09302</v>
      </c>
      <c r="M3472" s="471">
        <f t="shared" si="169"/>
        <v>0.05</v>
      </c>
      <c r="N3472" s="475">
        <f t="shared" si="170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68"/>
        <v>-307986771463.09302</v>
      </c>
      <c r="J3473" s="455">
        <f t="array" ref="J3473">IFERROR(INDEX('Retirement Calculator'!J:J,MATCH('Isaac 401k'!N3473,'Retirement Calculator'!A:A,0),0),0)</f>
        <v>0</v>
      </c>
      <c r="K3473" s="455">
        <f t="shared" ca="1" si="166"/>
        <v>-1283278214.4295542</v>
      </c>
      <c r="L3473" s="455">
        <f t="shared" ca="1" si="167"/>
        <v>-309270049677.52258</v>
      </c>
      <c r="M3473" s="471">
        <f t="shared" si="169"/>
        <v>0.05</v>
      </c>
      <c r="N3473" s="475">
        <f t="shared" si="170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68"/>
        <v>-309270049677.52258</v>
      </c>
      <c r="J3474" s="455">
        <f t="array" ref="J3474">IFERROR(INDEX('Retirement Calculator'!J:J,MATCH('Isaac 401k'!N3474,'Retirement Calculator'!A:A,0),0),0)</f>
        <v>0</v>
      </c>
      <c r="K3474" s="455">
        <f t="shared" ca="1" si="166"/>
        <v>-1288625206.9896774</v>
      </c>
      <c r="L3474" s="455">
        <f t="shared" ca="1" si="167"/>
        <v>-310558674884.51227</v>
      </c>
      <c r="M3474" s="471">
        <f t="shared" si="169"/>
        <v>0.05</v>
      </c>
      <c r="N3474" s="475">
        <f t="shared" si="170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68"/>
        <v>-310558674884.51227</v>
      </c>
      <c r="J3475" s="455">
        <f t="array" ref="J3475">IFERROR(INDEX('Retirement Calculator'!J:J,MATCH('Isaac 401k'!N3475,'Retirement Calculator'!A:A,0),0),0)</f>
        <v>0</v>
      </c>
      <c r="K3475" s="455">
        <f t="shared" ca="1" si="166"/>
        <v>-1293994478.6854677</v>
      </c>
      <c r="L3475" s="455">
        <f t="shared" ca="1" si="167"/>
        <v>-311852669363.19775</v>
      </c>
      <c r="M3475" s="471">
        <f t="shared" si="169"/>
        <v>0.05</v>
      </c>
      <c r="N3475" s="475">
        <f t="shared" si="170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68"/>
        <v>-311852669363.19775</v>
      </c>
      <c r="J3476" s="455">
        <f t="array" ref="J3476">IFERROR(INDEX('Retirement Calculator'!J:J,MATCH('Isaac 401k'!N3476,'Retirement Calculator'!A:A,0),0),0)</f>
        <v>0</v>
      </c>
      <c r="K3476" s="455">
        <f t="shared" ca="1" si="166"/>
        <v>-1299386122.3466573</v>
      </c>
      <c r="L3476" s="455">
        <f t="shared" ca="1" si="167"/>
        <v>-313152055485.54443</v>
      </c>
      <c r="M3476" s="471">
        <f t="shared" si="169"/>
        <v>0.05</v>
      </c>
      <c r="N3476" s="475">
        <f t="shared" si="170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68"/>
        <v>-313152055485.54443</v>
      </c>
      <c r="J3477" s="455">
        <f t="array" ref="J3477">IFERROR(INDEX('Retirement Calculator'!J:J,MATCH('Isaac 401k'!N3477,'Retirement Calculator'!A:A,0),0),0)</f>
        <v>0</v>
      </c>
      <c r="K3477" s="455">
        <f t="shared" ca="1" si="166"/>
        <v>-1304800231.1897686</v>
      </c>
      <c r="L3477" s="455">
        <f t="shared" ca="1" si="167"/>
        <v>-314456855716.73419</v>
      </c>
      <c r="M3477" s="471">
        <f t="shared" si="169"/>
        <v>0.05</v>
      </c>
      <c r="N3477" s="475">
        <f t="shared" si="170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68"/>
        <v>-314456855716.73419</v>
      </c>
      <c r="J3478" s="455">
        <f t="array" ref="J3478">IFERROR(INDEX('Retirement Calculator'!J:J,MATCH('Isaac 401k'!N3478,'Retirement Calculator'!A:A,0),0),0)</f>
        <v>0</v>
      </c>
      <c r="K3478" s="455">
        <f t="shared" ca="1" si="166"/>
        <v>-1310236898.8197258</v>
      </c>
      <c r="L3478" s="455">
        <f t="shared" ca="1" si="167"/>
        <v>-315767092615.55389</v>
      </c>
      <c r="M3478" s="471">
        <f t="shared" si="169"/>
        <v>0.05</v>
      </c>
      <c r="N3478" s="475">
        <f t="shared" si="170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68"/>
        <v>-315767092615.55389</v>
      </c>
      <c r="J3479" s="455">
        <f t="array" ref="J3479">IFERROR(INDEX('Retirement Calculator'!J:J,MATCH('Isaac 401k'!N3479,'Retirement Calculator'!A:A,0),0),0)</f>
        <v>0</v>
      </c>
      <c r="K3479" s="455">
        <f t="shared" ca="1" si="166"/>
        <v>-1315696219.2314746</v>
      </c>
      <c r="L3479" s="455">
        <f t="shared" ca="1" si="167"/>
        <v>-317082788834.78534</v>
      </c>
      <c r="M3479" s="471">
        <f t="shared" si="169"/>
        <v>0.05</v>
      </c>
      <c r="N3479" s="475">
        <f t="shared" si="170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68"/>
        <v>-317082788834.78534</v>
      </c>
      <c r="J3480" s="455">
        <f t="array" ref="J3480">IFERROR(INDEX('Retirement Calculator'!J:J,MATCH('Isaac 401k'!N3480,'Retirement Calculator'!A:A,0),0),0)</f>
        <v>0</v>
      </c>
      <c r="K3480" s="455">
        <f t="shared" ca="1" si="166"/>
        <v>-1321178286.8116055</v>
      </c>
      <c r="L3480" s="455">
        <f t="shared" ca="1" si="167"/>
        <v>-318403967121.59692</v>
      </c>
      <c r="M3480" s="471">
        <f t="shared" si="169"/>
        <v>0.05</v>
      </c>
      <c r="N3480" s="475">
        <f t="shared" si="170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68"/>
        <v>-318403967121.59692</v>
      </c>
      <c r="J3481" s="455">
        <f t="array" ref="J3481">IFERROR(INDEX('Retirement Calculator'!J:J,MATCH('Isaac 401k'!N3481,'Retirement Calculator'!A:A,0),0),0)</f>
        <v>0</v>
      </c>
      <c r="K3481" s="455">
        <f t="shared" ca="1" si="166"/>
        <v>-1326683196.3399873</v>
      </c>
      <c r="L3481" s="455">
        <f t="shared" ca="1" si="167"/>
        <v>-319730650317.93689</v>
      </c>
      <c r="M3481" s="471">
        <f t="shared" si="169"/>
        <v>0.05</v>
      </c>
      <c r="N3481" s="475">
        <f t="shared" si="170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68"/>
        <v>-319730650317.93689</v>
      </c>
      <c r="J3482" s="455">
        <f t="array" ref="J3482">IFERROR(INDEX('Retirement Calculator'!J:J,MATCH('Isaac 401k'!N3482,'Retirement Calculator'!A:A,0),0),0)</f>
        <v>0</v>
      </c>
      <c r="K3482" s="455">
        <f t="shared" ca="1" si="166"/>
        <v>-1332211042.9914036</v>
      </c>
      <c r="L3482" s="455">
        <f t="shared" ca="1" si="167"/>
        <v>-321062861360.92828</v>
      </c>
      <c r="M3482" s="471">
        <f t="shared" si="169"/>
        <v>0.05</v>
      </c>
      <c r="N3482" s="475">
        <f t="shared" si="170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68"/>
        <v>-321062861360.92828</v>
      </c>
      <c r="J3483" s="455">
        <f t="array" ref="J3483">IFERROR(INDEX('Retirement Calculator'!J:J,MATCH('Isaac 401k'!N3483,'Retirement Calculator'!A:A,0),0),0)</f>
        <v>0</v>
      </c>
      <c r="K3483" s="455">
        <f t="shared" ca="1" si="166"/>
        <v>-1337761922.3372011</v>
      </c>
      <c r="L3483" s="455">
        <f t="shared" ca="1" si="167"/>
        <v>-322400623283.2655</v>
      </c>
      <c r="M3483" s="471">
        <f t="shared" si="169"/>
        <v>0.05</v>
      </c>
      <c r="N3483" s="475">
        <f t="shared" si="170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68"/>
        <v>-322400623283.2655</v>
      </c>
      <c r="J3484" s="455">
        <f t="array" ref="J3484">IFERROR(INDEX('Retirement Calculator'!J:J,MATCH('Isaac 401k'!N3484,'Retirement Calculator'!A:A,0),0),0)</f>
        <v>0</v>
      </c>
      <c r="K3484" s="455">
        <f t="shared" ca="1" si="166"/>
        <v>-1343335930.3469396</v>
      </c>
      <c r="L3484" s="455">
        <f t="shared" ca="1" si="167"/>
        <v>-323743959213.61243</v>
      </c>
      <c r="M3484" s="471">
        <f t="shared" si="169"/>
        <v>0.05</v>
      </c>
      <c r="N3484" s="475">
        <f t="shared" si="170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68"/>
        <v>-323743959213.61243</v>
      </c>
      <c r="J3485" s="455">
        <f t="array" ref="J3485">IFERROR(INDEX('Retirement Calculator'!J:J,MATCH('Isaac 401k'!N3485,'Retirement Calculator'!A:A,0),0),0)</f>
        <v>0</v>
      </c>
      <c r="K3485" s="455">
        <f t="shared" ca="1" si="166"/>
        <v>-1348933163.3900518</v>
      </c>
      <c r="L3485" s="455">
        <f t="shared" ca="1" si="167"/>
        <v>-325092892377.0025</v>
      </c>
      <c r="M3485" s="471">
        <f t="shared" si="169"/>
        <v>0.05</v>
      </c>
      <c r="N3485" s="475">
        <f t="shared" si="170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68"/>
        <v>-325092892377.0025</v>
      </c>
      <c r="J3486" s="455">
        <f t="array" ref="J3486">IFERROR(INDEX('Retirement Calculator'!J:J,MATCH('Isaac 401k'!N3486,'Retirement Calculator'!A:A,0),0),0)</f>
        <v>0</v>
      </c>
      <c r="K3486" s="455">
        <f t="shared" ca="1" si="166"/>
        <v>-1354553718.2375104</v>
      </c>
      <c r="L3486" s="455">
        <f t="shared" ca="1" si="167"/>
        <v>-326447446095.23999</v>
      </c>
      <c r="M3486" s="471">
        <f t="shared" si="169"/>
        <v>0.05</v>
      </c>
      <c r="N3486" s="475">
        <f t="shared" si="170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68"/>
        <v>-326447446095.23999</v>
      </c>
      <c r="J3487" s="455">
        <f t="array" ref="J3487">IFERROR(INDEX('Retirement Calculator'!J:J,MATCH('Isaac 401k'!N3487,'Retirement Calculator'!A:A,0),0),0)</f>
        <v>0</v>
      </c>
      <c r="K3487" s="455">
        <f t="shared" ca="1" si="166"/>
        <v>-1360197692.0634999</v>
      </c>
      <c r="L3487" s="455">
        <f t="shared" ca="1" si="167"/>
        <v>-327807643787.30347</v>
      </c>
      <c r="M3487" s="471">
        <f t="shared" si="169"/>
        <v>0.05</v>
      </c>
      <c r="N3487" s="475">
        <f t="shared" si="170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68"/>
        <v>-327807643787.30347</v>
      </c>
      <c r="J3488" s="455">
        <f t="array" ref="J3488">IFERROR(INDEX('Retirement Calculator'!J:J,MATCH('Isaac 401k'!N3488,'Retirement Calculator'!A:A,0),0),0)</f>
        <v>0</v>
      </c>
      <c r="K3488" s="455">
        <f t="shared" ca="1" si="166"/>
        <v>-1365865182.4470978</v>
      </c>
      <c r="L3488" s="455">
        <f t="shared" ca="1" si="167"/>
        <v>-329173508969.75055</v>
      </c>
      <c r="M3488" s="471">
        <f t="shared" si="169"/>
        <v>0.05</v>
      </c>
      <c r="N3488" s="475">
        <f t="shared" si="170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68"/>
        <v>-329173508969.75055</v>
      </c>
      <c r="J3489" s="455">
        <f t="array" ref="J3489">IFERROR(INDEX('Retirement Calculator'!J:J,MATCH('Isaac 401k'!N3489,'Retirement Calculator'!A:A,0),0),0)</f>
        <v>0</v>
      </c>
      <c r="K3489" s="455">
        <f t="shared" ca="1" si="166"/>
        <v>-1371556287.3739605</v>
      </c>
      <c r="L3489" s="455">
        <f t="shared" ca="1" si="167"/>
        <v>-330545065257.12451</v>
      </c>
      <c r="M3489" s="471">
        <f t="shared" si="169"/>
        <v>0.05</v>
      </c>
      <c r="N3489" s="475">
        <f t="shared" si="170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68"/>
        <v>-330545065257.12451</v>
      </c>
      <c r="J3490" s="455">
        <f t="array" ref="J3490">IFERROR(INDEX('Retirement Calculator'!J:J,MATCH('Isaac 401k'!N3490,'Retirement Calculator'!A:A,0),0),0)</f>
        <v>0</v>
      </c>
      <c r="K3490" s="455">
        <f t="shared" ca="1" si="166"/>
        <v>-1377271105.2380188</v>
      </c>
      <c r="L3490" s="455">
        <f t="shared" ca="1" si="167"/>
        <v>-331922336362.36255</v>
      </c>
      <c r="M3490" s="471">
        <f t="shared" si="169"/>
        <v>0.05</v>
      </c>
      <c r="N3490" s="475">
        <f t="shared" si="170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68"/>
        <v>-331922336362.36255</v>
      </c>
      <c r="J3491" s="455">
        <f t="array" ref="J3491">IFERROR(INDEX('Retirement Calculator'!J:J,MATCH('Isaac 401k'!N3491,'Retirement Calculator'!A:A,0),0),0)</f>
        <v>0</v>
      </c>
      <c r="K3491" s="455">
        <f t="shared" ca="1" si="166"/>
        <v>-1383009734.8431773</v>
      </c>
      <c r="L3491" s="455">
        <f t="shared" ca="1" si="167"/>
        <v>-333305346097.20575</v>
      </c>
      <c r="M3491" s="471">
        <f t="shared" si="169"/>
        <v>0.05</v>
      </c>
      <c r="N3491" s="475">
        <f t="shared" si="170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68"/>
        <v>-333305346097.20575</v>
      </c>
      <c r="J3492" s="455">
        <f t="array" ref="J3492">IFERROR(INDEX('Retirement Calculator'!J:J,MATCH('Isaac 401k'!N3492,'Retirement Calculator'!A:A,0),0),0)</f>
        <v>0</v>
      </c>
      <c r="K3492" s="455">
        <f t="shared" ca="1" si="166"/>
        <v>-1388772275.4050241</v>
      </c>
      <c r="L3492" s="455">
        <f t="shared" ca="1" si="167"/>
        <v>-334694118372.61078</v>
      </c>
      <c r="M3492" s="471">
        <f t="shared" si="169"/>
        <v>0.05</v>
      </c>
      <c r="N3492" s="475">
        <f t="shared" si="170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68"/>
        <v>-334694118372.61078</v>
      </c>
      <c r="J3493" s="455">
        <f t="array" ref="J3493">IFERROR(INDEX('Retirement Calculator'!J:J,MATCH('Isaac 401k'!N3493,'Retirement Calculator'!A:A,0),0),0)</f>
        <v>0</v>
      </c>
      <c r="K3493" s="455">
        <f t="shared" ca="1" si="166"/>
        <v>-1394558826.5525448</v>
      </c>
      <c r="L3493" s="455">
        <f t="shared" ca="1" si="167"/>
        <v>-336088677199.16333</v>
      </c>
      <c r="M3493" s="471">
        <f t="shared" si="169"/>
        <v>0.05</v>
      </c>
      <c r="N3493" s="475">
        <f t="shared" si="170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68"/>
        <v>-336088677199.16333</v>
      </c>
      <c r="J3494" s="455">
        <f t="array" ref="J3494">IFERROR(INDEX('Retirement Calculator'!J:J,MATCH('Isaac 401k'!N3494,'Retirement Calculator'!A:A,0),0),0)</f>
        <v>0</v>
      </c>
      <c r="K3494" s="455">
        <f t="shared" ca="1" si="166"/>
        <v>-1400369488.3298471</v>
      </c>
      <c r="L3494" s="455">
        <f t="shared" ca="1" si="167"/>
        <v>-337489046687.49316</v>
      </c>
      <c r="M3494" s="471">
        <f t="shared" si="169"/>
        <v>0.05</v>
      </c>
      <c r="N3494" s="475">
        <f t="shared" si="170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68"/>
        <v>-337489046687.49316</v>
      </c>
      <c r="J3495" s="455">
        <f t="array" ref="J3495">IFERROR(INDEX('Retirement Calculator'!J:J,MATCH('Isaac 401k'!N3495,'Retirement Calculator'!A:A,0),0),0)</f>
        <v>0</v>
      </c>
      <c r="K3495" s="455">
        <f t="shared" ca="1" si="166"/>
        <v>-1406204361.1978881</v>
      </c>
      <c r="L3495" s="455">
        <f t="shared" ca="1" si="167"/>
        <v>-338895251048.69104</v>
      </c>
      <c r="M3495" s="471">
        <f t="shared" si="169"/>
        <v>0.05</v>
      </c>
      <c r="N3495" s="475">
        <f t="shared" si="170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68"/>
        <v>-338895251048.69104</v>
      </c>
      <c r="J3496" s="455">
        <f t="array" ref="J3496">IFERROR(INDEX('Retirement Calculator'!J:J,MATCH('Isaac 401k'!N3496,'Retirement Calculator'!A:A,0),0),0)</f>
        <v>0</v>
      </c>
      <c r="K3496" s="455">
        <f t="shared" ca="1" si="166"/>
        <v>-1412063546.0362127</v>
      </c>
      <c r="L3496" s="455">
        <f t="shared" ca="1" si="167"/>
        <v>-340307314594.72723</v>
      </c>
      <c r="M3496" s="471">
        <f t="shared" si="169"/>
        <v>0.05</v>
      </c>
      <c r="N3496" s="475">
        <f t="shared" si="170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68"/>
        <v>-340307314594.72723</v>
      </c>
      <c r="J3497" s="455">
        <f t="array" ref="J3497">IFERROR(INDEX('Retirement Calculator'!J:J,MATCH('Isaac 401k'!N3497,'Retirement Calculator'!A:A,0),0),0)</f>
        <v>0</v>
      </c>
      <c r="K3497" s="455">
        <f t="shared" ca="1" si="166"/>
        <v>-1417947144.1446967</v>
      </c>
      <c r="L3497" s="455">
        <f t="shared" ca="1" si="167"/>
        <v>-341725261738.87195</v>
      </c>
      <c r="M3497" s="471">
        <f t="shared" si="169"/>
        <v>0.05</v>
      </c>
      <c r="N3497" s="475">
        <f t="shared" si="170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68"/>
        <v>-341725261738.87195</v>
      </c>
      <c r="J3498" s="455">
        <f t="array" ref="J3498">IFERROR(INDEX('Retirement Calculator'!J:J,MATCH('Isaac 401k'!N3498,'Retirement Calculator'!A:A,0),0),0)</f>
        <v>0</v>
      </c>
      <c r="K3498" s="455">
        <f t="shared" ca="1" si="166"/>
        <v>-1423855257.2452998</v>
      </c>
      <c r="L3498" s="455">
        <f t="shared" ca="1" si="167"/>
        <v>-343149116996.11725</v>
      </c>
      <c r="M3498" s="471">
        <f t="shared" si="169"/>
        <v>0.05</v>
      </c>
      <c r="N3498" s="475">
        <f t="shared" si="170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68"/>
        <v>-343149116996.11725</v>
      </c>
      <c r="J3499" s="455">
        <f t="array" ref="J3499">IFERROR(INDEX('Retirement Calculator'!J:J,MATCH('Isaac 401k'!N3499,'Retirement Calculator'!A:A,0),0),0)</f>
        <v>0</v>
      </c>
      <c r="K3499" s="455">
        <f t="shared" ca="1" si="166"/>
        <v>-1429787987.4838219</v>
      </c>
      <c r="L3499" s="455">
        <f t="shared" ca="1" si="167"/>
        <v>-344578904983.60107</v>
      </c>
      <c r="M3499" s="471">
        <f t="shared" si="169"/>
        <v>0.05</v>
      </c>
      <c r="N3499" s="475">
        <f t="shared" si="170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68"/>
        <v>-344578904983.60107</v>
      </c>
      <c r="J3500" s="455">
        <f t="array" ref="J3500">IFERROR(INDEX('Retirement Calculator'!J:J,MATCH('Isaac 401k'!N3500,'Retirement Calculator'!A:A,0),0),0)</f>
        <v>0</v>
      </c>
      <c r="K3500" s="455">
        <f t="shared" ca="1" si="166"/>
        <v>-1435745437.4316711</v>
      </c>
      <c r="L3500" s="455">
        <f t="shared" ca="1" si="167"/>
        <v>-346014650421.03271</v>
      </c>
      <c r="M3500" s="471">
        <f t="shared" si="169"/>
        <v>0.05</v>
      </c>
      <c r="N3500" s="475">
        <f t="shared" si="170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68"/>
        <v>-346014650421.03271</v>
      </c>
      <c r="J3501" s="455">
        <f t="array" ref="J3501">IFERROR(INDEX('Retirement Calculator'!J:J,MATCH('Isaac 401k'!N3501,'Retirement Calculator'!A:A,0),0),0)</f>
        <v>0</v>
      </c>
      <c r="K3501" s="455">
        <f t="shared" ca="1" si="166"/>
        <v>-1441727710.0876362</v>
      </c>
      <c r="L3501" s="455">
        <f t="shared" ca="1" si="167"/>
        <v>-347456378131.12036</v>
      </c>
      <c r="M3501" s="471">
        <f t="shared" si="169"/>
        <v>0.05</v>
      </c>
      <c r="N3501" s="475">
        <f t="shared" si="170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68"/>
        <v>-347456378131.12036</v>
      </c>
      <c r="J3502" s="455">
        <f t="array" ref="J3502">IFERROR(INDEX('Retirement Calculator'!J:J,MATCH('Isaac 401k'!N3502,'Retirement Calculator'!A:A,0),0),0)</f>
        <v>0</v>
      </c>
      <c r="K3502" s="455">
        <f t="shared" ca="1" si="166"/>
        <v>-1447734908.8796682</v>
      </c>
      <c r="L3502" s="455">
        <f t="shared" ca="1" si="167"/>
        <v>-348904113040</v>
      </c>
      <c r="M3502" s="471">
        <f t="shared" si="169"/>
        <v>0.05</v>
      </c>
      <c r="N3502" s="475">
        <f t="shared" si="170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68"/>
        <v>-348904113040</v>
      </c>
      <c r="J3503" s="455">
        <f t="array" ref="J3503">IFERROR(INDEX('Retirement Calculator'!J:J,MATCH('Isaac 401k'!N3503,'Retirement Calculator'!A:A,0),0),0)</f>
        <v>0</v>
      </c>
      <c r="K3503" s="455">
        <f t="shared" ca="1" si="166"/>
        <v>-1453767137.6666667</v>
      </c>
      <c r="L3503" s="455">
        <f t="shared" ca="1" si="167"/>
        <v>-350357880177.66669</v>
      </c>
      <c r="M3503" s="471">
        <f t="shared" si="169"/>
        <v>0.05</v>
      </c>
      <c r="N3503" s="475">
        <f t="shared" si="170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68"/>
        <v>-350357880177.66669</v>
      </c>
      <c r="J3504" s="455">
        <f t="array" ref="J3504">IFERROR(INDEX('Retirement Calculator'!J:J,MATCH('Isaac 401k'!N3504,'Retirement Calculator'!A:A,0),0),0)</f>
        <v>0</v>
      </c>
      <c r="K3504" s="455">
        <f t="shared" ca="1" si="166"/>
        <v>-1459824500.7402778</v>
      </c>
      <c r="L3504" s="455">
        <f t="shared" ca="1" si="167"/>
        <v>-351817704678.40698</v>
      </c>
      <c r="M3504" s="471">
        <f t="shared" si="169"/>
        <v>0.05</v>
      </c>
      <c r="N3504" s="475">
        <f t="shared" si="170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68"/>
        <v>-351817704678.40698</v>
      </c>
      <c r="J3505" s="455">
        <f t="array" ref="J3505">IFERROR(INDEX('Retirement Calculator'!J:J,MATCH('Isaac 401k'!N3505,'Retirement Calculator'!A:A,0),0),0)</f>
        <v>0</v>
      </c>
      <c r="K3505" s="455">
        <f t="shared" ca="1" si="166"/>
        <v>-1465907102.8266957</v>
      </c>
      <c r="L3505" s="455">
        <f t="shared" ca="1" si="167"/>
        <v>-353283611781.2337</v>
      </c>
      <c r="M3505" s="471">
        <f t="shared" si="169"/>
        <v>0.05</v>
      </c>
      <c r="N3505" s="475">
        <f t="shared" si="170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68"/>
        <v>-353283611781.2337</v>
      </c>
      <c r="J3506" s="455">
        <f t="array" ref="J3506">IFERROR(INDEX('Retirement Calculator'!J:J,MATCH('Isaac 401k'!N3506,'Retirement Calculator'!A:A,0),0),0)</f>
        <v>0</v>
      </c>
      <c r="K3506" s="455">
        <f t="shared" ca="1" si="166"/>
        <v>-1472015049.0884738</v>
      </c>
      <c r="L3506" s="455">
        <f t="shared" ca="1" si="167"/>
        <v>-354755626830.3222</v>
      </c>
      <c r="M3506" s="471">
        <f t="shared" si="169"/>
        <v>0.05</v>
      </c>
      <c r="N3506" s="475">
        <f t="shared" si="170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68"/>
        <v>-354755626830.3222</v>
      </c>
      <c r="J3507" s="455">
        <f t="array" ref="J3507">IFERROR(INDEX('Retirement Calculator'!J:J,MATCH('Isaac 401k'!N3507,'Retirement Calculator'!A:A,0),0),0)</f>
        <v>0</v>
      </c>
      <c r="K3507" s="455">
        <f t="shared" ca="1" si="166"/>
        <v>-1478148445.1263425</v>
      </c>
      <c r="L3507" s="455">
        <f t="shared" ca="1" si="167"/>
        <v>-356233775275.44855</v>
      </c>
      <c r="M3507" s="471">
        <f t="shared" si="169"/>
        <v>0.05</v>
      </c>
      <c r="N3507" s="475">
        <f t="shared" si="170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68"/>
        <v>-356233775275.44855</v>
      </c>
      <c r="J3508" s="455">
        <f t="array" ref="J3508">IFERROR(INDEX('Retirement Calculator'!J:J,MATCH('Isaac 401k'!N3508,'Retirement Calculator'!A:A,0),0),0)</f>
        <v>0</v>
      </c>
      <c r="K3508" s="455">
        <f t="shared" ca="1" si="166"/>
        <v>-1484307396.9810357</v>
      </c>
      <c r="L3508" s="455">
        <f t="shared" ca="1" si="167"/>
        <v>-357718082672.42957</v>
      </c>
      <c r="M3508" s="471">
        <f t="shared" si="169"/>
        <v>0.05</v>
      </c>
      <c r="N3508" s="475">
        <f t="shared" si="170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68"/>
        <v>-357718082672.42957</v>
      </c>
      <c r="J3509" s="455">
        <f t="array" ref="J3509">IFERROR(INDEX('Retirement Calculator'!J:J,MATCH('Isaac 401k'!N3509,'Retirement Calculator'!A:A,0),0),0)</f>
        <v>0</v>
      </c>
      <c r="K3509" s="455">
        <f t="shared" ca="1" si="166"/>
        <v>-1490492011.1351233</v>
      </c>
      <c r="L3509" s="455">
        <f t="shared" ca="1" si="167"/>
        <v>-359208574683.5647</v>
      </c>
      <c r="M3509" s="471">
        <f t="shared" si="169"/>
        <v>0.05</v>
      </c>
      <c r="N3509" s="475">
        <f t="shared" si="170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68"/>
        <v>-359208574683.5647</v>
      </c>
      <c r="J3510" s="455">
        <f t="array" ref="J3510">IFERROR(INDEX('Retirement Calculator'!J:J,MATCH('Isaac 401k'!N3510,'Retirement Calculator'!A:A,0),0),0)</f>
        <v>0</v>
      </c>
      <c r="K3510" s="455">
        <f t="shared" ca="1" si="166"/>
        <v>-1496702394.514853</v>
      </c>
      <c r="L3510" s="455">
        <f t="shared" ca="1" si="167"/>
        <v>-360705277078.07953</v>
      </c>
      <c r="M3510" s="471">
        <f t="shared" si="169"/>
        <v>0.05</v>
      </c>
      <c r="N3510" s="475">
        <f t="shared" si="170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68"/>
        <v>-360705277078.07953</v>
      </c>
      <c r="J3511" s="455">
        <f t="array" ref="J3511">IFERROR(INDEX('Retirement Calculator'!J:J,MATCH('Isaac 401k'!N3511,'Retirement Calculator'!A:A,0),0),0)</f>
        <v>0</v>
      </c>
      <c r="K3511" s="455">
        <f t="shared" ca="1" si="166"/>
        <v>-1502938654.491998</v>
      </c>
      <c r="L3511" s="455">
        <f t="shared" ca="1" si="167"/>
        <v>-362208215732.57153</v>
      </c>
      <c r="M3511" s="471">
        <f t="shared" si="169"/>
        <v>0.05</v>
      </c>
      <c r="N3511" s="475">
        <f t="shared" si="170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68"/>
        <v>-362208215732.57153</v>
      </c>
      <c r="J3512" s="455">
        <f t="array" ref="J3512">IFERROR(INDEX('Retirement Calculator'!J:J,MATCH('Isaac 401k'!N3512,'Retirement Calculator'!A:A,0),0),0)</f>
        <v>0</v>
      </c>
      <c r="K3512" s="455">
        <f t="shared" ca="1" si="166"/>
        <v>-1509200898.8857148</v>
      </c>
      <c r="L3512" s="455">
        <f t="shared" ca="1" si="167"/>
        <v>-363717416631.45728</v>
      </c>
      <c r="M3512" s="471">
        <f t="shared" si="169"/>
        <v>0.05</v>
      </c>
      <c r="N3512" s="475">
        <f t="shared" si="170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68"/>
        <v>-363717416631.45728</v>
      </c>
      <c r="J3513" s="455">
        <f t="array" ref="J3513">IFERROR(INDEX('Retirement Calculator'!J:J,MATCH('Isaac 401k'!N3513,'Retirement Calculator'!A:A,0),0),0)</f>
        <v>0</v>
      </c>
      <c r="K3513" s="455">
        <f t="shared" ca="1" si="166"/>
        <v>-1515489235.9644053</v>
      </c>
      <c r="L3513" s="455">
        <f t="shared" ca="1" si="167"/>
        <v>-365232905867.42169</v>
      </c>
      <c r="M3513" s="471">
        <f t="shared" si="169"/>
        <v>0.05</v>
      </c>
      <c r="N3513" s="475">
        <f t="shared" si="170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68"/>
        <v>-365232905867.42169</v>
      </c>
      <c r="J3514" s="455">
        <f t="array" ref="J3514">IFERROR(INDEX('Retirement Calculator'!J:J,MATCH('Isaac 401k'!N3514,'Retirement Calculator'!A:A,0),0),0)</f>
        <v>0</v>
      </c>
      <c r="K3514" s="455">
        <f t="shared" ca="1" si="166"/>
        <v>-1521803774.4475904</v>
      </c>
      <c r="L3514" s="455">
        <f t="shared" ca="1" si="167"/>
        <v>-366754709641.86926</v>
      </c>
      <c r="M3514" s="471">
        <f t="shared" si="169"/>
        <v>0.05</v>
      </c>
      <c r="N3514" s="475">
        <f t="shared" si="170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68"/>
        <v>-366754709641.86926</v>
      </c>
      <c r="J3515" s="455">
        <f t="array" ref="J3515">IFERROR(INDEX('Retirement Calculator'!J:J,MATCH('Isaac 401k'!N3515,'Retirement Calculator'!A:A,0),0),0)</f>
        <v>0</v>
      </c>
      <c r="K3515" s="455">
        <f t="shared" ca="1" si="166"/>
        <v>-1528144623.5077887</v>
      </c>
      <c r="L3515" s="455">
        <f t="shared" ca="1" si="167"/>
        <v>-368282854265.37708</v>
      </c>
      <c r="M3515" s="471">
        <f t="shared" si="169"/>
        <v>0.05</v>
      </c>
      <c r="N3515" s="475">
        <f t="shared" si="170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68"/>
        <v>-368282854265.37708</v>
      </c>
      <c r="J3516" s="455">
        <f t="array" ref="J3516">IFERROR(INDEX('Retirement Calculator'!J:J,MATCH('Isaac 401k'!N3516,'Retirement Calculator'!A:A,0),0),0)</f>
        <v>0</v>
      </c>
      <c r="K3516" s="455">
        <f t="shared" ca="1" si="166"/>
        <v>-1534511892.7724044</v>
      </c>
      <c r="L3516" s="455">
        <f t="shared" ca="1" si="167"/>
        <v>-369817366158.14948</v>
      </c>
      <c r="M3516" s="471">
        <f t="shared" si="169"/>
        <v>0.05</v>
      </c>
      <c r="N3516" s="475">
        <f t="shared" si="170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68"/>
        <v>-369817366158.14948</v>
      </c>
      <c r="J3517" s="455">
        <f t="array" ref="J3517">IFERROR(INDEX('Retirement Calculator'!J:J,MATCH('Isaac 401k'!N3517,'Retirement Calculator'!A:A,0),0),0)</f>
        <v>0</v>
      </c>
      <c r="K3517" s="455">
        <f t="shared" ca="1" si="166"/>
        <v>-1540905692.3256228</v>
      </c>
      <c r="L3517" s="455">
        <f t="shared" ca="1" si="167"/>
        <v>-371358271850.4751</v>
      </c>
      <c r="M3517" s="471">
        <f t="shared" si="169"/>
        <v>0.05</v>
      </c>
      <c r="N3517" s="475">
        <f t="shared" si="170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68"/>
        <v>-371358271850.4751</v>
      </c>
      <c r="J3518" s="455">
        <f t="array" ref="J3518">IFERROR(INDEX('Retirement Calculator'!J:J,MATCH('Isaac 401k'!N3518,'Retirement Calculator'!A:A,0),0),0)</f>
        <v>0</v>
      </c>
      <c r="K3518" s="455">
        <f t="shared" ca="1" si="166"/>
        <v>-1547326132.7103128</v>
      </c>
      <c r="L3518" s="455">
        <f t="shared" ca="1" si="167"/>
        <v>-372905597983.18542</v>
      </c>
      <c r="M3518" s="471">
        <f t="shared" si="169"/>
        <v>0.05</v>
      </c>
      <c r="N3518" s="475">
        <f t="shared" si="170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68"/>
        <v>-372905597983.18542</v>
      </c>
      <c r="J3519" s="455">
        <f t="array" ref="J3519">IFERROR(INDEX('Retirement Calculator'!J:J,MATCH('Isaac 401k'!N3519,'Retirement Calculator'!A:A,0),0),0)</f>
        <v>0</v>
      </c>
      <c r="K3519" s="455">
        <f t="shared" ca="1" si="166"/>
        <v>-1553773324.9299393</v>
      </c>
      <c r="L3519" s="455">
        <f t="shared" ca="1" si="167"/>
        <v>-374459371308.11536</v>
      </c>
      <c r="M3519" s="471">
        <f t="shared" si="169"/>
        <v>0.05</v>
      </c>
      <c r="N3519" s="475">
        <f t="shared" si="170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68"/>
        <v>-374459371308.11536</v>
      </c>
      <c r="J3520" s="455">
        <f t="array" ref="J3520">IFERROR(INDEX('Retirement Calculator'!J:J,MATCH('Isaac 401k'!N3520,'Retirement Calculator'!A:A,0),0),0)</f>
        <v>0</v>
      </c>
      <c r="K3520" s="455">
        <f t="shared" ca="1" si="166"/>
        <v>-1560247380.4504807</v>
      </c>
      <c r="L3520" s="455">
        <f t="shared" ca="1" si="167"/>
        <v>-376019618688.56586</v>
      </c>
      <c r="M3520" s="471">
        <f t="shared" si="169"/>
        <v>0.05</v>
      </c>
      <c r="N3520" s="475">
        <f t="shared" si="170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68"/>
        <v>-376019618688.56586</v>
      </c>
      <c r="J3521" s="455">
        <f t="array" ref="J3521">IFERROR(INDEX('Retirement Calculator'!J:J,MATCH('Isaac 401k'!N3521,'Retirement Calculator'!A:A,0),0),0)</f>
        <v>0</v>
      </c>
      <c r="K3521" s="455">
        <f t="shared" ca="1" si="166"/>
        <v>-1566748411.2023578</v>
      </c>
      <c r="L3521" s="455">
        <f t="shared" ca="1" si="167"/>
        <v>-377586367099.76819</v>
      </c>
      <c r="M3521" s="471">
        <f t="shared" si="169"/>
        <v>0.05</v>
      </c>
      <c r="N3521" s="475">
        <f t="shared" si="170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68"/>
        <v>-377586367099.76819</v>
      </c>
      <c r="J3522" s="455">
        <f t="array" ref="J3522">IFERROR(INDEX('Retirement Calculator'!J:J,MATCH('Isaac 401k'!N3522,'Retirement Calculator'!A:A,0),0),0)</f>
        <v>0</v>
      </c>
      <c r="K3522" s="455">
        <f t="shared" ca="1" si="166"/>
        <v>-1573276529.5823674</v>
      </c>
      <c r="L3522" s="455">
        <f t="shared" ca="1" si="167"/>
        <v>-379159643629.35059</v>
      </c>
      <c r="M3522" s="471">
        <f t="shared" si="169"/>
        <v>0.05</v>
      </c>
      <c r="N3522" s="475">
        <f t="shared" si="170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68"/>
        <v>-379159643629.35059</v>
      </c>
      <c r="J3523" s="455">
        <f t="array" ref="J3523">IFERROR(INDEX('Retirement Calculator'!J:J,MATCH('Isaac 401k'!N3523,'Retirement Calculator'!A:A,0),0),0)</f>
        <v>0</v>
      </c>
      <c r="K3523" s="455">
        <f t="shared" ca="1" si="166"/>
        <v>-1579831848.4556274</v>
      </c>
      <c r="L3523" s="455">
        <f t="shared" ca="1" si="167"/>
        <v>-380739475477.80621</v>
      </c>
      <c r="M3523" s="471">
        <f t="shared" si="169"/>
        <v>0.05</v>
      </c>
      <c r="N3523" s="475">
        <f t="shared" si="170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68"/>
        <v>-380739475477.80621</v>
      </c>
      <c r="J3524" s="455">
        <f t="array" ref="J3524">IFERROR(INDEX('Retirement Calculator'!J:J,MATCH('Isaac 401k'!N3524,'Retirement Calculator'!A:A,0),0),0)</f>
        <v>0</v>
      </c>
      <c r="K3524" s="455">
        <f t="shared" ca="1" si="166"/>
        <v>-1586414481.1575258</v>
      </c>
      <c r="L3524" s="455">
        <f t="shared" ca="1" si="167"/>
        <v>-382325889958.96375</v>
      </c>
      <c r="M3524" s="471">
        <f t="shared" si="169"/>
        <v>0.05</v>
      </c>
      <c r="N3524" s="475">
        <f t="shared" si="170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68"/>
        <v>-382325889958.96375</v>
      </c>
      <c r="J3525" s="455">
        <f t="array" ref="J3525">IFERROR(INDEX('Retirement Calculator'!J:J,MATCH('Isaac 401k'!N3525,'Retirement Calculator'!A:A,0),0),0)</f>
        <v>0</v>
      </c>
      <c r="K3525" s="455">
        <f t="shared" ca="1" si="166"/>
        <v>-1593024541.4956822</v>
      </c>
      <c r="L3525" s="455">
        <f t="shared" ca="1" si="167"/>
        <v>-383918914500.45941</v>
      </c>
      <c r="M3525" s="471">
        <f t="shared" si="169"/>
        <v>0.05</v>
      </c>
      <c r="N3525" s="475">
        <f t="shared" si="170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68"/>
        <v>-383918914500.45941</v>
      </c>
      <c r="J3526" s="455">
        <f t="array" ref="J3526">IFERROR(INDEX('Retirement Calculator'!J:J,MATCH('Isaac 401k'!N3526,'Retirement Calculator'!A:A,0),0),0)</f>
        <v>0</v>
      </c>
      <c r="K3526" s="455">
        <f t="shared" ca="1" si="166"/>
        <v>-1599662143.7519143</v>
      </c>
      <c r="L3526" s="455">
        <f t="shared" ca="1" si="167"/>
        <v>-385518576644.2113</v>
      </c>
      <c r="M3526" s="471">
        <f t="shared" si="169"/>
        <v>0.05</v>
      </c>
      <c r="N3526" s="475">
        <f t="shared" si="170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68"/>
        <v>-385518576644.2113</v>
      </c>
      <c r="J3527" s="455">
        <f t="array" ref="J3527">IFERROR(INDEX('Retirement Calculator'!J:J,MATCH('Isaac 401k'!N3527,'Retirement Calculator'!A:A,0),0),0)</f>
        <v>0</v>
      </c>
      <c r="K3527" s="455">
        <f t="shared" ca="1" si="166"/>
        <v>-1606327402.6842136</v>
      </c>
      <c r="L3527" s="455">
        <f t="shared" ca="1" si="167"/>
        <v>-387124904046.89551</v>
      </c>
      <c r="M3527" s="471">
        <f t="shared" si="169"/>
        <v>0.05</v>
      </c>
      <c r="N3527" s="475">
        <f t="shared" si="170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68"/>
        <v>-387124904046.89551</v>
      </c>
      <c r="J3528" s="455">
        <f t="array" ref="J3528">IFERROR(INDEX('Retirement Calculator'!J:J,MATCH('Isaac 401k'!N3528,'Retirement Calculator'!A:A,0),0),0)</f>
        <v>0</v>
      </c>
      <c r="K3528" s="455">
        <f t="shared" ca="1" si="166"/>
        <v>-1613020433.5287313</v>
      </c>
      <c r="L3528" s="455">
        <f t="shared" ca="1" si="167"/>
        <v>-388737924480.42426</v>
      </c>
      <c r="M3528" s="471">
        <f t="shared" si="169"/>
        <v>0.05</v>
      </c>
      <c r="N3528" s="475">
        <f t="shared" si="170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68"/>
        <v>-388737924480.42426</v>
      </c>
      <c r="J3529" s="455">
        <f t="array" ref="J3529">IFERROR(INDEX('Retirement Calculator'!J:J,MATCH('Isaac 401k'!N3529,'Retirement Calculator'!A:A,0),0),0)</f>
        <v>0</v>
      </c>
      <c r="K3529" s="455">
        <f t="shared" ca="1" si="166"/>
        <v>-1619741352.0017676</v>
      </c>
      <c r="L3529" s="455">
        <f t="shared" ca="1" si="167"/>
        <v>-390357665832.42603</v>
      </c>
      <c r="M3529" s="471">
        <f t="shared" si="169"/>
        <v>0.05</v>
      </c>
      <c r="N3529" s="475">
        <f t="shared" si="170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68"/>
        <v>-390357665832.42603</v>
      </c>
      <c r="J3530" s="455">
        <f t="array" ref="J3530">IFERROR(INDEX('Retirement Calculator'!J:J,MATCH('Isaac 401k'!N3530,'Retirement Calculator'!A:A,0),0),0)</f>
        <v>0</v>
      </c>
      <c r="K3530" s="455">
        <f t="shared" ca="1" si="166"/>
        <v>-1626490274.301775</v>
      </c>
      <c r="L3530" s="455">
        <f t="shared" ca="1" si="167"/>
        <v>-391984156106.72778</v>
      </c>
      <c r="M3530" s="471">
        <f t="shared" si="169"/>
        <v>0.05</v>
      </c>
      <c r="N3530" s="475">
        <f t="shared" si="170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68"/>
        <v>-391984156106.72778</v>
      </c>
      <c r="J3531" s="455">
        <f t="array" ref="J3531">IFERROR(INDEX('Retirement Calculator'!J:J,MATCH('Isaac 401k'!N3531,'Retirement Calculator'!A:A,0),0),0)</f>
        <v>0</v>
      </c>
      <c r="K3531" s="455">
        <f t="shared" ca="1" si="166"/>
        <v>-1633267317.1113658</v>
      </c>
      <c r="L3531" s="455">
        <f t="shared" ca="1" si="167"/>
        <v>-393617423423.83917</v>
      </c>
      <c r="M3531" s="471">
        <f t="shared" si="169"/>
        <v>0.05</v>
      </c>
      <c r="N3531" s="475">
        <f t="shared" si="170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68"/>
        <v>-393617423423.83917</v>
      </c>
      <c r="J3532" s="455">
        <f t="array" ref="J3532">IFERROR(INDEX('Retirement Calculator'!J:J,MATCH('Isaac 401k'!N3532,'Retirement Calculator'!A:A,0),0),0)</f>
        <v>0</v>
      </c>
      <c r="K3532" s="455">
        <f t="shared" ca="1" si="166"/>
        <v>-1640072597.5993299</v>
      </c>
      <c r="L3532" s="455">
        <f t="shared" ca="1" si="167"/>
        <v>-395257496021.43848</v>
      </c>
      <c r="M3532" s="471">
        <f t="shared" si="169"/>
        <v>0.05</v>
      </c>
      <c r="N3532" s="475">
        <f t="shared" si="170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68"/>
        <v>-395257496021.43848</v>
      </c>
      <c r="J3533" s="455">
        <f t="array" ref="J3533">IFERROR(INDEX('Retirement Calculator'!J:J,MATCH('Isaac 401k'!N3533,'Retirement Calculator'!A:A,0),0),0)</f>
        <v>0</v>
      </c>
      <c r="K3533" s="455">
        <f t="shared" ca="1" si="166"/>
        <v>-1646906233.4226604</v>
      </c>
      <c r="L3533" s="455">
        <f t="shared" ca="1" si="167"/>
        <v>-396904402254.86115</v>
      </c>
      <c r="M3533" s="471">
        <f t="shared" si="169"/>
        <v>0.05</v>
      </c>
      <c r="N3533" s="475">
        <f t="shared" si="170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68"/>
        <v>-396904402254.86115</v>
      </c>
      <c r="J3534" s="455">
        <f t="array" ref="J3534">IFERROR(INDEX('Retirement Calculator'!J:J,MATCH('Isaac 401k'!N3534,'Retirement Calculator'!A:A,0),0),0)</f>
        <v>0</v>
      </c>
      <c r="K3534" s="455">
        <f t="shared" ca="1" si="166"/>
        <v>-1653768342.7285881</v>
      </c>
      <c r="L3534" s="455">
        <f t="shared" ca="1" si="167"/>
        <v>-398558170597.58972</v>
      </c>
      <c r="M3534" s="471">
        <f t="shared" si="169"/>
        <v>0.05</v>
      </c>
      <c r="N3534" s="475">
        <f t="shared" si="170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68"/>
        <v>-398558170597.58972</v>
      </c>
      <c r="J3535" s="455">
        <f t="array" ref="J3535">IFERROR(INDEX('Retirement Calculator'!J:J,MATCH('Isaac 401k'!N3535,'Retirement Calculator'!A:A,0),0),0)</f>
        <v>0</v>
      </c>
      <c r="K3535" s="455">
        <f t="shared" ca="1" si="166"/>
        <v>-1660659044.1566238</v>
      </c>
      <c r="L3535" s="455">
        <f t="shared" ca="1" si="167"/>
        <v>-400218829641.74634</v>
      </c>
      <c r="M3535" s="471">
        <f t="shared" si="169"/>
        <v>0.05</v>
      </c>
      <c r="N3535" s="475">
        <f t="shared" si="170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68"/>
        <v>-400218829641.74634</v>
      </c>
      <c r="J3536" s="455">
        <f t="array" ref="J3536">IFERROR(INDEX('Retirement Calculator'!J:J,MATCH('Isaac 401k'!N3536,'Retirement Calculator'!A:A,0),0),0)</f>
        <v>0</v>
      </c>
      <c r="K3536" s="455">
        <f t="shared" ca="1" si="166"/>
        <v>-1667578456.8406098</v>
      </c>
      <c r="L3536" s="455">
        <f t="shared" ca="1" si="167"/>
        <v>-401886408098.58698</v>
      </c>
      <c r="M3536" s="471">
        <f t="shared" si="169"/>
        <v>0.05</v>
      </c>
      <c r="N3536" s="475">
        <f t="shared" si="170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68"/>
        <v>-401886408098.58698</v>
      </c>
      <c r="J3537" s="455">
        <f t="array" ref="J3537">IFERROR(INDEX('Retirement Calculator'!J:J,MATCH('Isaac 401k'!N3537,'Retirement Calculator'!A:A,0),0),0)</f>
        <v>0</v>
      </c>
      <c r="K3537" s="455">
        <f t="shared" ca="1" si="166"/>
        <v>-1674526700.410779</v>
      </c>
      <c r="L3537" s="455">
        <f t="shared" ca="1" si="167"/>
        <v>-403560934798.99774</v>
      </c>
      <c r="M3537" s="471">
        <f t="shared" si="169"/>
        <v>0.05</v>
      </c>
      <c r="N3537" s="475">
        <f t="shared" si="170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68"/>
        <v>-403560934798.99774</v>
      </c>
      <c r="J3538" s="455">
        <f t="array" ref="J3538">IFERROR(INDEX('Retirement Calculator'!J:J,MATCH('Isaac 401k'!N3538,'Retirement Calculator'!A:A,0),0),0)</f>
        <v>0</v>
      </c>
      <c r="K3538" s="455">
        <f t="shared" ca="1" si="166"/>
        <v>-1681503894.9958239</v>
      </c>
      <c r="L3538" s="455">
        <f t="shared" ca="1" si="167"/>
        <v>-405242438693.99359</v>
      </c>
      <c r="M3538" s="471">
        <f t="shared" si="169"/>
        <v>0.05</v>
      </c>
      <c r="N3538" s="475">
        <f t="shared" si="170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68"/>
        <v>-405242438693.99359</v>
      </c>
      <c r="J3539" s="455">
        <f t="array" ref="J3539">IFERROR(INDEX('Retirement Calculator'!J:J,MATCH('Isaac 401k'!N3539,'Retirement Calculator'!A:A,0),0),0)</f>
        <v>0</v>
      </c>
      <c r="K3539" s="455">
        <f t="shared" ca="1" si="166"/>
        <v>-1688510161.2249732</v>
      </c>
      <c r="L3539" s="455">
        <f t="shared" ca="1" si="167"/>
        <v>-406930948855.21857</v>
      </c>
      <c r="M3539" s="471">
        <f t="shared" si="169"/>
        <v>0.05</v>
      </c>
      <c r="N3539" s="475">
        <f t="shared" si="170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68"/>
        <v>-406930948855.21857</v>
      </c>
      <c r="J3540" s="455">
        <f t="array" ref="J3540">IFERROR(INDEX('Retirement Calculator'!J:J,MATCH('Isaac 401k'!N3540,'Retirement Calculator'!A:A,0),0),0)</f>
        <v>0</v>
      </c>
      <c r="K3540" s="455">
        <f t="shared" ca="1" si="166"/>
        <v>-1695545620.2300773</v>
      </c>
      <c r="L3540" s="455">
        <f t="shared" ca="1" si="167"/>
        <v>-408626494475.44867</v>
      </c>
      <c r="M3540" s="471">
        <f t="shared" si="169"/>
        <v>0.05</v>
      </c>
      <c r="N3540" s="475">
        <f t="shared" si="170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68"/>
        <v>-408626494475.44867</v>
      </c>
      <c r="J3541" s="455">
        <f t="array" ref="J3541">IFERROR(INDEX('Retirement Calculator'!J:J,MATCH('Isaac 401k'!N3541,'Retirement Calculator'!A:A,0),0),0)</f>
        <v>0</v>
      </c>
      <c r="K3541" s="455">
        <f t="shared" ca="1" si="166"/>
        <v>-1702610393.6477027</v>
      </c>
      <c r="L3541" s="455">
        <f t="shared" ca="1" si="167"/>
        <v>-410329104869.09637</v>
      </c>
      <c r="M3541" s="471">
        <f t="shared" si="169"/>
        <v>0.05</v>
      </c>
      <c r="N3541" s="475">
        <f t="shared" si="170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68"/>
        <v>-410329104869.09637</v>
      </c>
      <c r="J3542" s="455">
        <f t="array" ref="J3542">IFERROR(INDEX('Retirement Calculator'!J:J,MATCH('Isaac 401k'!N3542,'Retirement Calculator'!A:A,0),0),0)</f>
        <v>0</v>
      </c>
      <c r="K3542" s="455">
        <f t="shared" ca="1" si="166"/>
        <v>-1709704603.6212349</v>
      </c>
      <c r="L3542" s="455">
        <f t="shared" ca="1" si="167"/>
        <v>-412038809472.71759</v>
      </c>
      <c r="M3542" s="471">
        <f t="shared" si="169"/>
        <v>0.05</v>
      </c>
      <c r="N3542" s="475">
        <f t="shared" si="170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68"/>
        <v>-412038809472.71759</v>
      </c>
      <c r="J3543" s="455">
        <f t="array" ref="J3543">IFERROR(INDEX('Retirement Calculator'!J:J,MATCH('Isaac 401k'!N3543,'Retirement Calculator'!A:A,0),0),0)</f>
        <v>0</v>
      </c>
      <c r="K3543" s="455">
        <f t="shared" ca="1" si="166"/>
        <v>-1716828372.80299</v>
      </c>
      <c r="L3543" s="455">
        <f t="shared" ca="1" si="167"/>
        <v>-413755637845.52057</v>
      </c>
      <c r="M3543" s="471">
        <f t="shared" si="169"/>
        <v>0.05</v>
      </c>
      <c r="N3543" s="475">
        <f t="shared" si="170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68"/>
        <v>-413755637845.52057</v>
      </c>
      <c r="J3544" s="455">
        <f t="array" ref="J3544">IFERROR(INDEX('Retirement Calculator'!J:J,MATCH('Isaac 401k'!N3544,'Retirement Calculator'!A:A,0),0),0)</f>
        <v>0</v>
      </c>
      <c r="K3544" s="455">
        <f t="shared" ca="1" si="166"/>
        <v>-1723981824.3563356</v>
      </c>
      <c r="L3544" s="455">
        <f t="shared" ca="1" si="167"/>
        <v>-415479619669.87689</v>
      </c>
      <c r="M3544" s="471">
        <f t="shared" si="169"/>
        <v>0.05</v>
      </c>
      <c r="N3544" s="475">
        <f t="shared" si="170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68"/>
        <v>-415479619669.87689</v>
      </c>
      <c r="J3545" s="455">
        <f t="array" ref="J3545">IFERROR(INDEX('Retirement Calculator'!J:J,MATCH('Isaac 401k'!N3545,'Retirement Calculator'!A:A,0),0),0)</f>
        <v>0</v>
      </c>
      <c r="K3545" s="455">
        <f t="shared" ca="1" si="166"/>
        <v>-1731165081.9578204</v>
      </c>
      <c r="L3545" s="455">
        <f t="shared" ca="1" si="167"/>
        <v>-417210784751.83472</v>
      </c>
      <c r="M3545" s="471">
        <f t="shared" si="169"/>
        <v>0.05</v>
      </c>
      <c r="N3545" s="475">
        <f t="shared" si="170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68"/>
        <v>-417210784751.83472</v>
      </c>
      <c r="J3546" s="455">
        <f t="array" ref="J3546">IFERROR(INDEX('Retirement Calculator'!J:J,MATCH('Isaac 401k'!N3546,'Retirement Calculator'!A:A,0),0),0)</f>
        <v>0</v>
      </c>
      <c r="K3546" s="455">
        <f t="shared" ca="1" si="166"/>
        <v>-1738378269.7993114</v>
      </c>
      <c r="L3546" s="455">
        <f t="shared" ca="1" si="167"/>
        <v>-418949163021.63403</v>
      </c>
      <c r="M3546" s="471">
        <f t="shared" si="169"/>
        <v>0.05</v>
      </c>
      <c r="N3546" s="475">
        <f t="shared" si="170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68"/>
        <v>-418949163021.63403</v>
      </c>
      <c r="J3547" s="455">
        <f t="array" ref="J3547">IFERROR(INDEX('Retirement Calculator'!J:J,MATCH('Isaac 401k'!N3547,'Retirement Calculator'!A:A,0),0),0)</f>
        <v>0</v>
      </c>
      <c r="K3547" s="455">
        <f t="shared" ca="1" si="166"/>
        <v>-1745621512.5901418</v>
      </c>
      <c r="L3547" s="455">
        <f t="shared" ca="1" si="167"/>
        <v>-420694784534.22418</v>
      </c>
      <c r="M3547" s="471">
        <f t="shared" si="169"/>
        <v>0.05</v>
      </c>
      <c r="N3547" s="475">
        <f t="shared" si="170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68"/>
        <v>-420694784534.22418</v>
      </c>
      <c r="J3548" s="455">
        <f t="array" ref="J3548">IFERROR(INDEX('Retirement Calculator'!J:J,MATCH('Isaac 401k'!N3548,'Retirement Calculator'!A:A,0),0),0)</f>
        <v>0</v>
      </c>
      <c r="K3548" s="455">
        <f t="shared" ca="1" si="166"/>
        <v>-1752894935.5592673</v>
      </c>
      <c r="L3548" s="455">
        <f t="shared" ca="1" si="167"/>
        <v>-422447679469.78345</v>
      </c>
      <c r="M3548" s="471">
        <f t="shared" si="169"/>
        <v>0.05</v>
      </c>
      <c r="N3548" s="475">
        <f t="shared" si="170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68"/>
        <v>-422447679469.78345</v>
      </c>
      <c r="J3549" s="455">
        <f t="array" ref="J3549">IFERROR(INDEX('Retirement Calculator'!J:J,MATCH('Isaac 401k'!N3549,'Retirement Calculator'!A:A,0),0),0)</f>
        <v>0</v>
      </c>
      <c r="K3549" s="455">
        <f t="shared" ca="1" si="166"/>
        <v>-1760198664.4574311</v>
      </c>
      <c r="L3549" s="455">
        <f t="shared" ca="1" si="167"/>
        <v>-424207878134.24091</v>
      </c>
      <c r="M3549" s="471">
        <f t="shared" si="169"/>
        <v>0.05</v>
      </c>
      <c r="N3549" s="475">
        <f t="shared" si="170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68"/>
        <v>-424207878134.24091</v>
      </c>
      <c r="J3550" s="455">
        <f t="array" ref="J3550">IFERROR(INDEX('Retirement Calculator'!J:J,MATCH('Isaac 401k'!N3550,'Retirement Calculator'!A:A,0),0),0)</f>
        <v>0</v>
      </c>
      <c r="K3550" s="455">
        <f t="shared" ca="1" si="166"/>
        <v>-1767532825.5593371</v>
      </c>
      <c r="L3550" s="455">
        <f t="shared" ca="1" si="167"/>
        <v>-425975410959.80023</v>
      </c>
      <c r="M3550" s="471">
        <f t="shared" si="169"/>
        <v>0.05</v>
      </c>
      <c r="N3550" s="475">
        <f t="shared" si="170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68"/>
        <v>-425975410959.80023</v>
      </c>
      <c r="J3551" s="455">
        <f t="array" ref="J3551">IFERROR(INDEX('Retirement Calculator'!J:J,MATCH('Isaac 401k'!N3551,'Retirement Calculator'!A:A,0),0),0)</f>
        <v>0</v>
      </c>
      <c r="K3551" s="455">
        <f t="shared" ca="1" si="166"/>
        <v>-1774897545.6658342</v>
      </c>
      <c r="L3551" s="455">
        <f t="shared" ca="1" si="167"/>
        <v>-427750308505.46606</v>
      </c>
      <c r="M3551" s="471">
        <f t="shared" si="169"/>
        <v>0.05</v>
      </c>
      <c r="N3551" s="475">
        <f t="shared" si="170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68"/>
        <v>-427750308505.46606</v>
      </c>
      <c r="J3552" s="455">
        <f t="array" ref="J3552">IFERROR(INDEX('Retirement Calculator'!J:J,MATCH('Isaac 401k'!N3552,'Retirement Calculator'!A:A,0),0),0)</f>
        <v>0</v>
      </c>
      <c r="K3552" s="455">
        <f t="shared" ca="1" si="166"/>
        <v>-1782292952.1061087</v>
      </c>
      <c r="L3552" s="455">
        <f t="shared" ca="1" si="167"/>
        <v>-429532601457.57214</v>
      </c>
      <c r="M3552" s="471">
        <f t="shared" si="169"/>
        <v>0.05</v>
      </c>
      <c r="N3552" s="475">
        <f t="shared" si="170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68"/>
        <v>-429532601457.57214</v>
      </c>
      <c r="J3553" s="455">
        <f t="array" ref="J3553">IFERROR(INDEX('Retirement Calculator'!J:J,MATCH('Isaac 401k'!N3553,'Retirement Calculator'!A:A,0),0),0)</f>
        <v>0</v>
      </c>
      <c r="K3553" s="455">
        <f t="shared" ca="1" si="166"/>
        <v>-1789719172.7398839</v>
      </c>
      <c r="L3553" s="455">
        <f t="shared" ca="1" si="167"/>
        <v>-431322320630.31201</v>
      </c>
      <c r="M3553" s="471">
        <f t="shared" si="169"/>
        <v>0.05</v>
      </c>
      <c r="N3553" s="475">
        <f t="shared" si="170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68"/>
        <v>-431322320630.31201</v>
      </c>
      <c r="J3554" s="455">
        <f t="array" ref="J3554">IFERROR(INDEX('Retirement Calculator'!J:J,MATCH('Isaac 401k'!N3554,'Retirement Calculator'!A:A,0),0),0)</f>
        <v>0</v>
      </c>
      <c r="K3554" s="455">
        <f t="shared" ca="1" si="166"/>
        <v>-1797176335.9596334</v>
      </c>
      <c r="L3554" s="455">
        <f t="shared" ca="1" si="167"/>
        <v>-433119496966.27167</v>
      </c>
      <c r="M3554" s="471">
        <f t="shared" si="169"/>
        <v>0.05</v>
      </c>
      <c r="N3554" s="475">
        <f t="shared" si="170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68"/>
        <v>-433119496966.27167</v>
      </c>
      <c r="J3555" s="455">
        <f t="array" ref="J3555">IFERROR(INDEX('Retirement Calculator'!J:J,MATCH('Isaac 401k'!N3555,'Retirement Calculator'!A:A,0),0),0)</f>
        <v>0</v>
      </c>
      <c r="K3555" s="455">
        <f t="shared" ca="1" si="166"/>
        <v>-1804664570.6927989</v>
      </c>
      <c r="L3555" s="455">
        <f t="shared" ca="1" si="167"/>
        <v>-434924161536.96448</v>
      </c>
      <c r="M3555" s="471">
        <f t="shared" si="169"/>
        <v>0.05</v>
      </c>
      <c r="N3555" s="475">
        <f t="shared" si="170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68"/>
        <v>-434924161536.96448</v>
      </c>
      <c r="J3556" s="455">
        <f t="array" ref="J3556">IFERROR(INDEX('Retirement Calculator'!J:J,MATCH('Isaac 401k'!N3556,'Retirement Calculator'!A:A,0),0),0)</f>
        <v>0</v>
      </c>
      <c r="K3556" s="455">
        <f t="shared" ca="1" si="166"/>
        <v>-1812184006.4040186</v>
      </c>
      <c r="L3556" s="455">
        <f t="shared" ca="1" si="167"/>
        <v>-436736345543.36847</v>
      </c>
      <c r="M3556" s="471">
        <f t="shared" si="169"/>
        <v>0.05</v>
      </c>
      <c r="N3556" s="475">
        <f t="shared" si="170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68"/>
        <v>-436736345543.36847</v>
      </c>
      <c r="J3557" s="455">
        <f t="array" ref="J3557">IFERROR(INDEX('Retirement Calculator'!J:J,MATCH('Isaac 401k'!N3557,'Retirement Calculator'!A:A,0),0),0)</f>
        <v>0</v>
      </c>
      <c r="K3557" s="455">
        <f t="shared" ca="1" si="166"/>
        <v>-1819734773.0973682</v>
      </c>
      <c r="L3557" s="455">
        <f t="shared" ca="1" si="167"/>
        <v>-438556080316.46582</v>
      </c>
      <c r="M3557" s="471">
        <f t="shared" si="169"/>
        <v>0.05</v>
      </c>
      <c r="N3557" s="475">
        <f t="shared" si="170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68"/>
        <v>-438556080316.46582</v>
      </c>
      <c r="J3558" s="455">
        <f t="array" ref="J3558">IFERROR(INDEX('Retirement Calculator'!J:J,MATCH('Isaac 401k'!N3558,'Retirement Calculator'!A:A,0),0),0)</f>
        <v>0</v>
      </c>
      <c r="K3558" s="455">
        <f t="shared" ca="1" si="166"/>
        <v>-1827317001.3186078</v>
      </c>
      <c r="L3558" s="455">
        <f t="shared" ca="1" si="167"/>
        <v>-440383397317.78442</v>
      </c>
      <c r="M3558" s="471">
        <f t="shared" si="169"/>
        <v>0.05</v>
      </c>
      <c r="N3558" s="475">
        <f t="shared" si="170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68"/>
        <v>-440383397317.78442</v>
      </c>
      <c r="J3559" s="455">
        <f t="array" ref="J3559">IFERROR(INDEX('Retirement Calculator'!J:J,MATCH('Isaac 401k'!N3559,'Retirement Calculator'!A:A,0),0),0)</f>
        <v>0</v>
      </c>
      <c r="K3559" s="455">
        <f t="shared" ca="1" si="166"/>
        <v>-1834930822.1574352</v>
      </c>
      <c r="L3559" s="455">
        <f t="shared" ca="1" si="167"/>
        <v>-442218328139.94183</v>
      </c>
      <c r="M3559" s="471">
        <f t="shared" si="169"/>
        <v>0.05</v>
      </c>
      <c r="N3559" s="475">
        <f t="shared" si="170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68"/>
        <v>-442218328139.94183</v>
      </c>
      <c r="J3560" s="455">
        <f t="array" ref="J3560">IFERROR(INDEX('Retirement Calculator'!J:J,MATCH('Isaac 401k'!N3560,'Retirement Calculator'!A:A,0),0),0)</f>
        <v>0</v>
      </c>
      <c r="K3560" s="455">
        <f t="shared" ca="1" si="166"/>
        <v>-1842576367.2497578</v>
      </c>
      <c r="L3560" s="455">
        <f t="shared" ca="1" si="167"/>
        <v>-444060904507.19159</v>
      </c>
      <c r="M3560" s="471">
        <f t="shared" si="169"/>
        <v>0.05</v>
      </c>
      <c r="N3560" s="475">
        <f t="shared" si="170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68"/>
        <v>-444060904507.19159</v>
      </c>
      <c r="J3561" s="455">
        <f t="array" ref="J3561">IFERROR(INDEX('Retirement Calculator'!J:J,MATCH('Isaac 401k'!N3561,'Retirement Calculator'!A:A,0),0),0)</f>
        <v>0</v>
      </c>
      <c r="K3561" s="455">
        <f t="shared" ca="1" si="166"/>
        <v>-1850253768.7799649</v>
      </c>
      <c r="L3561" s="455">
        <f t="shared" ca="1" si="167"/>
        <v>-445911158275.97156</v>
      </c>
      <c r="M3561" s="471">
        <f t="shared" si="169"/>
        <v>0.05</v>
      </c>
      <c r="N3561" s="475">
        <f t="shared" si="170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68"/>
        <v>-445911158275.97156</v>
      </c>
      <c r="J3562" s="455">
        <f t="array" ref="J3562">IFERROR(INDEX('Retirement Calculator'!J:J,MATCH('Isaac 401k'!N3562,'Retirement Calculator'!A:A,0),0),0)</f>
        <v>0</v>
      </c>
      <c r="K3562" s="455">
        <f t="shared" ca="1" si="166"/>
        <v>-1857963159.4832151</v>
      </c>
      <c r="L3562" s="455">
        <f t="shared" ca="1" si="167"/>
        <v>-447769121435.45477</v>
      </c>
      <c r="M3562" s="471">
        <f t="shared" si="169"/>
        <v>0.05</v>
      </c>
      <c r="N3562" s="475">
        <f t="shared" si="170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68"/>
        <v>-447769121435.45477</v>
      </c>
      <c r="J3563" s="455">
        <f t="array" ref="J3563">IFERROR(INDEX('Retirement Calculator'!J:J,MATCH('Isaac 401k'!N3563,'Retirement Calculator'!A:A,0),0),0)</f>
        <v>0</v>
      </c>
      <c r="K3563" s="455">
        <f t="shared" ca="1" si="166"/>
        <v>-1865704672.6477284</v>
      </c>
      <c r="L3563" s="455">
        <f t="shared" ca="1" si="167"/>
        <v>-449634826108.10248</v>
      </c>
      <c r="M3563" s="471">
        <f t="shared" si="169"/>
        <v>0.05</v>
      </c>
      <c r="N3563" s="475">
        <f t="shared" si="170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68"/>
        <v>-449634826108.10248</v>
      </c>
      <c r="J3564" s="455">
        <f t="array" ref="J3564">IFERROR(INDEX('Retirement Calculator'!J:J,MATCH('Isaac 401k'!N3564,'Retirement Calculator'!A:A,0),0),0)</f>
        <v>0</v>
      </c>
      <c r="K3564" s="455">
        <f t="shared" ca="1" si="166"/>
        <v>-1873478442.1170936</v>
      </c>
      <c r="L3564" s="455">
        <f t="shared" ca="1" si="167"/>
        <v>-451508304550.21954</v>
      </c>
      <c r="M3564" s="471">
        <f t="shared" si="169"/>
        <v>0.05</v>
      </c>
      <c r="N3564" s="475">
        <f t="shared" si="170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68"/>
        <v>-451508304550.21954</v>
      </c>
      <c r="J3565" s="455">
        <f t="array" ref="J3565">IFERROR(INDEX('Retirement Calculator'!J:J,MATCH('Isaac 401k'!N3565,'Retirement Calculator'!A:A,0),0),0)</f>
        <v>0</v>
      </c>
      <c r="K3565" s="455">
        <f t="shared" ca="1" si="166"/>
        <v>-1881284602.2925816</v>
      </c>
      <c r="L3565" s="455">
        <f t="shared" ca="1" si="167"/>
        <v>-453389589152.51215</v>
      </c>
      <c r="M3565" s="471">
        <f t="shared" si="169"/>
        <v>0.05</v>
      </c>
      <c r="N3565" s="475">
        <f t="shared" si="170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68"/>
        <v>-453389589152.51215</v>
      </c>
      <c r="J3566" s="455">
        <f t="array" ref="J3566">IFERROR(INDEX('Retirement Calculator'!J:J,MATCH('Isaac 401k'!N3566,'Retirement Calculator'!A:A,0),0),0)</f>
        <v>0</v>
      </c>
      <c r="K3566" s="455">
        <f t="shared" ca="1" si="166"/>
        <v>-1889123288.1354675</v>
      </c>
      <c r="L3566" s="455">
        <f t="shared" ca="1" si="167"/>
        <v>-455278712440.64758</v>
      </c>
      <c r="M3566" s="471">
        <f t="shared" si="169"/>
        <v>0.05</v>
      </c>
      <c r="N3566" s="475">
        <f t="shared" si="170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68"/>
        <v>-455278712440.64758</v>
      </c>
      <c r="J3567" s="455">
        <f t="array" ref="J3567">IFERROR(INDEX('Retirement Calculator'!J:J,MATCH('Isaac 401k'!N3567,'Retirement Calculator'!A:A,0),0),0)</f>
        <v>0</v>
      </c>
      <c r="K3567" s="455">
        <f t="shared" ca="1" si="166"/>
        <v>-1896994635.1693649</v>
      </c>
      <c r="L3567" s="455">
        <f t="shared" ca="1" si="167"/>
        <v>-457175707075.81696</v>
      </c>
      <c r="M3567" s="471">
        <f t="shared" si="169"/>
        <v>0.05</v>
      </c>
      <c r="N3567" s="475">
        <f t="shared" si="170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68"/>
        <v>-457175707075.81696</v>
      </c>
      <c r="J3568" s="455">
        <f t="array" ref="J3568">IFERROR(INDEX('Retirement Calculator'!J:J,MATCH('Isaac 401k'!N3568,'Retirement Calculator'!A:A,0),0),0)</f>
        <v>0</v>
      </c>
      <c r="K3568" s="455">
        <f t="shared" ca="1" si="166"/>
        <v>-1904898779.4825706</v>
      </c>
      <c r="L3568" s="455">
        <f t="shared" ca="1" si="167"/>
        <v>-459080605855.2995</v>
      </c>
      <c r="M3568" s="471">
        <f t="shared" si="169"/>
        <v>0.05</v>
      </c>
      <c r="N3568" s="475">
        <f t="shared" si="170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68"/>
        <v>-459080605855.2995</v>
      </c>
      <c r="J3569" s="455">
        <f t="array" ref="J3569">IFERROR(INDEX('Retirement Calculator'!J:J,MATCH('Isaac 401k'!N3569,'Retirement Calculator'!A:A,0),0),0)</f>
        <v>0</v>
      </c>
      <c r="K3569" s="455">
        <f t="shared" ca="1" si="166"/>
        <v>-1912835857.7304144</v>
      </c>
      <c r="L3569" s="455">
        <f t="shared" ca="1" si="167"/>
        <v>-460993441713.02991</v>
      </c>
      <c r="M3569" s="471">
        <f t="shared" si="169"/>
        <v>0.05</v>
      </c>
      <c r="N3569" s="475">
        <f t="shared" si="170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68"/>
        <v>-460993441713.02991</v>
      </c>
      <c r="J3570" s="455">
        <f t="array" ref="J3570">IFERROR(INDEX('Retirement Calculator'!J:J,MATCH('Isaac 401k'!N3570,'Retirement Calculator'!A:A,0),0),0)</f>
        <v>0</v>
      </c>
      <c r="K3570" s="455">
        <f t="shared" ca="1" si="166"/>
        <v>-1920806007.1376245</v>
      </c>
      <c r="L3570" s="455">
        <f t="shared" ca="1" si="167"/>
        <v>-462914247720.16754</v>
      </c>
      <c r="M3570" s="471">
        <f t="shared" si="169"/>
        <v>0.05</v>
      </c>
      <c r="N3570" s="475">
        <f t="shared" si="170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68"/>
        <v>-462914247720.16754</v>
      </c>
      <c r="J3571" s="455">
        <f t="array" ref="J3571">IFERROR(INDEX('Retirement Calculator'!J:J,MATCH('Isaac 401k'!N3571,'Retirement Calculator'!A:A,0),0),0)</f>
        <v>0</v>
      </c>
      <c r="K3571" s="455">
        <f t="shared" ca="1" si="166"/>
        <v>-1928809365.5006981</v>
      </c>
      <c r="L3571" s="455">
        <f t="shared" ca="1" si="167"/>
        <v>-464843057085.66821</v>
      </c>
      <c r="M3571" s="471">
        <f t="shared" si="169"/>
        <v>0.05</v>
      </c>
      <c r="N3571" s="475">
        <f t="shared" si="170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68"/>
        <v>-464843057085.66821</v>
      </c>
      <c r="J3572" s="455">
        <f t="array" ref="J3572">IFERROR(INDEX('Retirement Calculator'!J:J,MATCH('Isaac 401k'!N3572,'Retirement Calculator'!A:A,0),0),0)</f>
        <v>0</v>
      </c>
      <c r="K3572" s="455">
        <f t="shared" ca="1" si="166"/>
        <v>-1936846071.1902843</v>
      </c>
      <c r="L3572" s="455">
        <f t="shared" ca="1" si="167"/>
        <v>-466779903156.85852</v>
      </c>
      <c r="M3572" s="471">
        <f t="shared" si="169"/>
        <v>0.05</v>
      </c>
      <c r="N3572" s="475">
        <f t="shared" si="170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68"/>
        <v>-466779903156.85852</v>
      </c>
      <c r="J3573" s="455">
        <f t="array" ref="J3573">IFERROR(INDEX('Retirement Calculator'!J:J,MATCH('Isaac 401k'!N3573,'Retirement Calculator'!A:A,0),0),0)</f>
        <v>0</v>
      </c>
      <c r="K3573" s="455">
        <f t="shared" ca="1" si="166"/>
        <v>-1944916263.1535771</v>
      </c>
      <c r="L3573" s="455">
        <f t="shared" ca="1" si="167"/>
        <v>-468724819420.01208</v>
      </c>
      <c r="M3573" s="471">
        <f t="shared" si="169"/>
        <v>0.05</v>
      </c>
      <c r="N3573" s="475">
        <f t="shared" si="170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68"/>
        <v>-468724819420.01208</v>
      </c>
      <c r="J3574" s="455">
        <f t="array" ref="J3574">IFERROR(INDEX('Retirement Calculator'!J:J,MATCH('Isaac 401k'!N3574,'Retirement Calculator'!A:A,0),0),0)</f>
        <v>0</v>
      </c>
      <c r="K3574" s="455">
        <f t="shared" ca="1" si="166"/>
        <v>-1953020080.9167171</v>
      </c>
      <c r="L3574" s="455">
        <f t="shared" ca="1" si="167"/>
        <v>-470677839500.92877</v>
      </c>
      <c r="M3574" s="471">
        <f t="shared" si="169"/>
        <v>0.05</v>
      </c>
      <c r="N3574" s="475">
        <f t="shared" si="170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68"/>
        <v>-470677839500.92877</v>
      </c>
      <c r="J3575" s="455">
        <f t="array" ref="J3575">IFERROR(INDEX('Retirement Calculator'!J:J,MATCH('Isaac 401k'!N3575,'Retirement Calculator'!A:A,0),0),0)</f>
        <v>0</v>
      </c>
      <c r="K3575" s="455">
        <f t="shared" ca="1" si="166"/>
        <v>-1961157664.5872033</v>
      </c>
      <c r="L3575" s="455">
        <f t="shared" ca="1" si="167"/>
        <v>-472638997165.51599</v>
      </c>
      <c r="M3575" s="471">
        <f t="shared" si="169"/>
        <v>0.05</v>
      </c>
      <c r="N3575" s="475">
        <f t="shared" si="170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68"/>
        <v>-472638997165.51599</v>
      </c>
      <c r="J3576" s="455">
        <f t="array" ref="J3576">IFERROR(INDEX('Retirement Calculator'!J:J,MATCH('Isaac 401k'!N3576,'Retirement Calculator'!A:A,0),0),0)</f>
        <v>0</v>
      </c>
      <c r="K3576" s="455">
        <f t="shared" ca="1" si="166"/>
        <v>-1969329154.8563166</v>
      </c>
      <c r="L3576" s="455">
        <f t="shared" ca="1" si="167"/>
        <v>-474608326320.37231</v>
      </c>
      <c r="M3576" s="471">
        <f t="shared" si="169"/>
        <v>0.05</v>
      </c>
      <c r="N3576" s="475">
        <f t="shared" si="170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68"/>
        <v>-474608326320.37231</v>
      </c>
      <c r="J3577" s="455">
        <f t="array" ref="J3577">IFERROR(INDEX('Retirement Calculator'!J:J,MATCH('Isaac 401k'!N3577,'Retirement Calculator'!A:A,0),0),0)</f>
        <v>0</v>
      </c>
      <c r="K3577" s="455">
        <f t="shared" ca="1" si="166"/>
        <v>-1977534693.0015514</v>
      </c>
      <c r="L3577" s="455">
        <f t="shared" ca="1" si="167"/>
        <v>-476585861013.37384</v>
      </c>
      <c r="M3577" s="471">
        <f t="shared" si="169"/>
        <v>0.05</v>
      </c>
      <c r="N3577" s="475">
        <f t="shared" si="170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68"/>
        <v>-476585861013.37384</v>
      </c>
      <c r="J3578" s="455">
        <f t="array" ref="J3578">IFERROR(INDEX('Retirement Calculator'!J:J,MATCH('Isaac 401k'!N3578,'Retirement Calculator'!A:A,0),0),0)</f>
        <v>0</v>
      </c>
      <c r="K3578" s="455">
        <f t="shared" ref="K3578:K3832" ca="1" si="171">IPMT(M3578/12,1,12,-I3578+J3578,,0)</f>
        <v>-1985774420.8890576</v>
      </c>
      <c r="L3578" s="455">
        <f t="shared" ref="L3578:L3832" ca="1" si="172">I3578-J3578+K3578</f>
        <v>-478571635434.26288</v>
      </c>
      <c r="M3578" s="471">
        <f t="shared" si="169"/>
        <v>0.05</v>
      </c>
      <c r="N3578" s="475">
        <f t="shared" si="170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73">L3578</f>
        <v>-478571635434.26288</v>
      </c>
      <c r="J3579" s="455">
        <f t="array" ref="J3579">IFERROR(INDEX('Retirement Calculator'!J:J,MATCH('Isaac 401k'!N3579,'Retirement Calculator'!A:A,0),0),0)</f>
        <v>0</v>
      </c>
      <c r="K3579" s="455">
        <f t="shared" ca="1" si="171"/>
        <v>-1994048480.9760954</v>
      </c>
      <c r="L3579" s="455">
        <f t="shared" ca="1" si="172"/>
        <v>-480565683915.23895</v>
      </c>
      <c r="M3579" s="471">
        <f t="shared" ref="M3579:M3833" si="174">M3578</f>
        <v>0.05</v>
      </c>
      <c r="N3579" s="475">
        <f t="shared" ref="N3579:N3833" si="175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73"/>
        <v>-480565683915.23895</v>
      </c>
      <c r="J3580" s="455">
        <f t="array" ref="J3580">IFERROR(INDEX('Retirement Calculator'!J:J,MATCH('Isaac 401k'!N3580,'Retirement Calculator'!A:A,0),0),0)</f>
        <v>0</v>
      </c>
      <c r="K3580" s="455">
        <f t="shared" ca="1" si="171"/>
        <v>-2002357016.3134956</v>
      </c>
      <c r="L3580" s="455">
        <f t="shared" ca="1" si="172"/>
        <v>-482568040931.55243</v>
      </c>
      <c r="M3580" s="471">
        <f t="shared" si="174"/>
        <v>0.05</v>
      </c>
      <c r="N3580" s="475">
        <f t="shared" si="175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73"/>
        <v>-482568040931.55243</v>
      </c>
      <c r="J3581" s="455">
        <f t="array" ref="J3581">IFERROR(INDEX('Retirement Calculator'!J:J,MATCH('Isaac 401k'!N3581,'Retirement Calculator'!A:A,0),0),0)</f>
        <v>0</v>
      </c>
      <c r="K3581" s="455">
        <f t="shared" ca="1" si="171"/>
        <v>-2010700170.548135</v>
      </c>
      <c r="L3581" s="455">
        <f t="shared" ca="1" si="172"/>
        <v>-484578741102.10059</v>
      </c>
      <c r="M3581" s="471">
        <f t="shared" si="174"/>
        <v>0.05</v>
      </c>
      <c r="N3581" s="475">
        <f t="shared" si="175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73"/>
        <v>-484578741102.10059</v>
      </c>
      <c r="J3582" s="455">
        <f t="array" ref="J3582">IFERROR(INDEX('Retirement Calculator'!J:J,MATCH('Isaac 401k'!N3582,'Retirement Calculator'!A:A,0),0),0)</f>
        <v>0</v>
      </c>
      <c r="K3582" s="455">
        <f t="shared" ca="1" si="171"/>
        <v>-2019078087.9254193</v>
      </c>
      <c r="L3582" s="455">
        <f t="shared" ca="1" si="172"/>
        <v>-486597819190.026</v>
      </c>
      <c r="M3582" s="471">
        <f t="shared" si="174"/>
        <v>0.05</v>
      </c>
      <c r="N3582" s="475">
        <f t="shared" si="175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73"/>
        <v>-486597819190.026</v>
      </c>
      <c r="J3583" s="455">
        <f t="array" ref="J3583">IFERROR(INDEX('Retirement Calculator'!J:J,MATCH('Isaac 401k'!N3583,'Retirement Calculator'!A:A,0),0),0)</f>
        <v>0</v>
      </c>
      <c r="K3583" s="455">
        <f t="shared" ca="1" si="171"/>
        <v>-2027490913.2917747</v>
      </c>
      <c r="L3583" s="455">
        <f t="shared" ca="1" si="172"/>
        <v>-488625310103.31775</v>
      </c>
      <c r="M3583" s="471">
        <f t="shared" si="174"/>
        <v>0.05</v>
      </c>
      <c r="N3583" s="475">
        <f t="shared" si="175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73"/>
        <v>-488625310103.31775</v>
      </c>
      <c r="J3584" s="455">
        <f t="array" ref="J3584">IFERROR(INDEX('Retirement Calculator'!J:J,MATCH('Isaac 401k'!N3584,'Retirement Calculator'!A:A,0),0),0)</f>
        <v>0</v>
      </c>
      <c r="K3584" s="455">
        <f t="shared" ca="1" si="171"/>
        <v>-2035938792.0971575</v>
      </c>
      <c r="L3584" s="455">
        <f t="shared" ca="1" si="172"/>
        <v>-490661248895.41492</v>
      </c>
      <c r="M3584" s="471">
        <f t="shared" si="174"/>
        <v>0.05</v>
      </c>
      <c r="N3584" s="475">
        <f t="shared" si="175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73"/>
        <v>-490661248895.41492</v>
      </c>
      <c r="J3585" s="455">
        <f t="array" ref="J3585">IFERROR(INDEX('Retirement Calculator'!J:J,MATCH('Isaac 401k'!N3585,'Retirement Calculator'!A:A,0),0),0)</f>
        <v>0</v>
      </c>
      <c r="K3585" s="455">
        <f t="shared" ca="1" si="171"/>
        <v>-2044421870.397562</v>
      </c>
      <c r="L3585" s="455">
        <f t="shared" ca="1" si="172"/>
        <v>-492705670765.8125</v>
      </c>
      <c r="M3585" s="471">
        <f t="shared" si="174"/>
        <v>0.05</v>
      </c>
      <c r="N3585" s="475">
        <f t="shared" si="175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73"/>
        <v>-492705670765.8125</v>
      </c>
      <c r="J3586" s="455">
        <f t="array" ref="J3586">IFERROR(INDEX('Retirement Calculator'!J:J,MATCH('Isaac 401k'!N3586,'Retirement Calculator'!A:A,0),0),0)</f>
        <v>0</v>
      </c>
      <c r="K3586" s="455">
        <f t="shared" ca="1" si="171"/>
        <v>-2052940294.8575521</v>
      </c>
      <c r="L3586" s="455">
        <f t="shared" ca="1" si="172"/>
        <v>-494758611060.67004</v>
      </c>
      <c r="M3586" s="471">
        <f t="shared" si="174"/>
        <v>0.05</v>
      </c>
      <c r="N3586" s="475">
        <f t="shared" si="175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73"/>
        <v>-494758611060.67004</v>
      </c>
      <c r="J3587" s="455">
        <f t="array" ref="J3587">IFERROR(INDEX('Retirement Calculator'!J:J,MATCH('Isaac 401k'!N3587,'Retirement Calculator'!A:A,0),0),0)</f>
        <v>0</v>
      </c>
      <c r="K3587" s="455">
        <f t="shared" ca="1" si="171"/>
        <v>-2061494212.7527916</v>
      </c>
      <c r="L3587" s="455">
        <f t="shared" ca="1" si="172"/>
        <v>-496820105273.42285</v>
      </c>
      <c r="M3587" s="471">
        <f t="shared" si="174"/>
        <v>0.05</v>
      </c>
      <c r="N3587" s="475">
        <f t="shared" si="175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73"/>
        <v>-496820105273.42285</v>
      </c>
      <c r="J3588" s="455">
        <f t="array" ref="J3588">IFERROR(INDEX('Retirement Calculator'!J:J,MATCH('Isaac 401k'!N3588,'Retirement Calculator'!A:A,0),0),0)</f>
        <v>0</v>
      </c>
      <c r="K3588" s="455">
        <f t="shared" ca="1" si="171"/>
        <v>-2070083771.9725952</v>
      </c>
      <c r="L3588" s="455">
        <f t="shared" ca="1" si="172"/>
        <v>-498890189045.39545</v>
      </c>
      <c r="M3588" s="471">
        <f t="shared" si="174"/>
        <v>0.05</v>
      </c>
      <c r="N3588" s="475">
        <f t="shared" si="175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73"/>
        <v>-498890189045.39545</v>
      </c>
      <c r="J3589" s="455">
        <f t="array" ref="J3589">IFERROR(INDEX('Retirement Calculator'!J:J,MATCH('Isaac 401k'!N3589,'Retirement Calculator'!A:A,0),0),0)</f>
        <v>0</v>
      </c>
      <c r="K3589" s="455">
        <f t="shared" ca="1" si="171"/>
        <v>-2078709121.022481</v>
      </c>
      <c r="L3589" s="455">
        <f t="shared" ca="1" si="172"/>
        <v>-500968898166.41791</v>
      </c>
      <c r="M3589" s="471">
        <f t="shared" si="174"/>
        <v>0.05</v>
      </c>
      <c r="N3589" s="475">
        <f t="shared" si="175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73"/>
        <v>-500968898166.41791</v>
      </c>
      <c r="J3590" s="455">
        <f t="array" ref="J3590">IFERROR(INDEX('Retirement Calculator'!J:J,MATCH('Isaac 401k'!N3590,'Retirement Calculator'!A:A,0),0),0)</f>
        <v>0</v>
      </c>
      <c r="K3590" s="455">
        <f t="shared" ca="1" si="171"/>
        <v>-2087370409.0267415</v>
      </c>
      <c r="L3590" s="455">
        <f t="shared" ca="1" si="172"/>
        <v>-503056268575.44464</v>
      </c>
      <c r="M3590" s="471">
        <f t="shared" si="174"/>
        <v>0.05</v>
      </c>
      <c r="N3590" s="475">
        <f t="shared" si="175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73"/>
        <v>-503056268575.44464</v>
      </c>
      <c r="J3591" s="455">
        <f t="array" ref="J3591">IFERROR(INDEX('Retirement Calculator'!J:J,MATCH('Isaac 401k'!N3591,'Retirement Calculator'!A:A,0),0),0)</f>
        <v>0</v>
      </c>
      <c r="K3591" s="455">
        <f t="shared" ca="1" si="171"/>
        <v>-2096067785.7310193</v>
      </c>
      <c r="L3591" s="455">
        <f t="shared" ca="1" si="172"/>
        <v>-505152336361.17566</v>
      </c>
      <c r="M3591" s="471">
        <f t="shared" si="174"/>
        <v>0.05</v>
      </c>
      <c r="N3591" s="475">
        <f t="shared" si="175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73"/>
        <v>-505152336361.17566</v>
      </c>
      <c r="J3592" s="455">
        <f t="array" ref="J3592">IFERROR(INDEX('Retirement Calculator'!J:J,MATCH('Isaac 401k'!N3592,'Retirement Calculator'!A:A,0),0),0)</f>
        <v>0</v>
      </c>
      <c r="K3592" s="455">
        <f t="shared" ca="1" si="171"/>
        <v>-2104801401.5048985</v>
      </c>
      <c r="L3592" s="455">
        <f t="shared" ca="1" si="172"/>
        <v>-507257137762.68054</v>
      </c>
      <c r="M3592" s="471">
        <f t="shared" si="174"/>
        <v>0.05</v>
      </c>
      <c r="N3592" s="475">
        <f t="shared" si="175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73"/>
        <v>-507257137762.68054</v>
      </c>
      <c r="J3593" s="455">
        <f t="array" ref="J3593">IFERROR(INDEX('Retirement Calculator'!J:J,MATCH('Isaac 401k'!N3593,'Retirement Calculator'!A:A,0),0),0)</f>
        <v>0</v>
      </c>
      <c r="K3593" s="455">
        <f t="shared" ca="1" si="171"/>
        <v>-2113571407.3445024</v>
      </c>
      <c r="L3593" s="455">
        <f t="shared" ca="1" si="172"/>
        <v>-509370709170.02502</v>
      </c>
      <c r="M3593" s="471">
        <f t="shared" si="174"/>
        <v>0.05</v>
      </c>
      <c r="N3593" s="475">
        <f t="shared" si="175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73"/>
        <v>-509370709170.02502</v>
      </c>
      <c r="J3594" s="455">
        <f t="array" ref="J3594">IFERROR(INDEX('Retirement Calculator'!J:J,MATCH('Isaac 401k'!N3594,'Retirement Calculator'!A:A,0),0),0)</f>
        <v>0</v>
      </c>
      <c r="K3594" s="455">
        <f t="shared" ca="1" si="171"/>
        <v>-2122377954.8751042</v>
      </c>
      <c r="L3594" s="455">
        <f t="shared" ca="1" si="172"/>
        <v>-511493087124.90015</v>
      </c>
      <c r="M3594" s="471">
        <f t="shared" si="174"/>
        <v>0.05</v>
      </c>
      <c r="N3594" s="475">
        <f t="shared" si="175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73"/>
        <v>-511493087124.90015</v>
      </c>
      <c r="J3595" s="455">
        <f t="array" ref="J3595">IFERROR(INDEX('Retirement Calculator'!J:J,MATCH('Isaac 401k'!N3595,'Retirement Calculator'!A:A,0),0),0)</f>
        <v>0</v>
      </c>
      <c r="K3595" s="455">
        <f t="shared" ca="1" si="171"/>
        <v>-2131221196.3537505</v>
      </c>
      <c r="L3595" s="455">
        <f t="shared" ca="1" si="172"/>
        <v>-513624308321.25391</v>
      </c>
      <c r="M3595" s="471">
        <f t="shared" si="174"/>
        <v>0.05</v>
      </c>
      <c r="N3595" s="475">
        <f t="shared" si="175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73"/>
        <v>-513624308321.25391</v>
      </c>
      <c r="J3596" s="455">
        <f t="array" ref="J3596">IFERROR(INDEX('Retirement Calculator'!J:J,MATCH('Isaac 401k'!N3596,'Retirement Calculator'!A:A,0),0),0)</f>
        <v>0</v>
      </c>
      <c r="K3596" s="455">
        <f t="shared" ca="1" si="171"/>
        <v>-2140101284.6718915</v>
      </c>
      <c r="L3596" s="455">
        <f t="shared" ca="1" si="172"/>
        <v>-515764409605.92578</v>
      </c>
      <c r="M3596" s="471">
        <f t="shared" si="174"/>
        <v>0.05</v>
      </c>
      <c r="N3596" s="475">
        <f t="shared" si="175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73"/>
        <v>-515764409605.92578</v>
      </c>
      <c r="J3597" s="455">
        <f t="array" ref="J3597">IFERROR(INDEX('Retirement Calculator'!J:J,MATCH('Isaac 401k'!N3597,'Retirement Calculator'!A:A,0),0),0)</f>
        <v>0</v>
      </c>
      <c r="K3597" s="455">
        <f t="shared" ca="1" si="171"/>
        <v>-2149018373.3580241</v>
      </c>
      <c r="L3597" s="455">
        <f t="shared" ca="1" si="172"/>
        <v>-517913427979.28381</v>
      </c>
      <c r="M3597" s="471">
        <f t="shared" si="174"/>
        <v>0.05</v>
      </c>
      <c r="N3597" s="475">
        <f t="shared" si="175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73"/>
        <v>-517913427979.28381</v>
      </c>
      <c r="J3598" s="455">
        <f t="array" ref="J3598">IFERROR(INDEX('Retirement Calculator'!J:J,MATCH('Isaac 401k'!N3598,'Retirement Calculator'!A:A,0),0),0)</f>
        <v>0</v>
      </c>
      <c r="K3598" s="455">
        <f t="shared" ca="1" si="171"/>
        <v>-2157972616.580349</v>
      </c>
      <c r="L3598" s="455">
        <f t="shared" ca="1" si="172"/>
        <v>-520071400595.86414</v>
      </c>
      <c r="M3598" s="471">
        <f t="shared" si="174"/>
        <v>0.05</v>
      </c>
      <c r="N3598" s="475">
        <f t="shared" si="175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73"/>
        <v>-520071400595.86414</v>
      </c>
      <c r="J3599" s="455">
        <f t="array" ref="J3599">IFERROR(INDEX('Retirement Calculator'!J:J,MATCH('Isaac 401k'!N3599,'Retirement Calculator'!A:A,0),0),0)</f>
        <v>0</v>
      </c>
      <c r="K3599" s="455">
        <f t="shared" ca="1" si="171"/>
        <v>-2166964169.1494336</v>
      </c>
      <c r="L3599" s="455">
        <f t="shared" ca="1" si="172"/>
        <v>-522238364765.01355</v>
      </c>
      <c r="M3599" s="471">
        <f t="shared" si="174"/>
        <v>0.05</v>
      </c>
      <c r="N3599" s="475">
        <f t="shared" si="175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73"/>
        <v>-522238364765.01355</v>
      </c>
      <c r="J3600" s="455">
        <f t="array" ref="J3600">IFERROR(INDEX('Retirement Calculator'!J:J,MATCH('Isaac 401k'!N3600,'Retirement Calculator'!A:A,0),0),0)</f>
        <v>0</v>
      </c>
      <c r="K3600" s="455">
        <f t="shared" ca="1" si="171"/>
        <v>-2175993186.5208898</v>
      </c>
      <c r="L3600" s="455">
        <f t="shared" ca="1" si="172"/>
        <v>-524414357951.53442</v>
      </c>
      <c r="M3600" s="471">
        <f t="shared" si="174"/>
        <v>0.05</v>
      </c>
      <c r="N3600" s="475">
        <f t="shared" si="175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73"/>
        <v>-524414357951.53442</v>
      </c>
      <c r="J3601" s="455">
        <f t="array" ref="J3601">IFERROR(INDEX('Retirement Calculator'!J:J,MATCH('Isaac 401k'!N3601,'Retirement Calculator'!A:A,0),0),0)</f>
        <v>0</v>
      </c>
      <c r="K3601" s="455">
        <f t="shared" ca="1" si="171"/>
        <v>-2185059824.7980599</v>
      </c>
      <c r="L3601" s="455">
        <f t="shared" ca="1" si="172"/>
        <v>-526599417776.33246</v>
      </c>
      <c r="M3601" s="471">
        <f t="shared" si="174"/>
        <v>0.05</v>
      </c>
      <c r="N3601" s="475">
        <f t="shared" si="175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73"/>
        <v>-526599417776.33246</v>
      </c>
      <c r="J3602" s="455">
        <f t="array" ref="J3602">IFERROR(INDEX('Retirement Calculator'!J:J,MATCH('Isaac 401k'!N3602,'Retirement Calculator'!A:A,0),0),0)</f>
        <v>0</v>
      </c>
      <c r="K3602" s="455">
        <f t="shared" ca="1" si="171"/>
        <v>-2194164240.7347183</v>
      </c>
      <c r="L3602" s="455">
        <f t="shared" ca="1" si="172"/>
        <v>-528793582017.0672</v>
      </c>
      <c r="M3602" s="471">
        <f t="shared" si="174"/>
        <v>0.05</v>
      </c>
      <c r="N3602" s="475">
        <f t="shared" si="175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73"/>
        <v>-528793582017.0672</v>
      </c>
      <c r="J3603" s="455">
        <f t="array" ref="J3603">IFERROR(INDEX('Retirement Calculator'!J:J,MATCH('Isaac 401k'!N3603,'Retirement Calculator'!A:A,0),0),0)</f>
        <v>0</v>
      </c>
      <c r="K3603" s="455">
        <f t="shared" ca="1" si="171"/>
        <v>-2203306591.7377801</v>
      </c>
      <c r="L3603" s="455">
        <f t="shared" ca="1" si="172"/>
        <v>-530996888608.80499</v>
      </c>
      <c r="M3603" s="471">
        <f t="shared" si="174"/>
        <v>0.05</v>
      </c>
      <c r="N3603" s="475">
        <f t="shared" si="175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73"/>
        <v>-530996888608.80499</v>
      </c>
      <c r="J3604" s="455">
        <f t="array" ref="J3604">IFERROR(INDEX('Retirement Calculator'!J:J,MATCH('Isaac 401k'!N3604,'Retirement Calculator'!A:A,0),0),0)</f>
        <v>0</v>
      </c>
      <c r="K3604" s="455">
        <f t="shared" ca="1" si="171"/>
        <v>-2212487035.8700209</v>
      </c>
      <c r="L3604" s="455">
        <f t="shared" ca="1" si="172"/>
        <v>-533209375644.67499</v>
      </c>
      <c r="M3604" s="471">
        <f t="shared" si="174"/>
        <v>0.05</v>
      </c>
      <c r="N3604" s="475">
        <f t="shared" si="175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73"/>
        <v>-533209375644.67499</v>
      </c>
      <c r="J3605" s="455">
        <f t="array" ref="J3605">IFERROR(INDEX('Retirement Calculator'!J:J,MATCH('Isaac 401k'!N3605,'Retirement Calculator'!A:A,0),0),0)</f>
        <v>0</v>
      </c>
      <c r="K3605" s="455">
        <f t="shared" ca="1" si="171"/>
        <v>-2221705731.8528123</v>
      </c>
      <c r="L3605" s="455">
        <f t="shared" ca="1" si="172"/>
        <v>-535431081376.52777</v>
      </c>
      <c r="M3605" s="471">
        <f t="shared" si="174"/>
        <v>0.05</v>
      </c>
      <c r="N3605" s="475">
        <f t="shared" si="175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73"/>
        <v>-535431081376.52777</v>
      </c>
      <c r="J3606" s="455">
        <f t="array" ref="J3606">IFERROR(INDEX('Retirement Calculator'!J:J,MATCH('Isaac 401k'!N3606,'Retirement Calculator'!A:A,0),0),0)</f>
        <v>0</v>
      </c>
      <c r="K3606" s="455">
        <f t="shared" ca="1" si="171"/>
        <v>-2230962839.0688658</v>
      </c>
      <c r="L3606" s="455">
        <f t="shared" ca="1" si="172"/>
        <v>-537662044215.59662</v>
      </c>
      <c r="M3606" s="471">
        <f t="shared" si="174"/>
        <v>0.05</v>
      </c>
      <c r="N3606" s="475">
        <f t="shared" si="175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73"/>
        <v>-537662044215.59662</v>
      </c>
      <c r="J3607" s="455">
        <f t="array" ref="J3607">IFERROR(INDEX('Retirement Calculator'!J:J,MATCH('Isaac 401k'!N3607,'Retirement Calculator'!A:A,0),0),0)</f>
        <v>0</v>
      </c>
      <c r="K3607" s="455">
        <f t="shared" ca="1" si="171"/>
        <v>-2240258517.5649858</v>
      </c>
      <c r="L3607" s="455">
        <f t="shared" ca="1" si="172"/>
        <v>-539902302733.16162</v>
      </c>
      <c r="M3607" s="471">
        <f t="shared" si="174"/>
        <v>0.05</v>
      </c>
      <c r="N3607" s="475">
        <f t="shared" si="175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73"/>
        <v>-539902302733.16162</v>
      </c>
      <c r="J3608" s="455">
        <f t="array" ref="J3608">IFERROR(INDEX('Retirement Calculator'!J:J,MATCH('Isaac 401k'!N3608,'Retirement Calculator'!A:A,0),0),0)</f>
        <v>0</v>
      </c>
      <c r="K3608" s="455">
        <f t="shared" ca="1" si="171"/>
        <v>-2249592928.0548401</v>
      </c>
      <c r="L3608" s="455">
        <f t="shared" ca="1" si="172"/>
        <v>-542151895661.21643</v>
      </c>
      <c r="M3608" s="471">
        <f t="shared" si="174"/>
        <v>0.05</v>
      </c>
      <c r="N3608" s="475">
        <f t="shared" si="175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73"/>
        <v>-542151895661.21643</v>
      </c>
      <c r="J3609" s="455">
        <f t="array" ref="J3609">IFERROR(INDEX('Retirement Calculator'!J:J,MATCH('Isaac 401k'!N3609,'Retirement Calculator'!A:A,0),0),0)</f>
        <v>0</v>
      </c>
      <c r="K3609" s="455">
        <f t="shared" ca="1" si="171"/>
        <v>-2258966231.9217353</v>
      </c>
      <c r="L3609" s="455">
        <f t="shared" ca="1" si="172"/>
        <v>-544410861893.13818</v>
      </c>
      <c r="M3609" s="471">
        <f t="shared" si="174"/>
        <v>0.05</v>
      </c>
      <c r="N3609" s="475">
        <f t="shared" si="175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73"/>
        <v>-544410861893.13818</v>
      </c>
      <c r="J3610" s="455">
        <f t="array" ref="J3610">IFERROR(INDEX('Retirement Calculator'!J:J,MATCH('Isaac 401k'!N3610,'Retirement Calculator'!A:A,0),0),0)</f>
        <v>0</v>
      </c>
      <c r="K3610" s="455">
        <f t="shared" ca="1" si="171"/>
        <v>-2268378591.2214088</v>
      </c>
      <c r="L3610" s="455">
        <f t="shared" ca="1" si="172"/>
        <v>-546679240484.35962</v>
      </c>
      <c r="M3610" s="471">
        <f t="shared" si="174"/>
        <v>0.05</v>
      </c>
      <c r="N3610" s="475">
        <f t="shared" si="175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73"/>
        <v>-546679240484.35962</v>
      </c>
      <c r="J3611" s="455">
        <f t="array" ref="J3611">IFERROR(INDEX('Retirement Calculator'!J:J,MATCH('Isaac 401k'!N3611,'Retirement Calculator'!A:A,0),0),0)</f>
        <v>0</v>
      </c>
      <c r="K3611" s="455">
        <f t="shared" ca="1" si="171"/>
        <v>-2277830168.6848316</v>
      </c>
      <c r="L3611" s="455">
        <f t="shared" ca="1" si="172"/>
        <v>-548957070653.04443</v>
      </c>
      <c r="M3611" s="471">
        <f t="shared" si="174"/>
        <v>0.05</v>
      </c>
      <c r="N3611" s="475">
        <f t="shared" si="175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73"/>
        <v>-548957070653.04443</v>
      </c>
      <c r="J3612" s="455">
        <f t="array" ref="J3612">IFERROR(INDEX('Retirement Calculator'!J:J,MATCH('Isaac 401k'!N3612,'Retirement Calculator'!A:A,0),0),0)</f>
        <v>0</v>
      </c>
      <c r="K3612" s="455">
        <f t="shared" ca="1" si="171"/>
        <v>-2287321127.7210183</v>
      </c>
      <c r="L3612" s="455">
        <f t="shared" ca="1" si="172"/>
        <v>-551244391780.7655</v>
      </c>
      <c r="M3612" s="471">
        <f t="shared" si="174"/>
        <v>0.05</v>
      </c>
      <c r="N3612" s="475">
        <f t="shared" si="175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73"/>
        <v>-551244391780.7655</v>
      </c>
      <c r="J3613" s="455">
        <f t="array" ref="J3613">IFERROR(INDEX('Retirement Calculator'!J:J,MATCH('Isaac 401k'!N3613,'Retirement Calculator'!A:A,0),0),0)</f>
        <v>0</v>
      </c>
      <c r="K3613" s="455">
        <f t="shared" ca="1" si="171"/>
        <v>-2296851632.4198561</v>
      </c>
      <c r="L3613" s="455">
        <f t="shared" ca="1" si="172"/>
        <v>-553541243413.1853</v>
      </c>
      <c r="M3613" s="471">
        <f t="shared" si="174"/>
        <v>0.05</v>
      </c>
      <c r="N3613" s="475">
        <f t="shared" si="175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73"/>
        <v>-553541243413.1853</v>
      </c>
      <c r="J3614" s="455">
        <f t="array" ref="J3614">IFERROR(INDEX('Retirement Calculator'!J:J,MATCH('Isaac 401k'!N3614,'Retirement Calculator'!A:A,0),0),0)</f>
        <v>0</v>
      </c>
      <c r="K3614" s="455">
        <f t="shared" ca="1" si="171"/>
        <v>-2306421847.5549388</v>
      </c>
      <c r="L3614" s="455">
        <f t="shared" ca="1" si="172"/>
        <v>-555847665260.74023</v>
      </c>
      <c r="M3614" s="471">
        <f t="shared" si="174"/>
        <v>0.05</v>
      </c>
      <c r="N3614" s="475">
        <f t="shared" si="175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73"/>
        <v>-555847665260.74023</v>
      </c>
      <c r="J3615" s="455">
        <f t="array" ref="J3615">IFERROR(INDEX('Retirement Calculator'!J:J,MATCH('Isaac 401k'!N3615,'Retirement Calculator'!A:A,0),0),0)</f>
        <v>0</v>
      </c>
      <c r="K3615" s="455">
        <f t="shared" ca="1" si="171"/>
        <v>-2316031938.5864177</v>
      </c>
      <c r="L3615" s="455">
        <f t="shared" ca="1" si="172"/>
        <v>-558163697199.32666</v>
      </c>
      <c r="M3615" s="471">
        <f t="shared" si="174"/>
        <v>0.05</v>
      </c>
      <c r="N3615" s="475">
        <f t="shared" si="175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73"/>
        <v>-558163697199.32666</v>
      </c>
      <c r="J3616" s="455">
        <f t="array" ref="J3616">IFERROR(INDEX('Retirement Calculator'!J:J,MATCH('Isaac 401k'!N3616,'Retirement Calculator'!A:A,0),0),0)</f>
        <v>0</v>
      </c>
      <c r="K3616" s="455">
        <f t="shared" ca="1" si="171"/>
        <v>-2325682071.6638613</v>
      </c>
      <c r="L3616" s="455">
        <f t="shared" ca="1" si="172"/>
        <v>-560489379270.99048</v>
      </c>
      <c r="M3616" s="471">
        <f t="shared" si="174"/>
        <v>0.05</v>
      </c>
      <c r="N3616" s="475">
        <f t="shared" si="175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73"/>
        <v>-560489379270.99048</v>
      </c>
      <c r="J3617" s="455">
        <f t="array" ref="J3617">IFERROR(INDEX('Retirement Calculator'!J:J,MATCH('Isaac 401k'!N3617,'Retirement Calculator'!A:A,0),0),0)</f>
        <v>0</v>
      </c>
      <c r="K3617" s="455">
        <f t="shared" ca="1" si="171"/>
        <v>-2335372413.629127</v>
      </c>
      <c r="L3617" s="455">
        <f t="shared" ca="1" si="172"/>
        <v>-562824751684.61963</v>
      </c>
      <c r="M3617" s="471">
        <f t="shared" si="174"/>
        <v>0.05</v>
      </c>
      <c r="N3617" s="475">
        <f t="shared" si="175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73"/>
        <v>-562824751684.61963</v>
      </c>
      <c r="J3618" s="455">
        <f t="array" ref="J3618">IFERROR(INDEX('Retirement Calculator'!J:J,MATCH('Isaac 401k'!N3618,'Retirement Calculator'!A:A,0),0),0)</f>
        <v>0</v>
      </c>
      <c r="K3618" s="455">
        <f t="shared" ca="1" si="171"/>
        <v>-2345103132.0192485</v>
      </c>
      <c r="L3618" s="455">
        <f t="shared" ca="1" si="172"/>
        <v>-565169854816.63892</v>
      </c>
      <c r="M3618" s="471">
        <f t="shared" si="174"/>
        <v>0.05</v>
      </c>
      <c r="N3618" s="475">
        <f t="shared" si="175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73"/>
        <v>-565169854816.63892</v>
      </c>
      <c r="J3619" s="455">
        <f t="array" ref="J3619">IFERROR(INDEX('Retirement Calculator'!J:J,MATCH('Isaac 401k'!N3619,'Retirement Calculator'!A:A,0),0),0)</f>
        <v>0</v>
      </c>
      <c r="K3619" s="455">
        <f t="shared" ca="1" si="171"/>
        <v>-2354874395.0693288</v>
      </c>
      <c r="L3619" s="455">
        <f t="shared" ca="1" si="172"/>
        <v>-567524729211.70825</v>
      </c>
      <c r="M3619" s="471">
        <f t="shared" si="174"/>
        <v>0.05</v>
      </c>
      <c r="N3619" s="475">
        <f t="shared" si="175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73"/>
        <v>-567524729211.70825</v>
      </c>
      <c r="J3620" s="455">
        <f t="array" ref="J3620">IFERROR(INDEX('Retirement Calculator'!J:J,MATCH('Isaac 401k'!N3620,'Retirement Calculator'!A:A,0),0),0)</f>
        <v>0</v>
      </c>
      <c r="K3620" s="455">
        <f t="shared" ca="1" si="171"/>
        <v>-2364686371.7154512</v>
      </c>
      <c r="L3620" s="455">
        <f t="shared" ca="1" si="172"/>
        <v>-569889415583.42371</v>
      </c>
      <c r="M3620" s="471">
        <f t="shared" si="174"/>
        <v>0.05</v>
      </c>
      <c r="N3620" s="475">
        <f t="shared" si="175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73"/>
        <v>-569889415583.42371</v>
      </c>
      <c r="J3621" s="455">
        <f t="array" ref="J3621">IFERROR(INDEX('Retirement Calculator'!J:J,MATCH('Isaac 401k'!N3621,'Retirement Calculator'!A:A,0),0),0)</f>
        <v>0</v>
      </c>
      <c r="K3621" s="455">
        <f t="shared" ca="1" si="171"/>
        <v>-2374539231.5975986</v>
      </c>
      <c r="L3621" s="455">
        <f t="shared" ca="1" si="172"/>
        <v>-572263954815.02136</v>
      </c>
      <c r="M3621" s="471">
        <f t="shared" si="174"/>
        <v>0.05</v>
      </c>
      <c r="N3621" s="475">
        <f t="shared" si="175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73"/>
        <v>-572263954815.02136</v>
      </c>
      <c r="J3622" s="455">
        <f t="array" ref="J3622">IFERROR(INDEX('Retirement Calculator'!J:J,MATCH('Isaac 401k'!N3622,'Retirement Calculator'!A:A,0),0),0)</f>
        <v>0</v>
      </c>
      <c r="K3622" s="455">
        <f t="shared" ca="1" si="171"/>
        <v>-2384433145.0625892</v>
      </c>
      <c r="L3622" s="455">
        <f t="shared" ca="1" si="172"/>
        <v>-574648387960.08398</v>
      </c>
      <c r="M3622" s="471">
        <f t="shared" si="174"/>
        <v>0.05</v>
      </c>
      <c r="N3622" s="475">
        <f t="shared" si="175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73"/>
        <v>-574648387960.08398</v>
      </c>
      <c r="J3623" s="455">
        <f t="array" ref="J3623">IFERROR(INDEX('Retirement Calculator'!J:J,MATCH('Isaac 401k'!N3623,'Retirement Calculator'!A:A,0),0),0)</f>
        <v>0</v>
      </c>
      <c r="K3623" s="455">
        <f t="shared" ca="1" si="171"/>
        <v>-2394368283.1670165</v>
      </c>
      <c r="L3623" s="455">
        <f t="shared" ca="1" si="172"/>
        <v>-577042756243.25098</v>
      </c>
      <c r="M3623" s="471">
        <f t="shared" si="174"/>
        <v>0.05</v>
      </c>
      <c r="N3623" s="475">
        <f t="shared" si="175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73"/>
        <v>-577042756243.25098</v>
      </c>
      <c r="J3624" s="455">
        <f t="array" ref="J3624">IFERROR(INDEX('Retirement Calculator'!J:J,MATCH('Isaac 401k'!N3624,'Retirement Calculator'!A:A,0),0),0)</f>
        <v>0</v>
      </c>
      <c r="K3624" s="455">
        <f t="shared" ca="1" si="171"/>
        <v>-2404344817.6802125</v>
      </c>
      <c r="L3624" s="455">
        <f t="shared" ca="1" si="172"/>
        <v>-579447101060.93115</v>
      </c>
      <c r="M3624" s="471">
        <f t="shared" si="174"/>
        <v>0.05</v>
      </c>
      <c r="N3624" s="475">
        <f t="shared" si="175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73"/>
        <v>-579447101060.93115</v>
      </c>
      <c r="J3625" s="455">
        <f t="array" ref="J3625">IFERROR(INDEX('Retirement Calculator'!J:J,MATCH('Isaac 401k'!N3625,'Retirement Calculator'!A:A,0),0),0)</f>
        <v>0</v>
      </c>
      <c r="K3625" s="455">
        <f t="shared" ca="1" si="171"/>
        <v>-2414362921.087213</v>
      </c>
      <c r="L3625" s="455">
        <f t="shared" ca="1" si="172"/>
        <v>-581861463982.01831</v>
      </c>
      <c r="M3625" s="471">
        <f t="shared" si="174"/>
        <v>0.05</v>
      </c>
      <c r="N3625" s="475">
        <f t="shared" si="175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73"/>
        <v>-581861463982.01831</v>
      </c>
      <c r="J3626" s="455">
        <f t="array" ref="J3626">IFERROR(INDEX('Retirement Calculator'!J:J,MATCH('Isaac 401k'!N3626,'Retirement Calculator'!A:A,0),0),0)</f>
        <v>0</v>
      </c>
      <c r="K3626" s="455">
        <f t="shared" ca="1" si="171"/>
        <v>-2424422766.591743</v>
      </c>
      <c r="L3626" s="455">
        <f t="shared" ca="1" si="172"/>
        <v>-584285886748.61011</v>
      </c>
      <c r="M3626" s="471">
        <f t="shared" si="174"/>
        <v>0.05</v>
      </c>
      <c r="N3626" s="475">
        <f t="shared" si="175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73"/>
        <v>-584285886748.61011</v>
      </c>
      <c r="J3627" s="455">
        <f t="array" ref="J3627">IFERROR(INDEX('Retirement Calculator'!J:J,MATCH('Isaac 401k'!N3627,'Retirement Calculator'!A:A,0),0),0)</f>
        <v>0</v>
      </c>
      <c r="K3627" s="455">
        <f t="shared" ca="1" si="171"/>
        <v>-2434524528.1192088</v>
      </c>
      <c r="L3627" s="455">
        <f t="shared" ca="1" si="172"/>
        <v>-586720411276.72937</v>
      </c>
      <c r="M3627" s="471">
        <f t="shared" si="174"/>
        <v>0.05</v>
      </c>
      <c r="N3627" s="475">
        <f t="shared" si="175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73"/>
        <v>-586720411276.72937</v>
      </c>
      <c r="J3628" s="455">
        <f t="array" ref="J3628">IFERROR(INDEX('Retirement Calculator'!J:J,MATCH('Isaac 401k'!N3628,'Retirement Calculator'!A:A,0),0),0)</f>
        <v>0</v>
      </c>
      <c r="K3628" s="455">
        <f t="shared" ca="1" si="171"/>
        <v>-2444668380.3197055</v>
      </c>
      <c r="L3628" s="455">
        <f t="shared" ca="1" si="172"/>
        <v>-589165079657.04907</v>
      </c>
      <c r="M3628" s="471">
        <f t="shared" si="174"/>
        <v>0.05</v>
      </c>
      <c r="N3628" s="475">
        <f t="shared" si="175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73"/>
        <v>-589165079657.04907</v>
      </c>
      <c r="J3629" s="455">
        <f t="array" ref="J3629">IFERROR(INDEX('Retirement Calculator'!J:J,MATCH('Isaac 401k'!N3629,'Retirement Calculator'!A:A,0),0),0)</f>
        <v>0</v>
      </c>
      <c r="K3629" s="455">
        <f t="shared" ca="1" si="171"/>
        <v>-2454854498.5710378</v>
      </c>
      <c r="L3629" s="455">
        <f t="shared" ca="1" si="172"/>
        <v>-591619934155.62012</v>
      </c>
      <c r="M3629" s="471">
        <f t="shared" si="174"/>
        <v>0.05</v>
      </c>
      <c r="N3629" s="475">
        <f t="shared" si="175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73"/>
        <v>-591619934155.62012</v>
      </c>
      <c r="J3630" s="455">
        <f t="array" ref="J3630">IFERROR(INDEX('Retirement Calculator'!J:J,MATCH('Isaac 401k'!N3630,'Retirement Calculator'!A:A,0),0),0)</f>
        <v>0</v>
      </c>
      <c r="K3630" s="455">
        <f t="shared" ca="1" si="171"/>
        <v>-2465083058.9817505</v>
      </c>
      <c r="L3630" s="455">
        <f t="shared" ca="1" si="172"/>
        <v>-594085017214.60181</v>
      </c>
      <c r="M3630" s="471">
        <f t="shared" si="174"/>
        <v>0.05</v>
      </c>
      <c r="N3630" s="475">
        <f t="shared" si="175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73"/>
        <v>-594085017214.60181</v>
      </c>
      <c r="J3631" s="455">
        <f t="array" ref="J3631">IFERROR(INDEX('Retirement Calculator'!J:J,MATCH('Isaac 401k'!N3631,'Retirement Calculator'!A:A,0),0),0)</f>
        <v>0</v>
      </c>
      <c r="K3631" s="455">
        <f t="shared" ca="1" si="171"/>
        <v>-2475354238.3941741</v>
      </c>
      <c r="L3631" s="455">
        <f t="shared" ca="1" si="172"/>
        <v>-596560371452.99597</v>
      </c>
      <c r="M3631" s="471">
        <f t="shared" si="174"/>
        <v>0.05</v>
      </c>
      <c r="N3631" s="475">
        <f t="shared" si="175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73"/>
        <v>-596560371452.99597</v>
      </c>
      <c r="J3632" s="455">
        <f t="array" ref="J3632">IFERROR(INDEX('Retirement Calculator'!J:J,MATCH('Isaac 401k'!N3632,'Retirement Calculator'!A:A,0),0),0)</f>
        <v>0</v>
      </c>
      <c r="K3632" s="455">
        <f t="shared" ca="1" si="171"/>
        <v>-2485668214.3874831</v>
      </c>
      <c r="L3632" s="455">
        <f t="shared" ca="1" si="172"/>
        <v>-599046039667.38342</v>
      </c>
      <c r="M3632" s="471">
        <f t="shared" si="174"/>
        <v>0.05</v>
      </c>
      <c r="N3632" s="475">
        <f t="shared" si="175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73"/>
        <v>-599046039667.38342</v>
      </c>
      <c r="J3633" s="455">
        <f t="array" ref="J3633">IFERROR(INDEX('Retirement Calculator'!J:J,MATCH('Isaac 401k'!N3633,'Retirement Calculator'!A:A,0),0),0)</f>
        <v>0</v>
      </c>
      <c r="K3633" s="455">
        <f t="shared" ca="1" si="171"/>
        <v>-2496025165.2807641</v>
      </c>
      <c r="L3633" s="455">
        <f t="shared" ca="1" si="172"/>
        <v>-601542064832.66418</v>
      </c>
      <c r="M3633" s="471">
        <f t="shared" si="174"/>
        <v>0.05</v>
      </c>
      <c r="N3633" s="475">
        <f t="shared" si="175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73"/>
        <v>-601542064832.66418</v>
      </c>
      <c r="J3634" s="455">
        <f t="array" ref="J3634">IFERROR(INDEX('Retirement Calculator'!J:J,MATCH('Isaac 401k'!N3634,'Retirement Calculator'!A:A,0),0),0)</f>
        <v>0</v>
      </c>
      <c r="K3634" s="455">
        <f t="shared" ca="1" si="171"/>
        <v>-2506425270.1361008</v>
      </c>
      <c r="L3634" s="455">
        <f t="shared" ca="1" si="172"/>
        <v>-604048490102.80029</v>
      </c>
      <c r="M3634" s="471">
        <f t="shared" si="174"/>
        <v>0.05</v>
      </c>
      <c r="N3634" s="475">
        <f t="shared" si="175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73"/>
        <v>-604048490102.80029</v>
      </c>
      <c r="J3635" s="455">
        <f t="array" ref="J3635">IFERROR(INDEX('Retirement Calculator'!J:J,MATCH('Isaac 401k'!N3635,'Retirement Calculator'!A:A,0),0),0)</f>
        <v>0</v>
      </c>
      <c r="K3635" s="455">
        <f t="shared" ca="1" si="171"/>
        <v>-2516868708.7616677</v>
      </c>
      <c r="L3635" s="455">
        <f t="shared" ca="1" si="172"/>
        <v>-606565358811.56201</v>
      </c>
      <c r="M3635" s="471">
        <f t="shared" si="174"/>
        <v>0.05</v>
      </c>
      <c r="N3635" s="475">
        <f t="shared" si="175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73"/>
        <v>-606565358811.56201</v>
      </c>
      <c r="J3636" s="455">
        <f t="array" ref="J3636">IFERROR(INDEX('Retirement Calculator'!J:J,MATCH('Isaac 401k'!N3636,'Retirement Calculator'!A:A,0),0),0)</f>
        <v>0</v>
      </c>
      <c r="K3636" s="455">
        <f t="shared" ca="1" si="171"/>
        <v>-2527355661.7148418</v>
      </c>
      <c r="L3636" s="455">
        <f t="shared" ca="1" si="172"/>
        <v>-609092714473.27686</v>
      </c>
      <c r="M3636" s="471">
        <f t="shared" si="174"/>
        <v>0.05</v>
      </c>
      <c r="N3636" s="475">
        <f t="shared" si="175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73"/>
        <v>-609092714473.27686</v>
      </c>
      <c r="J3637" s="455">
        <f t="array" ref="J3637">IFERROR(INDEX('Retirement Calculator'!J:J,MATCH('Isaac 401k'!N3637,'Retirement Calculator'!A:A,0),0),0)</f>
        <v>0</v>
      </c>
      <c r="K3637" s="455">
        <f t="shared" ca="1" si="171"/>
        <v>-2537886310.3053203</v>
      </c>
      <c r="L3637" s="455">
        <f t="shared" ca="1" si="172"/>
        <v>-611630600783.58215</v>
      </c>
      <c r="M3637" s="471">
        <f t="shared" si="174"/>
        <v>0.05</v>
      </c>
      <c r="N3637" s="475">
        <f t="shared" si="175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73"/>
        <v>-611630600783.58215</v>
      </c>
      <c r="J3638" s="455">
        <f t="array" ref="J3638">IFERROR(INDEX('Retirement Calculator'!J:J,MATCH('Isaac 401k'!N3638,'Retirement Calculator'!A:A,0),0),0)</f>
        <v>0</v>
      </c>
      <c r="K3638" s="455">
        <f t="shared" ca="1" si="171"/>
        <v>-2548460836.598259</v>
      </c>
      <c r="L3638" s="455">
        <f t="shared" ca="1" si="172"/>
        <v>-614179061620.18042</v>
      </c>
      <c r="M3638" s="471">
        <f t="shared" si="174"/>
        <v>0.05</v>
      </c>
      <c r="N3638" s="475">
        <f t="shared" si="175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73"/>
        <v>-614179061620.18042</v>
      </c>
      <c r="J3639" s="455">
        <f t="array" ref="J3639">IFERROR(INDEX('Retirement Calculator'!J:J,MATCH('Isaac 401k'!N3639,'Retirement Calculator'!A:A,0),0),0)</f>
        <v>0</v>
      </c>
      <c r="K3639" s="455">
        <f t="shared" ca="1" si="171"/>
        <v>-2559079423.4174185</v>
      </c>
      <c r="L3639" s="455">
        <f t="shared" ca="1" si="172"/>
        <v>-616738141043.59778</v>
      </c>
      <c r="M3639" s="471">
        <f t="shared" si="174"/>
        <v>0.05</v>
      </c>
      <c r="N3639" s="475">
        <f t="shared" si="175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73"/>
        <v>-616738141043.59778</v>
      </c>
      <c r="J3640" s="455">
        <f t="array" ref="J3640">IFERROR(INDEX('Retirement Calculator'!J:J,MATCH('Isaac 401k'!N3640,'Retirement Calculator'!A:A,0),0),0)</f>
        <v>0</v>
      </c>
      <c r="K3640" s="455">
        <f t="shared" ca="1" si="171"/>
        <v>-2569742254.3483238</v>
      </c>
      <c r="L3640" s="455">
        <f t="shared" ca="1" si="172"/>
        <v>-619307883297.94604</v>
      </c>
      <c r="M3640" s="471">
        <f t="shared" si="174"/>
        <v>0.05</v>
      </c>
      <c r="N3640" s="475">
        <f t="shared" si="175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73"/>
        <v>-619307883297.94604</v>
      </c>
      <c r="J3641" s="455">
        <f t="array" ref="J3641">IFERROR(INDEX('Retirement Calculator'!J:J,MATCH('Isaac 401k'!N3641,'Retirement Calculator'!A:A,0),0),0)</f>
        <v>0</v>
      </c>
      <c r="K3641" s="455">
        <f t="shared" ca="1" si="171"/>
        <v>-2580449513.7414417</v>
      </c>
      <c r="L3641" s="455">
        <f t="shared" ca="1" si="172"/>
        <v>-621888332811.6875</v>
      </c>
      <c r="M3641" s="471">
        <f t="shared" si="174"/>
        <v>0.05</v>
      </c>
      <c r="N3641" s="475">
        <f t="shared" si="175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73"/>
        <v>-621888332811.6875</v>
      </c>
      <c r="J3642" s="455">
        <f t="array" ref="J3642">IFERROR(INDEX('Retirement Calculator'!J:J,MATCH('Isaac 401k'!N3642,'Retirement Calculator'!A:A,0),0),0)</f>
        <v>0</v>
      </c>
      <c r="K3642" s="455">
        <f t="shared" ca="1" si="171"/>
        <v>-2591201386.7153645</v>
      </c>
      <c r="L3642" s="455">
        <f t="shared" ca="1" si="172"/>
        <v>-624479534198.40283</v>
      </c>
      <c r="M3642" s="471">
        <f t="shared" si="174"/>
        <v>0.05</v>
      </c>
      <c r="N3642" s="475">
        <f t="shared" si="175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73"/>
        <v>-624479534198.40283</v>
      </c>
      <c r="J3643" s="455">
        <f t="array" ref="J3643">IFERROR(INDEX('Retirement Calculator'!J:J,MATCH('Isaac 401k'!N3643,'Retirement Calculator'!A:A,0),0),0)</f>
        <v>0</v>
      </c>
      <c r="K3643" s="455">
        <f t="shared" ca="1" si="171"/>
        <v>-2601998059.1600118</v>
      </c>
      <c r="L3643" s="455">
        <f t="shared" ca="1" si="172"/>
        <v>-627081532257.56287</v>
      </c>
      <c r="M3643" s="471">
        <f t="shared" si="174"/>
        <v>0.05</v>
      </c>
      <c r="N3643" s="475">
        <f t="shared" si="175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73"/>
        <v>-627081532257.56287</v>
      </c>
      <c r="J3644" s="455">
        <f t="array" ref="J3644">IFERROR(INDEX('Retirement Calculator'!J:J,MATCH('Isaac 401k'!N3644,'Retirement Calculator'!A:A,0),0),0)</f>
        <v>0</v>
      </c>
      <c r="K3644" s="455">
        <f t="shared" ca="1" si="171"/>
        <v>-2612839717.7398453</v>
      </c>
      <c r="L3644" s="455">
        <f t="shared" ca="1" si="172"/>
        <v>-629694371975.30273</v>
      </c>
      <c r="M3644" s="471">
        <f t="shared" si="174"/>
        <v>0.05</v>
      </c>
      <c r="N3644" s="475">
        <f t="shared" si="175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73"/>
        <v>-629694371975.30273</v>
      </c>
      <c r="J3645" s="455">
        <f t="array" ref="J3645">IFERROR(INDEX('Retirement Calculator'!J:J,MATCH('Isaac 401k'!N3645,'Retirement Calculator'!A:A,0),0),0)</f>
        <v>0</v>
      </c>
      <c r="K3645" s="455">
        <f t="shared" ca="1" si="171"/>
        <v>-2623726549.8970947</v>
      </c>
      <c r="L3645" s="455">
        <f t="shared" ca="1" si="172"/>
        <v>-632318098525.19983</v>
      </c>
      <c r="M3645" s="471">
        <f t="shared" si="174"/>
        <v>0.05</v>
      </c>
      <c r="N3645" s="475">
        <f t="shared" si="175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73"/>
        <v>-632318098525.19983</v>
      </c>
      <c r="J3646" s="455">
        <f t="array" ref="J3646">IFERROR(INDEX('Retirement Calculator'!J:J,MATCH('Isaac 401k'!N3646,'Retirement Calculator'!A:A,0),0),0)</f>
        <v>0</v>
      </c>
      <c r="K3646" s="455">
        <f t="shared" ca="1" si="171"/>
        <v>-2634658743.8549991</v>
      </c>
      <c r="L3646" s="455">
        <f t="shared" ca="1" si="172"/>
        <v>-634952757269.05481</v>
      </c>
      <c r="M3646" s="471">
        <f t="shared" si="174"/>
        <v>0.05</v>
      </c>
      <c r="N3646" s="475">
        <f t="shared" si="175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73"/>
        <v>-634952757269.05481</v>
      </c>
      <c r="J3647" s="455">
        <f t="array" ref="J3647">IFERROR(INDEX('Retirement Calculator'!J:J,MATCH('Isaac 401k'!N3647,'Retirement Calculator'!A:A,0),0),0)</f>
        <v>0</v>
      </c>
      <c r="K3647" s="455">
        <f t="shared" ca="1" si="171"/>
        <v>-2645636488.6210618</v>
      </c>
      <c r="L3647" s="455">
        <f t="shared" ca="1" si="172"/>
        <v>-637598393757.6759</v>
      </c>
      <c r="M3647" s="471">
        <f t="shared" si="174"/>
        <v>0.05</v>
      </c>
      <c r="N3647" s="475">
        <f t="shared" si="175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73"/>
        <v>-637598393757.6759</v>
      </c>
      <c r="J3648" s="455">
        <f t="array" ref="J3648">IFERROR(INDEX('Retirement Calculator'!J:J,MATCH('Isaac 401k'!N3648,'Retirement Calculator'!A:A,0),0),0)</f>
        <v>0</v>
      </c>
      <c r="K3648" s="455">
        <f t="shared" ca="1" si="171"/>
        <v>-2656659973.9903164</v>
      </c>
      <c r="L3648" s="455">
        <f t="shared" ca="1" si="172"/>
        <v>-640255053731.66626</v>
      </c>
      <c r="M3648" s="471">
        <f t="shared" si="174"/>
        <v>0.05</v>
      </c>
      <c r="N3648" s="475">
        <f t="shared" si="175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73"/>
        <v>-640255053731.66626</v>
      </c>
      <c r="J3649" s="455">
        <f t="array" ref="J3649">IFERROR(INDEX('Retirement Calculator'!J:J,MATCH('Isaac 401k'!N3649,'Retirement Calculator'!A:A,0),0),0)</f>
        <v>0</v>
      </c>
      <c r="K3649" s="455">
        <f t="shared" ca="1" si="171"/>
        <v>-2667729390.5486093</v>
      </c>
      <c r="L3649" s="455">
        <f t="shared" ca="1" si="172"/>
        <v>-642922783122.21484</v>
      </c>
      <c r="M3649" s="471">
        <f t="shared" si="174"/>
        <v>0.05</v>
      </c>
      <c r="N3649" s="475">
        <f t="shared" si="175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73"/>
        <v>-642922783122.21484</v>
      </c>
      <c r="J3650" s="455">
        <f t="array" ref="J3650">IFERROR(INDEX('Retirement Calculator'!J:J,MATCH('Isaac 401k'!N3650,'Retirement Calculator'!A:A,0),0),0)</f>
        <v>0</v>
      </c>
      <c r="K3650" s="455">
        <f t="shared" ca="1" si="171"/>
        <v>-2678844929.6758952</v>
      </c>
      <c r="L3650" s="455">
        <f t="shared" ca="1" si="172"/>
        <v>-645601628051.89075</v>
      </c>
      <c r="M3650" s="471">
        <f t="shared" si="174"/>
        <v>0.05</v>
      </c>
      <c r="N3650" s="475">
        <f t="shared" si="175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73"/>
        <v>-645601628051.89075</v>
      </c>
      <c r="J3651" s="455">
        <f t="array" ref="J3651">IFERROR(INDEX('Retirement Calculator'!J:J,MATCH('Isaac 401k'!N3651,'Retirement Calculator'!A:A,0),0),0)</f>
        <v>0</v>
      </c>
      <c r="K3651" s="455">
        <f t="shared" ca="1" si="171"/>
        <v>-2690006783.5495448</v>
      </c>
      <c r="L3651" s="455">
        <f t="shared" ca="1" si="172"/>
        <v>-648291634835.44031</v>
      </c>
      <c r="M3651" s="471">
        <f t="shared" si="174"/>
        <v>0.05</v>
      </c>
      <c r="N3651" s="475">
        <f t="shared" si="175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73"/>
        <v>-648291634835.44031</v>
      </c>
      <c r="J3652" s="455">
        <f t="array" ref="J3652">IFERROR(INDEX('Retirement Calculator'!J:J,MATCH('Isaac 401k'!N3652,'Retirement Calculator'!A:A,0),0),0)</f>
        <v>0</v>
      </c>
      <c r="K3652" s="455">
        <f t="shared" ca="1" si="171"/>
        <v>-2701215145.1476679</v>
      </c>
      <c r="L3652" s="455">
        <f t="shared" ca="1" si="172"/>
        <v>-650992849980.58801</v>
      </c>
      <c r="M3652" s="471">
        <f t="shared" si="174"/>
        <v>0.05</v>
      </c>
      <c r="N3652" s="475">
        <f t="shared" si="175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73"/>
        <v>-650992849980.58801</v>
      </c>
      <c r="J3653" s="455">
        <f t="array" ref="J3653">IFERROR(INDEX('Retirement Calculator'!J:J,MATCH('Isaac 401k'!N3653,'Retirement Calculator'!A:A,0),0),0)</f>
        <v>0</v>
      </c>
      <c r="K3653" s="455">
        <f t="shared" ca="1" si="171"/>
        <v>-2712470208.25245</v>
      </c>
      <c r="L3653" s="455">
        <f t="shared" ca="1" si="172"/>
        <v>-653705320188.84045</v>
      </c>
      <c r="M3653" s="471">
        <f t="shared" si="174"/>
        <v>0.05</v>
      </c>
      <c r="N3653" s="475">
        <f t="shared" si="175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73"/>
        <v>-653705320188.84045</v>
      </c>
      <c r="J3654" s="455">
        <f t="array" ref="J3654">IFERROR(INDEX('Retirement Calculator'!J:J,MATCH('Isaac 401k'!N3654,'Retirement Calculator'!A:A,0),0),0)</f>
        <v>0</v>
      </c>
      <c r="K3654" s="455">
        <f t="shared" ca="1" si="171"/>
        <v>-2723772167.4535017</v>
      </c>
      <c r="L3654" s="455">
        <f t="shared" ca="1" si="172"/>
        <v>-656429092356.29395</v>
      </c>
      <c r="M3654" s="471">
        <f t="shared" si="174"/>
        <v>0.05</v>
      </c>
      <c r="N3654" s="475">
        <f t="shared" si="175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73"/>
        <v>-656429092356.29395</v>
      </c>
      <c r="J3655" s="455">
        <f t="array" ref="J3655">IFERROR(INDEX('Retirement Calculator'!J:J,MATCH('Isaac 401k'!N3655,'Retirement Calculator'!A:A,0),0),0)</f>
        <v>0</v>
      </c>
      <c r="K3655" s="455">
        <f t="shared" ca="1" si="171"/>
        <v>-2735121218.1512246</v>
      </c>
      <c r="L3655" s="455">
        <f t="shared" ca="1" si="172"/>
        <v>-659164213574.44519</v>
      </c>
      <c r="M3655" s="471">
        <f t="shared" si="174"/>
        <v>0.05</v>
      </c>
      <c r="N3655" s="475">
        <f t="shared" si="175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73"/>
        <v>-659164213574.44519</v>
      </c>
      <c r="J3656" s="455">
        <f t="array" ref="J3656">IFERROR(INDEX('Retirement Calculator'!J:J,MATCH('Isaac 401k'!N3656,'Retirement Calculator'!A:A,0),0),0)</f>
        <v>0</v>
      </c>
      <c r="K3656" s="455">
        <f t="shared" ca="1" si="171"/>
        <v>-2746517556.5601883</v>
      </c>
      <c r="L3656" s="455">
        <f t="shared" ca="1" si="172"/>
        <v>-661910731131.00537</v>
      </c>
      <c r="M3656" s="471">
        <f t="shared" si="174"/>
        <v>0.05</v>
      </c>
      <c r="N3656" s="475">
        <f t="shared" si="175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73"/>
        <v>-661910731131.00537</v>
      </c>
      <c r="J3657" s="455">
        <f t="array" ref="J3657">IFERROR(INDEX('Retirement Calculator'!J:J,MATCH('Isaac 401k'!N3657,'Retirement Calculator'!A:A,0),0),0)</f>
        <v>0</v>
      </c>
      <c r="K3657" s="455">
        <f t="shared" ca="1" si="171"/>
        <v>-2757961379.7125225</v>
      </c>
      <c r="L3657" s="455">
        <f t="shared" ca="1" si="172"/>
        <v>-664668692510.7179</v>
      </c>
      <c r="M3657" s="471">
        <f t="shared" si="174"/>
        <v>0.05</v>
      </c>
      <c r="N3657" s="475">
        <f t="shared" si="175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73"/>
        <v>-664668692510.7179</v>
      </c>
      <c r="J3658" s="455">
        <f t="array" ref="J3658">IFERROR(INDEX('Retirement Calculator'!J:J,MATCH('Isaac 401k'!N3658,'Retirement Calculator'!A:A,0),0),0)</f>
        <v>0</v>
      </c>
      <c r="K3658" s="455">
        <f t="shared" ca="1" si="171"/>
        <v>-2769452885.4613247</v>
      </c>
      <c r="L3658" s="455">
        <f t="shared" ca="1" si="172"/>
        <v>-667438145396.1792</v>
      </c>
      <c r="M3658" s="471">
        <f t="shared" si="174"/>
        <v>0.05</v>
      </c>
      <c r="N3658" s="475">
        <f t="shared" si="175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73"/>
        <v>-667438145396.1792</v>
      </c>
      <c r="J3659" s="455">
        <f t="array" ref="J3659">IFERROR(INDEX('Retirement Calculator'!J:J,MATCH('Isaac 401k'!N3659,'Retirement Calculator'!A:A,0),0),0)</f>
        <v>0</v>
      </c>
      <c r="K3659" s="455">
        <f t="shared" ca="1" si="171"/>
        <v>-2780992272.4840798</v>
      </c>
      <c r="L3659" s="455">
        <f t="shared" ca="1" si="172"/>
        <v>-670219137668.66333</v>
      </c>
      <c r="M3659" s="471">
        <f t="shared" si="174"/>
        <v>0.05</v>
      </c>
      <c r="N3659" s="475">
        <f t="shared" si="175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73"/>
        <v>-670219137668.66333</v>
      </c>
      <c r="J3660" s="455">
        <f t="array" ref="J3660">IFERROR(INDEX('Retirement Calculator'!J:J,MATCH('Isaac 401k'!N3660,'Retirement Calculator'!A:A,0),0),0)</f>
        <v>0</v>
      </c>
      <c r="K3660" s="455">
        <f t="shared" ca="1" si="171"/>
        <v>-2792579740.286097</v>
      </c>
      <c r="L3660" s="455">
        <f t="shared" ca="1" si="172"/>
        <v>-673011717408.94946</v>
      </c>
      <c r="M3660" s="471">
        <f t="shared" si="174"/>
        <v>0.05</v>
      </c>
      <c r="N3660" s="475">
        <f t="shared" si="175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73"/>
        <v>-673011717408.94946</v>
      </c>
      <c r="J3661" s="455">
        <f t="array" ref="J3661">IFERROR(INDEX('Retirement Calculator'!J:J,MATCH('Isaac 401k'!N3661,'Retirement Calculator'!A:A,0),0),0)</f>
        <v>0</v>
      </c>
      <c r="K3661" s="455">
        <f t="shared" ca="1" si="171"/>
        <v>-2804215489.2039561</v>
      </c>
      <c r="L3661" s="455">
        <f t="shared" ca="1" si="172"/>
        <v>-675815932898.15344</v>
      </c>
      <c r="M3661" s="471">
        <f t="shared" si="174"/>
        <v>0.05</v>
      </c>
      <c r="N3661" s="475">
        <f t="shared" si="175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73"/>
        <v>-675815932898.15344</v>
      </c>
      <c r="J3662" s="455">
        <f t="array" ref="J3662">IFERROR(INDEX('Retirement Calculator'!J:J,MATCH('Isaac 401k'!N3662,'Retirement Calculator'!A:A,0),0),0)</f>
        <v>0</v>
      </c>
      <c r="K3662" s="455">
        <f t="shared" ca="1" si="171"/>
        <v>-2815899720.4089727</v>
      </c>
      <c r="L3662" s="455">
        <f t="shared" ca="1" si="172"/>
        <v>-678631832618.56238</v>
      </c>
      <c r="M3662" s="471">
        <f t="shared" si="174"/>
        <v>0.05</v>
      </c>
      <c r="N3662" s="475">
        <f t="shared" si="175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73"/>
        <v>-678631832618.56238</v>
      </c>
      <c r="J3663" s="455">
        <f t="array" ref="J3663">IFERROR(INDEX('Retirement Calculator'!J:J,MATCH('Isaac 401k'!N3663,'Retirement Calculator'!A:A,0),0),0)</f>
        <v>0</v>
      </c>
      <c r="K3663" s="455">
        <f t="shared" ca="1" si="171"/>
        <v>-2827632635.9106765</v>
      </c>
      <c r="L3663" s="455">
        <f t="shared" ca="1" si="172"/>
        <v>-681459465254.47302</v>
      </c>
      <c r="M3663" s="471">
        <f t="shared" si="174"/>
        <v>0.05</v>
      </c>
      <c r="N3663" s="475">
        <f t="shared" si="175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73"/>
        <v>-681459465254.47302</v>
      </c>
      <c r="J3664" s="455">
        <f t="array" ref="J3664">IFERROR(INDEX('Retirement Calculator'!J:J,MATCH('Isaac 401k'!N3664,'Retirement Calculator'!A:A,0),0),0)</f>
        <v>0</v>
      </c>
      <c r="K3664" s="455">
        <f t="shared" ca="1" si="171"/>
        <v>-2839414438.5603042</v>
      </c>
      <c r="L3664" s="455">
        <f t="shared" ca="1" si="172"/>
        <v>-684298879693.03333</v>
      </c>
      <c r="M3664" s="471">
        <f t="shared" si="174"/>
        <v>0.05</v>
      </c>
      <c r="N3664" s="475">
        <f t="shared" si="175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73"/>
        <v>-684298879693.03333</v>
      </c>
      <c r="J3665" s="455">
        <f t="array" ref="J3665">IFERROR(INDEX('Retirement Calculator'!J:J,MATCH('Isaac 401k'!N3665,'Retirement Calculator'!A:A,0),0),0)</f>
        <v>0</v>
      </c>
      <c r="K3665" s="455">
        <f t="shared" ca="1" si="171"/>
        <v>-2851245332.0543056</v>
      </c>
      <c r="L3665" s="455">
        <f t="shared" ca="1" si="172"/>
        <v>-687150125025.08765</v>
      </c>
      <c r="M3665" s="471">
        <f t="shared" si="174"/>
        <v>0.05</v>
      </c>
      <c r="N3665" s="475">
        <f t="shared" si="175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73"/>
        <v>-687150125025.08765</v>
      </c>
      <c r="J3666" s="455">
        <f t="array" ref="J3666">IFERROR(INDEX('Retirement Calculator'!J:J,MATCH('Isaac 401k'!N3666,'Retirement Calculator'!A:A,0),0),0)</f>
        <v>0</v>
      </c>
      <c r="K3666" s="455">
        <f t="shared" ca="1" si="171"/>
        <v>-2863125520.9378653</v>
      </c>
      <c r="L3666" s="455">
        <f t="shared" ca="1" si="172"/>
        <v>-690013250546.02551</v>
      </c>
      <c r="M3666" s="471">
        <f t="shared" si="174"/>
        <v>0.05</v>
      </c>
      <c r="N3666" s="475">
        <f t="shared" si="175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73"/>
        <v>-690013250546.02551</v>
      </c>
      <c r="J3667" s="455">
        <f t="array" ref="J3667">IFERROR(INDEX('Retirement Calculator'!J:J,MATCH('Isaac 401k'!N3667,'Retirement Calculator'!A:A,0),0),0)</f>
        <v>0</v>
      </c>
      <c r="K3667" s="455">
        <f t="shared" ca="1" si="171"/>
        <v>-2875055210.6084394</v>
      </c>
      <c r="L3667" s="455">
        <f t="shared" ca="1" si="172"/>
        <v>-692888305756.63391</v>
      </c>
      <c r="M3667" s="471">
        <f t="shared" si="174"/>
        <v>0.05</v>
      </c>
      <c r="N3667" s="475">
        <f t="shared" si="175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73"/>
        <v>-692888305756.63391</v>
      </c>
      <c r="J3668" s="455">
        <f t="array" ref="J3668">IFERROR(INDEX('Retirement Calculator'!J:J,MATCH('Isaac 401k'!N3668,'Retirement Calculator'!A:A,0),0),0)</f>
        <v>0</v>
      </c>
      <c r="K3668" s="455">
        <f t="shared" ca="1" si="171"/>
        <v>-2887034607.3193078</v>
      </c>
      <c r="L3668" s="455">
        <f t="shared" ca="1" si="172"/>
        <v>-695775340363.95325</v>
      </c>
      <c r="M3668" s="471">
        <f t="shared" si="174"/>
        <v>0.05</v>
      </c>
      <c r="N3668" s="475">
        <f t="shared" si="175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73"/>
        <v>-695775340363.95325</v>
      </c>
      <c r="J3669" s="455">
        <f t="array" ref="J3669">IFERROR(INDEX('Retirement Calculator'!J:J,MATCH('Isaac 401k'!N3669,'Retirement Calculator'!A:A,0),0),0)</f>
        <v>0</v>
      </c>
      <c r="K3669" s="455">
        <f t="shared" ca="1" si="171"/>
        <v>-2899063918.1831384</v>
      </c>
      <c r="L3669" s="455">
        <f t="shared" ca="1" si="172"/>
        <v>-698674404282.13635</v>
      </c>
      <c r="M3669" s="471">
        <f t="shared" si="174"/>
        <v>0.05</v>
      </c>
      <c r="N3669" s="475">
        <f t="shared" si="175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73"/>
        <v>-698674404282.13635</v>
      </c>
      <c r="J3670" s="455">
        <f t="array" ref="J3670">IFERROR(INDEX('Retirement Calculator'!J:J,MATCH('Isaac 401k'!N3670,'Retirement Calculator'!A:A,0),0),0)</f>
        <v>0</v>
      </c>
      <c r="K3670" s="455">
        <f t="shared" ca="1" si="171"/>
        <v>-2911143351.1755681</v>
      </c>
      <c r="L3670" s="455">
        <f t="shared" ca="1" si="172"/>
        <v>-701585547633.31189</v>
      </c>
      <c r="M3670" s="471">
        <f t="shared" si="174"/>
        <v>0.05</v>
      </c>
      <c r="N3670" s="475">
        <f t="shared" si="175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73"/>
        <v>-701585547633.31189</v>
      </c>
      <c r="J3671" s="455">
        <f t="array" ref="J3671">IFERROR(INDEX('Retirement Calculator'!J:J,MATCH('Isaac 401k'!N3671,'Retirement Calculator'!A:A,0),0),0)</f>
        <v>0</v>
      </c>
      <c r="K3671" s="455">
        <f t="shared" ca="1" si="171"/>
        <v>-2923273115.1387997</v>
      </c>
      <c r="L3671" s="455">
        <f t="shared" ca="1" si="172"/>
        <v>-704508820748.45068</v>
      </c>
      <c r="M3671" s="471">
        <f t="shared" si="174"/>
        <v>0.05</v>
      </c>
      <c r="N3671" s="475">
        <f t="shared" si="175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73"/>
        <v>-704508820748.45068</v>
      </c>
      <c r="J3672" s="455">
        <f t="array" ref="J3672">IFERROR(INDEX('Retirement Calculator'!J:J,MATCH('Isaac 401k'!N3672,'Retirement Calculator'!A:A,0),0),0)</f>
        <v>0</v>
      </c>
      <c r="K3672" s="455">
        <f t="shared" ca="1" si="171"/>
        <v>-2935453419.7852111</v>
      </c>
      <c r="L3672" s="455">
        <f t="shared" ca="1" si="172"/>
        <v>-707444274168.23584</v>
      </c>
      <c r="M3672" s="471">
        <f t="shared" si="174"/>
        <v>0.05</v>
      </c>
      <c r="N3672" s="475">
        <f t="shared" si="175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73"/>
        <v>-707444274168.23584</v>
      </c>
      <c r="J3673" s="455">
        <f t="array" ref="J3673">IFERROR(INDEX('Retirement Calculator'!J:J,MATCH('Isaac 401k'!N3673,'Retirement Calculator'!A:A,0),0),0)</f>
        <v>0</v>
      </c>
      <c r="K3673" s="455">
        <f t="shared" ca="1" si="171"/>
        <v>-2947684475.7009826</v>
      </c>
      <c r="L3673" s="455">
        <f t="shared" ca="1" si="172"/>
        <v>-710391958643.93677</v>
      </c>
      <c r="M3673" s="471">
        <f t="shared" si="174"/>
        <v>0.05</v>
      </c>
      <c r="N3673" s="475">
        <f t="shared" si="175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73"/>
        <v>-710391958643.93677</v>
      </c>
      <c r="J3674" s="455">
        <f t="array" ref="J3674">IFERROR(INDEX('Retirement Calculator'!J:J,MATCH('Isaac 401k'!N3674,'Retirement Calculator'!A:A,0),0),0)</f>
        <v>0</v>
      </c>
      <c r="K3674" s="455">
        <f t="shared" ca="1" si="171"/>
        <v>-2959966494.3497367</v>
      </c>
      <c r="L3674" s="455">
        <f t="shared" ca="1" si="172"/>
        <v>-713351925138.2865</v>
      </c>
      <c r="M3674" s="471">
        <f t="shared" si="174"/>
        <v>0.05</v>
      </c>
      <c r="N3674" s="475">
        <f t="shared" si="175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73"/>
        <v>-713351925138.2865</v>
      </c>
      <c r="J3675" s="455">
        <f t="array" ref="J3675">IFERROR(INDEX('Retirement Calculator'!J:J,MATCH('Isaac 401k'!N3675,'Retirement Calculator'!A:A,0),0),0)</f>
        <v>0</v>
      </c>
      <c r="K3675" s="455">
        <f t="shared" ca="1" si="171"/>
        <v>-2972299688.0761938</v>
      </c>
      <c r="L3675" s="455">
        <f t="shared" ca="1" si="172"/>
        <v>-716324224826.36267</v>
      </c>
      <c r="M3675" s="471">
        <f t="shared" si="174"/>
        <v>0.05</v>
      </c>
      <c r="N3675" s="475">
        <f t="shared" si="175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73"/>
        <v>-716324224826.36267</v>
      </c>
      <c r="J3676" s="455">
        <f t="array" ref="J3676">IFERROR(INDEX('Retirement Calculator'!J:J,MATCH('Isaac 401k'!N3676,'Retirement Calculator'!A:A,0),0),0)</f>
        <v>0</v>
      </c>
      <c r="K3676" s="455">
        <f t="shared" ca="1" si="171"/>
        <v>-2984684270.1098442</v>
      </c>
      <c r="L3676" s="455">
        <f t="shared" ca="1" si="172"/>
        <v>-719308909096.47253</v>
      </c>
      <c r="M3676" s="471">
        <f t="shared" si="174"/>
        <v>0.05</v>
      </c>
      <c r="N3676" s="475">
        <f t="shared" si="175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73"/>
        <v>-719308909096.47253</v>
      </c>
      <c r="J3677" s="455">
        <f t="array" ref="J3677">IFERROR(INDEX('Retirement Calculator'!J:J,MATCH('Isaac 401k'!N3677,'Retirement Calculator'!A:A,0),0),0)</f>
        <v>0</v>
      </c>
      <c r="K3677" s="455">
        <f t="shared" ca="1" si="171"/>
        <v>-2997120454.5686355</v>
      </c>
      <c r="L3677" s="455">
        <f t="shared" ca="1" si="172"/>
        <v>-722306029551.04114</v>
      </c>
      <c r="M3677" s="471">
        <f t="shared" si="174"/>
        <v>0.05</v>
      </c>
      <c r="N3677" s="475">
        <f t="shared" si="175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73"/>
        <v>-722306029551.04114</v>
      </c>
      <c r="J3678" s="455">
        <f t="array" ref="J3678">IFERROR(INDEX('Retirement Calculator'!J:J,MATCH('Isaac 401k'!N3678,'Retirement Calculator'!A:A,0),0),0)</f>
        <v>0</v>
      </c>
      <c r="K3678" s="455">
        <f t="shared" ca="1" si="171"/>
        <v>-3009608456.4626713</v>
      </c>
      <c r="L3678" s="455">
        <f t="shared" ca="1" si="172"/>
        <v>-725315638007.50378</v>
      </c>
      <c r="M3678" s="471">
        <f t="shared" si="174"/>
        <v>0.05</v>
      </c>
      <c r="N3678" s="475">
        <f t="shared" si="175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73"/>
        <v>-725315638007.50378</v>
      </c>
      <c r="J3679" s="455">
        <f t="array" ref="J3679">IFERROR(INDEX('Retirement Calculator'!J:J,MATCH('Isaac 401k'!N3679,'Retirement Calculator'!A:A,0),0),0)</f>
        <v>0</v>
      </c>
      <c r="K3679" s="455">
        <f t="shared" ca="1" si="171"/>
        <v>-3022148491.6979322</v>
      </c>
      <c r="L3679" s="455">
        <f t="shared" ca="1" si="172"/>
        <v>-728337786499.20166</v>
      </c>
      <c r="M3679" s="471">
        <f t="shared" si="174"/>
        <v>0.05</v>
      </c>
      <c r="N3679" s="475">
        <f t="shared" si="175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73"/>
        <v>-728337786499.20166</v>
      </c>
      <c r="J3680" s="455">
        <f t="array" ref="J3680">IFERROR(INDEX('Retirement Calculator'!J:J,MATCH('Isaac 401k'!N3680,'Retirement Calculator'!A:A,0),0),0)</f>
        <v>0</v>
      </c>
      <c r="K3680" s="455">
        <f t="shared" ca="1" si="171"/>
        <v>-3034740777.0800071</v>
      </c>
      <c r="L3680" s="455">
        <f t="shared" ca="1" si="172"/>
        <v>-731372527276.28162</v>
      </c>
      <c r="M3680" s="471">
        <f t="shared" si="174"/>
        <v>0.05</v>
      </c>
      <c r="N3680" s="475">
        <f t="shared" si="175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73"/>
        <v>-731372527276.28162</v>
      </c>
      <c r="J3681" s="455">
        <f t="array" ref="J3681">IFERROR(INDEX('Retirement Calculator'!J:J,MATCH('Isaac 401k'!N3681,'Retirement Calculator'!A:A,0),0),0)</f>
        <v>0</v>
      </c>
      <c r="K3681" s="455">
        <f t="shared" ca="1" si="171"/>
        <v>-3047385530.3178401</v>
      </c>
      <c r="L3681" s="455">
        <f t="shared" ca="1" si="172"/>
        <v>-734419912806.59949</v>
      </c>
      <c r="M3681" s="471">
        <f t="shared" si="174"/>
        <v>0.05</v>
      </c>
      <c r="N3681" s="475">
        <f t="shared" si="175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73"/>
        <v>-734419912806.59949</v>
      </c>
      <c r="J3682" s="455">
        <f t="array" ref="J3682">IFERROR(INDEX('Retirement Calculator'!J:J,MATCH('Isaac 401k'!N3682,'Retirement Calculator'!A:A,0),0),0)</f>
        <v>0</v>
      </c>
      <c r="K3682" s="455">
        <f t="shared" ca="1" si="171"/>
        <v>-3060082970.0274978</v>
      </c>
      <c r="L3682" s="455">
        <f t="shared" ca="1" si="172"/>
        <v>-737479995776.62695</v>
      </c>
      <c r="M3682" s="471">
        <f t="shared" si="174"/>
        <v>0.05</v>
      </c>
      <c r="N3682" s="475">
        <f t="shared" si="175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73"/>
        <v>-737479995776.62695</v>
      </c>
      <c r="J3683" s="455">
        <f t="array" ref="J3683">IFERROR(INDEX('Retirement Calculator'!J:J,MATCH('Isaac 401k'!N3683,'Retirement Calculator'!A:A,0),0),0)</f>
        <v>0</v>
      </c>
      <c r="K3683" s="455">
        <f t="shared" ca="1" si="171"/>
        <v>-3072833315.7359457</v>
      </c>
      <c r="L3683" s="455">
        <f t="shared" ca="1" si="172"/>
        <v>-740552829092.36292</v>
      </c>
      <c r="M3683" s="471">
        <f t="shared" si="174"/>
        <v>0.05</v>
      </c>
      <c r="N3683" s="475">
        <f t="shared" si="175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73"/>
        <v>-740552829092.36292</v>
      </c>
      <c r="J3684" s="455">
        <f t="array" ref="J3684">IFERROR(INDEX('Retirement Calculator'!J:J,MATCH('Isaac 401k'!N3684,'Retirement Calculator'!A:A,0),0),0)</f>
        <v>0</v>
      </c>
      <c r="K3684" s="455">
        <f t="shared" ca="1" si="171"/>
        <v>-3085636787.8848453</v>
      </c>
      <c r="L3684" s="455">
        <f t="shared" ca="1" si="172"/>
        <v>-743638465880.2478</v>
      </c>
      <c r="M3684" s="471">
        <f t="shared" si="174"/>
        <v>0.05</v>
      </c>
      <c r="N3684" s="475">
        <f t="shared" si="175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73"/>
        <v>-743638465880.2478</v>
      </c>
      <c r="J3685" s="455">
        <f t="array" ref="J3685">IFERROR(INDEX('Retirement Calculator'!J:J,MATCH('Isaac 401k'!N3685,'Retirement Calculator'!A:A,0),0),0)</f>
        <v>0</v>
      </c>
      <c r="K3685" s="455">
        <f t="shared" ca="1" si="171"/>
        <v>-3098493607.8343658</v>
      </c>
      <c r="L3685" s="455">
        <f t="shared" ca="1" si="172"/>
        <v>-746736959488.08215</v>
      </c>
      <c r="M3685" s="471">
        <f t="shared" si="174"/>
        <v>0.05</v>
      </c>
      <c r="N3685" s="475">
        <f t="shared" si="175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73"/>
        <v>-746736959488.08215</v>
      </c>
      <c r="J3686" s="455">
        <f t="array" ref="J3686">IFERROR(INDEX('Retirement Calculator'!J:J,MATCH('Isaac 401k'!N3686,'Retirement Calculator'!A:A,0),0),0)</f>
        <v>0</v>
      </c>
      <c r="K3686" s="455">
        <f t="shared" ca="1" si="171"/>
        <v>-3111403997.8670092</v>
      </c>
      <c r="L3686" s="455">
        <f t="shared" ca="1" si="172"/>
        <v>-749848363485.94922</v>
      </c>
      <c r="M3686" s="471">
        <f t="shared" si="174"/>
        <v>0.05</v>
      </c>
      <c r="N3686" s="475">
        <f t="shared" si="175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73"/>
        <v>-749848363485.94922</v>
      </c>
      <c r="J3687" s="455">
        <f t="array" ref="J3687">IFERROR(INDEX('Retirement Calculator'!J:J,MATCH('Isaac 401k'!N3687,'Retirement Calculator'!A:A,0),0),0)</f>
        <v>0</v>
      </c>
      <c r="K3687" s="455">
        <f t="shared" ca="1" si="171"/>
        <v>-3124368181.1914549</v>
      </c>
      <c r="L3687" s="455">
        <f t="shared" ca="1" si="172"/>
        <v>-752972731667.14063</v>
      </c>
      <c r="M3687" s="471">
        <f t="shared" si="174"/>
        <v>0.05</v>
      </c>
      <c r="N3687" s="475">
        <f t="shared" si="175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73"/>
        <v>-752972731667.14063</v>
      </c>
      <c r="J3688" s="455">
        <f t="array" ref="J3688">IFERROR(INDEX('Retirement Calculator'!J:J,MATCH('Isaac 401k'!N3688,'Retirement Calculator'!A:A,0),0),0)</f>
        <v>0</v>
      </c>
      <c r="K3688" s="455">
        <f t="shared" ca="1" si="171"/>
        <v>-3137386381.9464192</v>
      </c>
      <c r="L3688" s="455">
        <f t="shared" ca="1" si="172"/>
        <v>-756110118049.08704</v>
      </c>
      <c r="M3688" s="471">
        <f t="shared" si="174"/>
        <v>0.05</v>
      </c>
      <c r="N3688" s="475">
        <f t="shared" si="175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73"/>
        <v>-756110118049.08704</v>
      </c>
      <c r="J3689" s="455">
        <f t="array" ref="J3689">IFERROR(INDEX('Retirement Calculator'!J:J,MATCH('Isaac 401k'!N3689,'Retirement Calculator'!A:A,0),0),0)</f>
        <v>0</v>
      </c>
      <c r="K3689" s="455">
        <f t="shared" ca="1" si="171"/>
        <v>-3150458825.2045293</v>
      </c>
      <c r="L3689" s="455">
        <f t="shared" ca="1" si="172"/>
        <v>-759260576874.29163</v>
      </c>
      <c r="M3689" s="471">
        <f t="shared" si="174"/>
        <v>0.05</v>
      </c>
      <c r="N3689" s="475">
        <f t="shared" si="175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73"/>
        <v>-759260576874.29163</v>
      </c>
      <c r="J3690" s="455">
        <f t="array" ref="J3690">IFERROR(INDEX('Retirement Calculator'!J:J,MATCH('Isaac 401k'!N3690,'Retirement Calculator'!A:A,0),0),0)</f>
        <v>0</v>
      </c>
      <c r="K3690" s="455">
        <f t="shared" ca="1" si="171"/>
        <v>-3163585736.9762149</v>
      </c>
      <c r="L3690" s="455">
        <f t="shared" ca="1" si="172"/>
        <v>-762424162611.26782</v>
      </c>
      <c r="M3690" s="471">
        <f t="shared" si="174"/>
        <v>0.05</v>
      </c>
      <c r="N3690" s="475">
        <f t="shared" si="175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73"/>
        <v>-762424162611.26782</v>
      </c>
      <c r="J3691" s="455">
        <f t="array" ref="J3691">IFERROR(INDEX('Retirement Calculator'!J:J,MATCH('Isaac 401k'!N3691,'Retirement Calculator'!A:A,0),0),0)</f>
        <v>0</v>
      </c>
      <c r="K3691" s="455">
        <f t="shared" ca="1" si="171"/>
        <v>-3176767344.2136159</v>
      </c>
      <c r="L3691" s="455">
        <f t="shared" ca="1" si="172"/>
        <v>-765600929955.48145</v>
      </c>
      <c r="M3691" s="471">
        <f t="shared" si="174"/>
        <v>0.05</v>
      </c>
      <c r="N3691" s="475">
        <f t="shared" si="175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73"/>
        <v>-765600929955.48145</v>
      </c>
      <c r="J3692" s="455">
        <f t="array" ref="J3692">IFERROR(INDEX('Retirement Calculator'!J:J,MATCH('Isaac 401k'!N3692,'Retirement Calculator'!A:A,0),0),0)</f>
        <v>0</v>
      </c>
      <c r="K3692" s="455">
        <f t="shared" ca="1" si="171"/>
        <v>-3190003874.8145061</v>
      </c>
      <c r="L3692" s="455">
        <f t="shared" ca="1" si="172"/>
        <v>-768790933830.2959</v>
      </c>
      <c r="M3692" s="471">
        <f t="shared" si="174"/>
        <v>0.05</v>
      </c>
      <c r="N3692" s="475">
        <f t="shared" si="175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73"/>
        <v>-768790933830.2959</v>
      </c>
      <c r="J3693" s="455">
        <f t="array" ref="J3693">IFERROR(INDEX('Retirement Calculator'!J:J,MATCH('Isaac 401k'!N3693,'Retirement Calculator'!A:A,0),0),0)</f>
        <v>0</v>
      </c>
      <c r="K3693" s="455">
        <f t="shared" ca="1" si="171"/>
        <v>-3203295557.6262331</v>
      </c>
      <c r="L3693" s="455">
        <f t="shared" ca="1" si="172"/>
        <v>-771994229387.92212</v>
      </c>
      <c r="M3693" s="471">
        <f t="shared" si="174"/>
        <v>0.05</v>
      </c>
      <c r="N3693" s="475">
        <f t="shared" si="175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73"/>
        <v>-771994229387.92212</v>
      </c>
      <c r="J3694" s="455">
        <f t="array" ref="J3694">IFERROR(INDEX('Retirement Calculator'!J:J,MATCH('Isaac 401k'!N3694,'Retirement Calculator'!A:A,0),0),0)</f>
        <v>0</v>
      </c>
      <c r="K3694" s="455">
        <f t="shared" ca="1" si="171"/>
        <v>-3216642622.4496756</v>
      </c>
      <c r="L3694" s="455">
        <f t="shared" ca="1" si="172"/>
        <v>-775210872010.37183</v>
      </c>
      <c r="M3694" s="471">
        <f t="shared" si="174"/>
        <v>0.05</v>
      </c>
      <c r="N3694" s="475">
        <f t="shared" si="175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73"/>
        <v>-775210872010.37183</v>
      </c>
      <c r="J3695" s="455">
        <f t="array" ref="J3695">IFERROR(INDEX('Retirement Calculator'!J:J,MATCH('Isaac 401k'!N3695,'Retirement Calculator'!A:A,0),0),0)</f>
        <v>0</v>
      </c>
      <c r="K3695" s="455">
        <f t="shared" ca="1" si="171"/>
        <v>-3230045300.0432158</v>
      </c>
      <c r="L3695" s="455">
        <f t="shared" ca="1" si="172"/>
        <v>-778440917310.41504</v>
      </c>
      <c r="M3695" s="471">
        <f t="shared" si="174"/>
        <v>0.05</v>
      </c>
      <c r="N3695" s="475">
        <f t="shared" si="175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73"/>
        <v>-778440917310.41504</v>
      </c>
      <c r="J3696" s="455">
        <f t="array" ref="J3696">IFERROR(INDEX('Retirement Calculator'!J:J,MATCH('Isaac 401k'!N3696,'Retirement Calculator'!A:A,0),0),0)</f>
        <v>0</v>
      </c>
      <c r="K3696" s="455">
        <f t="shared" ca="1" si="171"/>
        <v>-3243503822.1267295</v>
      </c>
      <c r="L3696" s="455">
        <f t="shared" ca="1" si="172"/>
        <v>-781684421132.54175</v>
      </c>
      <c r="M3696" s="471">
        <f t="shared" si="174"/>
        <v>0.05</v>
      </c>
      <c r="N3696" s="475">
        <f t="shared" si="175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73"/>
        <v>-781684421132.54175</v>
      </c>
      <c r="J3697" s="455">
        <f t="array" ref="J3697">IFERROR(INDEX('Retirement Calculator'!J:J,MATCH('Isaac 401k'!N3697,'Retirement Calculator'!A:A,0),0),0)</f>
        <v>0</v>
      </c>
      <c r="K3697" s="455">
        <f t="shared" ca="1" si="171"/>
        <v>-3257018421.3855906</v>
      </c>
      <c r="L3697" s="455">
        <f t="shared" ca="1" si="172"/>
        <v>-784941439553.92737</v>
      </c>
      <c r="M3697" s="471">
        <f t="shared" si="174"/>
        <v>0.05</v>
      </c>
      <c r="N3697" s="475">
        <f t="shared" si="175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73"/>
        <v>-784941439553.92737</v>
      </c>
      <c r="J3698" s="455">
        <f t="array" ref="J3698">IFERROR(INDEX('Retirement Calculator'!J:J,MATCH('Isaac 401k'!N3698,'Retirement Calculator'!A:A,0),0),0)</f>
        <v>0</v>
      </c>
      <c r="K3698" s="455">
        <f t="shared" ca="1" si="171"/>
        <v>-3270589331.4746971</v>
      </c>
      <c r="L3698" s="455">
        <f t="shared" ca="1" si="172"/>
        <v>-788212028885.4021</v>
      </c>
      <c r="M3698" s="471">
        <f t="shared" si="174"/>
        <v>0.05</v>
      </c>
      <c r="N3698" s="475">
        <f t="shared" si="175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73"/>
        <v>-788212028885.4021</v>
      </c>
      <c r="J3699" s="455">
        <f t="array" ref="J3699">IFERROR(INDEX('Retirement Calculator'!J:J,MATCH('Isaac 401k'!N3699,'Retirement Calculator'!A:A,0),0),0)</f>
        <v>0</v>
      </c>
      <c r="K3699" s="455">
        <f t="shared" ca="1" si="171"/>
        <v>-3284216787.0225086</v>
      </c>
      <c r="L3699" s="455">
        <f t="shared" ca="1" si="172"/>
        <v>-791496245672.42456</v>
      </c>
      <c r="M3699" s="471">
        <f t="shared" si="174"/>
        <v>0.05</v>
      </c>
      <c r="N3699" s="475">
        <f t="shared" si="175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73"/>
        <v>-791496245672.42456</v>
      </c>
      <c r="J3700" s="455">
        <f t="array" ref="J3700">IFERROR(INDEX('Retirement Calculator'!J:J,MATCH('Isaac 401k'!N3700,'Retirement Calculator'!A:A,0),0),0)</f>
        <v>0</v>
      </c>
      <c r="K3700" s="455">
        <f t="shared" ca="1" si="171"/>
        <v>-3297901023.6351023</v>
      </c>
      <c r="L3700" s="455">
        <f t="shared" ca="1" si="172"/>
        <v>-794794146696.05969</v>
      </c>
      <c r="M3700" s="471">
        <f t="shared" si="174"/>
        <v>0.05</v>
      </c>
      <c r="N3700" s="475">
        <f t="shared" si="175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73"/>
        <v>-794794146696.05969</v>
      </c>
      <c r="J3701" s="455">
        <f t="array" ref="J3701">IFERROR(INDEX('Retirement Calculator'!J:J,MATCH('Isaac 401k'!N3701,'Retirement Calculator'!A:A,0),0),0)</f>
        <v>0</v>
      </c>
      <c r="K3701" s="455">
        <f t="shared" ca="1" si="171"/>
        <v>-3311642277.9002485</v>
      </c>
      <c r="L3701" s="455">
        <f t="shared" ca="1" si="172"/>
        <v>-798105788973.95996</v>
      </c>
      <c r="M3701" s="471">
        <f t="shared" si="174"/>
        <v>0.05</v>
      </c>
      <c r="N3701" s="475">
        <f t="shared" si="175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73"/>
        <v>-798105788973.95996</v>
      </c>
      <c r="J3702" s="455">
        <f t="array" ref="J3702">IFERROR(INDEX('Retirement Calculator'!J:J,MATCH('Isaac 401k'!N3702,'Retirement Calculator'!A:A,0),0),0)</f>
        <v>0</v>
      </c>
      <c r="K3702" s="455">
        <f t="shared" ca="1" si="171"/>
        <v>-3325440787.3915</v>
      </c>
      <c r="L3702" s="455">
        <f t="shared" ca="1" si="172"/>
        <v>-801431229761.35144</v>
      </c>
      <c r="M3702" s="471">
        <f t="shared" si="174"/>
        <v>0.05</v>
      </c>
      <c r="N3702" s="475">
        <f t="shared" si="175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73"/>
        <v>-801431229761.35144</v>
      </c>
      <c r="J3703" s="455">
        <f t="array" ref="J3703">IFERROR(INDEX('Retirement Calculator'!J:J,MATCH('Isaac 401k'!N3703,'Retirement Calculator'!A:A,0),0),0)</f>
        <v>0</v>
      </c>
      <c r="K3703" s="455">
        <f t="shared" ca="1" si="171"/>
        <v>-3339296790.6722975</v>
      </c>
      <c r="L3703" s="455">
        <f t="shared" ca="1" si="172"/>
        <v>-804770526552.02368</v>
      </c>
      <c r="M3703" s="471">
        <f t="shared" si="174"/>
        <v>0.05</v>
      </c>
      <c r="N3703" s="475">
        <f t="shared" si="175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73"/>
        <v>-804770526552.02368</v>
      </c>
      <c r="J3704" s="455">
        <f t="array" ref="J3704">IFERROR(INDEX('Retirement Calculator'!J:J,MATCH('Isaac 401k'!N3704,'Retirement Calculator'!A:A,0),0),0)</f>
        <v>0</v>
      </c>
      <c r="K3704" s="455">
        <f t="shared" ca="1" si="171"/>
        <v>-3353210527.3000984</v>
      </c>
      <c r="L3704" s="455">
        <f t="shared" ca="1" si="172"/>
        <v>-808123737079.32373</v>
      </c>
      <c r="M3704" s="471">
        <f t="shared" si="174"/>
        <v>0.05</v>
      </c>
      <c r="N3704" s="475">
        <f t="shared" si="175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73"/>
        <v>-808123737079.32373</v>
      </c>
      <c r="J3705" s="455">
        <f t="array" ref="J3705">IFERROR(INDEX('Retirement Calculator'!J:J,MATCH('Isaac 401k'!N3705,'Retirement Calculator'!A:A,0),0),0)</f>
        <v>0</v>
      </c>
      <c r="K3705" s="455">
        <f t="shared" ca="1" si="171"/>
        <v>-3367182237.8305154</v>
      </c>
      <c r="L3705" s="455">
        <f t="shared" ca="1" si="172"/>
        <v>-811490919317.1543</v>
      </c>
      <c r="M3705" s="471">
        <f t="shared" si="174"/>
        <v>0.05</v>
      </c>
      <c r="N3705" s="475">
        <f t="shared" si="175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73"/>
        <v>-811490919317.1543</v>
      </c>
      <c r="J3706" s="455">
        <f t="array" ref="J3706">IFERROR(INDEX('Retirement Calculator'!J:J,MATCH('Isaac 401k'!N3706,'Retirement Calculator'!A:A,0),0),0)</f>
        <v>0</v>
      </c>
      <c r="K3706" s="455">
        <f t="shared" ca="1" si="171"/>
        <v>-3381212163.821476</v>
      </c>
      <c r="L3706" s="455">
        <f t="shared" ca="1" si="172"/>
        <v>-814872131480.97583</v>
      </c>
      <c r="M3706" s="471">
        <f t="shared" si="174"/>
        <v>0.05</v>
      </c>
      <c r="N3706" s="475">
        <f t="shared" si="175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73"/>
        <v>-814872131480.97583</v>
      </c>
      <c r="J3707" s="455">
        <f t="array" ref="J3707">IFERROR(INDEX('Retirement Calculator'!J:J,MATCH('Isaac 401k'!N3707,'Retirement Calculator'!A:A,0),0),0)</f>
        <v>0</v>
      </c>
      <c r="K3707" s="455">
        <f t="shared" ca="1" si="171"/>
        <v>-3395300547.8373995</v>
      </c>
      <c r="L3707" s="455">
        <f t="shared" ca="1" si="172"/>
        <v>-818267432028.81323</v>
      </c>
      <c r="M3707" s="471">
        <f t="shared" si="174"/>
        <v>0.05</v>
      </c>
      <c r="N3707" s="475">
        <f t="shared" si="175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73"/>
        <v>-818267432028.81323</v>
      </c>
      <c r="J3708" s="455">
        <f t="array" ref="J3708">IFERROR(INDEX('Retirement Calculator'!J:J,MATCH('Isaac 401k'!N3708,'Retirement Calculator'!A:A,0),0),0)</f>
        <v>0</v>
      </c>
      <c r="K3708" s="455">
        <f t="shared" ca="1" si="171"/>
        <v>-3409447633.4533882</v>
      </c>
      <c r="L3708" s="455">
        <f t="shared" ca="1" si="172"/>
        <v>-821676879662.2666</v>
      </c>
      <c r="M3708" s="471">
        <f t="shared" si="174"/>
        <v>0.05</v>
      </c>
      <c r="N3708" s="475">
        <f t="shared" si="175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73"/>
        <v>-821676879662.2666</v>
      </c>
      <c r="J3709" s="455">
        <f t="array" ref="J3709">IFERROR(INDEX('Retirement Calculator'!J:J,MATCH('Isaac 401k'!N3709,'Retirement Calculator'!A:A,0),0),0)</f>
        <v>0</v>
      </c>
      <c r="K3709" s="455">
        <f t="shared" ca="1" si="171"/>
        <v>-3423653665.2594442</v>
      </c>
      <c r="L3709" s="455">
        <f t="shared" ca="1" si="172"/>
        <v>-825100533327.526</v>
      </c>
      <c r="M3709" s="471">
        <f t="shared" si="174"/>
        <v>0.05</v>
      </c>
      <c r="N3709" s="475">
        <f t="shared" si="175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73"/>
        <v>-825100533327.526</v>
      </c>
      <c r="J3710" s="455">
        <f t="array" ref="J3710">IFERROR(INDEX('Retirement Calculator'!J:J,MATCH('Isaac 401k'!N3710,'Retirement Calculator'!A:A,0),0),0)</f>
        <v>0</v>
      </c>
      <c r="K3710" s="455">
        <f t="shared" ca="1" si="171"/>
        <v>-3437918888.8646917</v>
      </c>
      <c r="L3710" s="455">
        <f t="shared" ca="1" si="172"/>
        <v>-828538452216.39075</v>
      </c>
      <c r="M3710" s="471">
        <f t="shared" si="174"/>
        <v>0.05</v>
      </c>
      <c r="N3710" s="475">
        <f t="shared" si="175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73"/>
        <v>-828538452216.39075</v>
      </c>
      <c r="J3711" s="455">
        <f t="array" ref="J3711">IFERROR(INDEX('Retirement Calculator'!J:J,MATCH('Isaac 401k'!N3711,'Retirement Calculator'!A:A,0),0),0)</f>
        <v>0</v>
      </c>
      <c r="K3711" s="455">
        <f t="shared" ca="1" si="171"/>
        <v>-3452243550.901628</v>
      </c>
      <c r="L3711" s="455">
        <f t="shared" ca="1" si="172"/>
        <v>-831990695767.29236</v>
      </c>
      <c r="M3711" s="471">
        <f t="shared" si="174"/>
        <v>0.05</v>
      </c>
      <c r="N3711" s="475">
        <f t="shared" si="175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73"/>
        <v>-831990695767.29236</v>
      </c>
      <c r="J3712" s="455">
        <f t="array" ref="J3712">IFERROR(INDEX('Retirement Calculator'!J:J,MATCH('Isaac 401k'!N3712,'Retirement Calculator'!A:A,0),0),0)</f>
        <v>0</v>
      </c>
      <c r="K3712" s="455">
        <f t="shared" ca="1" si="171"/>
        <v>-3466627899.0303845</v>
      </c>
      <c r="L3712" s="455">
        <f t="shared" ca="1" si="172"/>
        <v>-835457323666.32275</v>
      </c>
      <c r="M3712" s="471">
        <f t="shared" si="174"/>
        <v>0.05</v>
      </c>
      <c r="N3712" s="475">
        <f t="shared" si="175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73"/>
        <v>-835457323666.32275</v>
      </c>
      <c r="J3713" s="455">
        <f t="array" ref="J3713">IFERROR(INDEX('Retirement Calculator'!J:J,MATCH('Isaac 401k'!N3713,'Retirement Calculator'!A:A,0),0),0)</f>
        <v>0</v>
      </c>
      <c r="K3713" s="455">
        <f t="shared" ca="1" si="171"/>
        <v>-3481072181.9430113</v>
      </c>
      <c r="L3713" s="455">
        <f t="shared" ca="1" si="172"/>
        <v>-838938395848.26575</v>
      </c>
      <c r="M3713" s="471">
        <f t="shared" si="174"/>
        <v>0.05</v>
      </c>
      <c r="N3713" s="475">
        <f t="shared" si="175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73"/>
        <v>-838938395848.26575</v>
      </c>
      <c r="J3714" s="455">
        <f t="array" ref="J3714">IFERROR(INDEX('Retirement Calculator'!J:J,MATCH('Isaac 401k'!N3714,'Retirement Calculator'!A:A,0),0),0)</f>
        <v>0</v>
      </c>
      <c r="K3714" s="455">
        <f t="shared" ca="1" si="171"/>
        <v>-3495576649.367774</v>
      </c>
      <c r="L3714" s="455">
        <f t="shared" ca="1" si="172"/>
        <v>-842433972497.63354</v>
      </c>
      <c r="M3714" s="471">
        <f t="shared" si="174"/>
        <v>0.05</v>
      </c>
      <c r="N3714" s="475">
        <f t="shared" si="175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73"/>
        <v>-842433972497.63354</v>
      </c>
      <c r="J3715" s="455">
        <f t="array" ref="J3715">IFERROR(INDEX('Retirement Calculator'!J:J,MATCH('Isaac 401k'!N3715,'Retirement Calculator'!A:A,0),0),0)</f>
        <v>0</v>
      </c>
      <c r="K3715" s="455">
        <f t="shared" ca="1" si="171"/>
        <v>-3510141552.073473</v>
      </c>
      <c r="L3715" s="455">
        <f t="shared" ca="1" si="172"/>
        <v>-845944114049.70703</v>
      </c>
      <c r="M3715" s="471">
        <f t="shared" si="174"/>
        <v>0.05</v>
      </c>
      <c r="N3715" s="475">
        <f t="shared" si="175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73"/>
        <v>-845944114049.70703</v>
      </c>
      <c r="J3716" s="455">
        <f t="array" ref="J3716">IFERROR(INDEX('Retirement Calculator'!J:J,MATCH('Isaac 401k'!N3716,'Retirement Calculator'!A:A,0),0),0)</f>
        <v>0</v>
      </c>
      <c r="K3716" s="455">
        <f t="shared" ca="1" si="171"/>
        <v>-3524767141.8737793</v>
      </c>
      <c r="L3716" s="455">
        <f t="shared" ca="1" si="172"/>
        <v>-849468881191.58081</v>
      </c>
      <c r="M3716" s="471">
        <f t="shared" si="174"/>
        <v>0.05</v>
      </c>
      <c r="N3716" s="475">
        <f t="shared" si="175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73"/>
        <v>-849468881191.58081</v>
      </c>
      <c r="J3717" s="455">
        <f t="array" ref="J3717">IFERROR(INDEX('Retirement Calculator'!J:J,MATCH('Isaac 401k'!N3717,'Retirement Calculator'!A:A,0),0),0)</f>
        <v>0</v>
      </c>
      <c r="K3717" s="455">
        <f t="shared" ca="1" si="171"/>
        <v>-3539453671.6315866</v>
      </c>
      <c r="L3717" s="455">
        <f t="shared" ca="1" si="172"/>
        <v>-853008334863.2124</v>
      </c>
      <c r="M3717" s="471">
        <f t="shared" si="174"/>
        <v>0.05</v>
      </c>
      <c r="N3717" s="475">
        <f t="shared" si="175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73"/>
        <v>-853008334863.2124</v>
      </c>
      <c r="J3718" s="455">
        <f t="array" ref="J3718">IFERROR(INDEX('Retirement Calculator'!J:J,MATCH('Isaac 401k'!N3718,'Retirement Calculator'!A:A,0),0),0)</f>
        <v>0</v>
      </c>
      <c r="K3718" s="455">
        <f t="shared" ca="1" si="171"/>
        <v>-3554201395.2633848</v>
      </c>
      <c r="L3718" s="455">
        <f t="shared" ca="1" si="172"/>
        <v>-856562536258.47583</v>
      </c>
      <c r="M3718" s="471">
        <f t="shared" si="174"/>
        <v>0.05</v>
      </c>
      <c r="N3718" s="475">
        <f t="shared" si="175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73"/>
        <v>-856562536258.47583</v>
      </c>
      <c r="J3719" s="455">
        <f t="array" ref="J3719">IFERROR(INDEX('Retirement Calculator'!J:J,MATCH('Isaac 401k'!N3719,'Retirement Calculator'!A:A,0),0),0)</f>
        <v>0</v>
      </c>
      <c r="K3719" s="455">
        <f t="shared" ca="1" si="171"/>
        <v>-3569010567.743649</v>
      </c>
      <c r="L3719" s="455">
        <f t="shared" ca="1" si="172"/>
        <v>-860131546826.21948</v>
      </c>
      <c r="M3719" s="471">
        <f t="shared" si="174"/>
        <v>0.05</v>
      </c>
      <c r="N3719" s="475">
        <f t="shared" si="175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73"/>
        <v>-860131546826.21948</v>
      </c>
      <c r="J3720" s="455">
        <f t="array" ref="J3720">IFERROR(INDEX('Retirement Calculator'!J:J,MATCH('Isaac 401k'!N3720,'Retirement Calculator'!A:A,0),0),0)</f>
        <v>0</v>
      </c>
      <c r="K3720" s="455">
        <f t="shared" ca="1" si="171"/>
        <v>-3583881445.1092482</v>
      </c>
      <c r="L3720" s="455">
        <f t="shared" ca="1" si="172"/>
        <v>-863715428271.32874</v>
      </c>
      <c r="M3720" s="471">
        <f t="shared" si="174"/>
        <v>0.05</v>
      </c>
      <c r="N3720" s="475">
        <f t="shared" si="175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73"/>
        <v>-863715428271.32874</v>
      </c>
      <c r="J3721" s="455">
        <f t="array" ref="J3721">IFERROR(INDEX('Retirement Calculator'!J:J,MATCH('Isaac 401k'!N3721,'Retirement Calculator'!A:A,0),0),0)</f>
        <v>0</v>
      </c>
      <c r="K3721" s="455">
        <f t="shared" ca="1" si="171"/>
        <v>-3598814284.4638696</v>
      </c>
      <c r="L3721" s="455">
        <f t="shared" ca="1" si="172"/>
        <v>-867314242555.7926</v>
      </c>
      <c r="M3721" s="471">
        <f t="shared" si="174"/>
        <v>0.05</v>
      </c>
      <c r="N3721" s="475">
        <f t="shared" si="175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73"/>
        <v>-867314242555.7926</v>
      </c>
      <c r="J3722" s="455">
        <f t="array" ref="J3722">IFERROR(INDEX('Retirement Calculator'!J:J,MATCH('Isaac 401k'!N3722,'Retirement Calculator'!A:A,0),0),0)</f>
        <v>0</v>
      </c>
      <c r="K3722" s="455">
        <f t="shared" ca="1" si="171"/>
        <v>-3613809343.9824691</v>
      </c>
      <c r="L3722" s="455">
        <f t="shared" ca="1" si="172"/>
        <v>-870928051899.77502</v>
      </c>
      <c r="M3722" s="471">
        <f t="shared" si="174"/>
        <v>0.05</v>
      </c>
      <c r="N3722" s="475">
        <f t="shared" si="175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73"/>
        <v>-870928051899.77502</v>
      </c>
      <c r="J3723" s="455">
        <f t="array" ref="J3723">IFERROR(INDEX('Retirement Calculator'!J:J,MATCH('Isaac 401k'!N3723,'Retirement Calculator'!A:A,0),0),0)</f>
        <v>0</v>
      </c>
      <c r="K3723" s="455">
        <f t="shared" ca="1" si="171"/>
        <v>-3628866882.915729</v>
      </c>
      <c r="L3723" s="455">
        <f t="shared" ca="1" si="172"/>
        <v>-874556918782.6908</v>
      </c>
      <c r="M3723" s="471">
        <f t="shared" si="174"/>
        <v>0.05</v>
      </c>
      <c r="N3723" s="475">
        <f t="shared" si="175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73"/>
        <v>-874556918782.6908</v>
      </c>
      <c r="J3724" s="455">
        <f t="array" ref="J3724">IFERROR(INDEX('Retirement Calculator'!J:J,MATCH('Isaac 401k'!N3724,'Retirement Calculator'!A:A,0),0),0)</f>
        <v>0</v>
      </c>
      <c r="K3724" s="455">
        <f t="shared" ca="1" si="171"/>
        <v>-3643987161.5945444</v>
      </c>
      <c r="L3724" s="455">
        <f t="shared" ca="1" si="172"/>
        <v>-878200905944.2854</v>
      </c>
      <c r="M3724" s="471">
        <f t="shared" si="174"/>
        <v>0.05</v>
      </c>
      <c r="N3724" s="475">
        <f t="shared" si="175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73"/>
        <v>-878200905944.2854</v>
      </c>
      <c r="J3725" s="455">
        <f t="array" ref="J3725">IFERROR(INDEX('Retirement Calculator'!J:J,MATCH('Isaac 401k'!N3725,'Retirement Calculator'!A:A,0),0),0)</f>
        <v>0</v>
      </c>
      <c r="K3725" s="455">
        <f t="shared" ca="1" si="171"/>
        <v>-3659170441.4345222</v>
      </c>
      <c r="L3725" s="455">
        <f t="shared" ca="1" si="172"/>
        <v>-881860076385.71997</v>
      </c>
      <c r="M3725" s="471">
        <f t="shared" si="174"/>
        <v>0.05</v>
      </c>
      <c r="N3725" s="475">
        <f t="shared" si="175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73"/>
        <v>-881860076385.71997</v>
      </c>
      <c r="J3726" s="455">
        <f t="array" ref="J3726">IFERROR(INDEX('Retirement Calculator'!J:J,MATCH('Isaac 401k'!N3726,'Retirement Calculator'!A:A,0),0),0)</f>
        <v>0</v>
      </c>
      <c r="K3726" s="455">
        <f t="shared" ca="1" si="171"/>
        <v>-3674416984.9404993</v>
      </c>
      <c r="L3726" s="455">
        <f t="shared" ca="1" si="172"/>
        <v>-885534493370.66052</v>
      </c>
      <c r="M3726" s="471">
        <f t="shared" si="174"/>
        <v>0.05</v>
      </c>
      <c r="N3726" s="475">
        <f t="shared" si="175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73"/>
        <v>-885534493370.66052</v>
      </c>
      <c r="J3727" s="455">
        <f t="array" ref="J3727">IFERROR(INDEX('Retirement Calculator'!J:J,MATCH('Isaac 401k'!N3727,'Retirement Calculator'!A:A,0),0),0)</f>
        <v>0</v>
      </c>
      <c r="K3727" s="455">
        <f t="shared" ca="1" si="171"/>
        <v>-3689727055.7110848</v>
      </c>
      <c r="L3727" s="455">
        <f t="shared" ca="1" si="172"/>
        <v>-889224220426.37158</v>
      </c>
      <c r="M3727" s="471">
        <f t="shared" si="174"/>
        <v>0.05</v>
      </c>
      <c r="N3727" s="475">
        <f t="shared" si="175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73"/>
        <v>-889224220426.37158</v>
      </c>
      <c r="J3728" s="455">
        <f t="array" ref="J3728">IFERROR(INDEX('Retirement Calculator'!J:J,MATCH('Isaac 401k'!N3728,'Retirement Calculator'!A:A,0),0),0)</f>
        <v>0</v>
      </c>
      <c r="K3728" s="455">
        <f t="shared" ca="1" si="171"/>
        <v>-3705100918.4432149</v>
      </c>
      <c r="L3728" s="455">
        <f t="shared" ca="1" si="172"/>
        <v>-892929321344.81482</v>
      </c>
      <c r="M3728" s="471">
        <f t="shared" si="174"/>
        <v>0.05</v>
      </c>
      <c r="N3728" s="475">
        <f t="shared" si="175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73"/>
        <v>-892929321344.81482</v>
      </c>
      <c r="J3729" s="455">
        <f t="array" ref="J3729">IFERROR(INDEX('Retirement Calculator'!J:J,MATCH('Isaac 401k'!N3729,'Retirement Calculator'!A:A,0),0),0)</f>
        <v>0</v>
      </c>
      <c r="K3729" s="455">
        <f t="shared" ca="1" si="171"/>
        <v>-3720538838.9367285</v>
      </c>
      <c r="L3729" s="455">
        <f t="shared" ca="1" si="172"/>
        <v>-896649860183.75159</v>
      </c>
      <c r="M3729" s="471">
        <f t="shared" si="174"/>
        <v>0.05</v>
      </c>
      <c r="N3729" s="475">
        <f t="shared" si="175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73"/>
        <v>-896649860183.75159</v>
      </c>
      <c r="J3730" s="455">
        <f t="array" ref="J3730">IFERROR(INDEX('Retirement Calculator'!J:J,MATCH('Isaac 401k'!N3730,'Retirement Calculator'!A:A,0),0),0)</f>
        <v>0</v>
      </c>
      <c r="K3730" s="455">
        <f t="shared" ca="1" si="171"/>
        <v>-3736041084.0989647</v>
      </c>
      <c r="L3730" s="455">
        <f t="shared" ca="1" si="172"/>
        <v>-900385901267.85059</v>
      </c>
      <c r="M3730" s="471">
        <f t="shared" si="174"/>
        <v>0.05</v>
      </c>
      <c r="N3730" s="475">
        <f t="shared" si="175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73"/>
        <v>-900385901267.85059</v>
      </c>
      <c r="J3731" s="455">
        <f t="array" ref="J3731">IFERROR(INDEX('Retirement Calculator'!J:J,MATCH('Isaac 401k'!N3731,'Retirement Calculator'!A:A,0),0),0)</f>
        <v>0</v>
      </c>
      <c r="K3731" s="455">
        <f t="shared" ca="1" si="171"/>
        <v>-3751607921.9493775</v>
      </c>
      <c r="L3731" s="455">
        <f t="shared" ca="1" si="172"/>
        <v>-904137509189.79993</v>
      </c>
      <c r="M3731" s="471">
        <f t="shared" si="174"/>
        <v>0.05</v>
      </c>
      <c r="N3731" s="475">
        <f t="shared" si="175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73"/>
        <v>-904137509189.79993</v>
      </c>
      <c r="J3732" s="455">
        <f t="array" ref="J3732">IFERROR(INDEX('Retirement Calculator'!J:J,MATCH('Isaac 401k'!N3732,'Retirement Calculator'!A:A,0),0),0)</f>
        <v>0</v>
      </c>
      <c r="K3732" s="455">
        <f t="shared" ca="1" si="171"/>
        <v>-3767239621.624166</v>
      </c>
      <c r="L3732" s="455">
        <f t="shared" ca="1" si="172"/>
        <v>-907904748811.42407</v>
      </c>
      <c r="M3732" s="471">
        <f t="shared" si="174"/>
        <v>0.05</v>
      </c>
      <c r="N3732" s="475">
        <f t="shared" si="175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73"/>
        <v>-907904748811.42407</v>
      </c>
      <c r="J3733" s="455">
        <f t="array" ref="J3733">IFERROR(INDEX('Retirement Calculator'!J:J,MATCH('Isaac 401k'!N3733,'Retirement Calculator'!A:A,0),0),0)</f>
        <v>0</v>
      </c>
      <c r="K3733" s="455">
        <f t="shared" ca="1" si="171"/>
        <v>-3782936453.3809342</v>
      </c>
      <c r="L3733" s="455">
        <f t="shared" ca="1" si="172"/>
        <v>-911687685264.80505</v>
      </c>
      <c r="M3733" s="471">
        <f t="shared" si="174"/>
        <v>0.05</v>
      </c>
      <c r="N3733" s="475">
        <f t="shared" si="175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73"/>
        <v>-911687685264.80505</v>
      </c>
      <c r="J3734" s="455">
        <f t="array" ref="J3734">IFERROR(INDEX('Retirement Calculator'!J:J,MATCH('Isaac 401k'!N3734,'Retirement Calculator'!A:A,0),0),0)</f>
        <v>0</v>
      </c>
      <c r="K3734" s="455">
        <f t="shared" ca="1" si="171"/>
        <v>-3798698688.6033545</v>
      </c>
      <c r="L3734" s="455">
        <f t="shared" ca="1" si="172"/>
        <v>-915486383953.40845</v>
      </c>
      <c r="M3734" s="471">
        <f t="shared" si="174"/>
        <v>0.05</v>
      </c>
      <c r="N3734" s="475">
        <f t="shared" si="175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73"/>
        <v>-915486383953.40845</v>
      </c>
      <c r="J3735" s="455">
        <f t="array" ref="J3735">IFERROR(INDEX('Retirement Calculator'!J:J,MATCH('Isaac 401k'!N3735,'Retirement Calculator'!A:A,0),0),0)</f>
        <v>0</v>
      </c>
      <c r="K3735" s="455">
        <f t="shared" ca="1" si="171"/>
        <v>-3814526599.8058686</v>
      </c>
      <c r="L3735" s="455">
        <f t="shared" ca="1" si="172"/>
        <v>-919300910553.21436</v>
      </c>
      <c r="M3735" s="471">
        <f t="shared" si="174"/>
        <v>0.05</v>
      </c>
      <c r="N3735" s="475">
        <f t="shared" si="175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73"/>
        <v>-919300910553.21436</v>
      </c>
      <c r="J3736" s="455">
        <f t="array" ref="J3736">IFERROR(INDEX('Retirement Calculator'!J:J,MATCH('Isaac 401k'!N3736,'Retirement Calculator'!A:A,0),0),0)</f>
        <v>0</v>
      </c>
      <c r="K3736" s="455">
        <f t="shared" ca="1" si="171"/>
        <v>-3830420460.6383929</v>
      </c>
      <c r="L3736" s="455">
        <f t="shared" ca="1" si="172"/>
        <v>-923131331013.85278</v>
      </c>
      <c r="M3736" s="471">
        <f t="shared" si="174"/>
        <v>0.05</v>
      </c>
      <c r="N3736" s="475">
        <f t="shared" si="175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73"/>
        <v>-923131331013.85278</v>
      </c>
      <c r="J3737" s="455">
        <f t="array" ref="J3737">IFERROR(INDEX('Retirement Calculator'!J:J,MATCH('Isaac 401k'!N3737,'Retirement Calculator'!A:A,0),0),0)</f>
        <v>0</v>
      </c>
      <c r="K3737" s="455">
        <f t="shared" ca="1" si="171"/>
        <v>-3846380545.8910532</v>
      </c>
      <c r="L3737" s="455">
        <f t="shared" ca="1" si="172"/>
        <v>-926977711559.7439</v>
      </c>
      <c r="M3737" s="471">
        <f t="shared" si="174"/>
        <v>0.05</v>
      </c>
      <c r="N3737" s="475">
        <f t="shared" si="175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73"/>
        <v>-926977711559.7439</v>
      </c>
      <c r="J3738" s="455">
        <f t="array" ref="J3738">IFERROR(INDEX('Retirement Calculator'!J:J,MATCH('Isaac 401k'!N3738,'Retirement Calculator'!A:A,0),0),0)</f>
        <v>0</v>
      </c>
      <c r="K3738" s="455">
        <f t="shared" ca="1" si="171"/>
        <v>-3862407131.4989328</v>
      </c>
      <c r="L3738" s="455">
        <f t="shared" ca="1" si="172"/>
        <v>-930840118691.2428</v>
      </c>
      <c r="M3738" s="471">
        <f t="shared" si="174"/>
        <v>0.05</v>
      </c>
      <c r="N3738" s="475">
        <f t="shared" si="175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73"/>
        <v>-930840118691.2428</v>
      </c>
      <c r="J3739" s="455">
        <f t="array" ref="J3739">IFERROR(INDEX('Retirement Calculator'!J:J,MATCH('Isaac 401k'!N3739,'Retirement Calculator'!A:A,0),0),0)</f>
        <v>0</v>
      </c>
      <c r="K3739" s="455">
        <f t="shared" ca="1" si="171"/>
        <v>-3878500494.5468454</v>
      </c>
      <c r="L3739" s="455">
        <f t="shared" ca="1" si="172"/>
        <v>-934718619185.78967</v>
      </c>
      <c r="M3739" s="471">
        <f t="shared" si="174"/>
        <v>0.05</v>
      </c>
      <c r="N3739" s="475">
        <f t="shared" si="175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73"/>
        <v>-934718619185.78967</v>
      </c>
      <c r="J3740" s="455">
        <f t="array" ref="J3740">IFERROR(INDEX('Retirement Calculator'!J:J,MATCH('Isaac 401k'!N3740,'Retirement Calculator'!A:A,0),0),0)</f>
        <v>0</v>
      </c>
      <c r="K3740" s="455">
        <f t="shared" ca="1" si="171"/>
        <v>-3894660913.2741241</v>
      </c>
      <c r="L3740" s="455">
        <f t="shared" ca="1" si="172"/>
        <v>-938613280099.06384</v>
      </c>
      <c r="M3740" s="471">
        <f t="shared" si="174"/>
        <v>0.05</v>
      </c>
      <c r="N3740" s="475">
        <f t="shared" si="175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73"/>
        <v>-938613280099.06384</v>
      </c>
      <c r="J3741" s="455">
        <f t="array" ref="J3741">IFERROR(INDEX('Retirement Calculator'!J:J,MATCH('Isaac 401k'!N3741,'Retirement Calculator'!A:A,0),0),0)</f>
        <v>0</v>
      </c>
      <c r="K3741" s="455">
        <f t="shared" ca="1" si="171"/>
        <v>-3910888667.079433</v>
      </c>
      <c r="L3741" s="455">
        <f t="shared" ca="1" si="172"/>
        <v>-942524168766.14331</v>
      </c>
      <c r="M3741" s="471">
        <f t="shared" si="174"/>
        <v>0.05</v>
      </c>
      <c r="N3741" s="475">
        <f t="shared" si="175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73"/>
        <v>-942524168766.14331</v>
      </c>
      <c r="J3742" s="455">
        <f t="array" ref="J3742">IFERROR(INDEX('Retirement Calculator'!J:J,MATCH('Isaac 401k'!N3742,'Retirement Calculator'!A:A,0),0),0)</f>
        <v>0</v>
      </c>
      <c r="K3742" s="455">
        <f t="shared" ca="1" si="171"/>
        <v>-3927184036.5255971</v>
      </c>
      <c r="L3742" s="455">
        <f t="shared" ca="1" si="172"/>
        <v>-946451352802.66895</v>
      </c>
      <c r="M3742" s="471">
        <f t="shared" si="174"/>
        <v>0.05</v>
      </c>
      <c r="N3742" s="475">
        <f t="shared" si="175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73"/>
        <v>-946451352802.66895</v>
      </c>
      <c r="J3743" s="455">
        <f t="array" ref="J3743">IFERROR(INDEX('Retirement Calculator'!J:J,MATCH('Isaac 401k'!N3743,'Retirement Calculator'!A:A,0),0),0)</f>
        <v>0</v>
      </c>
      <c r="K3743" s="455">
        <f t="shared" ca="1" si="171"/>
        <v>-3943547303.3444538</v>
      </c>
      <c r="L3743" s="455">
        <f t="shared" ca="1" si="172"/>
        <v>-950394900106.01343</v>
      </c>
      <c r="M3743" s="471">
        <f t="shared" si="174"/>
        <v>0.05</v>
      </c>
      <c r="N3743" s="475">
        <f t="shared" si="175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73"/>
        <v>-950394900106.01343</v>
      </c>
      <c r="J3744" s="455">
        <f t="array" ref="J3744">IFERROR(INDEX('Retirement Calculator'!J:J,MATCH('Isaac 401k'!N3744,'Retirement Calculator'!A:A,0),0),0)</f>
        <v>0</v>
      </c>
      <c r="K3744" s="455">
        <f t="shared" ca="1" si="171"/>
        <v>-3959978750.4417229</v>
      </c>
      <c r="L3744" s="455">
        <f t="shared" ca="1" si="172"/>
        <v>-954354878856.4552</v>
      </c>
      <c r="M3744" s="471">
        <f t="shared" si="174"/>
        <v>0.05</v>
      </c>
      <c r="N3744" s="475">
        <f t="shared" si="175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73"/>
        <v>-954354878856.4552</v>
      </c>
      <c r="J3745" s="455">
        <f t="array" ref="J3745">IFERROR(INDEX('Retirement Calculator'!J:J,MATCH('Isaac 401k'!N3745,'Retirement Calculator'!A:A,0),0),0)</f>
        <v>0</v>
      </c>
      <c r="K3745" s="455">
        <f t="shared" ca="1" si="171"/>
        <v>-3976478661.9018965</v>
      </c>
      <c r="L3745" s="455">
        <f t="shared" ca="1" si="172"/>
        <v>-958331357518.35706</v>
      </c>
      <c r="M3745" s="471">
        <f t="shared" si="174"/>
        <v>0.05</v>
      </c>
      <c r="N3745" s="475">
        <f t="shared" si="175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73"/>
        <v>-958331357518.35706</v>
      </c>
      <c r="J3746" s="455">
        <f t="array" ref="J3746">IFERROR(INDEX('Retirement Calculator'!J:J,MATCH('Isaac 401k'!N3746,'Retirement Calculator'!A:A,0),0),0)</f>
        <v>0</v>
      </c>
      <c r="K3746" s="455">
        <f t="shared" ca="1" si="171"/>
        <v>-3993047322.993154</v>
      </c>
      <c r="L3746" s="455">
        <f t="shared" ca="1" si="172"/>
        <v>-962324404841.35022</v>
      </c>
      <c r="M3746" s="471">
        <f t="shared" si="174"/>
        <v>0.05</v>
      </c>
      <c r="N3746" s="475">
        <f t="shared" si="175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73"/>
        <v>-962324404841.35022</v>
      </c>
      <c r="J3747" s="455">
        <f t="array" ref="J3747">IFERROR(INDEX('Retirement Calculator'!J:J,MATCH('Isaac 401k'!N3747,'Retirement Calculator'!A:A,0),0),0)</f>
        <v>0</v>
      </c>
      <c r="K3747" s="455">
        <f t="shared" ca="1" si="171"/>
        <v>-4009685020.1722927</v>
      </c>
      <c r="L3747" s="455">
        <f t="shared" ca="1" si="172"/>
        <v>-966334089861.52246</v>
      </c>
      <c r="M3747" s="471">
        <f t="shared" si="174"/>
        <v>0.05</v>
      </c>
      <c r="N3747" s="475">
        <f t="shared" si="175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73"/>
        <v>-966334089861.52246</v>
      </c>
      <c r="J3748" s="455">
        <f t="array" ref="J3748">IFERROR(INDEX('Retirement Calculator'!J:J,MATCH('Isaac 401k'!N3748,'Retirement Calculator'!A:A,0),0),0)</f>
        <v>0</v>
      </c>
      <c r="K3748" s="455">
        <f t="shared" ca="1" si="171"/>
        <v>-4026392041.0896769</v>
      </c>
      <c r="L3748" s="455">
        <f t="shared" ca="1" si="172"/>
        <v>-970360481902.61218</v>
      </c>
      <c r="M3748" s="471">
        <f t="shared" si="174"/>
        <v>0.05</v>
      </c>
      <c r="N3748" s="475">
        <f t="shared" si="175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73"/>
        <v>-970360481902.61218</v>
      </c>
      <c r="J3749" s="455">
        <f t="array" ref="J3749">IFERROR(INDEX('Retirement Calculator'!J:J,MATCH('Isaac 401k'!N3749,'Retirement Calculator'!A:A,0),0),0)</f>
        <v>0</v>
      </c>
      <c r="K3749" s="455">
        <f t="shared" ca="1" si="171"/>
        <v>-4043168674.5942173</v>
      </c>
      <c r="L3749" s="455">
        <f t="shared" ca="1" si="172"/>
        <v>-974403650577.20642</v>
      </c>
      <c r="M3749" s="471">
        <f t="shared" si="174"/>
        <v>0.05</v>
      </c>
      <c r="N3749" s="475">
        <f t="shared" si="175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73"/>
        <v>-974403650577.20642</v>
      </c>
      <c r="J3750" s="455">
        <f t="array" ref="J3750">IFERROR(INDEX('Retirement Calculator'!J:J,MATCH('Isaac 401k'!N3750,'Retirement Calculator'!A:A,0),0),0)</f>
        <v>0</v>
      </c>
      <c r="K3750" s="455">
        <f t="shared" ca="1" si="171"/>
        <v>-4060015210.7383599</v>
      </c>
      <c r="L3750" s="455">
        <f t="shared" ca="1" si="172"/>
        <v>-978463665787.94482</v>
      </c>
      <c r="M3750" s="471">
        <f t="shared" si="174"/>
        <v>0.05</v>
      </c>
      <c r="N3750" s="475">
        <f t="shared" si="175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73"/>
        <v>-978463665787.94482</v>
      </c>
      <c r="J3751" s="455">
        <f t="array" ref="J3751">IFERROR(INDEX('Retirement Calculator'!J:J,MATCH('Isaac 401k'!N3751,'Retirement Calculator'!A:A,0),0),0)</f>
        <v>0</v>
      </c>
      <c r="K3751" s="455">
        <f t="shared" ca="1" si="171"/>
        <v>-4076931940.7831035</v>
      </c>
      <c r="L3751" s="455">
        <f t="shared" ca="1" si="172"/>
        <v>-982540597728.72791</v>
      </c>
      <c r="M3751" s="471">
        <f t="shared" si="174"/>
        <v>0.05</v>
      </c>
      <c r="N3751" s="475">
        <f t="shared" si="175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73"/>
        <v>-982540597728.72791</v>
      </c>
      <c r="J3752" s="455">
        <f t="array" ref="J3752">IFERROR(INDEX('Retirement Calculator'!J:J,MATCH('Isaac 401k'!N3752,'Retirement Calculator'!A:A,0),0),0)</f>
        <v>0</v>
      </c>
      <c r="K3752" s="455">
        <f t="shared" ca="1" si="171"/>
        <v>-4093919157.203033</v>
      </c>
      <c r="L3752" s="455">
        <f t="shared" ca="1" si="172"/>
        <v>-986634516885.93091</v>
      </c>
      <c r="M3752" s="471">
        <f t="shared" si="174"/>
        <v>0.05</v>
      </c>
      <c r="N3752" s="475">
        <f t="shared" si="175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73"/>
        <v>-986634516885.93091</v>
      </c>
      <c r="J3753" s="455">
        <f t="array" ref="J3753">IFERROR(INDEX('Retirement Calculator'!J:J,MATCH('Isaac 401k'!N3753,'Retirement Calculator'!A:A,0),0),0)</f>
        <v>0</v>
      </c>
      <c r="K3753" s="455">
        <f t="shared" ca="1" si="171"/>
        <v>-4110977153.6913791</v>
      </c>
      <c r="L3753" s="455">
        <f t="shared" ca="1" si="172"/>
        <v>-990745494039.62231</v>
      </c>
      <c r="M3753" s="471">
        <f t="shared" si="174"/>
        <v>0.05</v>
      </c>
      <c r="N3753" s="475">
        <f t="shared" si="175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73"/>
        <v>-990745494039.62231</v>
      </c>
      <c r="J3754" s="455">
        <f t="array" ref="J3754">IFERROR(INDEX('Retirement Calculator'!J:J,MATCH('Isaac 401k'!N3754,'Retirement Calculator'!A:A,0),0),0)</f>
        <v>0</v>
      </c>
      <c r="K3754" s="455">
        <f t="shared" ca="1" si="171"/>
        <v>-4128106225.1650929</v>
      </c>
      <c r="L3754" s="455">
        <f t="shared" ca="1" si="172"/>
        <v>-994873600264.78735</v>
      </c>
      <c r="M3754" s="471">
        <f t="shared" si="174"/>
        <v>0.05</v>
      </c>
      <c r="N3754" s="475">
        <f t="shared" si="175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73"/>
        <v>-994873600264.78735</v>
      </c>
      <c r="J3755" s="455">
        <f t="array" ref="J3755">IFERROR(INDEX('Retirement Calculator'!J:J,MATCH('Isaac 401k'!N3755,'Retirement Calculator'!A:A,0),0),0)</f>
        <v>0</v>
      </c>
      <c r="K3755" s="455">
        <f t="shared" ca="1" si="171"/>
        <v>-4145306667.7699471</v>
      </c>
      <c r="L3755" s="455">
        <f t="shared" ca="1" si="172"/>
        <v>-999018906932.55725</v>
      </c>
      <c r="M3755" s="471">
        <f t="shared" si="174"/>
        <v>0.05</v>
      </c>
      <c r="N3755" s="475">
        <f t="shared" si="175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73"/>
        <v>-999018906932.55725</v>
      </c>
      <c r="J3756" s="455">
        <f t="array" ref="J3756">IFERROR(INDEX('Retirement Calculator'!J:J,MATCH('Isaac 401k'!N3756,'Retirement Calculator'!A:A,0),0),0)</f>
        <v>0</v>
      </c>
      <c r="K3756" s="455">
        <f t="shared" ca="1" si="171"/>
        <v>-4162578778.8856549</v>
      </c>
      <c r="L3756" s="455">
        <f t="shared" ca="1" si="172"/>
        <v>-1003181485711.4429</v>
      </c>
      <c r="M3756" s="471">
        <f t="shared" si="174"/>
        <v>0.05</v>
      </c>
      <c r="N3756" s="475">
        <f t="shared" si="175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73"/>
        <v>-1003181485711.4429</v>
      </c>
      <c r="J3757" s="455">
        <f t="array" ref="J3757">IFERROR(INDEX('Retirement Calculator'!J:J,MATCH('Isaac 401k'!N3757,'Retirement Calculator'!A:A,0),0),0)</f>
        <v>0</v>
      </c>
      <c r="K3757" s="455">
        <f t="shared" ca="1" si="171"/>
        <v>-4179922857.131012</v>
      </c>
      <c r="L3757" s="455">
        <f t="shared" ca="1" si="172"/>
        <v>-1007361408568.5739</v>
      </c>
      <c r="M3757" s="471">
        <f t="shared" si="174"/>
        <v>0.05</v>
      </c>
      <c r="N3757" s="475">
        <f t="shared" si="175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73"/>
        <v>-1007361408568.5739</v>
      </c>
      <c r="J3758" s="455">
        <f t="array" ref="J3758">IFERROR(INDEX('Retirement Calculator'!J:J,MATCH('Isaac 401k'!N3758,'Retirement Calculator'!A:A,0),0),0)</f>
        <v>0</v>
      </c>
      <c r="K3758" s="455">
        <f t="shared" ca="1" si="171"/>
        <v>-4197339202.3690577</v>
      </c>
      <c r="L3758" s="455">
        <f t="shared" ca="1" si="172"/>
        <v>-1011558747770.9429</v>
      </c>
      <c r="M3758" s="471">
        <f t="shared" si="174"/>
        <v>0.05</v>
      </c>
      <c r="N3758" s="475">
        <f t="shared" si="175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73"/>
        <v>-1011558747770.9429</v>
      </c>
      <c r="J3759" s="455">
        <f t="array" ref="J3759">IFERROR(INDEX('Retirement Calculator'!J:J,MATCH('Isaac 401k'!N3759,'Retirement Calculator'!A:A,0),0),0)</f>
        <v>0</v>
      </c>
      <c r="K3759" s="455">
        <f t="shared" ca="1" si="171"/>
        <v>-4214828115.7122617</v>
      </c>
      <c r="L3759" s="455">
        <f t="shared" ca="1" si="172"/>
        <v>-1015773575886.6552</v>
      </c>
      <c r="M3759" s="471">
        <f t="shared" si="174"/>
        <v>0.05</v>
      </c>
      <c r="N3759" s="475">
        <f t="shared" si="175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73"/>
        <v>-1015773575886.6552</v>
      </c>
      <c r="J3760" s="455">
        <f t="array" ref="J3760">IFERROR(INDEX('Retirement Calculator'!J:J,MATCH('Isaac 401k'!N3760,'Retirement Calculator'!A:A,0),0),0)</f>
        <v>0</v>
      </c>
      <c r="K3760" s="455">
        <f t="shared" ca="1" si="171"/>
        <v>-4232389899.5277295</v>
      </c>
      <c r="L3760" s="455">
        <f t="shared" ca="1" si="172"/>
        <v>-1020005965786.1829</v>
      </c>
      <c r="M3760" s="471">
        <f t="shared" si="174"/>
        <v>0.05</v>
      </c>
      <c r="N3760" s="475">
        <f t="shared" si="175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73"/>
        <v>-1020005965786.1829</v>
      </c>
      <c r="J3761" s="455">
        <f t="array" ref="J3761">IFERROR(INDEX('Retirement Calculator'!J:J,MATCH('Isaac 401k'!N3761,'Retirement Calculator'!A:A,0),0),0)</f>
        <v>0</v>
      </c>
      <c r="K3761" s="455">
        <f t="shared" ca="1" si="171"/>
        <v>-4250024857.4424286</v>
      </c>
      <c r="L3761" s="455">
        <f t="shared" ca="1" si="172"/>
        <v>-1024255990643.6252</v>
      </c>
      <c r="M3761" s="471">
        <f t="shared" si="174"/>
        <v>0.05</v>
      </c>
      <c r="N3761" s="475">
        <f t="shared" si="175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73"/>
        <v>-1024255990643.6252</v>
      </c>
      <c r="J3762" s="455">
        <f t="array" ref="J3762">IFERROR(INDEX('Retirement Calculator'!J:J,MATCH('Isaac 401k'!N3762,'Retirement Calculator'!A:A,0),0),0)</f>
        <v>0</v>
      </c>
      <c r="K3762" s="455">
        <f t="shared" ca="1" si="171"/>
        <v>-4267733294.3484383</v>
      </c>
      <c r="L3762" s="455">
        <f t="shared" ca="1" si="172"/>
        <v>-1028523723937.9736</v>
      </c>
      <c r="M3762" s="471">
        <f t="shared" si="174"/>
        <v>0.05</v>
      </c>
      <c r="N3762" s="475">
        <f t="shared" si="175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73"/>
        <v>-1028523723937.9736</v>
      </c>
      <c r="J3763" s="455">
        <f t="array" ref="J3763">IFERROR(INDEX('Retirement Calculator'!J:J,MATCH('Isaac 401k'!N3763,'Retirement Calculator'!A:A,0),0),0)</f>
        <v>0</v>
      </c>
      <c r="K3763" s="455">
        <f t="shared" ca="1" si="171"/>
        <v>-4285515516.4082227</v>
      </c>
      <c r="L3763" s="455">
        <f t="shared" ca="1" si="172"/>
        <v>-1032809239454.3818</v>
      </c>
      <c r="M3763" s="471">
        <f t="shared" si="174"/>
        <v>0.05</v>
      </c>
      <c r="N3763" s="475">
        <f t="shared" si="175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73"/>
        <v>-1032809239454.3818</v>
      </c>
      <c r="J3764" s="455">
        <f t="array" ref="J3764">IFERROR(INDEX('Retirement Calculator'!J:J,MATCH('Isaac 401k'!N3764,'Retirement Calculator'!A:A,0),0),0)</f>
        <v>0</v>
      </c>
      <c r="K3764" s="455">
        <f t="shared" ca="1" si="171"/>
        <v>-4303371831.0599241</v>
      </c>
      <c r="L3764" s="455">
        <f t="shared" ca="1" si="172"/>
        <v>-1037112611285.4418</v>
      </c>
      <c r="M3764" s="471">
        <f t="shared" si="174"/>
        <v>0.05</v>
      </c>
      <c r="N3764" s="475">
        <f t="shared" si="175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73"/>
        <v>-1037112611285.4418</v>
      </c>
      <c r="J3765" s="455">
        <f t="array" ref="J3765">IFERROR(INDEX('Retirement Calculator'!J:J,MATCH('Isaac 401k'!N3765,'Retirement Calculator'!A:A,0),0),0)</f>
        <v>0</v>
      </c>
      <c r="K3765" s="455">
        <f t="shared" ca="1" si="171"/>
        <v>-4321302547.0226736</v>
      </c>
      <c r="L3765" s="455">
        <f t="shared" ca="1" si="172"/>
        <v>-1041433913832.4645</v>
      </c>
      <c r="M3765" s="471">
        <f t="shared" si="174"/>
        <v>0.05</v>
      </c>
      <c r="N3765" s="475">
        <f t="shared" si="175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73"/>
        <v>-1041433913832.4645</v>
      </c>
      <c r="J3766" s="455">
        <f t="array" ref="J3766">IFERROR(INDEX('Retirement Calculator'!J:J,MATCH('Isaac 401k'!N3766,'Retirement Calculator'!A:A,0),0),0)</f>
        <v>0</v>
      </c>
      <c r="K3766" s="455">
        <f t="shared" ca="1" si="171"/>
        <v>-4339307974.3019352</v>
      </c>
      <c r="L3766" s="455">
        <f t="shared" ca="1" si="172"/>
        <v>-1045773221806.7664</v>
      </c>
      <c r="M3766" s="471">
        <f t="shared" si="174"/>
        <v>0.05</v>
      </c>
      <c r="N3766" s="475">
        <f t="shared" si="175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73"/>
        <v>-1045773221806.7664</v>
      </c>
      <c r="J3767" s="455">
        <f t="array" ref="J3767">IFERROR(INDEX('Retirement Calculator'!J:J,MATCH('Isaac 401k'!N3767,'Retirement Calculator'!A:A,0),0),0)</f>
        <v>0</v>
      </c>
      <c r="K3767" s="455">
        <f t="shared" ca="1" si="171"/>
        <v>-4357388424.1948595</v>
      </c>
      <c r="L3767" s="455">
        <f t="shared" ca="1" si="172"/>
        <v>-1050130610230.9612</v>
      </c>
      <c r="M3767" s="471">
        <f t="shared" si="174"/>
        <v>0.05</v>
      </c>
      <c r="N3767" s="475">
        <f t="shared" si="175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73"/>
        <v>-1050130610230.9612</v>
      </c>
      <c r="J3768" s="455">
        <f t="array" ref="J3768">IFERROR(INDEX('Retirement Calculator'!J:J,MATCH('Isaac 401k'!N3768,'Retirement Calculator'!A:A,0),0),0)</f>
        <v>0</v>
      </c>
      <c r="K3768" s="455">
        <f t="shared" ca="1" si="171"/>
        <v>-4375544209.2956715</v>
      </c>
      <c r="L3768" s="455">
        <f t="shared" ca="1" si="172"/>
        <v>-1054506154440.2568</v>
      </c>
      <c r="M3768" s="471">
        <f t="shared" si="174"/>
        <v>0.05</v>
      </c>
      <c r="N3768" s="475">
        <f t="shared" si="175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73"/>
        <v>-1054506154440.2568</v>
      </c>
      <c r="J3769" s="455">
        <f t="array" ref="J3769">IFERROR(INDEX('Retirement Calculator'!J:J,MATCH('Isaac 401k'!N3769,'Retirement Calculator'!A:A,0),0),0)</f>
        <v>0</v>
      </c>
      <c r="K3769" s="455">
        <f t="shared" ca="1" si="171"/>
        <v>-4393775643.501071</v>
      </c>
      <c r="L3769" s="455">
        <f t="shared" ca="1" si="172"/>
        <v>-1058899930083.7579</v>
      </c>
      <c r="M3769" s="471">
        <f t="shared" si="174"/>
        <v>0.05</v>
      </c>
      <c r="N3769" s="475">
        <f t="shared" si="175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73"/>
        <v>-1058899930083.7579</v>
      </c>
      <c r="J3770" s="455">
        <f t="array" ref="J3770">IFERROR(INDEX('Retirement Calculator'!J:J,MATCH('Isaac 401k'!N3770,'Retirement Calculator'!A:A,0),0),0)</f>
        <v>0</v>
      </c>
      <c r="K3770" s="455">
        <f t="shared" ca="1" si="171"/>
        <v>-4412083042.0156584</v>
      </c>
      <c r="L3770" s="455">
        <f t="shared" ca="1" si="172"/>
        <v>-1063312013125.7736</v>
      </c>
      <c r="M3770" s="471">
        <f t="shared" si="174"/>
        <v>0.05</v>
      </c>
      <c r="N3770" s="475">
        <f t="shared" si="175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73"/>
        <v>-1063312013125.7736</v>
      </c>
      <c r="J3771" s="455">
        <f t="array" ref="J3771">IFERROR(INDEX('Retirement Calculator'!J:J,MATCH('Isaac 401k'!N3771,'Retirement Calculator'!A:A,0),0),0)</f>
        <v>0</v>
      </c>
      <c r="K3771" s="455">
        <f t="shared" ca="1" si="171"/>
        <v>-4430466721.3573895</v>
      </c>
      <c r="L3771" s="455">
        <f t="shared" ca="1" si="172"/>
        <v>-1067742479847.131</v>
      </c>
      <c r="M3771" s="471">
        <f t="shared" si="174"/>
        <v>0.05</v>
      </c>
      <c r="N3771" s="475">
        <f t="shared" si="175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73"/>
        <v>-1067742479847.131</v>
      </c>
      <c r="J3772" s="455">
        <f t="array" ref="J3772">IFERROR(INDEX('Retirement Calculator'!J:J,MATCH('Isaac 401k'!N3772,'Retirement Calculator'!A:A,0),0),0)</f>
        <v>0</v>
      </c>
      <c r="K3772" s="455">
        <f t="shared" ca="1" si="171"/>
        <v>-4448926999.3630466</v>
      </c>
      <c r="L3772" s="455">
        <f t="shared" ca="1" si="172"/>
        <v>-1072191406846.494</v>
      </c>
      <c r="M3772" s="471">
        <f t="shared" si="174"/>
        <v>0.05</v>
      </c>
      <c r="N3772" s="475">
        <f t="shared" si="175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73"/>
        <v>-1072191406846.494</v>
      </c>
      <c r="J3773" s="455">
        <f t="array" ref="J3773">IFERROR(INDEX('Retirement Calculator'!J:J,MATCH('Isaac 401k'!N3773,'Retirement Calculator'!A:A,0),0),0)</f>
        <v>0</v>
      </c>
      <c r="K3773" s="455">
        <f t="shared" ca="1" si="171"/>
        <v>-4467464195.1937246</v>
      </c>
      <c r="L3773" s="455">
        <f t="shared" ca="1" si="172"/>
        <v>-1076658871041.6877</v>
      </c>
      <c r="M3773" s="471">
        <f t="shared" si="174"/>
        <v>0.05</v>
      </c>
      <c r="N3773" s="475">
        <f t="shared" si="175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73"/>
        <v>-1076658871041.6877</v>
      </c>
      <c r="J3774" s="455">
        <f t="array" ref="J3774">IFERROR(INDEX('Retirement Calculator'!J:J,MATCH('Isaac 401k'!N3774,'Retirement Calculator'!A:A,0),0),0)</f>
        <v>0</v>
      </c>
      <c r="K3774" s="455">
        <f t="shared" ca="1" si="171"/>
        <v>-4486078629.3403664</v>
      </c>
      <c r="L3774" s="455">
        <f t="shared" ca="1" si="172"/>
        <v>-1081144949671.0281</v>
      </c>
      <c r="M3774" s="471">
        <f t="shared" si="174"/>
        <v>0.05</v>
      </c>
      <c r="N3774" s="475">
        <f t="shared" si="175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73"/>
        <v>-1081144949671.0281</v>
      </c>
      <c r="J3775" s="455">
        <f t="array" ref="J3775">IFERROR(INDEX('Retirement Calculator'!J:J,MATCH('Isaac 401k'!N3775,'Retirement Calculator'!A:A,0),0),0)</f>
        <v>0</v>
      </c>
      <c r="K3775" s="455">
        <f t="shared" ca="1" si="171"/>
        <v>-4504770623.6292839</v>
      </c>
      <c r="L3775" s="455">
        <f t="shared" ca="1" si="172"/>
        <v>-1085649720294.6573</v>
      </c>
      <c r="M3775" s="471">
        <f t="shared" si="174"/>
        <v>0.05</v>
      </c>
      <c r="N3775" s="475">
        <f t="shared" si="175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73"/>
        <v>-1085649720294.6573</v>
      </c>
      <c r="J3776" s="455">
        <f t="array" ref="J3776">IFERROR(INDEX('Retirement Calculator'!J:J,MATCH('Isaac 401k'!N3776,'Retirement Calculator'!A:A,0),0),0)</f>
        <v>0</v>
      </c>
      <c r="K3776" s="455">
        <f t="shared" ca="1" si="171"/>
        <v>-4523540501.2277393</v>
      </c>
      <c r="L3776" s="455">
        <f t="shared" ca="1" si="172"/>
        <v>-1090173260795.8851</v>
      </c>
      <c r="M3776" s="471">
        <f t="shared" si="174"/>
        <v>0.05</v>
      </c>
      <c r="N3776" s="475">
        <f t="shared" si="175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73"/>
        <v>-1090173260795.8851</v>
      </c>
      <c r="J3777" s="455">
        <f t="array" ref="J3777">IFERROR(INDEX('Retirement Calculator'!J:J,MATCH('Isaac 401k'!N3777,'Retirement Calculator'!A:A,0),0),0)</f>
        <v>0</v>
      </c>
      <c r="K3777" s="455">
        <f t="shared" ca="1" si="171"/>
        <v>-4542388586.6495218</v>
      </c>
      <c r="L3777" s="455">
        <f t="shared" ca="1" si="172"/>
        <v>-1094715649382.5347</v>
      </c>
      <c r="M3777" s="471">
        <f t="shared" si="174"/>
        <v>0.05</v>
      </c>
      <c r="N3777" s="475">
        <f t="shared" si="175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73"/>
        <v>-1094715649382.5347</v>
      </c>
      <c r="J3778" s="455">
        <f t="array" ref="J3778">IFERROR(INDEX('Retirement Calculator'!J:J,MATCH('Isaac 401k'!N3778,'Retirement Calculator'!A:A,0),0),0)</f>
        <v>0</v>
      </c>
      <c r="K3778" s="455">
        <f t="shared" ca="1" si="171"/>
        <v>-4561315205.760561</v>
      </c>
      <c r="L3778" s="455">
        <f t="shared" ca="1" si="172"/>
        <v>-1099276964588.2953</v>
      </c>
      <c r="M3778" s="471">
        <f t="shared" si="174"/>
        <v>0.05</v>
      </c>
      <c r="N3778" s="475">
        <f t="shared" si="175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73"/>
        <v>-1099276964588.2953</v>
      </c>
      <c r="J3779" s="455">
        <f t="array" ref="J3779">IFERROR(INDEX('Retirement Calculator'!J:J,MATCH('Isaac 401k'!N3779,'Retirement Calculator'!A:A,0),0),0)</f>
        <v>0</v>
      </c>
      <c r="K3779" s="455">
        <f t="shared" ca="1" si="171"/>
        <v>-4580320685.784564</v>
      </c>
      <c r="L3779" s="455">
        <f t="shared" ca="1" si="172"/>
        <v>-1103857285274.0798</v>
      </c>
      <c r="M3779" s="471">
        <f t="shared" si="174"/>
        <v>0.05</v>
      </c>
      <c r="N3779" s="475">
        <f t="shared" si="175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73"/>
        <v>-1103857285274.0798</v>
      </c>
      <c r="J3780" s="455">
        <f t="array" ref="J3780">IFERROR(INDEX('Retirement Calculator'!J:J,MATCH('Isaac 401k'!N3780,'Retirement Calculator'!A:A,0),0),0)</f>
        <v>0</v>
      </c>
      <c r="K3780" s="455">
        <f t="shared" ca="1" si="171"/>
        <v>-4599405355.3086662</v>
      </c>
      <c r="L3780" s="455">
        <f t="shared" ca="1" si="172"/>
        <v>-1108456690629.3884</v>
      </c>
      <c r="M3780" s="471">
        <f t="shared" si="174"/>
        <v>0.05</v>
      </c>
      <c r="N3780" s="475">
        <f t="shared" si="175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73"/>
        <v>-1108456690629.3884</v>
      </c>
      <c r="J3781" s="455">
        <f t="array" ref="J3781">IFERROR(INDEX('Retirement Calculator'!J:J,MATCH('Isaac 401k'!N3781,'Retirement Calculator'!A:A,0),0),0)</f>
        <v>0</v>
      </c>
      <c r="K3781" s="455">
        <f t="shared" ca="1" si="171"/>
        <v>-4618569544.2891188</v>
      </c>
      <c r="L3781" s="455">
        <f t="shared" ca="1" si="172"/>
        <v>-1113075260173.6775</v>
      </c>
      <c r="M3781" s="471">
        <f t="shared" si="174"/>
        <v>0.05</v>
      </c>
      <c r="N3781" s="475">
        <f t="shared" si="175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73"/>
        <v>-1113075260173.6775</v>
      </c>
      <c r="J3782" s="455">
        <f t="array" ref="J3782">IFERROR(INDEX('Retirement Calculator'!J:J,MATCH('Isaac 401k'!N3782,'Retirement Calculator'!A:A,0),0),0)</f>
        <v>0</v>
      </c>
      <c r="K3782" s="455">
        <f t="shared" ca="1" si="171"/>
        <v>-4637813584.0569897</v>
      </c>
      <c r="L3782" s="455">
        <f t="shared" ca="1" si="172"/>
        <v>-1117713073757.7344</v>
      </c>
      <c r="M3782" s="471">
        <f t="shared" si="174"/>
        <v>0.05</v>
      </c>
      <c r="N3782" s="475">
        <f t="shared" si="175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73"/>
        <v>-1117713073757.7344</v>
      </c>
      <c r="J3783" s="455">
        <f t="array" ref="J3783">IFERROR(INDEX('Retirement Calculator'!J:J,MATCH('Isaac 401k'!N3783,'Retirement Calculator'!A:A,0),0),0)</f>
        <v>0</v>
      </c>
      <c r="K3783" s="455">
        <f t="shared" ca="1" si="171"/>
        <v>-4657137807.3238935</v>
      </c>
      <c r="L3783" s="455">
        <f t="shared" ca="1" si="172"/>
        <v>-1122370211565.0583</v>
      </c>
      <c r="M3783" s="471">
        <f t="shared" si="174"/>
        <v>0.05</v>
      </c>
      <c r="N3783" s="475">
        <f t="shared" si="175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73"/>
        <v>-1122370211565.0583</v>
      </c>
      <c r="J3784" s="455">
        <f t="array" ref="J3784">IFERROR(INDEX('Retirement Calculator'!J:J,MATCH('Isaac 401k'!N3784,'Retirement Calculator'!A:A,0),0),0)</f>
        <v>0</v>
      </c>
      <c r="K3784" s="455">
        <f t="shared" ca="1" si="171"/>
        <v>-4676542548.1877432</v>
      </c>
      <c r="L3784" s="455">
        <f t="shared" ca="1" si="172"/>
        <v>-1127046754113.2461</v>
      </c>
      <c r="M3784" s="471">
        <f t="shared" si="174"/>
        <v>0.05</v>
      </c>
      <c r="N3784" s="475">
        <f t="shared" si="175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73"/>
        <v>-1127046754113.2461</v>
      </c>
      <c r="J3785" s="455">
        <f t="array" ref="J3785">IFERROR(INDEX('Retirement Calculator'!J:J,MATCH('Isaac 401k'!N3785,'Retirement Calculator'!A:A,0),0),0)</f>
        <v>0</v>
      </c>
      <c r="K3785" s="455">
        <f t="shared" ca="1" si="171"/>
        <v>-4696028142.138525</v>
      </c>
      <c r="L3785" s="455">
        <f t="shared" ca="1" si="172"/>
        <v>-1131742782255.3845</v>
      </c>
      <c r="M3785" s="471">
        <f t="shared" si="174"/>
        <v>0.05</v>
      </c>
      <c r="N3785" s="475">
        <f t="shared" si="175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73"/>
        <v>-1131742782255.3845</v>
      </c>
      <c r="J3786" s="455">
        <f t="array" ref="J3786">IFERROR(INDEX('Retirement Calculator'!J:J,MATCH('Isaac 401k'!N3786,'Retirement Calculator'!A:A,0),0),0)</f>
        <v>0</v>
      </c>
      <c r="K3786" s="455">
        <f t="shared" ca="1" si="171"/>
        <v>-4715594926.0641022</v>
      </c>
      <c r="L3786" s="455">
        <f t="shared" ca="1" si="172"/>
        <v>-1136458377181.4487</v>
      </c>
      <c r="M3786" s="471">
        <f t="shared" si="174"/>
        <v>0.05</v>
      </c>
      <c r="N3786" s="475">
        <f t="shared" si="175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73"/>
        <v>-1136458377181.4487</v>
      </c>
      <c r="J3787" s="455">
        <f t="array" ref="J3787">IFERROR(INDEX('Retirement Calculator'!J:J,MATCH('Isaac 401k'!N3787,'Retirement Calculator'!A:A,0),0),0)</f>
        <v>0</v>
      </c>
      <c r="K3787" s="455">
        <f t="shared" ca="1" si="171"/>
        <v>-4735243238.2560368</v>
      </c>
      <c r="L3787" s="455">
        <f t="shared" ca="1" si="172"/>
        <v>-1141193620419.7048</v>
      </c>
      <c r="M3787" s="471">
        <f t="shared" si="174"/>
        <v>0.05</v>
      </c>
      <c r="N3787" s="475">
        <f t="shared" si="175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73"/>
        <v>-1141193620419.7048</v>
      </c>
      <c r="J3788" s="455">
        <f t="array" ref="J3788">IFERROR(INDEX('Retirement Calculator'!J:J,MATCH('Isaac 401k'!N3788,'Retirement Calculator'!A:A,0),0),0)</f>
        <v>0</v>
      </c>
      <c r="K3788" s="455">
        <f t="shared" ca="1" si="171"/>
        <v>-4754973418.4154367</v>
      </c>
      <c r="L3788" s="455">
        <f t="shared" ca="1" si="172"/>
        <v>-1145948593838.1204</v>
      </c>
      <c r="M3788" s="471">
        <f t="shared" si="174"/>
        <v>0.05</v>
      </c>
      <c r="N3788" s="475">
        <f t="shared" si="175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73"/>
        <v>-1145948593838.1204</v>
      </c>
      <c r="J3789" s="455">
        <f t="array" ref="J3789">IFERROR(INDEX('Retirement Calculator'!J:J,MATCH('Isaac 401k'!N3789,'Retirement Calculator'!A:A,0),0),0)</f>
        <v>0</v>
      </c>
      <c r="K3789" s="455">
        <f t="shared" ca="1" si="171"/>
        <v>-4774785807.6588345</v>
      </c>
      <c r="L3789" s="455">
        <f t="shared" ca="1" si="172"/>
        <v>-1150723379645.7793</v>
      </c>
      <c r="M3789" s="471">
        <f t="shared" si="174"/>
        <v>0.05</v>
      </c>
      <c r="N3789" s="475">
        <f t="shared" si="175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73"/>
        <v>-1150723379645.7793</v>
      </c>
      <c r="J3790" s="455">
        <f t="array" ref="J3790">IFERROR(INDEX('Retirement Calculator'!J:J,MATCH('Isaac 401k'!N3790,'Retirement Calculator'!A:A,0),0),0)</f>
        <v>0</v>
      </c>
      <c r="K3790" s="455">
        <f t="shared" ca="1" si="171"/>
        <v>-4794680748.5240803</v>
      </c>
      <c r="L3790" s="455">
        <f t="shared" ca="1" si="172"/>
        <v>-1155518060394.3035</v>
      </c>
      <c r="M3790" s="471">
        <f t="shared" si="174"/>
        <v>0.05</v>
      </c>
      <c r="N3790" s="475">
        <f t="shared" si="175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73"/>
        <v>-1155518060394.3035</v>
      </c>
      <c r="J3791" s="455">
        <f t="array" ref="J3791">IFERROR(INDEX('Retirement Calculator'!J:J,MATCH('Isaac 401k'!N3791,'Retirement Calculator'!A:A,0),0),0)</f>
        <v>0</v>
      </c>
      <c r="K3791" s="455">
        <f t="shared" ca="1" si="171"/>
        <v>-4814658584.976264</v>
      </c>
      <c r="L3791" s="455">
        <f t="shared" ca="1" si="172"/>
        <v>-1160332718979.2798</v>
      </c>
      <c r="M3791" s="471">
        <f t="shared" si="174"/>
        <v>0.05</v>
      </c>
      <c r="N3791" s="475">
        <f t="shared" si="175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73"/>
        <v>-1160332718979.2798</v>
      </c>
      <c r="J3792" s="455">
        <f t="array" ref="J3792">IFERROR(INDEX('Retirement Calculator'!J:J,MATCH('Isaac 401k'!N3792,'Retirement Calculator'!A:A,0),0),0)</f>
        <v>0</v>
      </c>
      <c r="K3792" s="455">
        <f t="shared" ca="1" si="171"/>
        <v>-4834719662.4136658</v>
      </c>
      <c r="L3792" s="455">
        <f t="shared" ca="1" si="172"/>
        <v>-1165167438641.6934</v>
      </c>
      <c r="M3792" s="471">
        <f t="shared" si="174"/>
        <v>0.05</v>
      </c>
      <c r="N3792" s="475">
        <f t="shared" si="175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73"/>
        <v>-1165167438641.6934</v>
      </c>
      <c r="J3793" s="455">
        <f t="array" ref="J3793">IFERROR(INDEX('Retirement Calculator'!J:J,MATCH('Isaac 401k'!N3793,'Retirement Calculator'!A:A,0),0),0)</f>
        <v>0</v>
      </c>
      <c r="K3793" s="455">
        <f t="shared" ca="1" si="171"/>
        <v>-4854864327.6737223</v>
      </c>
      <c r="L3793" s="455">
        <f t="shared" ca="1" si="172"/>
        <v>-1170022302969.3672</v>
      </c>
      <c r="M3793" s="471">
        <f t="shared" si="174"/>
        <v>0.05</v>
      </c>
      <c r="N3793" s="475">
        <f t="shared" si="175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73"/>
        <v>-1170022302969.3672</v>
      </c>
      <c r="J3794" s="455">
        <f t="array" ref="J3794">IFERROR(INDEX('Retirement Calculator'!J:J,MATCH('Isaac 401k'!N3794,'Retirement Calculator'!A:A,0),0),0)</f>
        <v>0</v>
      </c>
      <c r="K3794" s="455">
        <f t="shared" ca="1" si="171"/>
        <v>-4875092929.0390301</v>
      </c>
      <c r="L3794" s="455">
        <f t="shared" ca="1" si="172"/>
        <v>-1174897395898.4063</v>
      </c>
      <c r="M3794" s="471">
        <f t="shared" si="174"/>
        <v>0.05</v>
      </c>
      <c r="N3794" s="475">
        <f t="shared" si="175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73"/>
        <v>-1174897395898.4063</v>
      </c>
      <c r="J3795" s="455">
        <f t="array" ref="J3795">IFERROR(INDEX('Retirement Calculator'!J:J,MATCH('Isaac 401k'!N3795,'Retirement Calculator'!A:A,0),0),0)</f>
        <v>0</v>
      </c>
      <c r="K3795" s="455">
        <f t="shared" ca="1" si="171"/>
        <v>-4895405816.2433596</v>
      </c>
      <c r="L3795" s="455">
        <f t="shared" ca="1" si="172"/>
        <v>-1179792801714.6497</v>
      </c>
      <c r="M3795" s="471">
        <f t="shared" si="174"/>
        <v>0.05</v>
      </c>
      <c r="N3795" s="475">
        <f t="shared" si="175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73"/>
        <v>-1179792801714.6497</v>
      </c>
      <c r="J3796" s="455">
        <f t="array" ref="J3796">IFERROR(INDEX('Retirement Calculator'!J:J,MATCH('Isaac 401k'!N3796,'Retirement Calculator'!A:A,0),0),0)</f>
        <v>0</v>
      </c>
      <c r="K3796" s="455">
        <f t="shared" ca="1" si="171"/>
        <v>-4915803340.4777069</v>
      </c>
      <c r="L3796" s="455">
        <f t="shared" ca="1" si="172"/>
        <v>-1184708605055.1274</v>
      </c>
      <c r="M3796" s="471">
        <f t="shared" si="174"/>
        <v>0.05</v>
      </c>
      <c r="N3796" s="475">
        <f t="shared" si="175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73"/>
        <v>-1184708605055.1274</v>
      </c>
      <c r="J3797" s="455">
        <f t="array" ref="J3797">IFERROR(INDEX('Retirement Calculator'!J:J,MATCH('Isaac 401k'!N3797,'Retirement Calculator'!A:A,0),0),0)</f>
        <v>0</v>
      </c>
      <c r="K3797" s="455">
        <f t="shared" ca="1" si="171"/>
        <v>-4936285854.3963642</v>
      </c>
      <c r="L3797" s="455">
        <f t="shared" ca="1" si="172"/>
        <v>-1189644890909.5239</v>
      </c>
      <c r="M3797" s="471">
        <f t="shared" si="174"/>
        <v>0.05</v>
      </c>
      <c r="N3797" s="475">
        <f t="shared" si="175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73"/>
        <v>-1189644890909.5239</v>
      </c>
      <c r="J3798" s="455">
        <f t="array" ref="J3798">IFERROR(INDEX('Retirement Calculator'!J:J,MATCH('Isaac 401k'!N3798,'Retirement Calculator'!A:A,0),0),0)</f>
        <v>0</v>
      </c>
      <c r="K3798" s="455">
        <f t="shared" ca="1" si="171"/>
        <v>-4956853712.1230164</v>
      </c>
      <c r="L3798" s="455">
        <f t="shared" ca="1" si="172"/>
        <v>-1194601744621.647</v>
      </c>
      <c r="M3798" s="471">
        <f t="shared" si="174"/>
        <v>0.05</v>
      </c>
      <c r="N3798" s="475">
        <f t="shared" si="175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73"/>
        <v>-1194601744621.647</v>
      </c>
      <c r="J3799" s="455">
        <f t="array" ref="J3799">IFERROR(INDEX('Retirement Calculator'!J:J,MATCH('Isaac 401k'!N3799,'Retirement Calculator'!A:A,0),0),0)</f>
        <v>0</v>
      </c>
      <c r="K3799" s="455">
        <f t="shared" ca="1" si="171"/>
        <v>-4977507269.2568626</v>
      </c>
      <c r="L3799" s="455">
        <f t="shared" ca="1" si="172"/>
        <v>-1199579251890.9038</v>
      </c>
      <c r="M3799" s="471">
        <f t="shared" si="174"/>
        <v>0.05</v>
      </c>
      <c r="N3799" s="475">
        <f t="shared" si="175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73"/>
        <v>-1199579251890.9038</v>
      </c>
      <c r="J3800" s="455">
        <f t="array" ref="J3800">IFERROR(INDEX('Retirement Calculator'!J:J,MATCH('Isaac 401k'!N3800,'Retirement Calculator'!A:A,0),0),0)</f>
        <v>0</v>
      </c>
      <c r="K3800" s="455">
        <f t="shared" ca="1" si="171"/>
        <v>-4998246882.8787661</v>
      </c>
      <c r="L3800" s="455">
        <f t="shared" ca="1" si="172"/>
        <v>-1204577498773.7825</v>
      </c>
      <c r="M3800" s="471">
        <f t="shared" si="174"/>
        <v>0.05</v>
      </c>
      <c r="N3800" s="475">
        <f t="shared" si="175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73"/>
        <v>-1204577498773.7825</v>
      </c>
      <c r="J3801" s="455">
        <f t="array" ref="J3801">IFERROR(INDEX('Retirement Calculator'!J:J,MATCH('Isaac 401k'!N3801,'Retirement Calculator'!A:A,0),0),0)</f>
        <v>0</v>
      </c>
      <c r="K3801" s="455">
        <f t="shared" ca="1" si="171"/>
        <v>-5019072911.5574265</v>
      </c>
      <c r="L3801" s="455">
        <f t="shared" ca="1" si="172"/>
        <v>-1209596571685.3398</v>
      </c>
      <c r="M3801" s="471">
        <f t="shared" si="174"/>
        <v>0.05</v>
      </c>
      <c r="N3801" s="475">
        <f t="shared" si="175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73"/>
        <v>-1209596571685.3398</v>
      </c>
      <c r="J3802" s="455">
        <f t="array" ref="J3802">IFERROR(INDEX('Retirement Calculator'!J:J,MATCH('Isaac 401k'!N3802,'Retirement Calculator'!A:A,0),0),0)</f>
        <v>0</v>
      </c>
      <c r="K3802" s="455">
        <f t="shared" ca="1" si="171"/>
        <v>-5039985715.3555822</v>
      </c>
      <c r="L3802" s="455">
        <f t="shared" ca="1" si="172"/>
        <v>-1214636557400.6953</v>
      </c>
      <c r="M3802" s="471">
        <f t="shared" si="174"/>
        <v>0.05</v>
      </c>
      <c r="N3802" s="475">
        <f t="shared" si="175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73"/>
        <v>-1214636557400.6953</v>
      </c>
      <c r="J3803" s="455">
        <f t="array" ref="J3803">IFERROR(INDEX('Retirement Calculator'!J:J,MATCH('Isaac 401k'!N3803,'Retirement Calculator'!A:A,0),0),0)</f>
        <v>0</v>
      </c>
      <c r="K3803" s="455">
        <f t="shared" ca="1" si="171"/>
        <v>-5060985655.8362303</v>
      </c>
      <c r="L3803" s="455">
        <f t="shared" ca="1" si="172"/>
        <v>-1219697543056.5315</v>
      </c>
      <c r="M3803" s="471">
        <f t="shared" si="174"/>
        <v>0.05</v>
      </c>
      <c r="N3803" s="475">
        <f t="shared" si="175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73"/>
        <v>-1219697543056.5315</v>
      </c>
      <c r="J3804" s="455">
        <f t="array" ref="J3804">IFERROR(INDEX('Retirement Calculator'!J:J,MATCH('Isaac 401k'!N3804,'Retirement Calculator'!A:A,0),0),0)</f>
        <v>0</v>
      </c>
      <c r="K3804" s="455">
        <f t="shared" ca="1" si="171"/>
        <v>-5082073096.068881</v>
      </c>
      <c r="L3804" s="455">
        <f t="shared" ca="1" si="172"/>
        <v>-1224779616152.6003</v>
      </c>
      <c r="M3804" s="471">
        <f t="shared" si="174"/>
        <v>0.05</v>
      </c>
      <c r="N3804" s="475">
        <f t="shared" si="175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73"/>
        <v>-1224779616152.6003</v>
      </c>
      <c r="J3805" s="455">
        <f t="array" ref="J3805">IFERROR(INDEX('Retirement Calculator'!J:J,MATCH('Isaac 401k'!N3805,'Retirement Calculator'!A:A,0),0),0)</f>
        <v>0</v>
      </c>
      <c r="K3805" s="455">
        <f t="shared" ca="1" si="171"/>
        <v>-5103248400.6358347</v>
      </c>
      <c r="L3805" s="455">
        <f t="shared" ca="1" si="172"/>
        <v>-1229882864553.2361</v>
      </c>
      <c r="M3805" s="471">
        <f t="shared" si="174"/>
        <v>0.05</v>
      </c>
      <c r="N3805" s="475">
        <f t="shared" si="175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73"/>
        <v>-1229882864553.2361</v>
      </c>
      <c r="J3806" s="455">
        <f t="array" ref="J3806">IFERROR(INDEX('Retirement Calculator'!J:J,MATCH('Isaac 401k'!N3806,'Retirement Calculator'!A:A,0),0),0)</f>
        <v>0</v>
      </c>
      <c r="K3806" s="455">
        <f t="shared" ca="1" si="171"/>
        <v>-5124511935.638484</v>
      </c>
      <c r="L3806" s="455">
        <f t="shared" ca="1" si="172"/>
        <v>-1235007376488.8745</v>
      </c>
      <c r="M3806" s="471">
        <f t="shared" si="174"/>
        <v>0.05</v>
      </c>
      <c r="N3806" s="475">
        <f t="shared" si="175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73"/>
        <v>-1235007376488.8745</v>
      </c>
      <c r="J3807" s="455">
        <f t="array" ref="J3807">IFERROR(INDEX('Retirement Calculator'!J:J,MATCH('Isaac 401k'!N3807,'Retirement Calculator'!A:A,0),0),0)</f>
        <v>0</v>
      </c>
      <c r="K3807" s="455">
        <f t="shared" ca="1" si="171"/>
        <v>-5145864068.7036438</v>
      </c>
      <c r="L3807" s="455">
        <f t="shared" ca="1" si="172"/>
        <v>-1240153240557.5781</v>
      </c>
      <c r="M3807" s="471">
        <f t="shared" si="174"/>
        <v>0.05</v>
      </c>
      <c r="N3807" s="475">
        <f t="shared" si="175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73"/>
        <v>-1240153240557.5781</v>
      </c>
      <c r="J3808" s="455">
        <f t="array" ref="J3808">IFERROR(INDEX('Retirement Calculator'!J:J,MATCH('Isaac 401k'!N3808,'Retirement Calculator'!A:A,0),0),0)</f>
        <v>0</v>
      </c>
      <c r="K3808" s="455">
        <f t="shared" ca="1" si="171"/>
        <v>-5167305168.9899092</v>
      </c>
      <c r="L3808" s="455">
        <f t="shared" ca="1" si="172"/>
        <v>-1245320545726.5681</v>
      </c>
      <c r="M3808" s="471">
        <f t="shared" si="174"/>
        <v>0.05</v>
      </c>
      <c r="N3808" s="475">
        <f t="shared" si="175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73"/>
        <v>-1245320545726.5681</v>
      </c>
      <c r="J3809" s="455">
        <f t="array" ref="J3809">IFERROR(INDEX('Retirement Calculator'!J:J,MATCH('Isaac 401k'!N3809,'Retirement Calculator'!A:A,0),0),0)</f>
        <v>0</v>
      </c>
      <c r="K3809" s="455">
        <f t="shared" ca="1" si="171"/>
        <v>-5188835607.1940336</v>
      </c>
      <c r="L3809" s="455">
        <f t="shared" ca="1" si="172"/>
        <v>-1250509381333.7622</v>
      </c>
      <c r="M3809" s="471">
        <f t="shared" si="174"/>
        <v>0.05</v>
      </c>
      <c r="N3809" s="475">
        <f t="shared" si="175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73"/>
        <v>-1250509381333.7622</v>
      </c>
      <c r="J3810" s="455">
        <f t="array" ref="J3810">IFERROR(INDEX('Retirement Calculator'!J:J,MATCH('Isaac 401k'!N3810,'Retirement Calculator'!A:A,0),0),0)</f>
        <v>0</v>
      </c>
      <c r="K3810" s="455">
        <f t="shared" ca="1" si="171"/>
        <v>-5210455755.5573425</v>
      </c>
      <c r="L3810" s="455">
        <f t="shared" ca="1" si="172"/>
        <v>-1255719837089.3196</v>
      </c>
      <c r="M3810" s="471">
        <f t="shared" si="174"/>
        <v>0.05</v>
      </c>
      <c r="N3810" s="475">
        <f t="shared" si="175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73"/>
        <v>-1255719837089.3196</v>
      </c>
      <c r="J3811" s="455">
        <f t="array" ref="J3811">IFERROR(INDEX('Retirement Calculator'!J:J,MATCH('Isaac 401k'!N3811,'Retirement Calculator'!A:A,0),0),0)</f>
        <v>0</v>
      </c>
      <c r="K3811" s="455">
        <f t="shared" ca="1" si="171"/>
        <v>-5232165987.8721647</v>
      </c>
      <c r="L3811" s="455">
        <f t="shared" ca="1" si="172"/>
        <v>-1260952003077.1917</v>
      </c>
      <c r="M3811" s="471">
        <f t="shared" si="174"/>
        <v>0.05</v>
      </c>
      <c r="N3811" s="475">
        <f t="shared" si="175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73"/>
        <v>-1260952003077.1917</v>
      </c>
      <c r="J3812" s="455">
        <f t="array" ref="J3812">IFERROR(INDEX('Retirement Calculator'!J:J,MATCH('Isaac 401k'!N3812,'Retirement Calculator'!A:A,0),0),0)</f>
        <v>0</v>
      </c>
      <c r="K3812" s="455">
        <f t="shared" ca="1" si="171"/>
        <v>-5253966679.4882984</v>
      </c>
      <c r="L3812" s="455">
        <f t="shared" ca="1" si="172"/>
        <v>-1266205969756.6799</v>
      </c>
      <c r="M3812" s="471">
        <f t="shared" si="174"/>
        <v>0.05</v>
      </c>
      <c r="N3812" s="475">
        <f t="shared" si="175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73"/>
        <v>-1266205969756.6799</v>
      </c>
      <c r="J3813" s="455">
        <f t="array" ref="J3813">IFERROR(INDEX('Retirement Calculator'!J:J,MATCH('Isaac 401k'!N3813,'Retirement Calculator'!A:A,0),0),0)</f>
        <v>0</v>
      </c>
      <c r="K3813" s="455">
        <f t="shared" ca="1" si="171"/>
        <v>-5275858207.3195</v>
      </c>
      <c r="L3813" s="455">
        <f t="shared" ca="1" si="172"/>
        <v>-1271481827963.9995</v>
      </c>
      <c r="M3813" s="471">
        <f t="shared" si="174"/>
        <v>0.05</v>
      </c>
      <c r="N3813" s="475">
        <f t="shared" si="175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73"/>
        <v>-1271481827963.9995</v>
      </c>
      <c r="J3814" s="455">
        <f t="array" ref="J3814">IFERROR(INDEX('Retirement Calculator'!J:J,MATCH('Isaac 401k'!N3814,'Retirement Calculator'!A:A,0),0),0)</f>
        <v>0</v>
      </c>
      <c r="K3814" s="455">
        <f t="shared" ca="1" si="171"/>
        <v>-5297840949.8499975</v>
      </c>
      <c r="L3814" s="455">
        <f t="shared" ca="1" si="172"/>
        <v>-1276779668913.8496</v>
      </c>
      <c r="M3814" s="471">
        <f t="shared" si="174"/>
        <v>0.05</v>
      </c>
      <c r="N3814" s="475">
        <f t="shared" si="175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73"/>
        <v>-1276779668913.8496</v>
      </c>
      <c r="J3815" s="455">
        <f t="array" ref="J3815">IFERROR(INDEX('Retirement Calculator'!J:J,MATCH('Isaac 401k'!N3815,'Retirement Calculator'!A:A,0),0),0)</f>
        <v>0</v>
      </c>
      <c r="K3815" s="455">
        <f t="shared" ca="1" si="171"/>
        <v>-5319915287.1410398</v>
      </c>
      <c r="L3815" s="455">
        <f t="shared" ca="1" si="172"/>
        <v>-1282099584200.9907</v>
      </c>
      <c r="M3815" s="471">
        <f t="shared" si="174"/>
        <v>0.05</v>
      </c>
      <c r="N3815" s="475">
        <f t="shared" si="175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73"/>
        <v>-1282099584200.9907</v>
      </c>
      <c r="J3816" s="455">
        <f t="array" ref="J3816">IFERROR(INDEX('Retirement Calculator'!J:J,MATCH('Isaac 401k'!N3816,'Retirement Calculator'!A:A,0),0),0)</f>
        <v>0</v>
      </c>
      <c r="K3816" s="455">
        <f t="shared" ca="1" si="171"/>
        <v>-5342081600.8374615</v>
      </c>
      <c r="L3816" s="455">
        <f t="shared" ca="1" si="172"/>
        <v>-1287441665801.8281</v>
      </c>
      <c r="M3816" s="471">
        <f t="shared" si="174"/>
        <v>0.05</v>
      </c>
      <c r="N3816" s="475">
        <f t="shared" si="175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73"/>
        <v>-1287441665801.8281</v>
      </c>
      <c r="J3817" s="455">
        <f t="array" ref="J3817">IFERROR(INDEX('Retirement Calculator'!J:J,MATCH('Isaac 401k'!N3817,'Retirement Calculator'!A:A,0),0),0)</f>
        <v>0</v>
      </c>
      <c r="K3817" s="455">
        <f t="shared" ca="1" si="171"/>
        <v>-5364340274.174284</v>
      </c>
      <c r="L3817" s="455">
        <f t="shared" ca="1" si="172"/>
        <v>-1292806006076.0024</v>
      </c>
      <c r="M3817" s="471">
        <f t="shared" si="174"/>
        <v>0.05</v>
      </c>
      <c r="N3817" s="475">
        <f t="shared" si="175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73"/>
        <v>-1292806006076.0024</v>
      </c>
      <c r="J3818" s="455">
        <f t="array" ref="J3818">IFERROR(INDEX('Retirement Calculator'!J:J,MATCH('Isaac 401k'!N3818,'Retirement Calculator'!A:A,0),0),0)</f>
        <v>0</v>
      </c>
      <c r="K3818" s="455">
        <f t="shared" ca="1" si="171"/>
        <v>-5386691691.9833431</v>
      </c>
      <c r="L3818" s="455">
        <f t="shared" ca="1" si="172"/>
        <v>-1298192697767.9858</v>
      </c>
      <c r="M3818" s="471">
        <f t="shared" si="174"/>
        <v>0.05</v>
      </c>
      <c r="N3818" s="475">
        <f t="shared" si="175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73"/>
        <v>-1298192697767.9858</v>
      </c>
      <c r="J3819" s="455">
        <f t="array" ref="J3819">IFERROR(INDEX('Retirement Calculator'!J:J,MATCH('Isaac 401k'!N3819,'Retirement Calculator'!A:A,0),0),0)</f>
        <v>0</v>
      </c>
      <c r="K3819" s="455">
        <f t="shared" ca="1" si="171"/>
        <v>-5409136240.6999407</v>
      </c>
      <c r="L3819" s="455">
        <f t="shared" ca="1" si="172"/>
        <v>-1303601834008.6858</v>
      </c>
      <c r="M3819" s="471">
        <f t="shared" si="174"/>
        <v>0.05</v>
      </c>
      <c r="N3819" s="475">
        <f t="shared" si="175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73"/>
        <v>-1303601834008.6858</v>
      </c>
      <c r="J3820" s="455">
        <f t="array" ref="J3820">IFERROR(INDEX('Retirement Calculator'!J:J,MATCH('Isaac 401k'!N3820,'Retirement Calculator'!A:A,0),0),0)</f>
        <v>0</v>
      </c>
      <c r="K3820" s="455">
        <f t="shared" ca="1" si="171"/>
        <v>-5431674308.369524</v>
      </c>
      <c r="L3820" s="455">
        <f t="shared" ca="1" si="172"/>
        <v>-1309033508317.0554</v>
      </c>
      <c r="M3820" s="471">
        <f t="shared" si="174"/>
        <v>0.05</v>
      </c>
      <c r="N3820" s="475">
        <f t="shared" si="175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73"/>
        <v>-1309033508317.0554</v>
      </c>
      <c r="J3821" s="455">
        <f t="array" ref="J3821">IFERROR(INDEX('Retirement Calculator'!J:J,MATCH('Isaac 401k'!N3821,'Retirement Calculator'!A:A,0),0),0)</f>
        <v>0</v>
      </c>
      <c r="K3821" s="455">
        <f t="shared" ca="1" si="171"/>
        <v>-5454306284.654398</v>
      </c>
      <c r="L3821" s="455">
        <f t="shared" ca="1" si="172"/>
        <v>-1314487814601.7097</v>
      </c>
      <c r="M3821" s="471">
        <f t="shared" si="174"/>
        <v>0.05</v>
      </c>
      <c r="N3821" s="475">
        <f t="shared" si="175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73"/>
        <v>-1314487814601.7097</v>
      </c>
      <c r="J3822" s="455">
        <f t="array" ref="J3822">IFERROR(INDEX('Retirement Calculator'!J:J,MATCH('Isaac 401k'!N3822,'Retirement Calculator'!A:A,0),0),0)</f>
        <v>0</v>
      </c>
      <c r="K3822" s="455">
        <f t="shared" ca="1" si="171"/>
        <v>-5477032560.840457</v>
      </c>
      <c r="L3822" s="455">
        <f t="shared" ca="1" si="172"/>
        <v>-1319964847162.5503</v>
      </c>
      <c r="M3822" s="471">
        <f t="shared" si="174"/>
        <v>0.05</v>
      </c>
      <c r="N3822" s="475">
        <f t="shared" si="175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73"/>
        <v>-1319964847162.5503</v>
      </c>
      <c r="J3823" s="455">
        <f t="array" ref="J3823">IFERROR(INDEX('Retirement Calculator'!J:J,MATCH('Isaac 401k'!N3823,'Retirement Calculator'!A:A,0),0),0)</f>
        <v>0</v>
      </c>
      <c r="K3823" s="455">
        <f t="shared" ca="1" si="171"/>
        <v>-5499853529.8439598</v>
      </c>
      <c r="L3823" s="455">
        <f t="shared" ca="1" si="172"/>
        <v>-1325464700692.3943</v>
      </c>
      <c r="M3823" s="471">
        <f t="shared" si="174"/>
        <v>0.05</v>
      </c>
      <c r="N3823" s="475">
        <f t="shared" si="175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73"/>
        <v>-1325464700692.3943</v>
      </c>
      <c r="J3824" s="455">
        <f t="array" ref="J3824">IFERROR(INDEX('Retirement Calculator'!J:J,MATCH('Isaac 401k'!N3824,'Retirement Calculator'!A:A,0),0),0)</f>
        <v>0</v>
      </c>
      <c r="K3824" s="455">
        <f t="shared" ca="1" si="171"/>
        <v>-5522769586.2183094</v>
      </c>
      <c r="L3824" s="455">
        <f t="shared" ca="1" si="172"/>
        <v>-1330987470278.6125</v>
      </c>
      <c r="M3824" s="471">
        <f t="shared" si="174"/>
        <v>0.05</v>
      </c>
      <c r="N3824" s="475">
        <f t="shared" si="175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73"/>
        <v>-1330987470278.6125</v>
      </c>
      <c r="J3825" s="455">
        <f t="array" ref="J3825">IFERROR(INDEX('Retirement Calculator'!J:J,MATCH('Isaac 401k'!N3825,'Retirement Calculator'!A:A,0),0),0)</f>
        <v>0</v>
      </c>
      <c r="K3825" s="455">
        <f t="shared" ca="1" si="171"/>
        <v>-5545781126.1608858</v>
      </c>
      <c r="L3825" s="455">
        <f t="shared" ca="1" si="172"/>
        <v>-1336533251404.7734</v>
      </c>
      <c r="M3825" s="471">
        <f t="shared" si="174"/>
        <v>0.05</v>
      </c>
      <c r="N3825" s="475">
        <f t="shared" si="175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73"/>
        <v>-1336533251404.7734</v>
      </c>
      <c r="J3826" s="455">
        <f t="array" ref="J3826">IFERROR(INDEX('Retirement Calculator'!J:J,MATCH('Isaac 401k'!N3826,'Retirement Calculator'!A:A,0),0),0)</f>
        <v>0</v>
      </c>
      <c r="K3826" s="455">
        <f t="shared" ca="1" si="171"/>
        <v>-5568888547.5198889</v>
      </c>
      <c r="L3826" s="455">
        <f t="shared" ca="1" si="172"/>
        <v>-1342102139952.2932</v>
      </c>
      <c r="M3826" s="471">
        <f t="shared" si="174"/>
        <v>0.05</v>
      </c>
      <c r="N3826" s="475">
        <f t="shared" si="175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73"/>
        <v>-1342102139952.2932</v>
      </c>
      <c r="J3827" s="455">
        <f t="array" ref="J3827">IFERROR(INDEX('Retirement Calculator'!J:J,MATCH('Isaac 401k'!N3827,'Retirement Calculator'!A:A,0),0),0)</f>
        <v>0</v>
      </c>
      <c r="K3827" s="455">
        <f t="shared" ca="1" si="171"/>
        <v>-5592092249.8012218</v>
      </c>
      <c r="L3827" s="455">
        <f t="shared" ca="1" si="172"/>
        <v>-1347694232202.0945</v>
      </c>
      <c r="M3827" s="471">
        <f t="shared" si="174"/>
        <v>0.05</v>
      </c>
      <c r="N3827" s="475">
        <f t="shared" si="175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73"/>
        <v>-1347694232202.0945</v>
      </c>
      <c r="J3828" s="455">
        <f t="array" ref="J3828">IFERROR(INDEX('Retirement Calculator'!J:J,MATCH('Isaac 401k'!N3828,'Retirement Calculator'!A:A,0),0),0)</f>
        <v>0</v>
      </c>
      <c r="K3828" s="455">
        <f t="shared" ca="1" si="171"/>
        <v>-5615392634.1753941</v>
      </c>
      <c r="L3828" s="455">
        <f t="shared" ca="1" si="172"/>
        <v>-1353309624836.2698</v>
      </c>
      <c r="M3828" s="471">
        <f t="shared" si="174"/>
        <v>0.05</v>
      </c>
      <c r="N3828" s="475">
        <f t="shared" si="175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73"/>
        <v>-1353309624836.2698</v>
      </c>
      <c r="J3829" s="455">
        <f t="array" ref="J3829">IFERROR(INDEX('Retirement Calculator'!J:J,MATCH('Isaac 401k'!N3829,'Retirement Calculator'!A:A,0),0),0)</f>
        <v>0</v>
      </c>
      <c r="K3829" s="455">
        <f t="shared" ca="1" si="171"/>
        <v>-5638790103.484457</v>
      </c>
      <c r="L3829" s="455">
        <f t="shared" ca="1" si="172"/>
        <v>-1358948414939.7542</v>
      </c>
      <c r="M3829" s="471">
        <f t="shared" si="174"/>
        <v>0.05</v>
      </c>
      <c r="N3829" s="475">
        <f t="shared" si="175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73"/>
        <v>-1358948414939.7542</v>
      </c>
      <c r="J3830" s="455">
        <f t="array" ref="J3830">IFERROR(INDEX('Retirement Calculator'!J:J,MATCH('Isaac 401k'!N3830,'Retirement Calculator'!A:A,0),0),0)</f>
        <v>0</v>
      </c>
      <c r="K3830" s="455">
        <f t="shared" ca="1" si="171"/>
        <v>-5662285062.2489758</v>
      </c>
      <c r="L3830" s="455">
        <f t="shared" ca="1" si="172"/>
        <v>-1364610700002.0032</v>
      </c>
      <c r="M3830" s="471">
        <f t="shared" si="174"/>
        <v>0.05</v>
      </c>
      <c r="N3830" s="475">
        <f t="shared" si="175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73"/>
        <v>-1364610700002.0032</v>
      </c>
      <c r="J3831" s="455">
        <f t="array" ref="J3831">IFERROR(INDEX('Retirement Calculator'!J:J,MATCH('Isaac 401k'!N3831,'Retirement Calculator'!A:A,0),0),0)</f>
        <v>0</v>
      </c>
      <c r="K3831" s="455">
        <f t="shared" ca="1" si="171"/>
        <v>-5685877916.6750135</v>
      </c>
      <c r="L3831" s="455">
        <f t="shared" ca="1" si="172"/>
        <v>-1370296577918.6782</v>
      </c>
      <c r="M3831" s="471">
        <f t="shared" si="174"/>
        <v>0.05</v>
      </c>
      <c r="N3831" s="475">
        <f t="shared" si="175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73"/>
        <v>-1370296577918.6782</v>
      </c>
      <c r="J3832" s="455">
        <f t="array" ref="J3832">IFERROR(INDEX('Retirement Calculator'!J:J,MATCH('Isaac 401k'!N3832,'Retirement Calculator'!A:A,0),0),0)</f>
        <v>0</v>
      </c>
      <c r="K3832" s="455">
        <f t="shared" ca="1" si="171"/>
        <v>-5709569074.6611595</v>
      </c>
      <c r="L3832" s="455">
        <f t="shared" ca="1" si="172"/>
        <v>-1376006146993.3394</v>
      </c>
      <c r="M3832" s="471">
        <f t="shared" si="174"/>
        <v>0.05</v>
      </c>
      <c r="N3832" s="475">
        <f t="shared" si="175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73"/>
        <v>-1376006146993.3394</v>
      </c>
      <c r="J3833" s="455">
        <f t="array" ref="J3833">IFERROR(INDEX('Retirement Calculator'!J:J,MATCH('Isaac 401k'!N3833,'Retirement Calculator'!A:A,0),0),0)</f>
        <v>0</v>
      </c>
      <c r="K3833" s="455">
        <f t="shared" ref="K3833:K4087" ca="1" si="176">IPMT(M3833/12,1,12,-I3833+J3833,,0)</f>
        <v>-5733358945.8055801</v>
      </c>
      <c r="L3833" s="455">
        <f t="shared" ref="L3833:L4087" ca="1" si="177">I3833-J3833+K3833</f>
        <v>-1381739505939.145</v>
      </c>
      <c r="M3833" s="471">
        <f t="shared" si="174"/>
        <v>0.05</v>
      </c>
      <c r="N3833" s="475">
        <f t="shared" si="175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78">L3833</f>
        <v>-1381739505939.145</v>
      </c>
      <c r="J3834" s="455">
        <f t="array" ref="J3834">IFERROR(INDEX('Retirement Calculator'!J:J,MATCH('Isaac 401k'!N3834,'Retirement Calculator'!A:A,0),0),0)</f>
        <v>0</v>
      </c>
      <c r="K3834" s="455">
        <f t="shared" ca="1" si="176"/>
        <v>-5757247941.4131041</v>
      </c>
      <c r="L3834" s="455">
        <f t="shared" ca="1" si="177"/>
        <v>-1387496753880.5581</v>
      </c>
      <c r="M3834" s="471">
        <f t="shared" ref="M3834:M4088" si="179">M3833</f>
        <v>0.05</v>
      </c>
      <c r="N3834" s="475">
        <f t="shared" ref="N3834:N4088" si="180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78"/>
        <v>-1387496753880.5581</v>
      </c>
      <c r="J3835" s="455">
        <f t="array" ref="J3835">IFERROR(INDEX('Retirement Calculator'!J:J,MATCH('Isaac 401k'!N3835,'Retirement Calculator'!A:A,0),0),0)</f>
        <v>0</v>
      </c>
      <c r="K3835" s="455">
        <f t="shared" ca="1" si="176"/>
        <v>-5781236474.5023251</v>
      </c>
      <c r="L3835" s="455">
        <f t="shared" ca="1" si="177"/>
        <v>-1393277990355.0605</v>
      </c>
      <c r="M3835" s="471">
        <f t="shared" si="179"/>
        <v>0.05</v>
      </c>
      <c r="N3835" s="475">
        <f t="shared" si="180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78"/>
        <v>-1393277990355.0605</v>
      </c>
      <c r="J3836" s="455">
        <f t="array" ref="J3836">IFERROR(INDEX('Retirement Calculator'!J:J,MATCH('Isaac 401k'!N3836,'Retirement Calculator'!A:A,0),0),0)</f>
        <v>0</v>
      </c>
      <c r="K3836" s="455">
        <f t="shared" ca="1" si="176"/>
        <v>-5805324959.8127518</v>
      </c>
      <c r="L3836" s="455">
        <f t="shared" ca="1" si="177"/>
        <v>-1399083315314.8733</v>
      </c>
      <c r="M3836" s="471">
        <f t="shared" si="179"/>
        <v>0.05</v>
      </c>
      <c r="N3836" s="475">
        <f t="shared" si="180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78"/>
        <v>-1399083315314.8733</v>
      </c>
      <c r="J3837" s="455">
        <f t="array" ref="J3837">IFERROR(INDEX('Retirement Calculator'!J:J,MATCH('Isaac 401k'!N3837,'Retirement Calculator'!A:A,0),0),0)</f>
        <v>0</v>
      </c>
      <c r="K3837" s="455">
        <f t="shared" ca="1" si="176"/>
        <v>-5829513813.8119717</v>
      </c>
      <c r="L3837" s="455">
        <f t="shared" ca="1" si="177"/>
        <v>-1404912829128.6853</v>
      </c>
      <c r="M3837" s="471">
        <f t="shared" si="179"/>
        <v>0.05</v>
      </c>
      <c r="N3837" s="475">
        <f t="shared" si="180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78"/>
        <v>-1404912829128.6853</v>
      </c>
      <c r="J3838" s="455">
        <f t="array" ref="J3838">IFERROR(INDEX('Retirement Calculator'!J:J,MATCH('Isaac 401k'!N3838,'Retirement Calculator'!A:A,0),0),0)</f>
        <v>0</v>
      </c>
      <c r="K3838" s="455">
        <f t="shared" ca="1" si="176"/>
        <v>-5853803454.7028551</v>
      </c>
      <c r="L3838" s="455">
        <f t="shared" ca="1" si="177"/>
        <v>-1410766632583.3882</v>
      </c>
      <c r="M3838" s="471">
        <f t="shared" si="179"/>
        <v>0.05</v>
      </c>
      <c r="N3838" s="475">
        <f t="shared" si="180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78"/>
        <v>-1410766632583.3882</v>
      </c>
      <c r="J3839" s="455">
        <f t="array" ref="J3839">IFERROR(INDEX('Retirement Calculator'!J:J,MATCH('Isaac 401k'!N3839,'Retirement Calculator'!A:A,0),0),0)</f>
        <v>0</v>
      </c>
      <c r="K3839" s="455">
        <f t="shared" ca="1" si="176"/>
        <v>-5878194302.4307842</v>
      </c>
      <c r="L3839" s="455">
        <f t="shared" ca="1" si="177"/>
        <v>-1416644826885.8188</v>
      </c>
      <c r="M3839" s="471">
        <f t="shared" si="179"/>
        <v>0.05</v>
      </c>
      <c r="N3839" s="475">
        <f t="shared" si="180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78"/>
        <v>-1416644826885.8188</v>
      </c>
      <c r="J3840" s="455">
        <f t="array" ref="J3840">IFERROR(INDEX('Retirement Calculator'!J:J,MATCH('Isaac 401k'!N3840,'Retirement Calculator'!A:A,0),0),0)</f>
        <v>0</v>
      </c>
      <c r="K3840" s="455">
        <f t="shared" ca="1" si="176"/>
        <v>-5902686778.6909122</v>
      </c>
      <c r="L3840" s="455">
        <f t="shared" ca="1" si="177"/>
        <v>-1422547513664.5098</v>
      </c>
      <c r="M3840" s="471">
        <f t="shared" si="179"/>
        <v>0.05</v>
      </c>
      <c r="N3840" s="475">
        <f t="shared" si="180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78"/>
        <v>-1422547513664.5098</v>
      </c>
      <c r="J3841" s="455">
        <f t="array" ref="J3841">IFERROR(INDEX('Retirement Calculator'!J:J,MATCH('Isaac 401k'!N3841,'Retirement Calculator'!A:A,0),0),0)</f>
        <v>0</v>
      </c>
      <c r="K3841" s="455">
        <f t="shared" ca="1" si="176"/>
        <v>-5927281306.9354572</v>
      </c>
      <c r="L3841" s="455">
        <f t="shared" ca="1" si="177"/>
        <v>-1428474794971.4453</v>
      </c>
      <c r="M3841" s="471">
        <f t="shared" si="179"/>
        <v>0.05</v>
      </c>
      <c r="N3841" s="475">
        <f t="shared" si="180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78"/>
        <v>-1428474794971.4453</v>
      </c>
      <c r="J3842" s="455">
        <f t="array" ref="J3842">IFERROR(INDEX('Retirement Calculator'!J:J,MATCH('Isaac 401k'!N3842,'Retirement Calculator'!A:A,0),0),0)</f>
        <v>0</v>
      </c>
      <c r="K3842" s="455">
        <f t="shared" ca="1" si="176"/>
        <v>-5951978312.3810225</v>
      </c>
      <c r="L3842" s="455">
        <f t="shared" ca="1" si="177"/>
        <v>-1434426773283.8264</v>
      </c>
      <c r="M3842" s="471">
        <f t="shared" si="179"/>
        <v>0.05</v>
      </c>
      <c r="N3842" s="475">
        <f t="shared" si="180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78"/>
        <v>-1434426773283.8264</v>
      </c>
      <c r="J3843" s="455">
        <f t="array" ref="J3843">IFERROR(INDEX('Retirement Calculator'!J:J,MATCH('Isaac 401k'!N3843,'Retirement Calculator'!A:A,0),0),0)</f>
        <v>0</v>
      </c>
      <c r="K3843" s="455">
        <f t="shared" ca="1" si="176"/>
        <v>-5976778222.0159435</v>
      </c>
      <c r="L3843" s="455">
        <f t="shared" ca="1" si="177"/>
        <v>-1440403551505.8423</v>
      </c>
      <c r="M3843" s="471">
        <f t="shared" si="179"/>
        <v>0.05</v>
      </c>
      <c r="N3843" s="475">
        <f t="shared" si="180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78"/>
        <v>-1440403551505.8423</v>
      </c>
      <c r="J3844" s="455">
        <f t="array" ref="J3844">IFERROR(INDEX('Retirement Calculator'!J:J,MATCH('Isaac 401k'!N3844,'Retirement Calculator'!A:A,0),0),0)</f>
        <v>0</v>
      </c>
      <c r="K3844" s="455">
        <f t="shared" ca="1" si="176"/>
        <v>-6001681464.6076765</v>
      </c>
      <c r="L3844" s="455">
        <f t="shared" ca="1" si="177"/>
        <v>-1446405232970.45</v>
      </c>
      <c r="M3844" s="471">
        <f t="shared" si="179"/>
        <v>0.05</v>
      </c>
      <c r="N3844" s="475">
        <f t="shared" si="180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78"/>
        <v>-1446405232970.45</v>
      </c>
      <c r="J3845" s="455">
        <f t="array" ref="J3845">IFERROR(INDEX('Retirement Calculator'!J:J,MATCH('Isaac 401k'!N3845,'Retirement Calculator'!A:A,0),0),0)</f>
        <v>0</v>
      </c>
      <c r="K3845" s="455">
        <f t="shared" ca="1" si="176"/>
        <v>-6026688470.7102079</v>
      </c>
      <c r="L3845" s="455">
        <f t="shared" ca="1" si="177"/>
        <v>-1452431921441.1602</v>
      </c>
      <c r="M3845" s="471">
        <f t="shared" si="179"/>
        <v>0.05</v>
      </c>
      <c r="N3845" s="475">
        <f t="shared" si="180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78"/>
        <v>-1452431921441.1602</v>
      </c>
      <c r="J3846" s="455">
        <f t="array" ref="J3846">IFERROR(INDEX('Retirement Calculator'!J:J,MATCH('Isaac 401k'!N3846,'Retirement Calculator'!A:A,0),0),0)</f>
        <v>0</v>
      </c>
      <c r="K3846" s="455">
        <f t="shared" ca="1" si="176"/>
        <v>-6051799672.6715002</v>
      </c>
      <c r="L3846" s="455">
        <f t="shared" ca="1" si="177"/>
        <v>-1458483721113.8315</v>
      </c>
      <c r="M3846" s="471">
        <f t="shared" si="179"/>
        <v>0.05</v>
      </c>
      <c r="N3846" s="475">
        <f t="shared" si="180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78"/>
        <v>-1458483721113.8315</v>
      </c>
      <c r="J3847" s="455">
        <f t="array" ref="J3847">IFERROR(INDEX('Retirement Calculator'!J:J,MATCH('Isaac 401k'!N3847,'Retirement Calculator'!A:A,0),0),0)</f>
        <v>0</v>
      </c>
      <c r="K3847" s="455">
        <f t="shared" ca="1" si="176"/>
        <v>-6077015504.6409645</v>
      </c>
      <c r="L3847" s="455">
        <f t="shared" ca="1" si="177"/>
        <v>-1464560736618.4724</v>
      </c>
      <c r="M3847" s="471">
        <f t="shared" si="179"/>
        <v>0.05</v>
      </c>
      <c r="N3847" s="475">
        <f t="shared" si="180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78"/>
        <v>-1464560736618.4724</v>
      </c>
      <c r="J3848" s="455">
        <f t="array" ref="J3848">IFERROR(INDEX('Retirement Calculator'!J:J,MATCH('Isaac 401k'!N3848,'Retirement Calculator'!A:A,0),0),0)</f>
        <v>0</v>
      </c>
      <c r="K3848" s="455">
        <f t="shared" ca="1" si="176"/>
        <v>-6102336402.5769682</v>
      </c>
      <c r="L3848" s="455">
        <f t="shared" ca="1" si="177"/>
        <v>-1470663073021.0493</v>
      </c>
      <c r="M3848" s="471">
        <f t="shared" si="179"/>
        <v>0.05</v>
      </c>
      <c r="N3848" s="475">
        <f t="shared" si="180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78"/>
        <v>-1470663073021.0493</v>
      </c>
      <c r="J3849" s="455">
        <f t="array" ref="J3849">IFERROR(INDEX('Retirement Calculator'!J:J,MATCH('Isaac 401k'!N3849,'Retirement Calculator'!A:A,0),0),0)</f>
        <v>0</v>
      </c>
      <c r="K3849" s="455">
        <f t="shared" ca="1" si="176"/>
        <v>-6127762804.2543716</v>
      </c>
      <c r="L3849" s="455">
        <f t="shared" ca="1" si="177"/>
        <v>-1476790835825.3037</v>
      </c>
      <c r="M3849" s="471">
        <f t="shared" si="179"/>
        <v>0.05</v>
      </c>
      <c r="N3849" s="475">
        <f t="shared" si="180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78"/>
        <v>-1476790835825.3037</v>
      </c>
      <c r="J3850" s="455">
        <f t="array" ref="J3850">IFERROR(INDEX('Retirement Calculator'!J:J,MATCH('Isaac 401k'!N3850,'Retirement Calculator'!A:A,0),0),0)</f>
        <v>0</v>
      </c>
      <c r="K3850" s="455">
        <f t="shared" ca="1" si="176"/>
        <v>-6153295149.2720985</v>
      </c>
      <c r="L3850" s="455">
        <f t="shared" ca="1" si="177"/>
        <v>-1482944130974.5759</v>
      </c>
      <c r="M3850" s="471">
        <f t="shared" si="179"/>
        <v>0.05</v>
      </c>
      <c r="N3850" s="475">
        <f t="shared" si="180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78"/>
        <v>-1482944130974.5759</v>
      </c>
      <c r="J3851" s="455">
        <f t="array" ref="J3851">IFERROR(INDEX('Retirement Calculator'!J:J,MATCH('Isaac 401k'!N3851,'Retirement Calculator'!A:A,0),0),0)</f>
        <v>0</v>
      </c>
      <c r="K3851" s="455">
        <f t="shared" ca="1" si="176"/>
        <v>-6178933879.0607328</v>
      </c>
      <c r="L3851" s="455">
        <f t="shared" ca="1" si="177"/>
        <v>-1489123064853.6367</v>
      </c>
      <c r="M3851" s="471">
        <f t="shared" si="179"/>
        <v>0.05</v>
      </c>
      <c r="N3851" s="475">
        <f t="shared" si="180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78"/>
        <v>-1489123064853.6367</v>
      </c>
      <c r="J3852" s="455">
        <f t="array" ref="J3852">IFERROR(INDEX('Retirement Calculator'!J:J,MATCH('Isaac 401k'!N3852,'Retirement Calculator'!A:A,0),0),0)</f>
        <v>0</v>
      </c>
      <c r="K3852" s="455">
        <f t="shared" ca="1" si="176"/>
        <v>-6204679436.8901529</v>
      </c>
      <c r="L3852" s="455">
        <f t="shared" ca="1" si="177"/>
        <v>-1495327744290.5269</v>
      </c>
      <c r="M3852" s="471">
        <f t="shared" si="179"/>
        <v>0.05</v>
      </c>
      <c r="N3852" s="475">
        <f t="shared" si="180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78"/>
        <v>-1495327744290.5269</v>
      </c>
      <c r="J3853" s="455">
        <f t="array" ref="J3853">IFERROR(INDEX('Retirement Calculator'!J:J,MATCH('Isaac 401k'!N3853,'Retirement Calculator'!A:A,0),0),0)</f>
        <v>0</v>
      </c>
      <c r="K3853" s="455">
        <f t="shared" ca="1" si="176"/>
        <v>-6230532267.8771954</v>
      </c>
      <c r="L3853" s="455">
        <f t="shared" ca="1" si="177"/>
        <v>-1501558276558.4041</v>
      </c>
      <c r="M3853" s="471">
        <f t="shared" si="179"/>
        <v>0.05</v>
      </c>
      <c r="N3853" s="475">
        <f t="shared" si="180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78"/>
        <v>-1501558276558.4041</v>
      </c>
      <c r="J3854" s="455">
        <f t="array" ref="J3854">IFERROR(INDEX('Retirement Calculator'!J:J,MATCH('Isaac 401k'!N3854,'Retirement Calculator'!A:A,0),0),0)</f>
        <v>0</v>
      </c>
      <c r="K3854" s="455">
        <f t="shared" ca="1" si="176"/>
        <v>-6256492818.99335</v>
      </c>
      <c r="L3854" s="455">
        <f t="shared" ca="1" si="177"/>
        <v>-1507814769377.3975</v>
      </c>
      <c r="M3854" s="471">
        <f t="shared" si="179"/>
        <v>0.05</v>
      </c>
      <c r="N3854" s="475">
        <f t="shared" si="180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78"/>
        <v>-1507814769377.3975</v>
      </c>
      <c r="J3855" s="455">
        <f t="array" ref="J3855">IFERROR(INDEX('Retirement Calculator'!J:J,MATCH('Isaac 401k'!N3855,'Retirement Calculator'!A:A,0),0),0)</f>
        <v>0</v>
      </c>
      <c r="K3855" s="455">
        <f t="shared" ca="1" si="176"/>
        <v>-6282561539.0724897</v>
      </c>
      <c r="L3855" s="455">
        <f t="shared" ca="1" si="177"/>
        <v>-1514097330916.47</v>
      </c>
      <c r="M3855" s="471">
        <f t="shared" si="179"/>
        <v>0.05</v>
      </c>
      <c r="N3855" s="475">
        <f t="shared" si="180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78"/>
        <v>-1514097330916.47</v>
      </c>
      <c r="J3856" s="455">
        <f t="array" ref="J3856">IFERROR(INDEX('Retirement Calculator'!J:J,MATCH('Isaac 401k'!N3856,'Retirement Calculator'!A:A,0),0),0)</f>
        <v>0</v>
      </c>
      <c r="K3856" s="455">
        <f t="shared" ca="1" si="176"/>
        <v>-6308738878.8186245</v>
      </c>
      <c r="L3856" s="455">
        <f t="shared" ca="1" si="177"/>
        <v>-1520406069795.2886</v>
      </c>
      <c r="M3856" s="471">
        <f t="shared" si="179"/>
        <v>0.05</v>
      </c>
      <c r="N3856" s="475">
        <f t="shared" si="180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78"/>
        <v>-1520406069795.2886</v>
      </c>
      <c r="J3857" s="455">
        <f t="array" ref="J3857">IFERROR(INDEX('Retirement Calculator'!J:J,MATCH('Isaac 401k'!N3857,'Retirement Calculator'!A:A,0),0),0)</f>
        <v>0</v>
      </c>
      <c r="K3857" s="455">
        <f t="shared" ca="1" si="176"/>
        <v>-6335025290.8137026</v>
      </c>
      <c r="L3857" s="455">
        <f t="shared" ca="1" si="177"/>
        <v>-1526741095086.1023</v>
      </c>
      <c r="M3857" s="471">
        <f t="shared" si="179"/>
        <v>0.05</v>
      </c>
      <c r="N3857" s="475">
        <f t="shared" si="180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78"/>
        <v>-1526741095086.1023</v>
      </c>
      <c r="J3858" s="455">
        <f t="array" ref="J3858">IFERROR(INDEX('Retirement Calculator'!J:J,MATCH('Isaac 401k'!N3858,'Retirement Calculator'!A:A,0),0),0)</f>
        <v>0</v>
      </c>
      <c r="K3858" s="455">
        <f t="shared" ca="1" si="176"/>
        <v>-6361421229.5254259</v>
      </c>
      <c r="L3858" s="455">
        <f t="shared" ca="1" si="177"/>
        <v>-1533102516315.6277</v>
      </c>
      <c r="M3858" s="471">
        <f t="shared" si="179"/>
        <v>0.05</v>
      </c>
      <c r="N3858" s="475">
        <f t="shared" si="180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78"/>
        <v>-1533102516315.6277</v>
      </c>
      <c r="J3859" s="455">
        <f t="array" ref="J3859">IFERROR(INDEX('Retirement Calculator'!J:J,MATCH('Isaac 401k'!N3859,'Retirement Calculator'!A:A,0),0),0)</f>
        <v>0</v>
      </c>
      <c r="K3859" s="455">
        <f t="shared" ca="1" si="176"/>
        <v>-6387927151.315115</v>
      </c>
      <c r="L3859" s="455">
        <f t="shared" ca="1" si="177"/>
        <v>-1539490443466.9429</v>
      </c>
      <c r="M3859" s="471">
        <f t="shared" si="179"/>
        <v>0.05</v>
      </c>
      <c r="N3859" s="475">
        <f t="shared" si="180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78"/>
        <v>-1539490443466.9429</v>
      </c>
      <c r="J3860" s="455">
        <f t="array" ref="J3860">IFERROR(INDEX('Retirement Calculator'!J:J,MATCH('Isaac 401k'!N3860,'Retirement Calculator'!A:A,0),0),0)</f>
        <v>0</v>
      </c>
      <c r="K3860" s="455">
        <f t="shared" ca="1" si="176"/>
        <v>-6414543514.4455948</v>
      </c>
      <c r="L3860" s="455">
        <f t="shared" ca="1" si="177"/>
        <v>-1545904986981.3884</v>
      </c>
      <c r="M3860" s="471">
        <f t="shared" si="179"/>
        <v>0.05</v>
      </c>
      <c r="N3860" s="475">
        <f t="shared" si="180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78"/>
        <v>-1545904986981.3884</v>
      </c>
      <c r="J3861" s="455">
        <f t="array" ref="J3861">IFERROR(INDEX('Retirement Calculator'!J:J,MATCH('Isaac 401k'!N3861,'Retirement Calculator'!A:A,0),0),0)</f>
        <v>0</v>
      </c>
      <c r="K3861" s="455">
        <f t="shared" ca="1" si="176"/>
        <v>-6441270779.089118</v>
      </c>
      <c r="L3861" s="455">
        <f t="shared" ca="1" si="177"/>
        <v>-1552346257760.4775</v>
      </c>
      <c r="M3861" s="471">
        <f t="shared" si="179"/>
        <v>0.05</v>
      </c>
      <c r="N3861" s="475">
        <f t="shared" si="180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78"/>
        <v>-1552346257760.4775</v>
      </c>
      <c r="J3862" s="455">
        <f t="array" ref="J3862">IFERROR(INDEX('Retirement Calculator'!J:J,MATCH('Isaac 401k'!N3862,'Retirement Calculator'!A:A,0),0),0)</f>
        <v>0</v>
      </c>
      <c r="K3862" s="455">
        <f t="shared" ca="1" si="176"/>
        <v>-6468109407.3353233</v>
      </c>
      <c r="L3862" s="455">
        <f t="shared" ca="1" si="177"/>
        <v>-1558814367167.8127</v>
      </c>
      <c r="M3862" s="471">
        <f t="shared" si="179"/>
        <v>0.05</v>
      </c>
      <c r="N3862" s="475">
        <f t="shared" si="180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78"/>
        <v>-1558814367167.8127</v>
      </c>
      <c r="J3863" s="455">
        <f t="array" ref="J3863">IFERROR(INDEX('Retirement Calculator'!J:J,MATCH('Isaac 401k'!N3863,'Retirement Calculator'!A:A,0),0),0)</f>
        <v>0</v>
      </c>
      <c r="K3863" s="455">
        <f t="shared" ca="1" si="176"/>
        <v>-6495059863.1992197</v>
      </c>
      <c r="L3863" s="455">
        <f t="shared" ca="1" si="177"/>
        <v>-1565309427031.012</v>
      </c>
      <c r="M3863" s="471">
        <f t="shared" si="179"/>
        <v>0.05</v>
      </c>
      <c r="N3863" s="475">
        <f t="shared" si="180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78"/>
        <v>-1565309427031.012</v>
      </c>
      <c r="J3864" s="455">
        <f t="array" ref="J3864">IFERROR(INDEX('Retirement Calculator'!J:J,MATCH('Isaac 401k'!N3864,'Retirement Calculator'!A:A,0),0),0)</f>
        <v>0</v>
      </c>
      <c r="K3864" s="455">
        <f t="shared" ca="1" si="176"/>
        <v>-6522122612.6292162</v>
      </c>
      <c r="L3864" s="455">
        <f t="shared" ca="1" si="177"/>
        <v>-1571831549643.6411</v>
      </c>
      <c r="M3864" s="471">
        <f t="shared" si="179"/>
        <v>0.05</v>
      </c>
      <c r="N3864" s="475">
        <f t="shared" si="180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78"/>
        <v>-1571831549643.6411</v>
      </c>
      <c r="J3865" s="455">
        <f t="array" ref="J3865">IFERROR(INDEX('Retirement Calculator'!J:J,MATCH('Isaac 401k'!N3865,'Retirement Calculator'!A:A,0),0),0)</f>
        <v>0</v>
      </c>
      <c r="K3865" s="455">
        <f t="shared" ca="1" si="176"/>
        <v>-6549298123.5151711</v>
      </c>
      <c r="L3865" s="455">
        <f t="shared" ca="1" si="177"/>
        <v>-1578380847767.1563</v>
      </c>
      <c r="M3865" s="471">
        <f t="shared" si="179"/>
        <v>0.05</v>
      </c>
      <c r="N3865" s="475">
        <f t="shared" si="180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78"/>
        <v>-1578380847767.1563</v>
      </c>
      <c r="J3866" s="455">
        <f t="array" ref="J3866">IFERROR(INDEX('Retirement Calculator'!J:J,MATCH('Isaac 401k'!N3866,'Retirement Calculator'!A:A,0),0),0)</f>
        <v>0</v>
      </c>
      <c r="K3866" s="455">
        <f t="shared" ca="1" si="176"/>
        <v>-6576586865.6964846</v>
      </c>
      <c r="L3866" s="455">
        <f t="shared" ca="1" si="177"/>
        <v>-1584957434632.8528</v>
      </c>
      <c r="M3866" s="471">
        <f t="shared" si="179"/>
        <v>0.05</v>
      </c>
      <c r="N3866" s="475">
        <f t="shared" si="180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78"/>
        <v>-1584957434632.8528</v>
      </c>
      <c r="J3867" s="455">
        <f t="array" ref="J3867">IFERROR(INDEX('Retirement Calculator'!J:J,MATCH('Isaac 401k'!N3867,'Retirement Calculator'!A:A,0),0),0)</f>
        <v>0</v>
      </c>
      <c r="K3867" s="455">
        <f t="shared" ca="1" si="176"/>
        <v>-6603989310.9702196</v>
      </c>
      <c r="L3867" s="455">
        <f t="shared" ca="1" si="177"/>
        <v>-1591561423943.823</v>
      </c>
      <c r="M3867" s="471">
        <f t="shared" si="179"/>
        <v>0.05</v>
      </c>
      <c r="N3867" s="475">
        <f t="shared" si="180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78"/>
        <v>-1591561423943.823</v>
      </c>
      <c r="J3868" s="455">
        <f t="array" ref="J3868">IFERROR(INDEX('Retirement Calculator'!J:J,MATCH('Isaac 401k'!N3868,'Retirement Calculator'!A:A,0),0),0)</f>
        <v>0</v>
      </c>
      <c r="K3868" s="455">
        <f t="shared" ca="1" si="176"/>
        <v>-6631505933.0992622</v>
      </c>
      <c r="L3868" s="455">
        <f t="shared" ca="1" si="177"/>
        <v>-1598192929876.9224</v>
      </c>
      <c r="M3868" s="471">
        <f t="shared" si="179"/>
        <v>0.05</v>
      </c>
      <c r="N3868" s="475">
        <f t="shared" si="180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78"/>
        <v>-1598192929876.9224</v>
      </c>
      <c r="J3869" s="455">
        <f t="array" ref="J3869">IFERROR(INDEX('Retirement Calculator'!J:J,MATCH('Isaac 401k'!N3869,'Retirement Calculator'!A:A,0),0),0)</f>
        <v>0</v>
      </c>
      <c r="K3869" s="455">
        <f t="shared" ca="1" si="176"/>
        <v>-6659137207.8205099</v>
      </c>
      <c r="L3869" s="455">
        <f t="shared" ca="1" si="177"/>
        <v>-1604852067084.7429</v>
      </c>
      <c r="M3869" s="471">
        <f t="shared" si="179"/>
        <v>0.05</v>
      </c>
      <c r="N3869" s="475">
        <f t="shared" si="180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78"/>
        <v>-1604852067084.7429</v>
      </c>
      <c r="J3870" s="455">
        <f t="array" ref="J3870">IFERROR(INDEX('Retirement Calculator'!J:J,MATCH('Isaac 401k'!N3870,'Retirement Calculator'!A:A,0),0),0)</f>
        <v>0</v>
      </c>
      <c r="K3870" s="455">
        <f t="shared" ca="1" si="176"/>
        <v>-6686883612.8530951</v>
      </c>
      <c r="L3870" s="455">
        <f t="shared" ca="1" si="177"/>
        <v>-1611538950697.5959</v>
      </c>
      <c r="M3870" s="471">
        <f t="shared" si="179"/>
        <v>0.05</v>
      </c>
      <c r="N3870" s="475">
        <f t="shared" si="180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78"/>
        <v>-1611538950697.5959</v>
      </c>
      <c r="J3871" s="455">
        <f t="array" ref="J3871">IFERROR(INDEX('Retirement Calculator'!J:J,MATCH('Isaac 401k'!N3871,'Retirement Calculator'!A:A,0),0),0)</f>
        <v>0</v>
      </c>
      <c r="K3871" s="455">
        <f t="shared" ca="1" si="176"/>
        <v>-6714745627.9066496</v>
      </c>
      <c r="L3871" s="455">
        <f t="shared" ca="1" si="177"/>
        <v>-1618253696325.5027</v>
      </c>
      <c r="M3871" s="471">
        <f t="shared" si="179"/>
        <v>0.05</v>
      </c>
      <c r="N3871" s="475">
        <f t="shared" si="180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78"/>
        <v>-1618253696325.5027</v>
      </c>
      <c r="J3872" s="455">
        <f t="array" ref="J3872">IFERROR(INDEX('Retirement Calculator'!J:J,MATCH('Isaac 401k'!N3872,'Retirement Calculator'!A:A,0),0),0)</f>
        <v>0</v>
      </c>
      <c r="K3872" s="455">
        <f t="shared" ca="1" si="176"/>
        <v>-6742723734.6895943</v>
      </c>
      <c r="L3872" s="455">
        <f t="shared" ca="1" si="177"/>
        <v>-1624996420060.1924</v>
      </c>
      <c r="M3872" s="471">
        <f t="shared" si="179"/>
        <v>0.05</v>
      </c>
      <c r="N3872" s="475">
        <f t="shared" si="180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78"/>
        <v>-1624996420060.1924</v>
      </c>
      <c r="J3873" s="455">
        <f t="array" ref="J3873">IFERROR(INDEX('Retirement Calculator'!J:J,MATCH('Isaac 401k'!N3873,'Retirement Calculator'!A:A,0),0),0)</f>
        <v>0</v>
      </c>
      <c r="K3873" s="455">
        <f t="shared" ca="1" si="176"/>
        <v>-6770818416.9174681</v>
      </c>
      <c r="L3873" s="455">
        <f t="shared" ca="1" si="177"/>
        <v>-1631767238477.1099</v>
      </c>
      <c r="M3873" s="471">
        <f t="shared" si="179"/>
        <v>0.05</v>
      </c>
      <c r="N3873" s="475">
        <f t="shared" si="180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78"/>
        <v>-1631767238477.1099</v>
      </c>
      <c r="J3874" s="455">
        <f t="array" ref="J3874">IFERROR(INDEX('Retirement Calculator'!J:J,MATCH('Isaac 401k'!N3874,'Retirement Calculator'!A:A,0),0),0)</f>
        <v>0</v>
      </c>
      <c r="K3874" s="455">
        <f t="shared" ca="1" si="176"/>
        <v>-6799030160.321291</v>
      </c>
      <c r="L3874" s="455">
        <f t="shared" ca="1" si="177"/>
        <v>-1638566268637.4312</v>
      </c>
      <c r="M3874" s="471">
        <f t="shared" si="179"/>
        <v>0.05</v>
      </c>
      <c r="N3874" s="475">
        <f t="shared" si="180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78"/>
        <v>-1638566268637.4312</v>
      </c>
      <c r="J3875" s="455">
        <f t="array" ref="J3875">IFERROR(INDEX('Retirement Calculator'!J:J,MATCH('Isaac 401k'!N3875,'Retirement Calculator'!A:A,0),0),0)</f>
        <v>0</v>
      </c>
      <c r="K3875" s="455">
        <f t="shared" ca="1" si="176"/>
        <v>-6827359452.6559629</v>
      </c>
      <c r="L3875" s="455">
        <f t="shared" ca="1" si="177"/>
        <v>-1645393628090.0872</v>
      </c>
      <c r="M3875" s="471">
        <f t="shared" si="179"/>
        <v>0.05</v>
      </c>
      <c r="N3875" s="475">
        <f t="shared" si="180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78"/>
        <v>-1645393628090.0872</v>
      </c>
      <c r="J3876" s="455">
        <f t="array" ref="J3876">IFERROR(INDEX('Retirement Calculator'!J:J,MATCH('Isaac 401k'!N3876,'Retirement Calculator'!A:A,0),0),0)</f>
        <v>0</v>
      </c>
      <c r="K3876" s="455">
        <f t="shared" ca="1" si="176"/>
        <v>-6855806783.7086964</v>
      </c>
      <c r="L3876" s="455">
        <f t="shared" ca="1" si="177"/>
        <v>-1652249434873.7959</v>
      </c>
      <c r="M3876" s="471">
        <f t="shared" si="179"/>
        <v>0.05</v>
      </c>
      <c r="N3876" s="475">
        <f t="shared" si="180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78"/>
        <v>-1652249434873.7959</v>
      </c>
      <c r="J3877" s="455">
        <f t="array" ref="J3877">IFERROR(INDEX('Retirement Calculator'!J:J,MATCH('Isaac 401k'!N3877,'Retirement Calculator'!A:A,0),0),0)</f>
        <v>0</v>
      </c>
      <c r="K3877" s="455">
        <f t="shared" ca="1" si="176"/>
        <v>-6884372645.3074827</v>
      </c>
      <c r="L3877" s="455">
        <f t="shared" ca="1" si="177"/>
        <v>-1659133807519.1033</v>
      </c>
      <c r="M3877" s="471">
        <f t="shared" si="179"/>
        <v>0.05</v>
      </c>
      <c r="N3877" s="475">
        <f t="shared" si="180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78"/>
        <v>-1659133807519.1033</v>
      </c>
      <c r="J3878" s="455">
        <f t="array" ref="J3878">IFERROR(INDEX('Retirement Calculator'!J:J,MATCH('Isaac 401k'!N3878,'Retirement Calculator'!A:A,0),0),0)</f>
        <v>0</v>
      </c>
      <c r="K3878" s="455">
        <f t="shared" ca="1" si="176"/>
        <v>-6913057531.3295965</v>
      </c>
      <c r="L3878" s="455">
        <f t="shared" ca="1" si="177"/>
        <v>-1666046865050.4329</v>
      </c>
      <c r="M3878" s="471">
        <f t="shared" si="179"/>
        <v>0.05</v>
      </c>
      <c r="N3878" s="475">
        <f t="shared" si="180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78"/>
        <v>-1666046865050.4329</v>
      </c>
      <c r="J3879" s="455">
        <f t="array" ref="J3879">IFERROR(INDEX('Retirement Calculator'!J:J,MATCH('Isaac 401k'!N3879,'Retirement Calculator'!A:A,0),0),0)</f>
        <v>0</v>
      </c>
      <c r="K3879" s="455">
        <f t="shared" ca="1" si="176"/>
        <v>-6941861937.7101364</v>
      </c>
      <c r="L3879" s="455">
        <f t="shared" ca="1" si="177"/>
        <v>-1672988726988.1431</v>
      </c>
      <c r="M3879" s="471">
        <f t="shared" si="179"/>
        <v>0.05</v>
      </c>
      <c r="N3879" s="475">
        <f t="shared" si="180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78"/>
        <v>-1672988726988.1431</v>
      </c>
      <c r="J3880" s="455">
        <f t="array" ref="J3880">IFERROR(INDEX('Retirement Calculator'!J:J,MATCH('Isaac 401k'!N3880,'Retirement Calculator'!A:A,0),0),0)</f>
        <v>0</v>
      </c>
      <c r="K3880" s="455">
        <f t="shared" ca="1" si="176"/>
        <v>-6970786362.4505959</v>
      </c>
      <c r="L3880" s="455">
        <f t="shared" ca="1" si="177"/>
        <v>-1679959513350.5938</v>
      </c>
      <c r="M3880" s="471">
        <f t="shared" si="179"/>
        <v>0.05</v>
      </c>
      <c r="N3880" s="475">
        <f t="shared" si="180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78"/>
        <v>-1679959513350.5938</v>
      </c>
      <c r="J3881" s="455">
        <f t="array" ref="J3881">IFERROR(INDEX('Retirement Calculator'!J:J,MATCH('Isaac 401k'!N3881,'Retirement Calculator'!A:A,0),0),0)</f>
        <v>0</v>
      </c>
      <c r="K3881" s="455">
        <f t="shared" ca="1" si="176"/>
        <v>-6999831305.6274738</v>
      </c>
      <c r="L3881" s="455">
        <f t="shared" ca="1" si="177"/>
        <v>-1686959344656.2212</v>
      </c>
      <c r="M3881" s="471">
        <f t="shared" si="179"/>
        <v>0.05</v>
      </c>
      <c r="N3881" s="475">
        <f t="shared" si="180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78"/>
        <v>-1686959344656.2212</v>
      </c>
      <c r="J3882" s="455">
        <f t="array" ref="J3882">IFERROR(INDEX('Retirement Calculator'!J:J,MATCH('Isaac 401k'!N3882,'Retirement Calculator'!A:A,0),0),0)</f>
        <v>0</v>
      </c>
      <c r="K3882" s="455">
        <f t="shared" ca="1" si="176"/>
        <v>-7028997269.4009218</v>
      </c>
      <c r="L3882" s="455">
        <f t="shared" ca="1" si="177"/>
        <v>-1693988341925.6221</v>
      </c>
      <c r="M3882" s="471">
        <f t="shared" si="179"/>
        <v>0.05</v>
      </c>
      <c r="N3882" s="475">
        <f t="shared" si="180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78"/>
        <v>-1693988341925.6221</v>
      </c>
      <c r="J3883" s="455">
        <f t="array" ref="J3883">IFERROR(INDEX('Retirement Calculator'!J:J,MATCH('Isaac 401k'!N3883,'Retirement Calculator'!A:A,0),0),0)</f>
        <v>0</v>
      </c>
      <c r="K3883" s="455">
        <f t="shared" ca="1" si="176"/>
        <v>-7058284758.0234251</v>
      </c>
      <c r="L3883" s="455">
        <f t="shared" ca="1" si="177"/>
        <v>-1701046626683.6455</v>
      </c>
      <c r="M3883" s="471">
        <f t="shared" si="179"/>
        <v>0.05</v>
      </c>
      <c r="N3883" s="475">
        <f t="shared" si="180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78"/>
        <v>-1701046626683.6455</v>
      </c>
      <c r="J3884" s="455">
        <f t="array" ref="J3884">IFERROR(INDEX('Retirement Calculator'!J:J,MATCH('Isaac 401k'!N3884,'Retirement Calculator'!A:A,0),0),0)</f>
        <v>0</v>
      </c>
      <c r="K3884" s="455">
        <f t="shared" ca="1" si="176"/>
        <v>-7087694277.8485231</v>
      </c>
      <c r="L3884" s="455">
        <f t="shared" ca="1" si="177"/>
        <v>-1708134320961.4941</v>
      </c>
      <c r="M3884" s="471">
        <f t="shared" si="179"/>
        <v>0.05</v>
      </c>
      <c r="N3884" s="475">
        <f t="shared" si="180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78"/>
        <v>-1708134320961.4941</v>
      </c>
      <c r="J3885" s="455">
        <f t="array" ref="J3885">IFERROR(INDEX('Retirement Calculator'!J:J,MATCH('Isaac 401k'!N3885,'Retirement Calculator'!A:A,0),0),0)</f>
        <v>0</v>
      </c>
      <c r="K3885" s="455">
        <f t="shared" ca="1" si="176"/>
        <v>-7117226337.3395586</v>
      </c>
      <c r="L3885" s="455">
        <f t="shared" ca="1" si="177"/>
        <v>-1715251547298.8337</v>
      </c>
      <c r="M3885" s="471">
        <f t="shared" si="179"/>
        <v>0.05</v>
      </c>
      <c r="N3885" s="475">
        <f t="shared" si="180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78"/>
        <v>-1715251547298.8337</v>
      </c>
      <c r="J3886" s="455">
        <f t="array" ref="J3886">IFERROR(INDEX('Retirement Calculator'!J:J,MATCH('Isaac 401k'!N3886,'Retirement Calculator'!A:A,0),0),0)</f>
        <v>0</v>
      </c>
      <c r="K3886" s="455">
        <f t="shared" ca="1" si="176"/>
        <v>-7146881447.078474</v>
      </c>
      <c r="L3886" s="455">
        <f t="shared" ca="1" si="177"/>
        <v>-1722398428745.9121</v>
      </c>
      <c r="M3886" s="471">
        <f t="shared" si="179"/>
        <v>0.05</v>
      </c>
      <c r="N3886" s="475">
        <f t="shared" si="180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78"/>
        <v>-1722398428745.9121</v>
      </c>
      <c r="J3887" s="455">
        <f t="array" ref="J3887">IFERROR(INDEX('Retirement Calculator'!J:J,MATCH('Isaac 401k'!N3887,'Retirement Calculator'!A:A,0),0),0)</f>
        <v>0</v>
      </c>
      <c r="K3887" s="455">
        <f t="shared" ca="1" si="176"/>
        <v>-7176660119.7746334</v>
      </c>
      <c r="L3887" s="455">
        <f t="shared" ca="1" si="177"/>
        <v>-1729575088865.6868</v>
      </c>
      <c r="M3887" s="471">
        <f t="shared" si="179"/>
        <v>0.05</v>
      </c>
      <c r="N3887" s="475">
        <f t="shared" si="180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78"/>
        <v>-1729575088865.6868</v>
      </c>
      <c r="J3888" s="455">
        <f t="array" ref="J3888">IFERROR(INDEX('Retirement Calculator'!J:J,MATCH('Isaac 401k'!N3888,'Retirement Calculator'!A:A,0),0),0)</f>
        <v>0</v>
      </c>
      <c r="K3888" s="455">
        <f t="shared" ca="1" si="176"/>
        <v>-7206562870.273695</v>
      </c>
      <c r="L3888" s="455">
        <f t="shared" ca="1" si="177"/>
        <v>-1736781651735.9604</v>
      </c>
      <c r="M3888" s="471">
        <f t="shared" si="179"/>
        <v>0.05</v>
      </c>
      <c r="N3888" s="475">
        <f t="shared" si="180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78"/>
        <v>-1736781651735.9604</v>
      </c>
      <c r="J3889" s="455">
        <f t="array" ref="J3889">IFERROR(INDEX('Retirement Calculator'!J:J,MATCH('Isaac 401k'!N3889,'Retirement Calculator'!A:A,0),0),0)</f>
        <v>0</v>
      </c>
      <c r="K3889" s="455">
        <f t="shared" ca="1" si="176"/>
        <v>-7236590215.5665026</v>
      </c>
      <c r="L3889" s="455">
        <f t="shared" ca="1" si="177"/>
        <v>-1744018241951.5269</v>
      </c>
      <c r="M3889" s="471">
        <f t="shared" si="179"/>
        <v>0.05</v>
      </c>
      <c r="N3889" s="475">
        <f t="shared" si="180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78"/>
        <v>-1744018241951.5269</v>
      </c>
      <c r="J3890" s="455">
        <f t="array" ref="J3890">IFERROR(INDEX('Retirement Calculator'!J:J,MATCH('Isaac 401k'!N3890,'Retirement Calculator'!A:A,0),0),0)</f>
        <v>0</v>
      </c>
      <c r="K3890" s="455">
        <f t="shared" ca="1" si="176"/>
        <v>-7266742674.798028</v>
      </c>
      <c r="L3890" s="455">
        <f t="shared" ca="1" si="177"/>
        <v>-1751284984626.325</v>
      </c>
      <c r="M3890" s="471">
        <f t="shared" si="179"/>
        <v>0.05</v>
      </c>
      <c r="N3890" s="475">
        <f t="shared" si="180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78"/>
        <v>-1751284984626.325</v>
      </c>
      <c r="J3891" s="455">
        <f t="array" ref="J3891">IFERROR(INDEX('Retirement Calculator'!J:J,MATCH('Isaac 401k'!N3891,'Retirement Calculator'!A:A,0),0),0)</f>
        <v>0</v>
      </c>
      <c r="K3891" s="455">
        <f t="shared" ca="1" si="176"/>
        <v>-7297020769.2763548</v>
      </c>
      <c r="L3891" s="455">
        <f t="shared" ca="1" si="177"/>
        <v>-1758582005395.6013</v>
      </c>
      <c r="M3891" s="471">
        <f t="shared" si="179"/>
        <v>0.05</v>
      </c>
      <c r="N3891" s="475">
        <f t="shared" si="180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78"/>
        <v>-1758582005395.6013</v>
      </c>
      <c r="J3892" s="455">
        <f t="array" ref="J3892">IFERROR(INDEX('Retirement Calculator'!J:J,MATCH('Isaac 401k'!N3892,'Retirement Calculator'!A:A,0),0),0)</f>
        <v>0</v>
      </c>
      <c r="K3892" s="455">
        <f t="shared" ca="1" si="176"/>
        <v>-7327425022.4816723</v>
      </c>
      <c r="L3892" s="455">
        <f t="shared" ca="1" si="177"/>
        <v>-1765909430418.083</v>
      </c>
      <c r="M3892" s="471">
        <f t="shared" si="179"/>
        <v>0.05</v>
      </c>
      <c r="N3892" s="475">
        <f t="shared" si="180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78"/>
        <v>-1765909430418.083</v>
      </c>
      <c r="J3893" s="455">
        <f t="array" ref="J3893">IFERROR(INDEX('Retirement Calculator'!J:J,MATCH('Isaac 401k'!N3893,'Retirement Calculator'!A:A,0),0),0)</f>
        <v>0</v>
      </c>
      <c r="K3893" s="455">
        <f t="shared" ca="1" si="176"/>
        <v>-7357955960.075346</v>
      </c>
      <c r="L3893" s="455">
        <f t="shared" ca="1" si="177"/>
        <v>-1773267386378.1584</v>
      </c>
      <c r="M3893" s="471">
        <f t="shared" si="179"/>
        <v>0.05</v>
      </c>
      <c r="N3893" s="475">
        <f t="shared" si="180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78"/>
        <v>-1773267386378.1584</v>
      </c>
      <c r="J3894" s="455">
        <f t="array" ref="J3894">IFERROR(INDEX('Retirement Calculator'!J:J,MATCH('Isaac 401k'!N3894,'Retirement Calculator'!A:A,0),0),0)</f>
        <v>0</v>
      </c>
      <c r="K3894" s="455">
        <f t="shared" ca="1" si="176"/>
        <v>-7388614109.9089937</v>
      </c>
      <c r="L3894" s="455">
        <f t="shared" ca="1" si="177"/>
        <v>-1780656000488.0674</v>
      </c>
      <c r="M3894" s="471">
        <f t="shared" si="179"/>
        <v>0.05</v>
      </c>
      <c r="N3894" s="475">
        <f t="shared" si="180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78"/>
        <v>-1780656000488.0674</v>
      </c>
      <c r="J3895" s="455">
        <f t="array" ref="J3895">IFERROR(INDEX('Retirement Calculator'!J:J,MATCH('Isaac 401k'!N3895,'Retirement Calculator'!A:A,0),0),0)</f>
        <v>0</v>
      </c>
      <c r="K3895" s="455">
        <f t="shared" ca="1" si="176"/>
        <v>-7419400002.0336132</v>
      </c>
      <c r="L3895" s="455">
        <f t="shared" ca="1" si="177"/>
        <v>-1788075400490.1011</v>
      </c>
      <c r="M3895" s="471">
        <f t="shared" si="179"/>
        <v>0.05</v>
      </c>
      <c r="N3895" s="475">
        <f t="shared" si="180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78"/>
        <v>-1788075400490.1011</v>
      </c>
      <c r="J3896" s="455">
        <f t="array" ref="J3896">IFERROR(INDEX('Retirement Calculator'!J:J,MATCH('Isaac 401k'!N3896,'Retirement Calculator'!A:A,0),0),0)</f>
        <v>0</v>
      </c>
      <c r="K3896" s="455">
        <f t="shared" ca="1" si="176"/>
        <v>-7450314168.7087545</v>
      </c>
      <c r="L3896" s="455">
        <f t="shared" ca="1" si="177"/>
        <v>-1795525714658.8098</v>
      </c>
      <c r="M3896" s="471">
        <f t="shared" si="179"/>
        <v>0.05</v>
      </c>
      <c r="N3896" s="475">
        <f t="shared" si="180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78"/>
        <v>-1795525714658.8098</v>
      </c>
      <c r="J3897" s="455">
        <f t="array" ref="J3897">IFERROR(INDEX('Retirement Calculator'!J:J,MATCH('Isaac 401k'!N3897,'Retirement Calculator'!A:A,0),0),0)</f>
        <v>0</v>
      </c>
      <c r="K3897" s="455">
        <f t="shared" ca="1" si="176"/>
        <v>-7481357144.4117079</v>
      </c>
      <c r="L3897" s="455">
        <f t="shared" ca="1" si="177"/>
        <v>-1803007071803.2214</v>
      </c>
      <c r="M3897" s="471">
        <f t="shared" si="179"/>
        <v>0.05</v>
      </c>
      <c r="N3897" s="475">
        <f t="shared" si="180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78"/>
        <v>-1803007071803.2214</v>
      </c>
      <c r="J3898" s="455">
        <f t="array" ref="J3898">IFERROR(INDEX('Retirement Calculator'!J:J,MATCH('Isaac 401k'!N3898,'Retirement Calculator'!A:A,0),0),0)</f>
        <v>0</v>
      </c>
      <c r="K3898" s="455">
        <f t="shared" ca="1" si="176"/>
        <v>-7512529465.846755</v>
      </c>
      <c r="L3898" s="455">
        <f t="shared" ca="1" si="177"/>
        <v>-1810519601269.0681</v>
      </c>
      <c r="M3898" s="471">
        <f t="shared" si="179"/>
        <v>0.05</v>
      </c>
      <c r="N3898" s="475">
        <f t="shared" si="180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78"/>
        <v>-1810519601269.0681</v>
      </c>
      <c r="J3899" s="455">
        <f t="array" ref="J3899">IFERROR(INDEX('Retirement Calculator'!J:J,MATCH('Isaac 401k'!N3899,'Retirement Calculator'!A:A,0),0),0)</f>
        <v>0</v>
      </c>
      <c r="K3899" s="455">
        <f t="shared" ca="1" si="176"/>
        <v>-7543831671.9544506</v>
      </c>
      <c r="L3899" s="455">
        <f t="shared" ca="1" si="177"/>
        <v>-1818063432941.0225</v>
      </c>
      <c r="M3899" s="471">
        <f t="shared" si="179"/>
        <v>0.05</v>
      </c>
      <c r="N3899" s="475">
        <f t="shared" si="180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78"/>
        <v>-1818063432941.0225</v>
      </c>
      <c r="J3900" s="455">
        <f t="array" ref="J3900">IFERROR(INDEX('Retirement Calculator'!J:J,MATCH('Isaac 401k'!N3900,'Retirement Calculator'!A:A,0),0),0)</f>
        <v>0</v>
      </c>
      <c r="K3900" s="455">
        <f t="shared" ca="1" si="176"/>
        <v>-7575264303.9209261</v>
      </c>
      <c r="L3900" s="455">
        <f t="shared" ca="1" si="177"/>
        <v>-1825638697244.9434</v>
      </c>
      <c r="M3900" s="471">
        <f t="shared" si="179"/>
        <v>0.05</v>
      </c>
      <c r="N3900" s="475">
        <f t="shared" si="180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78"/>
        <v>-1825638697244.9434</v>
      </c>
      <c r="J3901" s="455">
        <f t="array" ref="J3901">IFERROR(INDEX('Retirement Calculator'!J:J,MATCH('Isaac 401k'!N3901,'Retirement Calculator'!A:A,0),0),0)</f>
        <v>0</v>
      </c>
      <c r="K3901" s="455">
        <f t="shared" ca="1" si="176"/>
        <v>-7606827905.1872635</v>
      </c>
      <c r="L3901" s="455">
        <f t="shared" ca="1" si="177"/>
        <v>-1833245525150.1306</v>
      </c>
      <c r="M3901" s="471">
        <f t="shared" si="179"/>
        <v>0.05</v>
      </c>
      <c r="N3901" s="475">
        <f t="shared" si="180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78"/>
        <v>-1833245525150.1306</v>
      </c>
      <c r="J3902" s="455">
        <f t="array" ref="J3902">IFERROR(INDEX('Retirement Calculator'!J:J,MATCH('Isaac 401k'!N3902,'Retirement Calculator'!A:A,0),0),0)</f>
        <v>0</v>
      </c>
      <c r="K3902" s="455">
        <f t="shared" ca="1" si="176"/>
        <v>-7638523021.4588785</v>
      </c>
      <c r="L3902" s="455">
        <f t="shared" ca="1" si="177"/>
        <v>-1840884048171.5896</v>
      </c>
      <c r="M3902" s="471">
        <f t="shared" si="179"/>
        <v>0.05</v>
      </c>
      <c r="N3902" s="475">
        <f t="shared" si="180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78"/>
        <v>-1840884048171.5896</v>
      </c>
      <c r="J3903" s="455">
        <f t="array" ref="J3903">IFERROR(INDEX('Retirement Calculator'!J:J,MATCH('Isaac 401k'!N3903,'Retirement Calculator'!A:A,0),0),0)</f>
        <v>0</v>
      </c>
      <c r="K3903" s="455">
        <f t="shared" ca="1" si="176"/>
        <v>-7670350200.7149563</v>
      </c>
      <c r="L3903" s="455">
        <f t="shared" ca="1" si="177"/>
        <v>-1848554398372.3044</v>
      </c>
      <c r="M3903" s="471">
        <f t="shared" si="179"/>
        <v>0.05</v>
      </c>
      <c r="N3903" s="475">
        <f t="shared" si="180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78"/>
        <v>-1848554398372.3044</v>
      </c>
      <c r="J3904" s="455">
        <f t="array" ref="J3904">IFERROR(INDEX('Retirement Calculator'!J:J,MATCH('Isaac 401k'!N3904,'Retirement Calculator'!A:A,0),0),0)</f>
        <v>0</v>
      </c>
      <c r="K3904" s="455">
        <f t="shared" ca="1" si="176"/>
        <v>-7702309993.2179337</v>
      </c>
      <c r="L3904" s="455">
        <f t="shared" ca="1" si="177"/>
        <v>-1856256708365.5225</v>
      </c>
      <c r="M3904" s="471">
        <f t="shared" si="179"/>
        <v>0.05</v>
      </c>
      <c r="N3904" s="475">
        <f t="shared" si="180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78"/>
        <v>-1856256708365.5225</v>
      </c>
      <c r="J3905" s="455">
        <f t="array" ref="J3905">IFERROR(INDEX('Retirement Calculator'!J:J,MATCH('Isaac 401k'!N3905,'Retirement Calculator'!A:A,0),0),0)</f>
        <v>0</v>
      </c>
      <c r="K3905" s="455">
        <f t="shared" ca="1" si="176"/>
        <v>-7734402951.5230112</v>
      </c>
      <c r="L3905" s="455">
        <f t="shared" ca="1" si="177"/>
        <v>-1863991111317.0454</v>
      </c>
      <c r="M3905" s="471">
        <f t="shared" si="179"/>
        <v>0.05</v>
      </c>
      <c r="N3905" s="475">
        <f t="shared" si="180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78"/>
        <v>-1863991111317.0454</v>
      </c>
      <c r="J3906" s="455">
        <f t="array" ref="J3906">IFERROR(INDEX('Retirement Calculator'!J:J,MATCH('Isaac 401k'!N3906,'Retirement Calculator'!A:A,0),0),0)</f>
        <v>0</v>
      </c>
      <c r="K3906" s="455">
        <f t="shared" ca="1" si="176"/>
        <v>-7766629630.487689</v>
      </c>
      <c r="L3906" s="455">
        <f t="shared" ca="1" si="177"/>
        <v>-1871757740947.5332</v>
      </c>
      <c r="M3906" s="471">
        <f t="shared" si="179"/>
        <v>0.05</v>
      </c>
      <c r="N3906" s="475">
        <f t="shared" si="180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78"/>
        <v>-1871757740947.5332</v>
      </c>
      <c r="J3907" s="455">
        <f t="array" ref="J3907">IFERROR(INDEX('Retirement Calculator'!J:J,MATCH('Isaac 401k'!N3907,'Retirement Calculator'!A:A,0),0),0)</f>
        <v>0</v>
      </c>
      <c r="K3907" s="455">
        <f t="shared" ca="1" si="176"/>
        <v>-7798990587.2813883</v>
      </c>
      <c r="L3907" s="455">
        <f t="shared" ca="1" si="177"/>
        <v>-1879556731534.8147</v>
      </c>
      <c r="M3907" s="471">
        <f t="shared" si="179"/>
        <v>0.05</v>
      </c>
      <c r="N3907" s="475">
        <f t="shared" si="180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78"/>
        <v>-1879556731534.8147</v>
      </c>
      <c r="J3908" s="455">
        <f t="array" ref="J3908">IFERROR(INDEX('Retirement Calculator'!J:J,MATCH('Isaac 401k'!N3908,'Retirement Calculator'!A:A,0),0),0)</f>
        <v>0</v>
      </c>
      <c r="K3908" s="455">
        <f t="shared" ca="1" si="176"/>
        <v>-7831486381.3950615</v>
      </c>
      <c r="L3908" s="455">
        <f t="shared" ca="1" si="177"/>
        <v>-1887388217916.2097</v>
      </c>
      <c r="M3908" s="471">
        <f t="shared" si="179"/>
        <v>0.05</v>
      </c>
      <c r="N3908" s="475">
        <f t="shared" si="180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78"/>
        <v>-1887388217916.2097</v>
      </c>
      <c r="J3909" s="455">
        <f t="array" ref="J3909">IFERROR(INDEX('Retirement Calculator'!J:J,MATCH('Isaac 401k'!N3909,'Retirement Calculator'!A:A,0),0),0)</f>
        <v>0</v>
      </c>
      <c r="K3909" s="455">
        <f t="shared" ca="1" si="176"/>
        <v>-7864117574.6508741</v>
      </c>
      <c r="L3909" s="455">
        <f t="shared" ca="1" si="177"/>
        <v>-1895252335490.8606</v>
      </c>
      <c r="M3909" s="471">
        <f t="shared" si="179"/>
        <v>0.05</v>
      </c>
      <c r="N3909" s="475">
        <f t="shared" si="180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78"/>
        <v>-1895252335490.8606</v>
      </c>
      <c r="J3910" s="455">
        <f t="array" ref="J3910">IFERROR(INDEX('Retirement Calculator'!J:J,MATCH('Isaac 401k'!N3910,'Retirement Calculator'!A:A,0),0),0)</f>
        <v>0</v>
      </c>
      <c r="K3910" s="455">
        <f t="shared" ca="1" si="176"/>
        <v>-7896884731.2119198</v>
      </c>
      <c r="L3910" s="455">
        <f t="shared" ca="1" si="177"/>
        <v>-1903149220222.0725</v>
      </c>
      <c r="M3910" s="471">
        <f t="shared" si="179"/>
        <v>0.05</v>
      </c>
      <c r="N3910" s="475">
        <f t="shared" si="180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78"/>
        <v>-1903149220222.0725</v>
      </c>
      <c r="J3911" s="455">
        <f t="array" ref="J3911">IFERROR(INDEX('Retirement Calculator'!J:J,MATCH('Isaac 401k'!N3911,'Retirement Calculator'!A:A,0),0),0)</f>
        <v>0</v>
      </c>
      <c r="K3911" s="455">
        <f t="shared" ca="1" si="176"/>
        <v>-7929788417.5919685</v>
      </c>
      <c r="L3911" s="455">
        <f t="shared" ca="1" si="177"/>
        <v>-1911079008639.6646</v>
      </c>
      <c r="M3911" s="471">
        <f t="shared" si="179"/>
        <v>0.05</v>
      </c>
      <c r="N3911" s="475">
        <f t="shared" si="180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78"/>
        <v>-1911079008639.6646</v>
      </c>
      <c r="J3912" s="455">
        <f t="array" ref="J3912">IFERROR(INDEX('Retirement Calculator'!J:J,MATCH('Isaac 401k'!N3912,'Retirement Calculator'!A:A,0),0),0)</f>
        <v>0</v>
      </c>
      <c r="K3912" s="455">
        <f t="shared" ca="1" si="176"/>
        <v>-7962829202.6652689</v>
      </c>
      <c r="L3912" s="455">
        <f t="shared" ca="1" si="177"/>
        <v>-1919041837842.3298</v>
      </c>
      <c r="M3912" s="471">
        <f t="shared" si="179"/>
        <v>0.05</v>
      </c>
      <c r="N3912" s="475">
        <f t="shared" si="180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78"/>
        <v>-1919041837842.3298</v>
      </c>
      <c r="J3913" s="455">
        <f t="array" ref="J3913">IFERROR(INDEX('Retirement Calculator'!J:J,MATCH('Isaac 401k'!N3913,'Retirement Calculator'!A:A,0),0),0)</f>
        <v>0</v>
      </c>
      <c r="K3913" s="455">
        <f t="shared" ca="1" si="176"/>
        <v>-7996007657.6763744</v>
      </c>
      <c r="L3913" s="455">
        <f t="shared" ca="1" si="177"/>
        <v>-1927037845500.0061</v>
      </c>
      <c r="M3913" s="471">
        <f t="shared" si="179"/>
        <v>0.05</v>
      </c>
      <c r="N3913" s="475">
        <f t="shared" si="180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78"/>
        <v>-1927037845500.0061</v>
      </c>
      <c r="J3914" s="455">
        <f t="array" ref="J3914">IFERROR(INDEX('Retirement Calculator'!J:J,MATCH('Isaac 401k'!N3914,'Retirement Calculator'!A:A,0),0),0)</f>
        <v>0</v>
      </c>
      <c r="K3914" s="455">
        <f t="shared" ca="1" si="176"/>
        <v>-8029324356.2500257</v>
      </c>
      <c r="L3914" s="455">
        <f t="shared" ca="1" si="177"/>
        <v>-1935067169856.2561</v>
      </c>
      <c r="M3914" s="471">
        <f t="shared" si="179"/>
        <v>0.05</v>
      </c>
      <c r="N3914" s="475">
        <f t="shared" si="180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78"/>
        <v>-1935067169856.2561</v>
      </c>
      <c r="J3915" s="455">
        <f t="array" ref="J3915">IFERROR(INDEX('Retirement Calculator'!J:J,MATCH('Isaac 401k'!N3915,'Retirement Calculator'!A:A,0),0),0)</f>
        <v>0</v>
      </c>
      <c r="K3915" s="455">
        <f t="shared" ca="1" si="176"/>
        <v>-8062779874.4010668</v>
      </c>
      <c r="L3915" s="455">
        <f t="shared" ca="1" si="177"/>
        <v>-1943129949730.6572</v>
      </c>
      <c r="M3915" s="471">
        <f t="shared" si="179"/>
        <v>0.05</v>
      </c>
      <c r="N3915" s="475">
        <f t="shared" si="180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78"/>
        <v>-1943129949730.6572</v>
      </c>
      <c r="J3916" s="455">
        <f t="array" ref="J3916">IFERROR(INDEX('Retirement Calculator'!J:J,MATCH('Isaac 401k'!N3916,'Retirement Calculator'!A:A,0),0),0)</f>
        <v>0</v>
      </c>
      <c r="K3916" s="455">
        <f t="shared" ca="1" si="176"/>
        <v>-8096374790.544405</v>
      </c>
      <c r="L3916" s="455">
        <f t="shared" ca="1" si="177"/>
        <v>-1951226324521.2017</v>
      </c>
      <c r="M3916" s="471">
        <f t="shared" si="179"/>
        <v>0.05</v>
      </c>
      <c r="N3916" s="475">
        <f t="shared" si="180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78"/>
        <v>-1951226324521.2017</v>
      </c>
      <c r="J3917" s="455">
        <f t="array" ref="J3917">IFERROR(INDEX('Retirement Calculator'!J:J,MATCH('Isaac 401k'!N3917,'Retirement Calculator'!A:A,0),0),0)</f>
        <v>0</v>
      </c>
      <c r="K3917" s="455">
        <f t="shared" ca="1" si="176"/>
        <v>-8130109685.5050068</v>
      </c>
      <c r="L3917" s="455">
        <f t="shared" ca="1" si="177"/>
        <v>-1959356434206.7068</v>
      </c>
      <c r="M3917" s="471">
        <f t="shared" si="179"/>
        <v>0.05</v>
      </c>
      <c r="N3917" s="475">
        <f t="shared" si="180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78"/>
        <v>-1959356434206.7068</v>
      </c>
      <c r="J3918" s="455">
        <f t="array" ref="J3918">IFERROR(INDEX('Retirement Calculator'!J:J,MATCH('Isaac 401k'!N3918,'Retirement Calculator'!A:A,0),0),0)</f>
        <v>0</v>
      </c>
      <c r="K3918" s="455">
        <f t="shared" ca="1" si="176"/>
        <v>-8163985142.5279446</v>
      </c>
      <c r="L3918" s="455">
        <f t="shared" ca="1" si="177"/>
        <v>-1967520419349.2346</v>
      </c>
      <c r="M3918" s="471">
        <f t="shared" si="179"/>
        <v>0.05</v>
      </c>
      <c r="N3918" s="475">
        <f t="shared" si="180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78"/>
        <v>-1967520419349.2346</v>
      </c>
      <c r="J3919" s="455">
        <f t="array" ref="J3919">IFERROR(INDEX('Retirement Calculator'!J:J,MATCH('Isaac 401k'!N3919,'Retirement Calculator'!A:A,0),0),0)</f>
        <v>0</v>
      </c>
      <c r="K3919" s="455">
        <f t="shared" ca="1" si="176"/>
        <v>-8198001747.2884789</v>
      </c>
      <c r="L3919" s="455">
        <f t="shared" ca="1" si="177"/>
        <v>-1975718421096.5232</v>
      </c>
      <c r="M3919" s="471">
        <f t="shared" si="179"/>
        <v>0.05</v>
      </c>
      <c r="N3919" s="475">
        <f t="shared" si="180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78"/>
        <v>-1975718421096.5232</v>
      </c>
      <c r="J3920" s="455">
        <f t="array" ref="J3920">IFERROR(INDEX('Retirement Calculator'!J:J,MATCH('Isaac 401k'!N3920,'Retirement Calculator'!A:A,0),0),0)</f>
        <v>0</v>
      </c>
      <c r="K3920" s="455">
        <f t="shared" ca="1" si="176"/>
        <v>-8232160087.9021797</v>
      </c>
      <c r="L3920" s="455">
        <f t="shared" ca="1" si="177"/>
        <v>-1983950581184.4253</v>
      </c>
      <c r="M3920" s="471">
        <f t="shared" si="179"/>
        <v>0.05</v>
      </c>
      <c r="N3920" s="475">
        <f t="shared" si="180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78"/>
        <v>-1983950581184.4253</v>
      </c>
      <c r="J3921" s="455">
        <f t="array" ref="J3921">IFERROR(INDEX('Retirement Calculator'!J:J,MATCH('Isaac 401k'!N3921,'Retirement Calculator'!A:A,0),0),0)</f>
        <v>0</v>
      </c>
      <c r="K3921" s="455">
        <f t="shared" ca="1" si="176"/>
        <v>-8266460754.9351044</v>
      </c>
      <c r="L3921" s="455">
        <f t="shared" ca="1" si="177"/>
        <v>-1992217041939.3604</v>
      </c>
      <c r="M3921" s="471">
        <f t="shared" si="179"/>
        <v>0.05</v>
      </c>
      <c r="N3921" s="475">
        <f t="shared" si="180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78"/>
        <v>-1992217041939.3604</v>
      </c>
      <c r="J3922" s="455">
        <f t="array" ref="J3922">IFERROR(INDEX('Retirement Calculator'!J:J,MATCH('Isaac 401k'!N3922,'Retirement Calculator'!A:A,0),0),0)</f>
        <v>0</v>
      </c>
      <c r="K3922" s="455">
        <f t="shared" ca="1" si="176"/>
        <v>-8300904341.4140015</v>
      </c>
      <c r="L3922" s="455">
        <f t="shared" ca="1" si="177"/>
        <v>-2000517946280.7744</v>
      </c>
      <c r="M3922" s="471">
        <f t="shared" si="179"/>
        <v>0.05</v>
      </c>
      <c r="N3922" s="475">
        <f t="shared" si="180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78"/>
        <v>-2000517946280.7744</v>
      </c>
      <c r="J3923" s="455">
        <f t="array" ref="J3923">IFERROR(INDEX('Retirement Calculator'!J:J,MATCH('Isaac 401k'!N3923,'Retirement Calculator'!A:A,0),0),0)</f>
        <v>0</v>
      </c>
      <c r="K3923" s="455">
        <f t="shared" ca="1" si="176"/>
        <v>-8335491442.8365612</v>
      </c>
      <c r="L3923" s="455">
        <f t="shared" ca="1" si="177"/>
        <v>-2008853437723.6111</v>
      </c>
      <c r="M3923" s="471">
        <f t="shared" si="179"/>
        <v>0.05</v>
      </c>
      <c r="N3923" s="475">
        <f t="shared" si="180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78"/>
        <v>-2008853437723.6111</v>
      </c>
      <c r="J3924" s="455">
        <f t="array" ref="J3924">IFERROR(INDEX('Retirement Calculator'!J:J,MATCH('Isaac 401k'!N3924,'Retirement Calculator'!A:A,0),0),0)</f>
        <v>0</v>
      </c>
      <c r="K3924" s="455">
        <f t="shared" ca="1" si="176"/>
        <v>-8370222657.1817131</v>
      </c>
      <c r="L3924" s="455">
        <f t="shared" ca="1" si="177"/>
        <v>-2017223660380.7927</v>
      </c>
      <c r="M3924" s="471">
        <f t="shared" si="179"/>
        <v>0.05</v>
      </c>
      <c r="N3924" s="475">
        <f t="shared" si="180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78"/>
        <v>-2017223660380.7927</v>
      </c>
      <c r="J3925" s="455">
        <f t="array" ref="J3925">IFERROR(INDEX('Retirement Calculator'!J:J,MATCH('Isaac 401k'!N3925,'Retirement Calculator'!A:A,0),0),0)</f>
        <v>0</v>
      </c>
      <c r="K3925" s="455">
        <f t="shared" ca="1" si="176"/>
        <v>-8405098584.9199696</v>
      </c>
      <c r="L3925" s="455">
        <f t="shared" ca="1" si="177"/>
        <v>-2025628758965.7126</v>
      </c>
      <c r="M3925" s="471">
        <f t="shared" si="179"/>
        <v>0.05</v>
      </c>
      <c r="N3925" s="475">
        <f t="shared" si="180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78"/>
        <v>-2025628758965.7126</v>
      </c>
      <c r="J3926" s="455">
        <f t="array" ref="J3926">IFERROR(INDEX('Retirement Calculator'!J:J,MATCH('Isaac 401k'!N3926,'Retirement Calculator'!A:A,0),0),0)</f>
        <v>0</v>
      </c>
      <c r="K3926" s="455">
        <f t="shared" ca="1" si="176"/>
        <v>-8440119829.0238018</v>
      </c>
      <c r="L3926" s="455">
        <f t="shared" ca="1" si="177"/>
        <v>-2034068878794.7363</v>
      </c>
      <c r="M3926" s="471">
        <f t="shared" si="179"/>
        <v>0.05</v>
      </c>
      <c r="N3926" s="475">
        <f t="shared" si="180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78"/>
        <v>-2034068878794.7363</v>
      </c>
      <c r="J3927" s="455">
        <f t="array" ref="J3927">IFERROR(INDEX('Retirement Calculator'!J:J,MATCH('Isaac 401k'!N3927,'Retirement Calculator'!A:A,0),0),0)</f>
        <v>0</v>
      </c>
      <c r="K3927" s="455">
        <f t="shared" ca="1" si="176"/>
        <v>-8475286994.9780684</v>
      </c>
      <c r="L3927" s="455">
        <f t="shared" ca="1" si="177"/>
        <v>-2042544165789.7144</v>
      </c>
      <c r="M3927" s="471">
        <f t="shared" si="179"/>
        <v>0.05</v>
      </c>
      <c r="N3927" s="475">
        <f t="shared" si="180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78"/>
        <v>-2042544165789.7144</v>
      </c>
      <c r="J3928" s="455">
        <f t="array" ref="J3928">IFERROR(INDEX('Retirement Calculator'!J:J,MATCH('Isaac 401k'!N3928,'Retirement Calculator'!A:A,0),0),0)</f>
        <v>0</v>
      </c>
      <c r="K3928" s="455">
        <f t="shared" ca="1" si="176"/>
        <v>-8510600690.7904768</v>
      </c>
      <c r="L3928" s="455">
        <f t="shared" ca="1" si="177"/>
        <v>-2051054766480.5049</v>
      </c>
      <c r="M3928" s="471">
        <f t="shared" si="179"/>
        <v>0.05</v>
      </c>
      <c r="N3928" s="475">
        <f t="shared" si="180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78"/>
        <v>-2051054766480.5049</v>
      </c>
      <c r="J3929" s="455">
        <f t="array" ref="J3929">IFERROR(INDEX('Retirement Calculator'!J:J,MATCH('Isaac 401k'!N3929,'Retirement Calculator'!A:A,0),0),0)</f>
        <v>0</v>
      </c>
      <c r="K3929" s="455">
        <f t="shared" ca="1" si="176"/>
        <v>-8546061527.0021038</v>
      </c>
      <c r="L3929" s="455">
        <f t="shared" ca="1" si="177"/>
        <v>-2059600828007.5071</v>
      </c>
      <c r="M3929" s="471">
        <f t="shared" si="179"/>
        <v>0.05</v>
      </c>
      <c r="N3929" s="475">
        <f t="shared" si="180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78"/>
        <v>-2059600828007.5071</v>
      </c>
      <c r="J3930" s="455">
        <f t="array" ref="J3930">IFERROR(INDEX('Retirement Calculator'!J:J,MATCH('Isaac 401k'!N3930,'Retirement Calculator'!A:A,0),0),0)</f>
        <v>0</v>
      </c>
      <c r="K3930" s="455">
        <f t="shared" ca="1" si="176"/>
        <v>-8581670116.6979456</v>
      </c>
      <c r="L3930" s="455">
        <f t="shared" ca="1" si="177"/>
        <v>-2068182498124.2051</v>
      </c>
      <c r="M3930" s="471">
        <f t="shared" si="179"/>
        <v>0.05</v>
      </c>
      <c r="N3930" s="475">
        <f t="shared" si="180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78"/>
        <v>-2068182498124.2051</v>
      </c>
      <c r="J3931" s="455">
        <f t="array" ref="J3931">IFERROR(INDEX('Retirement Calculator'!J:J,MATCH('Isaac 401k'!N3931,'Retirement Calculator'!A:A,0),0),0)</f>
        <v>0</v>
      </c>
      <c r="K3931" s="455">
        <f t="shared" ca="1" si="176"/>
        <v>-8617427075.5175209</v>
      </c>
      <c r="L3931" s="455">
        <f t="shared" ca="1" si="177"/>
        <v>-2076799925199.7227</v>
      </c>
      <c r="M3931" s="471">
        <f t="shared" si="179"/>
        <v>0.05</v>
      </c>
      <c r="N3931" s="475">
        <f t="shared" si="180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78"/>
        <v>-2076799925199.7227</v>
      </c>
      <c r="J3932" s="455">
        <f t="array" ref="J3932">IFERROR(INDEX('Retirement Calculator'!J:J,MATCH('Isaac 401k'!N3932,'Retirement Calculator'!A:A,0),0),0)</f>
        <v>0</v>
      </c>
      <c r="K3932" s="455">
        <f t="shared" ca="1" si="176"/>
        <v>-8653333021.6655102</v>
      </c>
      <c r="L3932" s="455">
        <f t="shared" ca="1" si="177"/>
        <v>-2085453258221.3882</v>
      </c>
      <c r="M3932" s="471">
        <f t="shared" si="179"/>
        <v>0.05</v>
      </c>
      <c r="N3932" s="475">
        <f t="shared" si="180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78"/>
        <v>-2085453258221.3882</v>
      </c>
      <c r="J3933" s="455">
        <f t="array" ref="J3933">IFERROR(INDEX('Retirement Calculator'!J:J,MATCH('Isaac 401k'!N3933,'Retirement Calculator'!A:A,0),0),0)</f>
        <v>0</v>
      </c>
      <c r="K3933" s="455">
        <f t="shared" ca="1" si="176"/>
        <v>-8689388575.9224491</v>
      </c>
      <c r="L3933" s="455">
        <f t="shared" ca="1" si="177"/>
        <v>-2094142646797.3105</v>
      </c>
      <c r="M3933" s="471">
        <f t="shared" si="179"/>
        <v>0.05</v>
      </c>
      <c r="N3933" s="475">
        <f t="shared" si="180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78"/>
        <v>-2094142646797.3105</v>
      </c>
      <c r="J3934" s="455">
        <f t="array" ref="J3934">IFERROR(INDEX('Retirement Calculator'!J:J,MATCH('Isaac 401k'!N3934,'Retirement Calculator'!A:A,0),0),0)</f>
        <v>0</v>
      </c>
      <c r="K3934" s="455">
        <f t="shared" ca="1" si="176"/>
        <v>-8725594361.6554604</v>
      </c>
      <c r="L3934" s="455">
        <f t="shared" ca="1" si="177"/>
        <v>-2102868241158.9661</v>
      </c>
      <c r="M3934" s="471">
        <f t="shared" si="179"/>
        <v>0.05</v>
      </c>
      <c r="N3934" s="475">
        <f t="shared" si="180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78"/>
        <v>-2102868241158.9661</v>
      </c>
      <c r="J3935" s="455">
        <f t="array" ref="J3935">IFERROR(INDEX('Retirement Calculator'!J:J,MATCH('Isaac 401k'!N3935,'Retirement Calculator'!A:A,0),0),0)</f>
        <v>0</v>
      </c>
      <c r="K3935" s="455">
        <f t="shared" ca="1" si="176"/>
        <v>-8761951004.8290234</v>
      </c>
      <c r="L3935" s="455">
        <f t="shared" ca="1" si="177"/>
        <v>-2111630192163.7952</v>
      </c>
      <c r="M3935" s="471">
        <f t="shared" si="179"/>
        <v>0.05</v>
      </c>
      <c r="N3935" s="475">
        <f t="shared" si="180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78"/>
        <v>-2111630192163.7952</v>
      </c>
      <c r="J3936" s="455">
        <f t="array" ref="J3936">IFERROR(INDEX('Retirement Calculator'!J:J,MATCH('Isaac 401k'!N3936,'Retirement Calculator'!A:A,0),0),0)</f>
        <v>0</v>
      </c>
      <c r="K3936" s="455">
        <f t="shared" ca="1" si="176"/>
        <v>-8798459134.0158138</v>
      </c>
      <c r="L3936" s="455">
        <f t="shared" ca="1" si="177"/>
        <v>-2120428651297.811</v>
      </c>
      <c r="M3936" s="471">
        <f t="shared" si="179"/>
        <v>0.05</v>
      </c>
      <c r="N3936" s="475">
        <f t="shared" si="180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78"/>
        <v>-2120428651297.811</v>
      </c>
      <c r="J3937" s="455">
        <f t="array" ref="J3937">IFERROR(INDEX('Retirement Calculator'!J:J,MATCH('Isaac 401k'!N3937,'Retirement Calculator'!A:A,0),0),0)</f>
        <v>0</v>
      </c>
      <c r="K3937" s="455">
        <f t="shared" ca="1" si="176"/>
        <v>-8835119380.407547</v>
      </c>
      <c r="L3937" s="455">
        <f t="shared" ca="1" si="177"/>
        <v>-2129263770678.2185</v>
      </c>
      <c r="M3937" s="471">
        <f t="shared" si="179"/>
        <v>0.05</v>
      </c>
      <c r="N3937" s="475">
        <f t="shared" si="180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78"/>
        <v>-2129263770678.2185</v>
      </c>
      <c r="J3938" s="455">
        <f t="array" ref="J3938">IFERROR(INDEX('Retirement Calculator'!J:J,MATCH('Isaac 401k'!N3938,'Retirement Calculator'!A:A,0),0),0)</f>
        <v>0</v>
      </c>
      <c r="K3938" s="455">
        <f t="shared" ca="1" si="176"/>
        <v>-8871932377.8259106</v>
      </c>
      <c r="L3938" s="455">
        <f t="shared" ca="1" si="177"/>
        <v>-2138135703056.0444</v>
      </c>
      <c r="M3938" s="471">
        <f t="shared" si="179"/>
        <v>0.05</v>
      </c>
      <c r="N3938" s="475">
        <f t="shared" si="180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78"/>
        <v>-2138135703056.0444</v>
      </c>
      <c r="J3939" s="455">
        <f t="array" ref="J3939">IFERROR(INDEX('Retirement Calculator'!J:J,MATCH('Isaac 401k'!N3939,'Retirement Calculator'!A:A,0),0),0)</f>
        <v>0</v>
      </c>
      <c r="K3939" s="455">
        <f t="shared" ca="1" si="176"/>
        <v>-8908898762.7335186</v>
      </c>
      <c r="L3939" s="455">
        <f t="shared" ca="1" si="177"/>
        <v>-2147044601818.7778</v>
      </c>
      <c r="M3939" s="471">
        <f t="shared" si="179"/>
        <v>0.05</v>
      </c>
      <c r="N3939" s="475">
        <f t="shared" si="180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78"/>
        <v>-2147044601818.7778</v>
      </c>
      <c r="J3940" s="455">
        <f t="array" ref="J3940">IFERROR(INDEX('Retirement Calculator'!J:J,MATCH('Isaac 401k'!N3940,'Retirement Calculator'!A:A,0),0),0)</f>
        <v>0</v>
      </c>
      <c r="K3940" s="455">
        <f t="shared" ca="1" si="176"/>
        <v>-8946019174.2449074</v>
      </c>
      <c r="L3940" s="455">
        <f t="shared" ca="1" si="177"/>
        <v>-2155990620993.0227</v>
      </c>
      <c r="M3940" s="471">
        <f t="shared" si="179"/>
        <v>0.05</v>
      </c>
      <c r="N3940" s="475">
        <f t="shared" si="180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78"/>
        <v>-2155990620993.0227</v>
      </c>
      <c r="J3941" s="455">
        <f t="array" ref="J3941">IFERROR(INDEX('Retirement Calculator'!J:J,MATCH('Isaac 401k'!N3941,'Retirement Calculator'!A:A,0),0),0)</f>
        <v>0</v>
      </c>
      <c r="K3941" s="455">
        <f t="shared" ca="1" si="176"/>
        <v>-8983294254.1375942</v>
      </c>
      <c r="L3941" s="455">
        <f t="shared" ca="1" si="177"/>
        <v>-2164973915247.1604</v>
      </c>
      <c r="M3941" s="471">
        <f t="shared" si="179"/>
        <v>0.05</v>
      </c>
      <c r="N3941" s="475">
        <f t="shared" si="180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78"/>
        <v>-2164973915247.1604</v>
      </c>
      <c r="J3942" s="455">
        <f t="array" ref="J3942">IFERROR(INDEX('Retirement Calculator'!J:J,MATCH('Isaac 401k'!N3942,'Retirement Calculator'!A:A,0),0),0)</f>
        <v>0</v>
      </c>
      <c r="K3942" s="455">
        <f t="shared" ca="1" si="176"/>
        <v>-9020724646.8631687</v>
      </c>
      <c r="L3942" s="455">
        <f t="shared" ca="1" si="177"/>
        <v>-2173994639894.0237</v>
      </c>
      <c r="M3942" s="471">
        <f t="shared" si="179"/>
        <v>0.05</v>
      </c>
      <c r="N3942" s="475">
        <f t="shared" si="180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78"/>
        <v>-2173994639894.0237</v>
      </c>
      <c r="J3943" s="455">
        <f t="array" ref="J3943">IFERROR(INDEX('Retirement Calculator'!J:J,MATCH('Isaac 401k'!N3943,'Retirement Calculator'!A:A,0),0),0)</f>
        <v>0</v>
      </c>
      <c r="K3943" s="455">
        <f t="shared" ca="1" si="176"/>
        <v>-9058310999.5584335</v>
      </c>
      <c r="L3943" s="455">
        <f t="shared" ca="1" si="177"/>
        <v>-2183052950893.582</v>
      </c>
      <c r="M3943" s="471">
        <f t="shared" si="179"/>
        <v>0.05</v>
      </c>
      <c r="N3943" s="475">
        <f t="shared" si="180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78"/>
        <v>-2183052950893.582</v>
      </c>
      <c r="J3944" s="455">
        <f t="array" ref="J3944">IFERROR(INDEX('Retirement Calculator'!J:J,MATCH('Isaac 401k'!N3944,'Retirement Calculator'!A:A,0),0),0)</f>
        <v>0</v>
      </c>
      <c r="K3944" s="455">
        <f t="shared" ca="1" si="176"/>
        <v>-9096053962.056591</v>
      </c>
      <c r="L3944" s="455">
        <f t="shared" ca="1" si="177"/>
        <v>-2192149004855.6387</v>
      </c>
      <c r="M3944" s="471">
        <f t="shared" si="179"/>
        <v>0.05</v>
      </c>
      <c r="N3944" s="475">
        <f t="shared" si="180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78"/>
        <v>-2192149004855.6387</v>
      </c>
      <c r="J3945" s="455">
        <f t="array" ref="J3945">IFERROR(INDEX('Retirement Calculator'!J:J,MATCH('Isaac 401k'!N3945,'Retirement Calculator'!A:A,0),0),0)</f>
        <v>0</v>
      </c>
      <c r="K3945" s="455">
        <f t="shared" ca="1" si="176"/>
        <v>-9133954186.8984928</v>
      </c>
      <c r="L3945" s="455">
        <f t="shared" ca="1" si="177"/>
        <v>-2201282959042.5371</v>
      </c>
      <c r="M3945" s="471">
        <f t="shared" si="179"/>
        <v>0.05</v>
      </c>
      <c r="N3945" s="475">
        <f t="shared" si="180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78"/>
        <v>-2201282959042.5371</v>
      </c>
      <c r="J3946" s="455">
        <f t="array" ref="J3946">IFERROR(INDEX('Retirement Calculator'!J:J,MATCH('Isaac 401k'!N3946,'Retirement Calculator'!A:A,0),0),0)</f>
        <v>0</v>
      </c>
      <c r="K3946" s="455">
        <f t="shared" ca="1" si="176"/>
        <v>-9172012329.3439045</v>
      </c>
      <c r="L3946" s="455">
        <f t="shared" ca="1" si="177"/>
        <v>-2210454971371.8809</v>
      </c>
      <c r="M3946" s="471">
        <f t="shared" si="179"/>
        <v>0.05</v>
      </c>
      <c r="N3946" s="475">
        <f t="shared" si="180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78"/>
        <v>-2210454971371.8809</v>
      </c>
      <c r="J3947" s="455">
        <f t="array" ref="J3947">IFERROR(INDEX('Retirement Calculator'!J:J,MATCH('Isaac 401k'!N3947,'Retirement Calculator'!A:A,0),0),0)</f>
        <v>0</v>
      </c>
      <c r="K3947" s="455">
        <f t="shared" ca="1" si="176"/>
        <v>-9210229047.3828373</v>
      </c>
      <c r="L3947" s="455">
        <f t="shared" ca="1" si="177"/>
        <v>-2219665200419.2637</v>
      </c>
      <c r="M3947" s="471">
        <f t="shared" si="179"/>
        <v>0.05</v>
      </c>
      <c r="N3947" s="475">
        <f t="shared" si="180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78"/>
        <v>-2219665200419.2637</v>
      </c>
      <c r="J3948" s="455">
        <f t="array" ref="J3948">IFERROR(INDEX('Retirement Calculator'!J:J,MATCH('Isaac 401k'!N3948,'Retirement Calculator'!A:A,0),0),0)</f>
        <v>0</v>
      </c>
      <c r="K3948" s="455">
        <f t="shared" ca="1" si="176"/>
        <v>-9248605001.7469311</v>
      </c>
      <c r="L3948" s="455">
        <f t="shared" ca="1" si="177"/>
        <v>-2228913805421.0107</v>
      </c>
      <c r="M3948" s="471">
        <f t="shared" si="179"/>
        <v>0.05</v>
      </c>
      <c r="N3948" s="475">
        <f t="shared" si="180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78"/>
        <v>-2228913805421.0107</v>
      </c>
      <c r="J3949" s="455">
        <f t="array" ref="J3949">IFERROR(INDEX('Retirement Calculator'!J:J,MATCH('Isaac 401k'!N3949,'Retirement Calculator'!A:A,0),0),0)</f>
        <v>0</v>
      </c>
      <c r="K3949" s="455">
        <f t="shared" ca="1" si="176"/>
        <v>-9287140855.9208775</v>
      </c>
      <c r="L3949" s="455">
        <f t="shared" ca="1" si="177"/>
        <v>-2238200946276.9316</v>
      </c>
      <c r="M3949" s="471">
        <f t="shared" si="179"/>
        <v>0.05</v>
      </c>
      <c r="N3949" s="475">
        <f t="shared" si="180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78"/>
        <v>-2238200946276.9316</v>
      </c>
      <c r="J3950" s="455">
        <f t="array" ref="J3950">IFERROR(INDEX('Retirement Calculator'!J:J,MATCH('Isaac 401k'!N3950,'Retirement Calculator'!A:A,0),0),0)</f>
        <v>0</v>
      </c>
      <c r="K3950" s="455">
        <f t="shared" ca="1" si="176"/>
        <v>-9325837276.1538811</v>
      </c>
      <c r="L3950" s="455">
        <f t="shared" ca="1" si="177"/>
        <v>-2247526783553.0854</v>
      </c>
      <c r="M3950" s="471">
        <f t="shared" si="179"/>
        <v>0.05</v>
      </c>
      <c r="N3950" s="475">
        <f t="shared" si="180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78"/>
        <v>-2247526783553.0854</v>
      </c>
      <c r="J3951" s="455">
        <f t="array" ref="J3951">IFERROR(INDEX('Retirement Calculator'!J:J,MATCH('Isaac 401k'!N3951,'Retirement Calculator'!A:A,0),0),0)</f>
        <v>0</v>
      </c>
      <c r="K3951" s="455">
        <f t="shared" ca="1" si="176"/>
        <v>-9364694931.4711895</v>
      </c>
      <c r="L3951" s="455">
        <f t="shared" ca="1" si="177"/>
        <v>-2256891478484.5566</v>
      </c>
      <c r="M3951" s="471">
        <f t="shared" si="179"/>
        <v>0.05</v>
      </c>
      <c r="N3951" s="475">
        <f t="shared" si="180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78"/>
        <v>-2256891478484.5566</v>
      </c>
      <c r="J3952" s="455">
        <f t="array" ref="J3952">IFERROR(INDEX('Retirement Calculator'!J:J,MATCH('Isaac 401k'!N3952,'Retirement Calculator'!A:A,0),0),0)</f>
        <v>0</v>
      </c>
      <c r="K3952" s="455">
        <f t="shared" ca="1" si="176"/>
        <v>-9403714493.6856518</v>
      </c>
      <c r="L3952" s="455">
        <f t="shared" ca="1" si="177"/>
        <v>-2266295192978.2422</v>
      </c>
      <c r="M3952" s="471">
        <f t="shared" si="179"/>
        <v>0.05</v>
      </c>
      <c r="N3952" s="475">
        <f t="shared" si="180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78"/>
        <v>-2266295192978.2422</v>
      </c>
      <c r="J3953" s="455">
        <f t="array" ref="J3953">IFERROR(INDEX('Retirement Calculator'!J:J,MATCH('Isaac 401k'!N3953,'Retirement Calculator'!A:A,0),0),0)</f>
        <v>0</v>
      </c>
      <c r="K3953" s="455">
        <f t="shared" ca="1" si="176"/>
        <v>-9442896637.4093418</v>
      </c>
      <c r="L3953" s="455">
        <f t="shared" ca="1" si="177"/>
        <v>-2275738089615.6514</v>
      </c>
      <c r="M3953" s="471">
        <f t="shared" si="179"/>
        <v>0.05</v>
      </c>
      <c r="N3953" s="475">
        <f t="shared" si="180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78"/>
        <v>-2275738089615.6514</v>
      </c>
      <c r="J3954" s="455">
        <f t="array" ref="J3954">IFERROR(INDEX('Retirement Calculator'!J:J,MATCH('Isaac 401k'!N3954,'Retirement Calculator'!A:A,0),0),0)</f>
        <v>0</v>
      </c>
      <c r="K3954" s="455">
        <f t="shared" ca="1" si="176"/>
        <v>-9482242040.0652142</v>
      </c>
      <c r="L3954" s="455">
        <f t="shared" ca="1" si="177"/>
        <v>-2285220331655.7168</v>
      </c>
      <c r="M3954" s="471">
        <f t="shared" si="179"/>
        <v>0.05</v>
      </c>
      <c r="N3954" s="475">
        <f t="shared" si="180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78"/>
        <v>-2285220331655.7168</v>
      </c>
      <c r="J3955" s="455">
        <f t="array" ref="J3955">IFERROR(INDEX('Retirement Calculator'!J:J,MATCH('Isaac 401k'!N3955,'Retirement Calculator'!A:A,0),0),0)</f>
        <v>0</v>
      </c>
      <c r="K3955" s="455">
        <f t="shared" ca="1" si="176"/>
        <v>-9521751381.898819</v>
      </c>
      <c r="L3955" s="455">
        <f t="shared" ca="1" si="177"/>
        <v>-2294742083037.6157</v>
      </c>
      <c r="M3955" s="471">
        <f t="shared" si="179"/>
        <v>0.05</v>
      </c>
      <c r="N3955" s="475">
        <f t="shared" si="180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78"/>
        <v>-2294742083037.6157</v>
      </c>
      <c r="J3956" s="455">
        <f t="array" ref="J3956">IFERROR(INDEX('Retirement Calculator'!J:J,MATCH('Isaac 401k'!N3956,'Retirement Calculator'!A:A,0),0),0)</f>
        <v>0</v>
      </c>
      <c r="K3956" s="455">
        <f t="shared" ca="1" si="176"/>
        <v>-9561425345.9900646</v>
      </c>
      <c r="L3956" s="455">
        <f t="shared" ca="1" si="177"/>
        <v>-2304303508383.606</v>
      </c>
      <c r="M3956" s="471">
        <f t="shared" si="179"/>
        <v>0.05</v>
      </c>
      <c r="N3956" s="475">
        <f t="shared" si="180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78"/>
        <v>-2304303508383.606</v>
      </c>
      <c r="J3957" s="455">
        <f t="array" ref="J3957">IFERROR(INDEX('Retirement Calculator'!J:J,MATCH('Isaac 401k'!N3957,'Retirement Calculator'!A:A,0),0),0)</f>
        <v>0</v>
      </c>
      <c r="K3957" s="455">
        <f t="shared" ca="1" si="176"/>
        <v>-9601264618.2650242</v>
      </c>
      <c r="L3957" s="455">
        <f t="shared" ca="1" si="177"/>
        <v>-2313904773001.8711</v>
      </c>
      <c r="M3957" s="471">
        <f t="shared" si="179"/>
        <v>0.05</v>
      </c>
      <c r="N3957" s="475">
        <f t="shared" si="180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78"/>
        <v>-2313904773001.8711</v>
      </c>
      <c r="J3958" s="455">
        <f t="array" ref="J3958">IFERROR(INDEX('Retirement Calculator'!J:J,MATCH('Isaac 401k'!N3958,'Retirement Calculator'!A:A,0),0),0)</f>
        <v>0</v>
      </c>
      <c r="K3958" s="455">
        <f t="shared" ca="1" si="176"/>
        <v>-9641269887.5077953</v>
      </c>
      <c r="L3958" s="455">
        <f t="shared" ca="1" si="177"/>
        <v>-2323546042889.3789</v>
      </c>
      <c r="M3958" s="471">
        <f t="shared" si="179"/>
        <v>0.05</v>
      </c>
      <c r="N3958" s="475">
        <f t="shared" si="180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78"/>
        <v>-2323546042889.3789</v>
      </c>
      <c r="J3959" s="455">
        <f t="array" ref="J3959">IFERROR(INDEX('Retirement Calculator'!J:J,MATCH('Isaac 401k'!N3959,'Retirement Calculator'!A:A,0),0),0)</f>
        <v>0</v>
      </c>
      <c r="K3959" s="455">
        <f t="shared" ca="1" si="176"/>
        <v>-9681441845.3724117</v>
      </c>
      <c r="L3959" s="455">
        <f t="shared" ca="1" si="177"/>
        <v>-2333227484734.7515</v>
      </c>
      <c r="M3959" s="471">
        <f t="shared" si="179"/>
        <v>0.05</v>
      </c>
      <c r="N3959" s="475">
        <f t="shared" si="180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78"/>
        <v>-2333227484734.7515</v>
      </c>
      <c r="J3960" s="455">
        <f t="array" ref="J3960">IFERROR(INDEX('Retirement Calculator'!J:J,MATCH('Isaac 401k'!N3960,'Retirement Calculator'!A:A,0),0),0)</f>
        <v>0</v>
      </c>
      <c r="K3960" s="455">
        <f t="shared" ca="1" si="176"/>
        <v>-9721781186.3947983</v>
      </c>
      <c r="L3960" s="455">
        <f t="shared" ca="1" si="177"/>
        <v>-2342949265921.1465</v>
      </c>
      <c r="M3960" s="471">
        <f t="shared" si="179"/>
        <v>0.05</v>
      </c>
      <c r="N3960" s="475">
        <f t="shared" si="180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78"/>
        <v>-2342949265921.1465</v>
      </c>
      <c r="J3961" s="455">
        <f t="array" ref="J3961">IFERROR(INDEX('Retirement Calculator'!J:J,MATCH('Isaac 401k'!N3961,'Retirement Calculator'!A:A,0),0),0)</f>
        <v>0</v>
      </c>
      <c r="K3961" s="455">
        <f t="shared" ca="1" si="176"/>
        <v>-9762288608.004776</v>
      </c>
      <c r="L3961" s="455">
        <f t="shared" ca="1" si="177"/>
        <v>-2352711554529.1514</v>
      </c>
      <c r="M3961" s="471">
        <f t="shared" si="179"/>
        <v>0.05</v>
      </c>
      <c r="N3961" s="475">
        <f t="shared" si="180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78"/>
        <v>-2352711554529.1514</v>
      </c>
      <c r="J3962" s="455">
        <f t="array" ref="J3962">IFERROR(INDEX('Retirement Calculator'!J:J,MATCH('Isaac 401k'!N3962,'Retirement Calculator'!A:A,0),0),0)</f>
        <v>0</v>
      </c>
      <c r="K3962" s="455">
        <f t="shared" ca="1" si="176"/>
        <v>-9802964810.5381298</v>
      </c>
      <c r="L3962" s="455">
        <f t="shared" ca="1" si="177"/>
        <v>-2362514519339.6895</v>
      </c>
      <c r="M3962" s="471">
        <f t="shared" si="179"/>
        <v>0.05</v>
      </c>
      <c r="N3962" s="475">
        <f t="shared" si="180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78"/>
        <v>-2362514519339.6895</v>
      </c>
      <c r="J3963" s="455">
        <f t="array" ref="J3963">IFERROR(INDEX('Retirement Calculator'!J:J,MATCH('Isaac 401k'!N3963,'Retirement Calculator'!A:A,0),0),0)</f>
        <v>0</v>
      </c>
      <c r="K3963" s="455">
        <f t="shared" ca="1" si="176"/>
        <v>-9843810497.2487068</v>
      </c>
      <c r="L3963" s="455">
        <f t="shared" ca="1" si="177"/>
        <v>-2372358329836.938</v>
      </c>
      <c r="M3963" s="471">
        <f t="shared" si="179"/>
        <v>0.05</v>
      </c>
      <c r="N3963" s="475">
        <f t="shared" si="180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78"/>
        <v>-2372358329836.938</v>
      </c>
      <c r="J3964" s="455">
        <f t="array" ref="J3964">IFERROR(INDEX('Retirement Calculator'!J:J,MATCH('Isaac 401k'!N3964,'Retirement Calculator'!A:A,0),0),0)</f>
        <v>0</v>
      </c>
      <c r="K3964" s="455">
        <f t="shared" ca="1" si="176"/>
        <v>-9884826374.3205757</v>
      </c>
      <c r="L3964" s="455">
        <f t="shared" ca="1" si="177"/>
        <v>-2382243156211.2588</v>
      </c>
      <c r="M3964" s="471">
        <f t="shared" si="179"/>
        <v>0.05</v>
      </c>
      <c r="N3964" s="475">
        <f t="shared" si="180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78"/>
        <v>-2382243156211.2588</v>
      </c>
      <c r="J3965" s="455">
        <f t="array" ref="J3965">IFERROR(INDEX('Retirement Calculator'!J:J,MATCH('Isaac 401k'!N3965,'Retirement Calculator'!A:A,0),0),0)</f>
        <v>0</v>
      </c>
      <c r="K3965" s="455">
        <f t="shared" ca="1" si="176"/>
        <v>-9926013150.8802452</v>
      </c>
      <c r="L3965" s="455">
        <f t="shared" ca="1" si="177"/>
        <v>-2392169169362.1392</v>
      </c>
      <c r="M3965" s="471">
        <f t="shared" si="179"/>
        <v>0.05</v>
      </c>
      <c r="N3965" s="475">
        <f t="shared" si="180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78"/>
        <v>-2392169169362.1392</v>
      </c>
      <c r="J3966" s="455">
        <f t="array" ref="J3966">IFERROR(INDEX('Retirement Calculator'!J:J,MATCH('Isaac 401k'!N3966,'Retirement Calculator'!A:A,0),0),0)</f>
        <v>0</v>
      </c>
      <c r="K3966" s="455">
        <f t="shared" ca="1" si="176"/>
        <v>-9967371539.008913</v>
      </c>
      <c r="L3966" s="455">
        <f t="shared" ca="1" si="177"/>
        <v>-2402136540901.1479</v>
      </c>
      <c r="M3966" s="471">
        <f t="shared" si="179"/>
        <v>0.05</v>
      </c>
      <c r="N3966" s="475">
        <f t="shared" si="180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78"/>
        <v>-2402136540901.1479</v>
      </c>
      <c r="J3967" s="455">
        <f t="array" ref="J3967">IFERROR(INDEX('Retirement Calculator'!J:J,MATCH('Isaac 401k'!N3967,'Retirement Calculator'!A:A,0),0),0)</f>
        <v>0</v>
      </c>
      <c r="K3967" s="455">
        <f t="shared" ca="1" si="176"/>
        <v>-10008902253.754784</v>
      </c>
      <c r="L3967" s="455">
        <f t="shared" ca="1" si="177"/>
        <v>-2412145443154.9028</v>
      </c>
      <c r="M3967" s="471">
        <f t="shared" si="179"/>
        <v>0.05</v>
      </c>
      <c r="N3967" s="475">
        <f t="shared" si="180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78"/>
        <v>-2412145443154.9028</v>
      </c>
      <c r="J3968" s="455">
        <f t="array" ref="J3968">IFERROR(INDEX('Retirement Calculator'!J:J,MATCH('Isaac 401k'!N3968,'Retirement Calculator'!A:A,0),0),0)</f>
        <v>0</v>
      </c>
      <c r="K3968" s="455">
        <f t="shared" ca="1" si="176"/>
        <v>-10050606013.145428</v>
      </c>
      <c r="L3968" s="455">
        <f t="shared" ca="1" si="177"/>
        <v>-2422196049168.0483</v>
      </c>
      <c r="M3968" s="471">
        <f t="shared" si="179"/>
        <v>0.05</v>
      </c>
      <c r="N3968" s="475">
        <f t="shared" si="180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78"/>
        <v>-2422196049168.0483</v>
      </c>
      <c r="J3969" s="455">
        <f t="array" ref="J3969">IFERROR(INDEX('Retirement Calculator'!J:J,MATCH('Isaac 401k'!N3969,'Retirement Calculator'!A:A,0),0),0)</f>
        <v>0</v>
      </c>
      <c r="K3969" s="455">
        <f t="shared" ca="1" si="176"/>
        <v>-10092483538.200201</v>
      </c>
      <c r="L3969" s="455">
        <f t="shared" ca="1" si="177"/>
        <v>-2432288532706.2485</v>
      </c>
      <c r="M3969" s="471">
        <f t="shared" si="179"/>
        <v>0.05</v>
      </c>
      <c r="N3969" s="475">
        <f t="shared" si="180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78"/>
        <v>-2432288532706.2485</v>
      </c>
      <c r="J3970" s="455">
        <f t="array" ref="J3970">IFERROR(INDEX('Retirement Calculator'!J:J,MATCH('Isaac 401k'!N3970,'Retirement Calculator'!A:A,0),0),0)</f>
        <v>0</v>
      </c>
      <c r="K3970" s="455">
        <f t="shared" ca="1" si="176"/>
        <v>-10134535552.942701</v>
      </c>
      <c r="L3970" s="455">
        <f t="shared" ca="1" si="177"/>
        <v>-2442423068259.1914</v>
      </c>
      <c r="M3970" s="471">
        <f t="shared" si="179"/>
        <v>0.05</v>
      </c>
      <c r="N3970" s="475">
        <f t="shared" si="180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78"/>
        <v>-2442423068259.1914</v>
      </c>
      <c r="J3971" s="455">
        <f t="array" ref="J3971">IFERROR(INDEX('Retirement Calculator'!J:J,MATCH('Isaac 401k'!N3971,'Retirement Calculator'!A:A,0),0),0)</f>
        <v>0</v>
      </c>
      <c r="K3971" s="455">
        <f t="shared" ca="1" si="176"/>
        <v>-10176762784.413298</v>
      </c>
      <c r="L3971" s="455">
        <f t="shared" ca="1" si="177"/>
        <v>-2452599831043.6045</v>
      </c>
      <c r="M3971" s="471">
        <f t="shared" si="179"/>
        <v>0.05</v>
      </c>
      <c r="N3971" s="475">
        <f t="shared" si="180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78"/>
        <v>-2452599831043.6045</v>
      </c>
      <c r="J3972" s="455">
        <f t="array" ref="J3972">IFERROR(INDEX('Retirement Calculator'!J:J,MATCH('Isaac 401k'!N3972,'Retirement Calculator'!A:A,0),0),0)</f>
        <v>0</v>
      </c>
      <c r="K3972" s="455">
        <f t="shared" ca="1" si="176"/>
        <v>-10219165962.681684</v>
      </c>
      <c r="L3972" s="455">
        <f t="shared" ca="1" si="177"/>
        <v>-2462818997006.2861</v>
      </c>
      <c r="M3972" s="471">
        <f t="shared" si="179"/>
        <v>0.05</v>
      </c>
      <c r="N3972" s="475">
        <f t="shared" si="180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78"/>
        <v>-2462818997006.2861</v>
      </c>
      <c r="J3973" s="455">
        <f t="array" ref="J3973">IFERROR(INDEX('Retirement Calculator'!J:J,MATCH('Isaac 401k'!N3973,'Retirement Calculator'!A:A,0),0),0)</f>
        <v>0</v>
      </c>
      <c r="K3973" s="455">
        <f t="shared" ca="1" si="176"/>
        <v>-10261745820.859526</v>
      </c>
      <c r="L3973" s="455">
        <f t="shared" ca="1" si="177"/>
        <v>-2473080742827.1455</v>
      </c>
      <c r="M3973" s="471">
        <f t="shared" si="179"/>
        <v>0.05</v>
      </c>
      <c r="N3973" s="475">
        <f t="shared" si="180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78"/>
        <v>-2473080742827.1455</v>
      </c>
      <c r="J3974" s="455">
        <f t="array" ref="J3974">IFERROR(INDEX('Retirement Calculator'!J:J,MATCH('Isaac 401k'!N3974,'Retirement Calculator'!A:A,0),0),0)</f>
        <v>0</v>
      </c>
      <c r="K3974" s="455">
        <f t="shared" ca="1" si="176"/>
        <v>-10304503095.113106</v>
      </c>
      <c r="L3974" s="455">
        <f t="shared" ca="1" si="177"/>
        <v>-2483385245922.2588</v>
      </c>
      <c r="M3974" s="471">
        <f t="shared" si="179"/>
        <v>0.05</v>
      </c>
      <c r="N3974" s="475">
        <f t="shared" si="180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78"/>
        <v>-2483385245922.2588</v>
      </c>
      <c r="J3975" s="455">
        <f t="array" ref="J3975">IFERROR(INDEX('Retirement Calculator'!J:J,MATCH('Isaac 401k'!N3975,'Retirement Calculator'!A:A,0),0),0)</f>
        <v>0</v>
      </c>
      <c r="K3975" s="455">
        <f t="shared" ca="1" si="176"/>
        <v>-10347438524.676079</v>
      </c>
      <c r="L3975" s="455">
        <f t="shared" ca="1" si="177"/>
        <v>-2493732684446.9351</v>
      </c>
      <c r="M3975" s="471">
        <f t="shared" si="179"/>
        <v>0.05</v>
      </c>
      <c r="N3975" s="475">
        <f t="shared" si="180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78"/>
        <v>-2493732684446.9351</v>
      </c>
      <c r="J3976" s="455">
        <f t="array" ref="J3976">IFERROR(INDEX('Retirement Calculator'!J:J,MATCH('Isaac 401k'!N3976,'Retirement Calculator'!A:A,0),0),0)</f>
        <v>0</v>
      </c>
      <c r="K3976" s="455">
        <f t="shared" ca="1" si="176"/>
        <v>-10390552851.862228</v>
      </c>
      <c r="L3976" s="455">
        <f t="shared" ca="1" si="177"/>
        <v>-2504123237298.7974</v>
      </c>
      <c r="M3976" s="471">
        <f t="shared" si="179"/>
        <v>0.05</v>
      </c>
      <c r="N3976" s="475">
        <f t="shared" si="180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78"/>
        <v>-2504123237298.7974</v>
      </c>
      <c r="J3977" s="455">
        <f t="array" ref="J3977">IFERROR(INDEX('Retirement Calculator'!J:J,MATCH('Isaac 401k'!N3977,'Retirement Calculator'!A:A,0),0),0)</f>
        <v>0</v>
      </c>
      <c r="K3977" s="455">
        <f t="shared" ca="1" si="176"/>
        <v>-10433846822.078321</v>
      </c>
      <c r="L3977" s="455">
        <f t="shared" ca="1" si="177"/>
        <v>-2514557084120.8755</v>
      </c>
      <c r="M3977" s="471">
        <f t="shared" si="179"/>
        <v>0.05</v>
      </c>
      <c r="N3977" s="475">
        <f t="shared" si="180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78"/>
        <v>-2514557084120.8755</v>
      </c>
      <c r="J3978" s="455">
        <f t="array" ref="J3978">IFERROR(INDEX('Retirement Calculator'!J:J,MATCH('Isaac 401k'!N3978,'Retirement Calculator'!A:A,0),0),0)</f>
        <v>0</v>
      </c>
      <c r="K3978" s="455">
        <f t="shared" ca="1" si="176"/>
        <v>-10477321183.836981</v>
      </c>
      <c r="L3978" s="455">
        <f t="shared" ca="1" si="177"/>
        <v>-2525034405304.7124</v>
      </c>
      <c r="M3978" s="471">
        <f t="shared" si="179"/>
        <v>0.05</v>
      </c>
      <c r="N3978" s="475">
        <f t="shared" si="180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78"/>
        <v>-2525034405304.7124</v>
      </c>
      <c r="J3979" s="455">
        <f t="array" ref="J3979">IFERROR(INDEX('Retirement Calculator'!J:J,MATCH('Isaac 401k'!N3979,'Retirement Calculator'!A:A,0),0),0)</f>
        <v>0</v>
      </c>
      <c r="K3979" s="455">
        <f t="shared" ca="1" si="176"/>
        <v>-10520976688.769634</v>
      </c>
      <c r="L3979" s="455">
        <f t="shared" ca="1" si="177"/>
        <v>-2535555381993.4819</v>
      </c>
      <c r="M3979" s="471">
        <f t="shared" si="179"/>
        <v>0.05</v>
      </c>
      <c r="N3979" s="475">
        <f t="shared" si="180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78"/>
        <v>-2535555381993.4819</v>
      </c>
      <c r="J3980" s="455">
        <f t="array" ref="J3980">IFERROR(INDEX('Retirement Calculator'!J:J,MATCH('Isaac 401k'!N3980,'Retirement Calculator'!A:A,0),0),0)</f>
        <v>0</v>
      </c>
      <c r="K3980" s="455">
        <f t="shared" ca="1" si="176"/>
        <v>-10564814091.639507</v>
      </c>
      <c r="L3980" s="455">
        <f t="shared" ca="1" si="177"/>
        <v>-2546120196085.1216</v>
      </c>
      <c r="M3980" s="471">
        <f t="shared" si="179"/>
        <v>0.05</v>
      </c>
      <c r="N3980" s="475">
        <f t="shared" si="180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78"/>
        <v>-2546120196085.1216</v>
      </c>
      <c r="J3981" s="455">
        <f t="array" ref="J3981">IFERROR(INDEX('Retirement Calculator'!J:J,MATCH('Isaac 401k'!N3981,'Retirement Calculator'!A:A,0),0),0)</f>
        <v>0</v>
      </c>
      <c r="K3981" s="455">
        <f t="shared" ca="1" si="176"/>
        <v>-10608834150.354673</v>
      </c>
      <c r="L3981" s="455">
        <f t="shared" ca="1" si="177"/>
        <v>-2556729030235.4761</v>
      </c>
      <c r="M3981" s="471">
        <f t="shared" si="179"/>
        <v>0.05</v>
      </c>
      <c r="N3981" s="475">
        <f t="shared" si="180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78"/>
        <v>-2556729030235.4761</v>
      </c>
      <c r="J3982" s="455">
        <f t="array" ref="J3982">IFERROR(INDEX('Retirement Calculator'!J:J,MATCH('Isaac 401k'!N3982,'Retirement Calculator'!A:A,0),0),0)</f>
        <v>0</v>
      </c>
      <c r="K3982" s="455">
        <f t="shared" ca="1" si="176"/>
        <v>-10653037625.98115</v>
      </c>
      <c r="L3982" s="455">
        <f t="shared" ca="1" si="177"/>
        <v>-2567382067861.457</v>
      </c>
      <c r="M3982" s="471">
        <f t="shared" si="179"/>
        <v>0.05</v>
      </c>
      <c r="N3982" s="475">
        <f t="shared" si="180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78"/>
        <v>-2567382067861.457</v>
      </c>
      <c r="J3983" s="455">
        <f t="array" ref="J3983">IFERROR(INDEX('Retirement Calculator'!J:J,MATCH('Isaac 401k'!N3983,'Retirement Calculator'!A:A,0),0),0)</f>
        <v>0</v>
      </c>
      <c r="K3983" s="455">
        <f t="shared" ca="1" si="176"/>
        <v>-10697425282.756071</v>
      </c>
      <c r="L3983" s="455">
        <f t="shared" ca="1" si="177"/>
        <v>-2578079493144.2129</v>
      </c>
      <c r="M3983" s="471">
        <f t="shared" si="179"/>
        <v>0.05</v>
      </c>
      <c r="N3983" s="475">
        <f t="shared" si="180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78"/>
        <v>-2578079493144.2129</v>
      </c>
      <c r="J3984" s="455">
        <f t="array" ref="J3984">IFERROR(INDEX('Retirement Calculator'!J:J,MATCH('Isaac 401k'!N3984,'Retirement Calculator'!A:A,0),0),0)</f>
        <v>0</v>
      </c>
      <c r="K3984" s="455">
        <f t="shared" ca="1" si="176"/>
        <v>-10741997888.100887</v>
      </c>
      <c r="L3984" s="455">
        <f t="shared" ca="1" si="177"/>
        <v>-2588821491032.314</v>
      </c>
      <c r="M3984" s="471">
        <f t="shared" si="179"/>
        <v>0.05</v>
      </c>
      <c r="N3984" s="475">
        <f t="shared" si="180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78"/>
        <v>-2588821491032.314</v>
      </c>
      <c r="J3985" s="455">
        <f t="array" ref="J3985">IFERROR(INDEX('Retirement Calculator'!J:J,MATCH('Isaac 401k'!N3985,'Retirement Calculator'!A:A,0),0),0)</f>
        <v>0</v>
      </c>
      <c r="K3985" s="455">
        <f t="shared" ca="1" si="176"/>
        <v>-10786756212.634642</v>
      </c>
      <c r="L3985" s="455">
        <f t="shared" ca="1" si="177"/>
        <v>-2599608247244.9487</v>
      </c>
      <c r="M3985" s="471">
        <f t="shared" si="179"/>
        <v>0.05</v>
      </c>
      <c r="N3985" s="475">
        <f t="shared" si="180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78"/>
        <v>-2599608247244.9487</v>
      </c>
      <c r="J3986" s="455">
        <f t="array" ref="J3986">IFERROR(INDEX('Retirement Calculator'!J:J,MATCH('Isaac 401k'!N3986,'Retirement Calculator'!A:A,0),0),0)</f>
        <v>0</v>
      </c>
      <c r="K3986" s="455">
        <f t="shared" ca="1" si="176"/>
        <v>-10831701030.187286</v>
      </c>
      <c r="L3986" s="455">
        <f t="shared" ca="1" si="177"/>
        <v>-2610439948275.1362</v>
      </c>
      <c r="M3986" s="471">
        <f t="shared" si="179"/>
        <v>0.05</v>
      </c>
      <c r="N3986" s="475">
        <f t="shared" si="180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78"/>
        <v>-2610439948275.1362</v>
      </c>
      <c r="J3987" s="455">
        <f t="array" ref="J3987">IFERROR(INDEX('Retirement Calculator'!J:J,MATCH('Isaac 401k'!N3987,'Retirement Calculator'!A:A,0),0),0)</f>
        <v>0</v>
      </c>
      <c r="K3987" s="455">
        <f t="shared" ca="1" si="176"/>
        <v>-10876833117.813068</v>
      </c>
      <c r="L3987" s="455">
        <f t="shared" ca="1" si="177"/>
        <v>-2621316781392.9492</v>
      </c>
      <c r="M3987" s="471">
        <f t="shared" si="179"/>
        <v>0.05</v>
      </c>
      <c r="N3987" s="475">
        <f t="shared" si="180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78"/>
        <v>-2621316781392.9492</v>
      </c>
      <c r="J3988" s="455">
        <f t="array" ref="J3988">IFERROR(INDEX('Retirement Calculator'!J:J,MATCH('Isaac 401k'!N3988,'Retirement Calculator'!A:A,0),0),0)</f>
        <v>0</v>
      </c>
      <c r="K3988" s="455">
        <f t="shared" ca="1" si="176"/>
        <v>-10922153255.803955</v>
      </c>
      <c r="L3988" s="455">
        <f t="shared" ca="1" si="177"/>
        <v>-2632238934648.7529</v>
      </c>
      <c r="M3988" s="471">
        <f t="shared" si="179"/>
        <v>0.05</v>
      </c>
      <c r="N3988" s="475">
        <f t="shared" si="180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78"/>
        <v>-2632238934648.7529</v>
      </c>
      <c r="J3989" s="455">
        <f t="array" ref="J3989">IFERROR(INDEX('Retirement Calculator'!J:J,MATCH('Isaac 401k'!N3989,'Retirement Calculator'!A:A,0),0),0)</f>
        <v>0</v>
      </c>
      <c r="K3989" s="455">
        <f t="shared" ca="1" si="176"/>
        <v>-10967662227.703136</v>
      </c>
      <c r="L3989" s="455">
        <f t="shared" ca="1" si="177"/>
        <v>-2643206596876.4561</v>
      </c>
      <c r="M3989" s="471">
        <f t="shared" si="179"/>
        <v>0.05</v>
      </c>
      <c r="N3989" s="475">
        <f t="shared" si="180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78"/>
        <v>-2643206596876.4561</v>
      </c>
      <c r="J3990" s="455">
        <f t="array" ref="J3990">IFERROR(INDEX('Retirement Calculator'!J:J,MATCH('Isaac 401k'!N3990,'Retirement Calculator'!A:A,0),0),0)</f>
        <v>0</v>
      </c>
      <c r="K3990" s="455">
        <f t="shared" ca="1" si="176"/>
        <v>-11013360820.318567</v>
      </c>
      <c r="L3990" s="455">
        <f t="shared" ca="1" si="177"/>
        <v>-2654219957696.7744</v>
      </c>
      <c r="M3990" s="471">
        <f t="shared" si="179"/>
        <v>0.05</v>
      </c>
      <c r="N3990" s="475">
        <f t="shared" si="180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78"/>
        <v>-2654219957696.7744</v>
      </c>
      <c r="J3991" s="455">
        <f t="array" ref="J3991">IFERROR(INDEX('Retirement Calculator'!J:J,MATCH('Isaac 401k'!N3991,'Retirement Calculator'!A:A,0),0),0)</f>
        <v>0</v>
      </c>
      <c r="K3991" s="455">
        <f t="shared" ca="1" si="176"/>
        <v>-11059249823.736561</v>
      </c>
      <c r="L3991" s="455">
        <f t="shared" ca="1" si="177"/>
        <v>-2665279207520.5107</v>
      </c>
      <c r="M3991" s="471">
        <f t="shared" si="179"/>
        <v>0.05</v>
      </c>
      <c r="N3991" s="475">
        <f t="shared" si="180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78"/>
        <v>-2665279207520.5107</v>
      </c>
      <c r="J3992" s="455">
        <f t="array" ref="J3992">IFERROR(INDEX('Retirement Calculator'!J:J,MATCH('Isaac 401k'!N3992,'Retirement Calculator'!A:A,0),0),0)</f>
        <v>0</v>
      </c>
      <c r="K3992" s="455">
        <f t="shared" ca="1" si="176"/>
        <v>-11105330031.335461</v>
      </c>
      <c r="L3992" s="455">
        <f t="shared" ca="1" si="177"/>
        <v>-2676384537551.8462</v>
      </c>
      <c r="M3992" s="471">
        <f t="shared" si="179"/>
        <v>0.05</v>
      </c>
      <c r="N3992" s="475">
        <f t="shared" si="180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78"/>
        <v>-2676384537551.8462</v>
      </c>
      <c r="J3993" s="455">
        <f t="array" ref="J3993">IFERROR(INDEX('Retirement Calculator'!J:J,MATCH('Isaac 401k'!N3993,'Retirement Calculator'!A:A,0),0),0)</f>
        <v>0</v>
      </c>
      <c r="K3993" s="455">
        <f t="shared" ca="1" si="176"/>
        <v>-11151602239.799358</v>
      </c>
      <c r="L3993" s="455">
        <f t="shared" ca="1" si="177"/>
        <v>-2687536139791.6455</v>
      </c>
      <c r="M3993" s="471">
        <f t="shared" si="179"/>
        <v>0.05</v>
      </c>
      <c r="N3993" s="475">
        <f t="shared" si="180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78"/>
        <v>-2687536139791.6455</v>
      </c>
      <c r="J3994" s="455">
        <f t="array" ref="J3994">IFERROR(INDEX('Retirement Calculator'!J:J,MATCH('Isaac 401k'!N3994,'Retirement Calculator'!A:A,0),0),0)</f>
        <v>0</v>
      </c>
      <c r="K3994" s="455">
        <f t="shared" ca="1" si="176"/>
        <v>-11198067249.131857</v>
      </c>
      <c r="L3994" s="455">
        <f t="shared" ca="1" si="177"/>
        <v>-2698734207040.7773</v>
      </c>
      <c r="M3994" s="471">
        <f t="shared" si="179"/>
        <v>0.05</v>
      </c>
      <c r="N3994" s="475">
        <f t="shared" si="180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78"/>
        <v>-2698734207040.7773</v>
      </c>
      <c r="J3995" s="455">
        <f t="array" ref="J3995">IFERROR(INDEX('Retirement Calculator'!J:J,MATCH('Isaac 401k'!N3995,'Retirement Calculator'!A:A,0),0),0)</f>
        <v>0</v>
      </c>
      <c r="K3995" s="455">
        <f t="shared" ca="1" si="176"/>
        <v>-11244725862.669905</v>
      </c>
      <c r="L3995" s="455">
        <f t="shared" ca="1" si="177"/>
        <v>-2709978932903.4473</v>
      </c>
      <c r="M3995" s="471">
        <f t="shared" si="179"/>
        <v>0.05</v>
      </c>
      <c r="N3995" s="475">
        <f t="shared" si="180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78"/>
        <v>-2709978932903.4473</v>
      </c>
      <c r="J3996" s="455">
        <f t="array" ref="J3996">IFERROR(INDEX('Retirement Calculator'!J:J,MATCH('Isaac 401k'!N3996,'Retirement Calculator'!A:A,0),0),0)</f>
        <v>0</v>
      </c>
      <c r="K3996" s="455">
        <f t="shared" ca="1" si="176"/>
        <v>-11291578887.097696</v>
      </c>
      <c r="L3996" s="455">
        <f t="shared" ca="1" si="177"/>
        <v>-2721270511790.5449</v>
      </c>
      <c r="M3996" s="471">
        <f t="shared" si="179"/>
        <v>0.05</v>
      </c>
      <c r="N3996" s="475">
        <f t="shared" si="180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78"/>
        <v>-2721270511790.5449</v>
      </c>
      <c r="J3997" s="455">
        <f t="array" ref="J3997">IFERROR(INDEX('Retirement Calculator'!J:J,MATCH('Isaac 401k'!N3997,'Retirement Calculator'!A:A,0),0),0)</f>
        <v>0</v>
      </c>
      <c r="K3997" s="455">
        <f t="shared" ca="1" si="176"/>
        <v>-11338627132.460604</v>
      </c>
      <c r="L3997" s="455">
        <f t="shared" ca="1" si="177"/>
        <v>-2732609138923.0054</v>
      </c>
      <c r="M3997" s="471">
        <f t="shared" si="179"/>
        <v>0.05</v>
      </c>
      <c r="N3997" s="475">
        <f t="shared" si="180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78"/>
        <v>-2732609138923.0054</v>
      </c>
      <c r="J3998" s="455">
        <f t="array" ref="J3998">IFERROR(INDEX('Retirement Calculator'!J:J,MATCH('Isaac 401k'!N3998,'Retirement Calculator'!A:A,0),0),0)</f>
        <v>0</v>
      </c>
      <c r="K3998" s="455">
        <f t="shared" ca="1" si="176"/>
        <v>-11385871412.17919</v>
      </c>
      <c r="L3998" s="455">
        <f t="shared" ca="1" si="177"/>
        <v>-2743995010335.1846</v>
      </c>
      <c r="M3998" s="471">
        <f t="shared" si="179"/>
        <v>0.05</v>
      </c>
      <c r="N3998" s="475">
        <f t="shared" si="180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78"/>
        <v>-2743995010335.1846</v>
      </c>
      <c r="J3999" s="455">
        <f t="array" ref="J3999">IFERROR(INDEX('Retirement Calculator'!J:J,MATCH('Isaac 401k'!N3999,'Retirement Calculator'!A:A,0),0),0)</f>
        <v>0</v>
      </c>
      <c r="K3999" s="455">
        <f t="shared" ca="1" si="176"/>
        <v>-11433312543.063269</v>
      </c>
      <c r="L3999" s="455">
        <f t="shared" ca="1" si="177"/>
        <v>-2755428322878.248</v>
      </c>
      <c r="M3999" s="471">
        <f t="shared" si="179"/>
        <v>0.05</v>
      </c>
      <c r="N3999" s="475">
        <f t="shared" si="180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78"/>
        <v>-2755428322878.248</v>
      </c>
      <c r="J4000" s="455">
        <f t="array" ref="J4000">IFERROR(INDEX('Retirement Calculator'!J:J,MATCH('Isaac 401k'!N4000,'Retirement Calculator'!A:A,0),0),0)</f>
        <v>0</v>
      </c>
      <c r="K4000" s="455">
        <f t="shared" ca="1" si="176"/>
        <v>-11480951345.326033</v>
      </c>
      <c r="L4000" s="455">
        <f t="shared" ca="1" si="177"/>
        <v>-2766909274223.5742</v>
      </c>
      <c r="M4000" s="471">
        <f t="shared" si="179"/>
        <v>0.05</v>
      </c>
      <c r="N4000" s="475">
        <f t="shared" si="180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78"/>
        <v>-2766909274223.5742</v>
      </c>
      <c r="J4001" s="455">
        <f t="array" ref="J4001">IFERROR(INDEX('Retirement Calculator'!J:J,MATCH('Isaac 401k'!N4001,'Retirement Calculator'!A:A,0),0),0)</f>
        <v>0</v>
      </c>
      <c r="K4001" s="455">
        <f t="shared" ca="1" si="176"/>
        <v>-11528788642.598227</v>
      </c>
      <c r="L4001" s="455">
        <f t="shared" ca="1" si="177"/>
        <v>-2778438062866.1724</v>
      </c>
      <c r="M4001" s="471">
        <f t="shared" si="179"/>
        <v>0.05</v>
      </c>
      <c r="N4001" s="475">
        <f t="shared" si="180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78"/>
        <v>-2778438062866.1724</v>
      </c>
      <c r="J4002" s="455">
        <f t="array" ref="J4002">IFERROR(INDEX('Retirement Calculator'!J:J,MATCH('Isaac 401k'!N4002,'Retirement Calculator'!A:A,0),0),0)</f>
        <v>0</v>
      </c>
      <c r="K4002" s="455">
        <f t="shared" ca="1" si="176"/>
        <v>-11576825261.942385</v>
      </c>
      <c r="L4002" s="455">
        <f t="shared" ca="1" si="177"/>
        <v>-2790014888128.1147</v>
      </c>
      <c r="M4002" s="471">
        <f t="shared" si="179"/>
        <v>0.05</v>
      </c>
      <c r="N4002" s="475">
        <f t="shared" si="180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78"/>
        <v>-2790014888128.1147</v>
      </c>
      <c r="J4003" s="455">
        <f t="array" ref="J4003">IFERROR(INDEX('Retirement Calculator'!J:J,MATCH('Isaac 401k'!N4003,'Retirement Calculator'!A:A,0),0),0)</f>
        <v>0</v>
      </c>
      <c r="K4003" s="455">
        <f t="shared" ca="1" si="176"/>
        <v>-11625062033.867146</v>
      </c>
      <c r="L4003" s="455">
        <f t="shared" ca="1" si="177"/>
        <v>-2801639950161.9819</v>
      </c>
      <c r="M4003" s="471">
        <f t="shared" si="179"/>
        <v>0.05</v>
      </c>
      <c r="N4003" s="475">
        <f t="shared" si="180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78"/>
        <v>-2801639950161.9819</v>
      </c>
      <c r="J4004" s="455">
        <f t="array" ref="J4004">IFERROR(INDEX('Retirement Calculator'!J:J,MATCH('Isaac 401k'!N4004,'Retirement Calculator'!A:A,0),0),0)</f>
        <v>0</v>
      </c>
      <c r="K4004" s="455">
        <f t="shared" ca="1" si="176"/>
        <v>-11673499792.341591</v>
      </c>
      <c r="L4004" s="455">
        <f t="shared" ca="1" si="177"/>
        <v>-2813313449954.3237</v>
      </c>
      <c r="M4004" s="471">
        <f t="shared" si="179"/>
        <v>0.05</v>
      </c>
      <c r="N4004" s="475">
        <f t="shared" si="180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78"/>
        <v>-2813313449954.3237</v>
      </c>
      <c r="J4005" s="455">
        <f t="array" ref="J4005">IFERROR(INDEX('Retirement Calculator'!J:J,MATCH('Isaac 401k'!N4005,'Retirement Calculator'!A:A,0),0),0)</f>
        <v>0</v>
      </c>
      <c r="K4005" s="455">
        <f t="shared" ca="1" si="176"/>
        <v>-11722139374.809683</v>
      </c>
      <c r="L4005" s="455">
        <f t="shared" ca="1" si="177"/>
        <v>-2825035589329.1333</v>
      </c>
      <c r="M4005" s="471">
        <f t="shared" si="179"/>
        <v>0.05</v>
      </c>
      <c r="N4005" s="475">
        <f t="shared" si="180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78"/>
        <v>-2825035589329.1333</v>
      </c>
      <c r="J4006" s="455">
        <f t="array" ref="J4006">IFERROR(INDEX('Retirement Calculator'!J:J,MATCH('Isaac 401k'!N4006,'Retirement Calculator'!A:A,0),0),0)</f>
        <v>0</v>
      </c>
      <c r="K4006" s="455">
        <f t="shared" ca="1" si="176"/>
        <v>-11770981622.204721</v>
      </c>
      <c r="L4006" s="455">
        <f t="shared" ca="1" si="177"/>
        <v>-2836806570951.3379</v>
      </c>
      <c r="M4006" s="471">
        <f t="shared" si="179"/>
        <v>0.05</v>
      </c>
      <c r="N4006" s="475">
        <f t="shared" si="180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78"/>
        <v>-2836806570951.3379</v>
      </c>
      <c r="J4007" s="455">
        <f t="array" ref="J4007">IFERROR(INDEX('Retirement Calculator'!J:J,MATCH('Isaac 401k'!N4007,'Retirement Calculator'!A:A,0),0),0)</f>
        <v>0</v>
      </c>
      <c r="K4007" s="455">
        <f t="shared" ca="1" si="176"/>
        <v>-11820027378.963907</v>
      </c>
      <c r="L4007" s="455">
        <f t="shared" ca="1" si="177"/>
        <v>-2848626598330.3018</v>
      </c>
      <c r="M4007" s="471">
        <f t="shared" si="179"/>
        <v>0.05</v>
      </c>
      <c r="N4007" s="475">
        <f t="shared" si="180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78"/>
        <v>-2848626598330.3018</v>
      </c>
      <c r="J4008" s="455">
        <f t="array" ref="J4008">IFERROR(INDEX('Retirement Calculator'!J:J,MATCH('Isaac 401k'!N4008,'Retirement Calculator'!A:A,0),0),0)</f>
        <v>0</v>
      </c>
      <c r="K4008" s="455">
        <f t="shared" ca="1" si="176"/>
        <v>-11869277493.042923</v>
      </c>
      <c r="L4008" s="455">
        <f t="shared" ca="1" si="177"/>
        <v>-2860495875823.3447</v>
      </c>
      <c r="M4008" s="471">
        <f t="shared" si="179"/>
        <v>0.05</v>
      </c>
      <c r="N4008" s="475">
        <f t="shared" si="180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78"/>
        <v>-2860495875823.3447</v>
      </c>
      <c r="J4009" s="455">
        <f t="array" ref="J4009">IFERROR(INDEX('Retirement Calculator'!J:J,MATCH('Isaac 401k'!N4009,'Retirement Calculator'!A:A,0),0),0)</f>
        <v>0</v>
      </c>
      <c r="K4009" s="455">
        <f t="shared" ca="1" si="176"/>
        <v>-11918732815.930603</v>
      </c>
      <c r="L4009" s="455">
        <f t="shared" ca="1" si="177"/>
        <v>-2872414608639.2754</v>
      </c>
      <c r="M4009" s="471">
        <f t="shared" si="179"/>
        <v>0.05</v>
      </c>
      <c r="N4009" s="475">
        <f t="shared" si="180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78"/>
        <v>-2872414608639.2754</v>
      </c>
      <c r="J4010" s="455">
        <f t="array" ref="J4010">IFERROR(INDEX('Retirement Calculator'!J:J,MATCH('Isaac 401k'!N4010,'Retirement Calculator'!A:A,0),0),0)</f>
        <v>0</v>
      </c>
      <c r="K4010" s="455">
        <f t="shared" ca="1" si="176"/>
        <v>-11968394202.663647</v>
      </c>
      <c r="L4010" s="455">
        <f t="shared" ca="1" si="177"/>
        <v>-2884383002841.939</v>
      </c>
      <c r="M4010" s="471">
        <f t="shared" si="179"/>
        <v>0.05</v>
      </c>
      <c r="N4010" s="475">
        <f t="shared" si="180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78"/>
        <v>-2884383002841.939</v>
      </c>
      <c r="J4011" s="455">
        <f t="array" ref="J4011">IFERROR(INDEX('Retirement Calculator'!J:J,MATCH('Isaac 401k'!N4011,'Retirement Calculator'!A:A,0),0),0)</f>
        <v>0</v>
      </c>
      <c r="K4011" s="455">
        <f t="shared" ca="1" si="176"/>
        <v>-12018262511.841412</v>
      </c>
      <c r="L4011" s="455">
        <f t="shared" ca="1" si="177"/>
        <v>-2896401265353.7803</v>
      </c>
      <c r="M4011" s="471">
        <f t="shared" si="179"/>
        <v>0.05</v>
      </c>
      <c r="N4011" s="475">
        <f t="shared" si="180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78"/>
        <v>-2896401265353.7803</v>
      </c>
      <c r="J4012" s="455">
        <f t="array" ref="J4012">IFERROR(INDEX('Retirement Calculator'!J:J,MATCH('Isaac 401k'!N4012,'Retirement Calculator'!A:A,0),0),0)</f>
        <v>0</v>
      </c>
      <c r="K4012" s="455">
        <f t="shared" ca="1" si="176"/>
        <v>-12068338605.640751</v>
      </c>
      <c r="L4012" s="455">
        <f t="shared" ca="1" si="177"/>
        <v>-2908469603959.4209</v>
      </c>
      <c r="M4012" s="471">
        <f t="shared" si="179"/>
        <v>0.05</v>
      </c>
      <c r="N4012" s="475">
        <f t="shared" si="180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78"/>
        <v>-2908469603959.4209</v>
      </c>
      <c r="J4013" s="455">
        <f t="array" ref="J4013">IFERROR(INDEX('Retirement Calculator'!J:J,MATCH('Isaac 401k'!N4013,'Retirement Calculator'!A:A,0),0),0)</f>
        <v>0</v>
      </c>
      <c r="K4013" s="455">
        <f t="shared" ca="1" si="176"/>
        <v>-12118623349.830921</v>
      </c>
      <c r="L4013" s="455">
        <f t="shared" ca="1" si="177"/>
        <v>-2920588227309.252</v>
      </c>
      <c r="M4013" s="471">
        <f t="shared" si="179"/>
        <v>0.05</v>
      </c>
      <c r="N4013" s="475">
        <f t="shared" si="180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78"/>
        <v>-2920588227309.252</v>
      </c>
      <c r="J4014" s="455">
        <f t="array" ref="J4014">IFERROR(INDEX('Retirement Calculator'!J:J,MATCH('Isaac 401k'!N4014,'Retirement Calculator'!A:A,0),0),0)</f>
        <v>0</v>
      </c>
      <c r="K4014" s="455">
        <f t="shared" ca="1" si="176"/>
        <v>-12169117613.788549</v>
      </c>
      <c r="L4014" s="455">
        <f t="shared" ca="1" si="177"/>
        <v>-2932757344923.0405</v>
      </c>
      <c r="M4014" s="471">
        <f t="shared" si="179"/>
        <v>0.05</v>
      </c>
      <c r="N4014" s="475">
        <f t="shared" si="180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78"/>
        <v>-2932757344923.0405</v>
      </c>
      <c r="J4015" s="455">
        <f t="array" ref="J4015">IFERROR(INDEX('Retirement Calculator'!J:J,MATCH('Isaac 401k'!N4015,'Retirement Calculator'!A:A,0),0),0)</f>
        <v>0</v>
      </c>
      <c r="K4015" s="455">
        <f t="shared" ca="1" si="176"/>
        <v>-12219822270.512669</v>
      </c>
      <c r="L4015" s="455">
        <f t="shared" ca="1" si="177"/>
        <v>-2944977167193.5532</v>
      </c>
      <c r="M4015" s="471">
        <f t="shared" si="179"/>
        <v>0.05</v>
      </c>
      <c r="N4015" s="475">
        <f t="shared" si="180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78"/>
        <v>-2944977167193.5532</v>
      </c>
      <c r="J4016" s="455">
        <f t="array" ref="J4016">IFERROR(INDEX('Retirement Calculator'!J:J,MATCH('Isaac 401k'!N4016,'Retirement Calculator'!A:A,0),0),0)</f>
        <v>0</v>
      </c>
      <c r="K4016" s="455">
        <f t="shared" ca="1" si="176"/>
        <v>-12270738196.639805</v>
      </c>
      <c r="L4016" s="455">
        <f t="shared" ca="1" si="177"/>
        <v>-2957247905390.1929</v>
      </c>
      <c r="M4016" s="471">
        <f t="shared" si="179"/>
        <v>0.05</v>
      </c>
      <c r="N4016" s="475">
        <f t="shared" si="180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78"/>
        <v>-2957247905390.1929</v>
      </c>
      <c r="J4017" s="455">
        <f t="array" ref="J4017">IFERROR(INDEX('Retirement Calculator'!J:J,MATCH('Isaac 401k'!N4017,'Retirement Calculator'!A:A,0),0),0)</f>
        <v>0</v>
      </c>
      <c r="K4017" s="455">
        <f t="shared" ca="1" si="176"/>
        <v>-12321866272.459137</v>
      </c>
      <c r="L4017" s="455">
        <f t="shared" ca="1" si="177"/>
        <v>-2969569771662.6519</v>
      </c>
      <c r="M4017" s="471">
        <f t="shared" si="179"/>
        <v>0.05</v>
      </c>
      <c r="N4017" s="475">
        <f t="shared" si="180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78"/>
        <v>-2969569771662.6519</v>
      </c>
      <c r="J4018" s="455">
        <f t="array" ref="J4018">IFERROR(INDEX('Retirement Calculator'!J:J,MATCH('Isaac 401k'!N4018,'Retirement Calculator'!A:A,0),0),0)</f>
        <v>0</v>
      </c>
      <c r="K4018" s="455">
        <f t="shared" ca="1" si="176"/>
        <v>-12373207381.927715</v>
      </c>
      <c r="L4018" s="455">
        <f t="shared" ca="1" si="177"/>
        <v>-2981942979044.5796</v>
      </c>
      <c r="M4018" s="471">
        <f t="shared" si="179"/>
        <v>0.05</v>
      </c>
      <c r="N4018" s="475">
        <f t="shared" si="180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78"/>
        <v>-2981942979044.5796</v>
      </c>
      <c r="J4019" s="455">
        <f t="array" ref="J4019">IFERROR(INDEX('Retirement Calculator'!J:J,MATCH('Isaac 401k'!N4019,'Retirement Calculator'!A:A,0),0),0)</f>
        <v>0</v>
      </c>
      <c r="K4019" s="455">
        <f t="shared" ca="1" si="176"/>
        <v>-12424762412.685749</v>
      </c>
      <c r="L4019" s="455">
        <f t="shared" ca="1" si="177"/>
        <v>-2994367741457.2651</v>
      </c>
      <c r="M4019" s="471">
        <f t="shared" si="179"/>
        <v>0.05</v>
      </c>
      <c r="N4019" s="475">
        <f t="shared" si="180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78"/>
        <v>-2994367741457.2651</v>
      </c>
      <c r="J4020" s="455">
        <f t="array" ref="J4020">IFERROR(INDEX('Retirement Calculator'!J:J,MATCH('Isaac 401k'!N4020,'Retirement Calculator'!A:A,0),0),0)</f>
        <v>0</v>
      </c>
      <c r="K4020" s="455">
        <f t="shared" ca="1" si="176"/>
        <v>-12476532256.071938</v>
      </c>
      <c r="L4020" s="455">
        <f t="shared" ca="1" si="177"/>
        <v>-3006844273713.3369</v>
      </c>
      <c r="M4020" s="471">
        <f t="shared" si="179"/>
        <v>0.05</v>
      </c>
      <c r="N4020" s="475">
        <f t="shared" si="180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78"/>
        <v>-3006844273713.3369</v>
      </c>
      <c r="J4021" s="455">
        <f t="array" ref="J4021">IFERROR(INDEX('Retirement Calculator'!J:J,MATCH('Isaac 401k'!N4021,'Retirement Calculator'!A:A,0),0),0)</f>
        <v>0</v>
      </c>
      <c r="K4021" s="455">
        <f t="shared" ca="1" si="176"/>
        <v>-12528517807.138905</v>
      </c>
      <c r="L4021" s="455">
        <f t="shared" ca="1" si="177"/>
        <v>-3019372791520.4756</v>
      </c>
      <c r="M4021" s="471">
        <f t="shared" si="179"/>
        <v>0.05</v>
      </c>
      <c r="N4021" s="475">
        <f t="shared" si="180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78"/>
        <v>-3019372791520.4756</v>
      </c>
      <c r="J4022" s="455">
        <f t="array" ref="J4022">IFERROR(INDEX('Retirement Calculator'!J:J,MATCH('Isaac 401k'!N4022,'Retirement Calculator'!A:A,0),0),0)</f>
        <v>0</v>
      </c>
      <c r="K4022" s="455">
        <f t="shared" ca="1" si="176"/>
        <v>-12580719964.668648</v>
      </c>
      <c r="L4022" s="455">
        <f t="shared" ca="1" si="177"/>
        <v>-3031953511485.144</v>
      </c>
      <c r="M4022" s="471">
        <f t="shared" si="179"/>
        <v>0.05</v>
      </c>
      <c r="N4022" s="475">
        <f t="shared" si="180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78"/>
        <v>-3031953511485.144</v>
      </c>
      <c r="J4023" s="455">
        <f t="array" ref="J4023">IFERROR(INDEX('Retirement Calculator'!J:J,MATCH('Isaac 401k'!N4023,'Retirement Calculator'!A:A,0),0),0)</f>
        <v>0</v>
      </c>
      <c r="K4023" s="455">
        <f t="shared" ca="1" si="176"/>
        <v>-12633139631.188101</v>
      </c>
      <c r="L4023" s="455">
        <f t="shared" ca="1" si="177"/>
        <v>-3044586651116.332</v>
      </c>
      <c r="M4023" s="471">
        <f t="shared" si="179"/>
        <v>0.05</v>
      </c>
      <c r="N4023" s="475">
        <f t="shared" si="180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78"/>
        <v>-3044586651116.332</v>
      </c>
      <c r="J4024" s="455">
        <f t="array" ref="J4024">IFERROR(INDEX('Retirement Calculator'!J:J,MATCH('Isaac 401k'!N4024,'Retirement Calculator'!A:A,0),0),0)</f>
        <v>0</v>
      </c>
      <c r="K4024" s="455">
        <f t="shared" ca="1" si="176"/>
        <v>-12685777712.984716</v>
      </c>
      <c r="L4024" s="455">
        <f t="shared" ca="1" si="177"/>
        <v>-3057272428829.3169</v>
      </c>
      <c r="M4024" s="471">
        <f t="shared" si="179"/>
        <v>0.05</v>
      </c>
      <c r="N4024" s="475">
        <f t="shared" si="180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78"/>
        <v>-3057272428829.3169</v>
      </c>
      <c r="J4025" s="455">
        <f t="array" ref="J4025">IFERROR(INDEX('Retirement Calculator'!J:J,MATCH('Isaac 401k'!N4025,'Retirement Calculator'!A:A,0),0),0)</f>
        <v>0</v>
      </c>
      <c r="K4025" s="455">
        <f t="shared" ca="1" si="176"/>
        <v>-12738635120.122154</v>
      </c>
      <c r="L4025" s="455">
        <f t="shared" ca="1" si="177"/>
        <v>-3070011063949.439</v>
      </c>
      <c r="M4025" s="471">
        <f t="shared" si="179"/>
        <v>0.05</v>
      </c>
      <c r="N4025" s="475">
        <f t="shared" si="180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78"/>
        <v>-3070011063949.439</v>
      </c>
      <c r="J4026" s="455">
        <f t="array" ref="J4026">IFERROR(INDEX('Retirement Calculator'!J:J,MATCH('Isaac 401k'!N4026,'Retirement Calculator'!A:A,0),0),0)</f>
        <v>0</v>
      </c>
      <c r="K4026" s="455">
        <f t="shared" ca="1" si="176"/>
        <v>-12791712766.455996</v>
      </c>
      <c r="L4026" s="455">
        <f t="shared" ca="1" si="177"/>
        <v>-3082802776715.895</v>
      </c>
      <c r="M4026" s="471">
        <f t="shared" si="179"/>
        <v>0.05</v>
      </c>
      <c r="N4026" s="475">
        <f t="shared" si="180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78"/>
        <v>-3082802776715.895</v>
      </c>
      <c r="J4027" s="455">
        <f t="array" ref="J4027">IFERROR(INDEX('Retirement Calculator'!J:J,MATCH('Isaac 401k'!N4027,'Retirement Calculator'!A:A,0),0),0)</f>
        <v>0</v>
      </c>
      <c r="K4027" s="455">
        <f t="shared" ca="1" si="176"/>
        <v>-12845011569.649563</v>
      </c>
      <c r="L4027" s="455">
        <f t="shared" ca="1" si="177"/>
        <v>-3095647788285.5444</v>
      </c>
      <c r="M4027" s="471">
        <f t="shared" si="179"/>
        <v>0.05</v>
      </c>
      <c r="N4027" s="475">
        <f t="shared" si="180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78"/>
        <v>-3095647788285.5444</v>
      </c>
      <c r="J4028" s="455">
        <f t="array" ref="J4028">IFERROR(INDEX('Retirement Calculator'!J:J,MATCH('Isaac 401k'!N4028,'Retirement Calculator'!A:A,0),0),0)</f>
        <v>0</v>
      </c>
      <c r="K4028" s="455">
        <f t="shared" ca="1" si="176"/>
        <v>-12898532451.189768</v>
      </c>
      <c r="L4028" s="455">
        <f t="shared" ca="1" si="177"/>
        <v>-3108546320736.7344</v>
      </c>
      <c r="M4028" s="471">
        <f t="shared" si="179"/>
        <v>0.05</v>
      </c>
      <c r="N4028" s="475">
        <f t="shared" si="180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78"/>
        <v>-3108546320736.7344</v>
      </c>
      <c r="J4029" s="455">
        <f t="array" ref="J4029">IFERROR(INDEX('Retirement Calculator'!J:J,MATCH('Isaac 401k'!N4029,'Retirement Calculator'!A:A,0),0),0)</f>
        <v>0</v>
      </c>
      <c r="K4029" s="455">
        <f t="shared" ca="1" si="176"/>
        <v>-12952276336.403059</v>
      </c>
      <c r="L4029" s="455">
        <f t="shared" ca="1" si="177"/>
        <v>-3121498597073.1372</v>
      </c>
      <c r="M4029" s="471">
        <f t="shared" si="179"/>
        <v>0.05</v>
      </c>
      <c r="N4029" s="475">
        <f t="shared" si="180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78"/>
        <v>-3121498597073.1372</v>
      </c>
      <c r="J4030" s="455">
        <f t="array" ref="J4030">IFERROR(INDEX('Retirement Calculator'!J:J,MATCH('Isaac 401k'!N4030,'Retirement Calculator'!A:A,0),0),0)</f>
        <v>0</v>
      </c>
      <c r="K4030" s="455">
        <f t="shared" ca="1" si="176"/>
        <v>-13006244154.471405</v>
      </c>
      <c r="L4030" s="455">
        <f t="shared" ca="1" si="177"/>
        <v>-3134504841227.6084</v>
      </c>
      <c r="M4030" s="471">
        <f t="shared" si="179"/>
        <v>0.05</v>
      </c>
      <c r="N4030" s="475">
        <f t="shared" si="180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78"/>
        <v>-3134504841227.6084</v>
      </c>
      <c r="J4031" s="455">
        <f t="array" ref="J4031">IFERROR(INDEX('Retirement Calculator'!J:J,MATCH('Isaac 401k'!N4031,'Retirement Calculator'!A:A,0),0),0)</f>
        <v>0</v>
      </c>
      <c r="K4031" s="455">
        <f t="shared" ca="1" si="176"/>
        <v>-13060436838.448368</v>
      </c>
      <c r="L4031" s="455">
        <f t="shared" ca="1" si="177"/>
        <v>-3147565278066.0566</v>
      </c>
      <c r="M4031" s="471">
        <f t="shared" si="179"/>
        <v>0.05</v>
      </c>
      <c r="N4031" s="475">
        <f t="shared" si="180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78"/>
        <v>-3147565278066.0566</v>
      </c>
      <c r="J4032" s="455">
        <f t="array" ref="J4032">IFERROR(INDEX('Retirement Calculator'!J:J,MATCH('Isaac 401k'!N4032,'Retirement Calculator'!A:A,0),0),0)</f>
        <v>0</v>
      </c>
      <c r="K4032" s="455">
        <f t="shared" ca="1" si="176"/>
        <v>-13114855325.275236</v>
      </c>
      <c r="L4032" s="455">
        <f t="shared" ca="1" si="177"/>
        <v>-3160680133391.332</v>
      </c>
      <c r="M4032" s="471">
        <f t="shared" si="179"/>
        <v>0.05</v>
      </c>
      <c r="N4032" s="475">
        <f t="shared" si="180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78"/>
        <v>-3160680133391.332</v>
      </c>
      <c r="J4033" s="455">
        <f t="array" ref="J4033">IFERROR(INDEX('Retirement Calculator'!J:J,MATCH('Isaac 401k'!N4033,'Retirement Calculator'!A:A,0),0),0)</f>
        <v>0</v>
      </c>
      <c r="K4033" s="455">
        <f t="shared" ca="1" si="176"/>
        <v>-13169500555.797216</v>
      </c>
      <c r="L4033" s="455">
        <f t="shared" ca="1" si="177"/>
        <v>-3173849633947.1294</v>
      </c>
      <c r="M4033" s="471">
        <f t="shared" si="179"/>
        <v>0.05</v>
      </c>
      <c r="N4033" s="475">
        <f t="shared" si="180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78"/>
        <v>-3173849633947.1294</v>
      </c>
      <c r="J4034" s="455">
        <f t="array" ref="J4034">IFERROR(INDEX('Retirement Calculator'!J:J,MATCH('Isaac 401k'!N4034,'Retirement Calculator'!A:A,0),0),0)</f>
        <v>0</v>
      </c>
      <c r="K4034" s="455">
        <f t="shared" ca="1" si="176"/>
        <v>-13224373474.779705</v>
      </c>
      <c r="L4034" s="455">
        <f t="shared" ca="1" si="177"/>
        <v>-3187074007421.9092</v>
      </c>
      <c r="M4034" s="471">
        <f t="shared" si="179"/>
        <v>0.05</v>
      </c>
      <c r="N4034" s="475">
        <f t="shared" si="180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78"/>
        <v>-3187074007421.9092</v>
      </c>
      <c r="J4035" s="455">
        <f t="array" ref="J4035">IFERROR(INDEX('Retirement Calculator'!J:J,MATCH('Isaac 401k'!N4035,'Retirement Calculator'!A:A,0),0),0)</f>
        <v>0</v>
      </c>
      <c r="K4035" s="455">
        <f t="shared" ca="1" si="176"/>
        <v>-13279475030.924622</v>
      </c>
      <c r="L4035" s="455">
        <f t="shared" ca="1" si="177"/>
        <v>-3200353482452.834</v>
      </c>
      <c r="M4035" s="471">
        <f t="shared" si="179"/>
        <v>0.05</v>
      </c>
      <c r="N4035" s="475">
        <f t="shared" si="180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78"/>
        <v>-3200353482452.834</v>
      </c>
      <c r="J4036" s="455">
        <f t="array" ref="J4036">IFERROR(INDEX('Retirement Calculator'!J:J,MATCH('Isaac 401k'!N4036,'Retirement Calculator'!A:A,0),0),0)</f>
        <v>0</v>
      </c>
      <c r="K4036" s="455">
        <f t="shared" ca="1" si="176"/>
        <v>-13334806176.886808</v>
      </c>
      <c r="L4036" s="455">
        <f t="shared" ca="1" si="177"/>
        <v>-3213688288629.7207</v>
      </c>
      <c r="M4036" s="471">
        <f t="shared" si="179"/>
        <v>0.05</v>
      </c>
      <c r="N4036" s="475">
        <f t="shared" si="180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78"/>
        <v>-3213688288629.7207</v>
      </c>
      <c r="J4037" s="455">
        <f t="array" ref="J4037">IFERROR(INDEX('Retirement Calculator'!J:J,MATCH('Isaac 401k'!N4037,'Retirement Calculator'!A:A,0),0),0)</f>
        <v>0</v>
      </c>
      <c r="K4037" s="455">
        <f t="shared" ca="1" si="176"/>
        <v>-13390367869.290503</v>
      </c>
      <c r="L4037" s="455">
        <f t="shared" ca="1" si="177"/>
        <v>-3227078656499.0112</v>
      </c>
      <c r="M4037" s="471">
        <f t="shared" si="179"/>
        <v>0.05</v>
      </c>
      <c r="N4037" s="475">
        <f t="shared" si="180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78"/>
        <v>-3227078656499.0112</v>
      </c>
      <c r="J4038" s="455">
        <f t="array" ref="J4038">IFERROR(INDEX('Retirement Calculator'!J:J,MATCH('Isaac 401k'!N4038,'Retirement Calculator'!A:A,0),0),0)</f>
        <v>0</v>
      </c>
      <c r="K4038" s="455">
        <f t="shared" ca="1" si="176"/>
        <v>-13446161068.74588</v>
      </c>
      <c r="L4038" s="455">
        <f t="shared" ca="1" si="177"/>
        <v>-3240524817567.7573</v>
      </c>
      <c r="M4038" s="471">
        <f t="shared" si="179"/>
        <v>0.05</v>
      </c>
      <c r="N4038" s="475">
        <f t="shared" si="180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78"/>
        <v>-3240524817567.7573</v>
      </c>
      <c r="J4039" s="455">
        <f t="array" ref="J4039">IFERROR(INDEX('Retirement Calculator'!J:J,MATCH('Isaac 401k'!N4039,'Retirement Calculator'!A:A,0),0),0)</f>
        <v>0</v>
      </c>
      <c r="K4039" s="455">
        <f t="shared" ca="1" si="176"/>
        <v>-13502186739.865656</v>
      </c>
      <c r="L4039" s="455">
        <f t="shared" ca="1" si="177"/>
        <v>-3254027004307.623</v>
      </c>
      <c r="M4039" s="471">
        <f t="shared" si="179"/>
        <v>0.05</v>
      </c>
      <c r="N4039" s="475">
        <f t="shared" si="180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78"/>
        <v>-3254027004307.623</v>
      </c>
      <c r="J4040" s="455">
        <f t="array" ref="J4040">IFERROR(INDEX('Retirement Calculator'!J:J,MATCH('Isaac 401k'!N4040,'Retirement Calculator'!A:A,0),0),0)</f>
        <v>0</v>
      </c>
      <c r="K4040" s="455">
        <f t="shared" ca="1" si="176"/>
        <v>-13558445851.281763</v>
      </c>
      <c r="L4040" s="455">
        <f t="shared" ca="1" si="177"/>
        <v>-3267585450158.9048</v>
      </c>
      <c r="M4040" s="471">
        <f t="shared" si="179"/>
        <v>0.05</v>
      </c>
      <c r="N4040" s="475">
        <f t="shared" si="180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78"/>
        <v>-3267585450158.9048</v>
      </c>
      <c r="J4041" s="455">
        <f t="array" ref="J4041">IFERROR(INDEX('Retirement Calculator'!J:J,MATCH('Isaac 401k'!N4041,'Retirement Calculator'!A:A,0),0),0)</f>
        <v>0</v>
      </c>
      <c r="K4041" s="455">
        <f t="shared" ca="1" si="176"/>
        <v>-13614939375.662104</v>
      </c>
      <c r="L4041" s="455">
        <f t="shared" ca="1" si="177"/>
        <v>-3281200389534.5669</v>
      </c>
      <c r="M4041" s="471">
        <f t="shared" si="179"/>
        <v>0.05</v>
      </c>
      <c r="N4041" s="475">
        <f t="shared" si="180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78"/>
        <v>-3281200389534.5669</v>
      </c>
      <c r="J4042" s="455">
        <f t="array" ref="J4042">IFERROR(INDEX('Retirement Calculator'!J:J,MATCH('Isaac 401k'!N4042,'Retirement Calculator'!A:A,0),0),0)</f>
        <v>0</v>
      </c>
      <c r="K4042" s="455">
        <f t="shared" ca="1" si="176"/>
        <v>-13671668289.727362</v>
      </c>
      <c r="L4042" s="455">
        <f t="shared" ca="1" si="177"/>
        <v>-3294872057824.2944</v>
      </c>
      <c r="M4042" s="471">
        <f t="shared" si="179"/>
        <v>0.05</v>
      </c>
      <c r="N4042" s="475">
        <f t="shared" si="180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78"/>
        <v>-3294872057824.2944</v>
      </c>
      <c r="J4043" s="455">
        <f t="array" ref="J4043">IFERROR(INDEX('Retirement Calculator'!J:J,MATCH('Isaac 401k'!N4043,'Retirement Calculator'!A:A,0),0),0)</f>
        <v>0</v>
      </c>
      <c r="K4043" s="455">
        <f t="shared" ca="1" si="176"/>
        <v>-13728633574.267893</v>
      </c>
      <c r="L4043" s="455">
        <f t="shared" ca="1" si="177"/>
        <v>-3308600691398.5625</v>
      </c>
      <c r="M4043" s="471">
        <f t="shared" si="179"/>
        <v>0.05</v>
      </c>
      <c r="N4043" s="475">
        <f t="shared" si="180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78"/>
        <v>-3308600691398.5625</v>
      </c>
      <c r="J4044" s="455">
        <f t="array" ref="J4044">IFERROR(INDEX('Retirement Calculator'!J:J,MATCH('Isaac 401k'!N4044,'Retirement Calculator'!A:A,0),0),0)</f>
        <v>0</v>
      </c>
      <c r="K4044" s="455">
        <f t="shared" ca="1" si="176"/>
        <v>-13785836214.160677</v>
      </c>
      <c r="L4044" s="455">
        <f t="shared" ca="1" si="177"/>
        <v>-3322386527612.7231</v>
      </c>
      <c r="M4044" s="471">
        <f t="shared" si="179"/>
        <v>0.05</v>
      </c>
      <c r="N4044" s="475">
        <f t="shared" si="180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78"/>
        <v>-3322386527612.7231</v>
      </c>
      <c r="J4045" s="455">
        <f t="array" ref="J4045">IFERROR(INDEX('Retirement Calculator'!J:J,MATCH('Isaac 401k'!N4045,'Retirement Calculator'!A:A,0),0),0)</f>
        <v>0</v>
      </c>
      <c r="K4045" s="455">
        <f t="shared" ca="1" si="176"/>
        <v>-13843277198.386347</v>
      </c>
      <c r="L4045" s="455">
        <f t="shared" ca="1" si="177"/>
        <v>-3336229804811.1094</v>
      </c>
      <c r="M4045" s="471">
        <f t="shared" si="179"/>
        <v>0.05</v>
      </c>
      <c r="N4045" s="475">
        <f t="shared" si="180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78"/>
        <v>-3336229804811.1094</v>
      </c>
      <c r="J4046" s="455">
        <f t="array" ref="J4046">IFERROR(INDEX('Retirement Calculator'!J:J,MATCH('Isaac 401k'!N4046,'Retirement Calculator'!A:A,0),0),0)</f>
        <v>0</v>
      </c>
      <c r="K4046" s="455">
        <f t="shared" ca="1" si="176"/>
        <v>-13900957520.046289</v>
      </c>
      <c r="L4046" s="455">
        <f t="shared" ca="1" si="177"/>
        <v>-3350130762331.1558</v>
      </c>
      <c r="M4046" s="471">
        <f t="shared" si="179"/>
        <v>0.05</v>
      </c>
      <c r="N4046" s="475">
        <f t="shared" si="180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78"/>
        <v>-3350130762331.1558</v>
      </c>
      <c r="J4047" s="455">
        <f t="array" ref="J4047">IFERROR(INDEX('Retirement Calculator'!J:J,MATCH('Isaac 401k'!N4047,'Retirement Calculator'!A:A,0),0),0)</f>
        <v>0</v>
      </c>
      <c r="K4047" s="455">
        <f t="shared" ca="1" si="176"/>
        <v>-13958878176.379816</v>
      </c>
      <c r="L4047" s="455">
        <f t="shared" ca="1" si="177"/>
        <v>-3364089640507.5356</v>
      </c>
      <c r="M4047" s="471">
        <f t="shared" si="179"/>
        <v>0.05</v>
      </c>
      <c r="N4047" s="475">
        <f t="shared" si="180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78"/>
        <v>-3364089640507.5356</v>
      </c>
      <c r="J4048" s="455">
        <f t="array" ref="J4048">IFERROR(INDEX('Retirement Calculator'!J:J,MATCH('Isaac 401k'!N4048,'Retirement Calculator'!A:A,0),0),0)</f>
        <v>0</v>
      </c>
      <c r="K4048" s="455">
        <f t="shared" ca="1" si="176"/>
        <v>-14017040168.781399</v>
      </c>
      <c r="L4048" s="455">
        <f t="shared" ca="1" si="177"/>
        <v>-3378106680676.3169</v>
      </c>
      <c r="M4048" s="471">
        <f t="shared" si="179"/>
        <v>0.05</v>
      </c>
      <c r="N4048" s="475">
        <f t="shared" si="180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78"/>
        <v>-3378106680676.3169</v>
      </c>
      <c r="J4049" s="455">
        <f t="array" ref="J4049">IFERROR(INDEX('Retirement Calculator'!J:J,MATCH('Isaac 401k'!N4049,'Retirement Calculator'!A:A,0),0),0)</f>
        <v>0</v>
      </c>
      <c r="K4049" s="455">
        <f t="shared" ca="1" si="176"/>
        <v>-14075444502.817987</v>
      </c>
      <c r="L4049" s="455">
        <f t="shared" ca="1" si="177"/>
        <v>-3392182125179.1348</v>
      </c>
      <c r="M4049" s="471">
        <f t="shared" si="179"/>
        <v>0.05</v>
      </c>
      <c r="N4049" s="475">
        <f t="shared" si="180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78"/>
        <v>-3392182125179.1348</v>
      </c>
      <c r="J4050" s="455">
        <f t="array" ref="J4050">IFERROR(INDEX('Retirement Calculator'!J:J,MATCH('Isaac 401k'!N4050,'Retirement Calculator'!A:A,0),0),0)</f>
        <v>0</v>
      </c>
      <c r="K4050" s="455">
        <f t="shared" ca="1" si="176"/>
        <v>-14134092188.246395</v>
      </c>
      <c r="L4050" s="455">
        <f t="shared" ca="1" si="177"/>
        <v>-3406316217367.3813</v>
      </c>
      <c r="M4050" s="471">
        <f t="shared" si="179"/>
        <v>0.05</v>
      </c>
      <c r="N4050" s="475">
        <f t="shared" si="180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78"/>
        <v>-3406316217367.3813</v>
      </c>
      <c r="J4051" s="455">
        <f t="array" ref="J4051">IFERROR(INDEX('Retirement Calculator'!J:J,MATCH('Isaac 401k'!N4051,'Retirement Calculator'!A:A,0),0),0)</f>
        <v>0</v>
      </c>
      <c r="K4051" s="455">
        <f t="shared" ca="1" si="176"/>
        <v>-14192984239.030756</v>
      </c>
      <c r="L4051" s="455">
        <f t="shared" ca="1" si="177"/>
        <v>-3420509201606.4121</v>
      </c>
      <c r="M4051" s="471">
        <f t="shared" si="179"/>
        <v>0.05</v>
      </c>
      <c r="N4051" s="475">
        <f t="shared" si="180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78"/>
        <v>-3420509201606.4121</v>
      </c>
      <c r="J4052" s="455">
        <f t="array" ref="J4052">IFERROR(INDEX('Retirement Calculator'!J:J,MATCH('Isaac 401k'!N4052,'Retirement Calculator'!A:A,0),0),0)</f>
        <v>0</v>
      </c>
      <c r="K4052" s="455">
        <f t="shared" ca="1" si="176"/>
        <v>-14252121673.36005</v>
      </c>
      <c r="L4052" s="455">
        <f t="shared" ca="1" si="177"/>
        <v>-3434761323279.772</v>
      </c>
      <c r="M4052" s="471">
        <f t="shared" si="179"/>
        <v>0.05</v>
      </c>
      <c r="N4052" s="475">
        <f t="shared" si="180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78"/>
        <v>-3434761323279.772</v>
      </c>
      <c r="J4053" s="455">
        <f t="array" ref="J4053">IFERROR(INDEX('Retirement Calculator'!J:J,MATCH('Isaac 401k'!N4053,'Retirement Calculator'!A:A,0),0),0)</f>
        <v>0</v>
      </c>
      <c r="K4053" s="455">
        <f t="shared" ca="1" si="176"/>
        <v>-14311505513.665718</v>
      </c>
      <c r="L4053" s="455">
        <f t="shared" ca="1" si="177"/>
        <v>-3449072828793.4375</v>
      </c>
      <c r="M4053" s="471">
        <f t="shared" si="179"/>
        <v>0.05</v>
      </c>
      <c r="N4053" s="475">
        <f t="shared" si="180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78"/>
        <v>-3449072828793.4375</v>
      </c>
      <c r="J4054" s="455">
        <f t="array" ref="J4054">IFERROR(INDEX('Retirement Calculator'!J:J,MATCH('Isaac 401k'!N4054,'Retirement Calculator'!A:A,0),0),0)</f>
        <v>0</v>
      </c>
      <c r="K4054" s="455">
        <f t="shared" ca="1" si="176"/>
        <v>-14371136786.639322</v>
      </c>
      <c r="L4054" s="455">
        <f t="shared" ca="1" si="177"/>
        <v>-3463443965580.0767</v>
      </c>
      <c r="M4054" s="471">
        <f t="shared" si="179"/>
        <v>0.05</v>
      </c>
      <c r="N4054" s="475">
        <f t="shared" si="180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78"/>
        <v>-3463443965580.0767</v>
      </c>
      <c r="J4055" s="455">
        <f t="array" ref="J4055">IFERROR(INDEX('Retirement Calculator'!J:J,MATCH('Isaac 401k'!N4055,'Retirement Calculator'!A:A,0),0),0)</f>
        <v>0</v>
      </c>
      <c r="K4055" s="455">
        <f t="shared" ca="1" si="176"/>
        <v>-14431016523.250319</v>
      </c>
      <c r="L4055" s="455">
        <f t="shared" ca="1" si="177"/>
        <v>-3477874982103.3271</v>
      </c>
      <c r="M4055" s="471">
        <f t="shared" si="179"/>
        <v>0.05</v>
      </c>
      <c r="N4055" s="475">
        <f t="shared" si="180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78"/>
        <v>-3477874982103.3271</v>
      </c>
      <c r="J4056" s="455">
        <f t="array" ref="J4056">IFERROR(INDEX('Retirement Calculator'!J:J,MATCH('Isaac 401k'!N4056,'Retirement Calculator'!A:A,0),0),0)</f>
        <v>0</v>
      </c>
      <c r="K4056" s="455">
        <f t="shared" ca="1" si="176"/>
        <v>-14491145758.763863</v>
      </c>
      <c r="L4056" s="455">
        <f t="shared" ca="1" si="177"/>
        <v>-3492366127862.0908</v>
      </c>
      <c r="M4056" s="471">
        <f t="shared" si="179"/>
        <v>0.05</v>
      </c>
      <c r="N4056" s="475">
        <f t="shared" si="180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78"/>
        <v>-3492366127862.0908</v>
      </c>
      <c r="J4057" s="455">
        <f t="array" ref="J4057">IFERROR(INDEX('Retirement Calculator'!J:J,MATCH('Isaac 401k'!N4057,'Retirement Calculator'!A:A,0),0),0)</f>
        <v>0</v>
      </c>
      <c r="K4057" s="455">
        <f t="shared" ca="1" si="176"/>
        <v>-14551525532.758711</v>
      </c>
      <c r="L4057" s="455">
        <f t="shared" ca="1" si="177"/>
        <v>-3506917653394.8496</v>
      </c>
      <c r="M4057" s="471">
        <f t="shared" si="179"/>
        <v>0.05</v>
      </c>
      <c r="N4057" s="475">
        <f t="shared" si="180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78"/>
        <v>-3506917653394.8496</v>
      </c>
      <c r="J4058" s="455">
        <f t="array" ref="J4058">IFERROR(INDEX('Retirement Calculator'!J:J,MATCH('Isaac 401k'!N4058,'Retirement Calculator'!A:A,0),0),0)</f>
        <v>0</v>
      </c>
      <c r="K4058" s="455">
        <f t="shared" ca="1" si="176"/>
        <v>-14612156889.145206</v>
      </c>
      <c r="L4058" s="455">
        <f t="shared" ca="1" si="177"/>
        <v>-3521529810283.9946</v>
      </c>
      <c r="M4058" s="471">
        <f t="shared" si="179"/>
        <v>0.05</v>
      </c>
      <c r="N4058" s="475">
        <f t="shared" si="180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78"/>
        <v>-3521529810283.9946</v>
      </c>
      <c r="J4059" s="455">
        <f t="array" ref="J4059">IFERROR(INDEX('Retirement Calculator'!J:J,MATCH('Isaac 401k'!N4059,'Retirement Calculator'!A:A,0),0),0)</f>
        <v>0</v>
      </c>
      <c r="K4059" s="455">
        <f t="shared" ca="1" si="176"/>
        <v>-14673040876.183311</v>
      </c>
      <c r="L4059" s="455">
        <f t="shared" ca="1" si="177"/>
        <v>-3536202851160.1777</v>
      </c>
      <c r="M4059" s="471">
        <f t="shared" si="179"/>
        <v>0.05</v>
      </c>
      <c r="N4059" s="475">
        <f t="shared" si="180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78"/>
        <v>-3536202851160.1777</v>
      </c>
      <c r="J4060" s="455">
        <f t="array" ref="J4060">IFERROR(INDEX('Retirement Calculator'!J:J,MATCH('Isaac 401k'!N4060,'Retirement Calculator'!A:A,0),0),0)</f>
        <v>0</v>
      </c>
      <c r="K4060" s="455">
        <f t="shared" ca="1" si="176"/>
        <v>-14734178546.50074</v>
      </c>
      <c r="L4060" s="455">
        <f t="shared" ca="1" si="177"/>
        <v>-3550937029706.6787</v>
      </c>
      <c r="M4060" s="471">
        <f t="shared" si="179"/>
        <v>0.05</v>
      </c>
      <c r="N4060" s="475">
        <f t="shared" si="180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78"/>
        <v>-3550937029706.6787</v>
      </c>
      <c r="J4061" s="455">
        <f t="array" ref="J4061">IFERROR(INDEX('Retirement Calculator'!J:J,MATCH('Isaac 401k'!N4061,'Retirement Calculator'!A:A,0),0),0)</f>
        <v>0</v>
      </c>
      <c r="K4061" s="455">
        <f t="shared" ca="1" si="176"/>
        <v>-14795570957.11116</v>
      </c>
      <c r="L4061" s="455">
        <f t="shared" ca="1" si="177"/>
        <v>-3565732600663.79</v>
      </c>
      <c r="M4061" s="471">
        <f t="shared" si="179"/>
        <v>0.05</v>
      </c>
      <c r="N4061" s="475">
        <f t="shared" si="180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78"/>
        <v>-3565732600663.79</v>
      </c>
      <c r="J4062" s="455">
        <f t="array" ref="J4062">IFERROR(INDEX('Retirement Calculator'!J:J,MATCH('Isaac 401k'!N4062,'Retirement Calculator'!A:A,0),0),0)</f>
        <v>0</v>
      </c>
      <c r="K4062" s="455">
        <f t="shared" ca="1" si="176"/>
        <v>-14857219169.432459</v>
      </c>
      <c r="L4062" s="455">
        <f t="shared" ca="1" si="177"/>
        <v>-3580589819833.2227</v>
      </c>
      <c r="M4062" s="471">
        <f t="shared" si="179"/>
        <v>0.05</v>
      </c>
      <c r="N4062" s="475">
        <f t="shared" si="180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78"/>
        <v>-3580589819833.2227</v>
      </c>
      <c r="J4063" s="455">
        <f t="array" ref="J4063">IFERROR(INDEX('Retirement Calculator'!J:J,MATCH('Isaac 401k'!N4063,'Retirement Calculator'!A:A,0),0),0)</f>
        <v>0</v>
      </c>
      <c r="K4063" s="455">
        <f t="shared" ca="1" si="176"/>
        <v>-14919124249.305094</v>
      </c>
      <c r="L4063" s="455">
        <f t="shared" ca="1" si="177"/>
        <v>-3595508944082.5278</v>
      </c>
      <c r="M4063" s="471">
        <f t="shared" si="179"/>
        <v>0.05</v>
      </c>
      <c r="N4063" s="475">
        <f t="shared" si="180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78"/>
        <v>-3595508944082.5278</v>
      </c>
      <c r="J4064" s="455">
        <f t="array" ref="J4064">IFERROR(INDEX('Retirement Calculator'!J:J,MATCH('Isaac 401k'!N4064,'Retirement Calculator'!A:A,0),0),0)</f>
        <v>0</v>
      </c>
      <c r="K4064" s="455">
        <f t="shared" ca="1" si="176"/>
        <v>-14981287267.010532</v>
      </c>
      <c r="L4064" s="455">
        <f t="shared" ca="1" si="177"/>
        <v>-3610490231349.5386</v>
      </c>
      <c r="M4064" s="471">
        <f t="shared" si="179"/>
        <v>0.05</v>
      </c>
      <c r="N4064" s="475">
        <f t="shared" si="180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78"/>
        <v>-3610490231349.5386</v>
      </c>
      <c r="J4065" s="455">
        <f t="array" ref="J4065">IFERROR(INDEX('Retirement Calculator'!J:J,MATCH('Isaac 401k'!N4065,'Retirement Calculator'!A:A,0),0),0)</f>
        <v>0</v>
      </c>
      <c r="K4065" s="455">
        <f t="shared" ca="1" si="176"/>
        <v>-15043709297.289743</v>
      </c>
      <c r="L4065" s="455">
        <f t="shared" ca="1" si="177"/>
        <v>-3625533940646.8281</v>
      </c>
      <c r="M4065" s="471">
        <f t="shared" si="179"/>
        <v>0.05</v>
      </c>
      <c r="N4065" s="475">
        <f t="shared" si="180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78"/>
        <v>-3625533940646.8281</v>
      </c>
      <c r="J4066" s="455">
        <f t="array" ref="J4066">IFERROR(INDEX('Retirement Calculator'!J:J,MATCH('Isaac 401k'!N4066,'Retirement Calculator'!A:A,0),0),0)</f>
        <v>0</v>
      </c>
      <c r="K4066" s="455">
        <f t="shared" ca="1" si="176"/>
        <v>-15106391419.361782</v>
      </c>
      <c r="L4066" s="455">
        <f t="shared" ca="1" si="177"/>
        <v>-3640640332066.1899</v>
      </c>
      <c r="M4066" s="471">
        <f t="shared" si="179"/>
        <v>0.05</v>
      </c>
      <c r="N4066" s="475">
        <f t="shared" si="180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78"/>
        <v>-3640640332066.1899</v>
      </c>
      <c r="J4067" s="455">
        <f t="array" ref="J4067">IFERROR(INDEX('Retirement Calculator'!J:J,MATCH('Isaac 401k'!N4067,'Retirement Calculator'!A:A,0),0),0)</f>
        <v>0</v>
      </c>
      <c r="K4067" s="455">
        <f t="shared" ca="1" si="176"/>
        <v>-15169334716.942459</v>
      </c>
      <c r="L4067" s="455">
        <f t="shared" ca="1" si="177"/>
        <v>-3655809666783.1323</v>
      </c>
      <c r="M4067" s="471">
        <f t="shared" si="179"/>
        <v>0.05</v>
      </c>
      <c r="N4067" s="475">
        <f t="shared" si="180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78"/>
        <v>-3655809666783.1323</v>
      </c>
      <c r="J4068" s="455">
        <f t="array" ref="J4068">IFERROR(INDEX('Retirement Calculator'!J:J,MATCH('Isaac 401k'!N4068,'Retirement Calculator'!A:A,0),0),0)</f>
        <v>0</v>
      </c>
      <c r="K4068" s="455">
        <f t="shared" ca="1" si="176"/>
        <v>-15232540278.263048</v>
      </c>
      <c r="L4068" s="455">
        <f t="shared" ca="1" si="177"/>
        <v>-3671042207061.3955</v>
      </c>
      <c r="M4068" s="471">
        <f t="shared" si="179"/>
        <v>0.05</v>
      </c>
      <c r="N4068" s="475">
        <f t="shared" si="180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78"/>
        <v>-3671042207061.3955</v>
      </c>
      <c r="J4069" s="455">
        <f t="array" ref="J4069">IFERROR(INDEX('Retirement Calculator'!J:J,MATCH('Isaac 401k'!N4069,'Retirement Calculator'!A:A,0),0),0)</f>
        <v>0</v>
      </c>
      <c r="K4069" s="455">
        <f t="shared" ca="1" si="176"/>
        <v>-15296009196.089148</v>
      </c>
      <c r="L4069" s="455">
        <f t="shared" ca="1" si="177"/>
        <v>-3686338216257.4849</v>
      </c>
      <c r="M4069" s="471">
        <f t="shared" si="179"/>
        <v>0.05</v>
      </c>
      <c r="N4069" s="475">
        <f t="shared" si="180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78"/>
        <v>-3686338216257.4849</v>
      </c>
      <c r="J4070" s="455">
        <f t="array" ref="J4070">IFERROR(INDEX('Retirement Calculator'!J:J,MATCH('Isaac 401k'!N4070,'Retirement Calculator'!A:A,0),0),0)</f>
        <v>0</v>
      </c>
      <c r="K4070" s="455">
        <f t="shared" ca="1" si="176"/>
        <v>-15359742567.739519</v>
      </c>
      <c r="L4070" s="455">
        <f t="shared" ca="1" si="177"/>
        <v>-3701697958825.2246</v>
      </c>
      <c r="M4070" s="471">
        <f t="shared" si="179"/>
        <v>0.05</v>
      </c>
      <c r="N4070" s="475">
        <f t="shared" si="180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78"/>
        <v>-3701697958825.2246</v>
      </c>
      <c r="J4071" s="455">
        <f t="array" ref="J4071">IFERROR(INDEX('Retirement Calculator'!J:J,MATCH('Isaac 401k'!N4071,'Retirement Calculator'!A:A,0),0),0)</f>
        <v>0</v>
      </c>
      <c r="K4071" s="455">
        <f t="shared" ca="1" si="176"/>
        <v>-15423741495.105104</v>
      </c>
      <c r="L4071" s="455">
        <f t="shared" ca="1" si="177"/>
        <v>-3717121700320.3296</v>
      </c>
      <c r="M4071" s="471">
        <f t="shared" si="179"/>
        <v>0.05</v>
      </c>
      <c r="N4071" s="475">
        <f t="shared" si="180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78"/>
        <v>-3717121700320.3296</v>
      </c>
      <c r="J4072" s="455">
        <f t="array" ref="J4072">IFERROR(INDEX('Retirement Calculator'!J:J,MATCH('Isaac 401k'!N4072,'Retirement Calculator'!A:A,0),0),0)</f>
        <v>0</v>
      </c>
      <c r="K4072" s="455">
        <f t="shared" ca="1" si="176"/>
        <v>-15488007084.668039</v>
      </c>
      <c r="L4072" s="455">
        <f t="shared" ca="1" si="177"/>
        <v>-3732609707404.9976</v>
      </c>
      <c r="M4072" s="471">
        <f t="shared" si="179"/>
        <v>0.05</v>
      </c>
      <c r="N4072" s="475">
        <f t="shared" si="180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78"/>
        <v>-3732609707404.9976</v>
      </c>
      <c r="J4073" s="455">
        <f t="array" ref="J4073">IFERROR(INDEX('Retirement Calculator'!J:J,MATCH('Isaac 401k'!N4073,'Retirement Calculator'!A:A,0),0),0)</f>
        <v>0</v>
      </c>
      <c r="K4073" s="455">
        <f t="shared" ca="1" si="176"/>
        <v>-15552540447.520824</v>
      </c>
      <c r="L4073" s="455">
        <f t="shared" ca="1" si="177"/>
        <v>-3748162247852.5186</v>
      </c>
      <c r="M4073" s="471">
        <f t="shared" si="179"/>
        <v>0.05</v>
      </c>
      <c r="N4073" s="475">
        <f t="shared" si="180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78"/>
        <v>-3748162247852.5186</v>
      </c>
      <c r="J4074" s="455">
        <f t="array" ref="J4074">IFERROR(INDEX('Retirement Calculator'!J:J,MATCH('Isaac 401k'!N4074,'Retirement Calculator'!A:A,0),0),0)</f>
        <v>0</v>
      </c>
      <c r="K4074" s="455">
        <f t="shared" ca="1" si="176"/>
        <v>-15617342699.385494</v>
      </c>
      <c r="L4074" s="455">
        <f t="shared" ca="1" si="177"/>
        <v>-3763779590551.9038</v>
      </c>
      <c r="M4074" s="471">
        <f t="shared" si="179"/>
        <v>0.05</v>
      </c>
      <c r="N4074" s="475">
        <f t="shared" si="180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78"/>
        <v>-3763779590551.9038</v>
      </c>
      <c r="J4075" s="455">
        <f t="array" ref="J4075">IFERROR(INDEX('Retirement Calculator'!J:J,MATCH('Isaac 401k'!N4075,'Retirement Calculator'!A:A,0),0),0)</f>
        <v>0</v>
      </c>
      <c r="K4075" s="455">
        <f t="shared" ca="1" si="176"/>
        <v>-15682414960.632933</v>
      </c>
      <c r="L4075" s="455">
        <f t="shared" ca="1" si="177"/>
        <v>-3779462005512.5366</v>
      </c>
      <c r="M4075" s="471">
        <f t="shared" si="179"/>
        <v>0.05</v>
      </c>
      <c r="N4075" s="475">
        <f t="shared" si="180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78"/>
        <v>-3779462005512.5366</v>
      </c>
      <c r="J4076" s="455">
        <f t="array" ref="J4076">IFERROR(INDEX('Retirement Calculator'!J:J,MATCH('Isaac 401k'!N4076,'Retirement Calculator'!A:A,0),0),0)</f>
        <v>0</v>
      </c>
      <c r="K4076" s="455">
        <f t="shared" ca="1" si="176"/>
        <v>-15747758356.302233</v>
      </c>
      <c r="L4076" s="455">
        <f t="shared" ca="1" si="177"/>
        <v>-3795209763868.8389</v>
      </c>
      <c r="M4076" s="471">
        <f t="shared" si="179"/>
        <v>0.05</v>
      </c>
      <c r="N4076" s="475">
        <f t="shared" si="180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78"/>
        <v>-3795209763868.8389</v>
      </c>
      <c r="J4077" s="455">
        <f t="array" ref="J4077">IFERROR(INDEX('Retirement Calculator'!J:J,MATCH('Isaac 401k'!N4077,'Retirement Calculator'!A:A,0),0),0)</f>
        <v>0</v>
      </c>
      <c r="K4077" s="455">
        <f t="shared" ca="1" si="176"/>
        <v>-15813374016.120161</v>
      </c>
      <c r="L4077" s="455">
        <f t="shared" ca="1" si="177"/>
        <v>-3811023137884.959</v>
      </c>
      <c r="M4077" s="471">
        <f t="shared" si="179"/>
        <v>0.05</v>
      </c>
      <c r="N4077" s="475">
        <f t="shared" si="180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78"/>
        <v>-3811023137884.959</v>
      </c>
      <c r="J4078" s="455">
        <f t="array" ref="J4078">IFERROR(INDEX('Retirement Calculator'!J:J,MATCH('Isaac 401k'!N4078,'Retirement Calculator'!A:A,0),0),0)</f>
        <v>0</v>
      </c>
      <c r="K4078" s="455">
        <f t="shared" ca="1" si="176"/>
        <v>-15879263074.520662</v>
      </c>
      <c r="L4078" s="455">
        <f t="shared" ca="1" si="177"/>
        <v>-3826902400959.4795</v>
      </c>
      <c r="M4078" s="471">
        <f t="shared" si="179"/>
        <v>0.05</v>
      </c>
      <c r="N4078" s="475">
        <f t="shared" si="180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78"/>
        <v>-3826902400959.4795</v>
      </c>
      <c r="J4079" s="455">
        <f t="array" ref="J4079">IFERROR(INDEX('Retirement Calculator'!J:J,MATCH('Isaac 401k'!N4079,'Retirement Calculator'!A:A,0),0),0)</f>
        <v>0</v>
      </c>
      <c r="K4079" s="455">
        <f t="shared" ca="1" si="176"/>
        <v>-15945426670.664497</v>
      </c>
      <c r="L4079" s="455">
        <f t="shared" ca="1" si="177"/>
        <v>-3842847827630.144</v>
      </c>
      <c r="M4079" s="471">
        <f t="shared" si="179"/>
        <v>0.05</v>
      </c>
      <c r="N4079" s="475">
        <f t="shared" si="180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78"/>
        <v>-3842847827630.144</v>
      </c>
      <c r="J4080" s="455">
        <f t="array" ref="J4080">IFERROR(INDEX('Retirement Calculator'!J:J,MATCH('Isaac 401k'!N4080,'Retirement Calculator'!A:A,0),0),0)</f>
        <v>0</v>
      </c>
      <c r="K4080" s="455">
        <f t="shared" ca="1" si="176"/>
        <v>-16011865948.458933</v>
      </c>
      <c r="L4080" s="455">
        <f t="shared" ca="1" si="177"/>
        <v>-3858859693578.603</v>
      </c>
      <c r="M4080" s="471">
        <f t="shared" si="179"/>
        <v>0.05</v>
      </c>
      <c r="N4080" s="475">
        <f t="shared" si="180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78"/>
        <v>-3858859693578.603</v>
      </c>
      <c r="J4081" s="455">
        <f t="array" ref="J4081">IFERROR(INDEX('Retirement Calculator'!J:J,MATCH('Isaac 401k'!N4081,'Retirement Calculator'!A:A,0),0),0)</f>
        <v>0</v>
      </c>
      <c r="K4081" s="455">
        <f t="shared" ca="1" si="176"/>
        <v>-16078582056.577511</v>
      </c>
      <c r="L4081" s="455">
        <f t="shared" ca="1" si="177"/>
        <v>-3874938275635.1807</v>
      </c>
      <c r="M4081" s="471">
        <f t="shared" si="179"/>
        <v>0.05</v>
      </c>
      <c r="N4081" s="475">
        <f t="shared" si="180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78"/>
        <v>-3874938275635.1807</v>
      </c>
      <c r="J4082" s="455">
        <f t="array" ref="J4082">IFERROR(INDEX('Retirement Calculator'!J:J,MATCH('Isaac 401k'!N4082,'Retirement Calculator'!A:A,0),0),0)</f>
        <v>0</v>
      </c>
      <c r="K4082" s="455">
        <f t="shared" ca="1" si="176"/>
        <v>-16145576148.479921</v>
      </c>
      <c r="L4082" s="455">
        <f t="shared" ca="1" si="177"/>
        <v>-3891083851783.6606</v>
      </c>
      <c r="M4082" s="471">
        <f t="shared" si="179"/>
        <v>0.05</v>
      </c>
      <c r="N4082" s="475">
        <f t="shared" si="180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78"/>
        <v>-3891083851783.6606</v>
      </c>
      <c r="J4083" s="455">
        <f t="array" ref="J4083">IFERROR(INDEX('Retirement Calculator'!J:J,MATCH('Isaac 401k'!N4083,'Retirement Calculator'!A:A,0),0),0)</f>
        <v>0</v>
      </c>
      <c r="K4083" s="455">
        <f t="shared" ca="1" si="176"/>
        <v>-16212849382.431917</v>
      </c>
      <c r="L4083" s="455">
        <f t="shared" ca="1" si="177"/>
        <v>-3907296701166.0928</v>
      </c>
      <c r="M4083" s="471">
        <f t="shared" si="179"/>
        <v>0.05</v>
      </c>
      <c r="N4083" s="475">
        <f t="shared" si="180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78"/>
        <v>-3907296701166.0928</v>
      </c>
      <c r="J4084" s="455">
        <f t="array" ref="J4084">IFERROR(INDEX('Retirement Calculator'!J:J,MATCH('Isaac 401k'!N4084,'Retirement Calculator'!A:A,0),0),0)</f>
        <v>0</v>
      </c>
      <c r="K4084" s="455">
        <f t="shared" ca="1" si="176"/>
        <v>-16280402921.525387</v>
      </c>
      <c r="L4084" s="455">
        <f t="shared" ca="1" si="177"/>
        <v>-3923577104087.6182</v>
      </c>
      <c r="M4084" s="471">
        <f t="shared" si="179"/>
        <v>0.05</v>
      </c>
      <c r="N4084" s="475">
        <f t="shared" si="180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78"/>
        <v>-3923577104087.6182</v>
      </c>
      <c r="J4085" s="455">
        <f t="array" ref="J4085">IFERROR(INDEX('Retirement Calculator'!J:J,MATCH('Isaac 401k'!N4085,'Retirement Calculator'!A:A,0),0),0)</f>
        <v>0</v>
      </c>
      <c r="K4085" s="455">
        <f t="shared" ca="1" si="176"/>
        <v>-16348237933.698406</v>
      </c>
      <c r="L4085" s="455">
        <f t="shared" ca="1" si="177"/>
        <v>-3939925342021.3164</v>
      </c>
      <c r="M4085" s="471">
        <f t="shared" si="179"/>
        <v>0.05</v>
      </c>
      <c r="N4085" s="475">
        <f t="shared" si="180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78"/>
        <v>-3939925342021.3164</v>
      </c>
      <c r="J4086" s="455">
        <f t="array" ref="J4086">IFERROR(INDEX('Retirement Calculator'!J:J,MATCH('Isaac 401k'!N4086,'Retirement Calculator'!A:A,0),0),0)</f>
        <v>0</v>
      </c>
      <c r="K4086" s="455">
        <f t="shared" ca="1" si="176"/>
        <v>-16416355591.755486</v>
      </c>
      <c r="L4086" s="455">
        <f t="shared" ca="1" si="177"/>
        <v>-3956341697613.0718</v>
      </c>
      <c r="M4086" s="471">
        <f t="shared" si="179"/>
        <v>0.05</v>
      </c>
      <c r="N4086" s="475">
        <f t="shared" si="180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78"/>
        <v>-3956341697613.0718</v>
      </c>
      <c r="J4087" s="455">
        <f t="array" ref="J4087">IFERROR(INDEX('Retirement Calculator'!J:J,MATCH('Isaac 401k'!N4087,'Retirement Calculator'!A:A,0),0),0)</f>
        <v>0</v>
      </c>
      <c r="K4087" s="455">
        <f t="shared" ca="1" si="176"/>
        <v>-16484757073.3878</v>
      </c>
      <c r="L4087" s="455">
        <f t="shared" ca="1" si="177"/>
        <v>-3972826454686.4595</v>
      </c>
      <c r="M4087" s="471">
        <f t="shared" si="179"/>
        <v>0.05</v>
      </c>
      <c r="N4087" s="475">
        <f t="shared" si="180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78"/>
        <v>-3972826454686.4595</v>
      </c>
      <c r="J4088" s="455">
        <f t="array" ref="J4088">IFERROR(INDEX('Retirement Calculator'!J:J,MATCH('Isaac 401k'!N4088,'Retirement Calculator'!A:A,0),0),0)</f>
        <v>0</v>
      </c>
      <c r="K4088" s="455">
        <f t="shared" ref="K4088:K4342" ca="1" si="181">IPMT(M4088/12,1,12,-I4088+J4088,,0)</f>
        <v>-16553443561.193581</v>
      </c>
      <c r="L4088" s="455">
        <f t="shared" ref="L4088:L4342" ca="1" si="182">I4088-J4088+K4088</f>
        <v>-3989379898247.6528</v>
      </c>
      <c r="M4088" s="471">
        <f t="shared" si="179"/>
        <v>0.05</v>
      </c>
      <c r="N4088" s="475">
        <f t="shared" si="180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83">L4088</f>
        <v>-3989379898247.6528</v>
      </c>
      <c r="J4089" s="455">
        <f t="array" ref="J4089">IFERROR(INDEX('Retirement Calculator'!J:J,MATCH('Isaac 401k'!N4089,'Retirement Calculator'!A:A,0),0),0)</f>
        <v>0</v>
      </c>
      <c r="K4089" s="455">
        <f t="shared" ca="1" si="181"/>
        <v>-16622416242.698551</v>
      </c>
      <c r="L4089" s="455">
        <f t="shared" ca="1" si="182"/>
        <v>-4006002314490.3516</v>
      </c>
      <c r="M4089" s="471">
        <f t="shared" ref="M4089:M4343" si="184">M4088</f>
        <v>0.05</v>
      </c>
      <c r="N4089" s="475">
        <f t="shared" ref="N4089:N4343" si="185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83"/>
        <v>-4006002314490.3516</v>
      </c>
      <c r="J4090" s="455">
        <f t="array" ref="J4090">IFERROR(INDEX('Retirement Calculator'!J:J,MATCH('Isaac 401k'!N4090,'Retirement Calculator'!A:A,0),0),0)</f>
        <v>0</v>
      </c>
      <c r="K4090" s="455">
        <f t="shared" ca="1" si="181"/>
        <v>-16691676310.376467</v>
      </c>
      <c r="L4090" s="455">
        <f t="shared" ca="1" si="182"/>
        <v>-4022693990800.728</v>
      </c>
      <c r="M4090" s="471">
        <f t="shared" si="184"/>
        <v>0.05</v>
      </c>
      <c r="N4090" s="475">
        <f t="shared" si="185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83"/>
        <v>-4022693990800.728</v>
      </c>
      <c r="J4091" s="455">
        <f t="array" ref="J4091">IFERROR(INDEX('Retirement Calculator'!J:J,MATCH('Isaac 401k'!N4091,'Retirement Calculator'!A:A,0),0),0)</f>
        <v>0</v>
      </c>
      <c r="K4091" s="455">
        <f t="shared" ca="1" si="181"/>
        <v>-16761224961.669701</v>
      </c>
      <c r="L4091" s="455">
        <f t="shared" ca="1" si="182"/>
        <v>-4039455215762.3979</v>
      </c>
      <c r="M4091" s="471">
        <f t="shared" si="184"/>
        <v>0.05</v>
      </c>
      <c r="N4091" s="475">
        <f t="shared" si="185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83"/>
        <v>-4039455215762.3979</v>
      </c>
      <c r="J4092" s="455">
        <f t="array" ref="J4092">IFERROR(INDEX('Retirement Calculator'!J:J,MATCH('Isaac 401k'!N4092,'Retirement Calculator'!A:A,0),0),0)</f>
        <v>0</v>
      </c>
      <c r="K4092" s="455">
        <f t="shared" ca="1" si="181"/>
        <v>-16831063399.009993</v>
      </c>
      <c r="L4092" s="455">
        <f t="shared" ca="1" si="182"/>
        <v>-4056286279161.4077</v>
      </c>
      <c r="M4092" s="471">
        <f t="shared" si="184"/>
        <v>0.05</v>
      </c>
      <c r="N4092" s="475">
        <f t="shared" si="185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83"/>
        <v>-4056286279161.4077</v>
      </c>
      <c r="J4093" s="455">
        <f t="array" ref="J4093">IFERROR(INDEX('Retirement Calculator'!J:J,MATCH('Isaac 401k'!N4093,'Retirement Calculator'!A:A,0),0),0)</f>
        <v>0</v>
      </c>
      <c r="K4093" s="455">
        <f t="shared" ca="1" si="181"/>
        <v>-16901192829.839201</v>
      </c>
      <c r="L4093" s="455">
        <f t="shared" ca="1" si="182"/>
        <v>-4073187471991.2471</v>
      </c>
      <c r="M4093" s="471">
        <f t="shared" si="184"/>
        <v>0.05</v>
      </c>
      <c r="N4093" s="475">
        <f t="shared" si="185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83"/>
        <v>-4073187471991.2471</v>
      </c>
      <c r="J4094" s="455">
        <f t="array" ref="J4094">IFERROR(INDEX('Retirement Calculator'!J:J,MATCH('Isaac 401k'!N4094,'Retirement Calculator'!A:A,0),0),0)</f>
        <v>0</v>
      </c>
      <c r="K4094" s="455">
        <f t="shared" ca="1" si="181"/>
        <v>-16971614466.630194</v>
      </c>
      <c r="L4094" s="455">
        <f t="shared" ca="1" si="182"/>
        <v>-4090159086457.8774</v>
      </c>
      <c r="M4094" s="471">
        <f t="shared" si="184"/>
        <v>0.05</v>
      </c>
      <c r="N4094" s="475">
        <f t="shared" si="185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83"/>
        <v>-4090159086457.8774</v>
      </c>
      <c r="J4095" s="455">
        <f t="array" ref="J4095">IFERROR(INDEX('Retirement Calculator'!J:J,MATCH('Isaac 401k'!N4095,'Retirement Calculator'!A:A,0),0),0)</f>
        <v>0</v>
      </c>
      <c r="K4095" s="455">
        <f t="shared" ca="1" si="181"/>
        <v>-17042329526.907822</v>
      </c>
      <c r="L4095" s="455">
        <f t="shared" ca="1" si="182"/>
        <v>-4107201415984.7852</v>
      </c>
      <c r="M4095" s="471">
        <f t="shared" si="184"/>
        <v>0.05</v>
      </c>
      <c r="N4095" s="475">
        <f t="shared" si="185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83"/>
        <v>-4107201415984.7852</v>
      </c>
      <c r="J4096" s="455">
        <f t="array" ref="J4096">IFERROR(INDEX('Retirement Calculator'!J:J,MATCH('Isaac 401k'!N4096,'Retirement Calculator'!A:A,0),0),0)</f>
        <v>0</v>
      </c>
      <c r="K4096" s="455">
        <f t="shared" ca="1" si="181"/>
        <v>-17113339233.269938</v>
      </c>
      <c r="L4096" s="455">
        <f t="shared" ca="1" si="182"/>
        <v>-4124314755218.0552</v>
      </c>
      <c r="M4096" s="471">
        <f t="shared" si="184"/>
        <v>0.05</v>
      </c>
      <c r="N4096" s="475">
        <f t="shared" si="185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83"/>
        <v>-4124314755218.0552</v>
      </c>
      <c r="J4097" s="455">
        <f t="array" ref="J4097">IFERROR(INDEX('Retirement Calculator'!J:J,MATCH('Isaac 401k'!N4097,'Retirement Calculator'!A:A,0),0),0)</f>
        <v>0</v>
      </c>
      <c r="K4097" s="455">
        <f t="shared" ca="1" si="181"/>
        <v>-17184644813.408562</v>
      </c>
      <c r="L4097" s="455">
        <f t="shared" ca="1" si="182"/>
        <v>-4141499400031.4639</v>
      </c>
      <c r="M4097" s="471">
        <f t="shared" si="184"/>
        <v>0.05</v>
      </c>
      <c r="N4097" s="475">
        <f t="shared" si="185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83"/>
        <v>-4141499400031.4639</v>
      </c>
      <c r="J4098" s="455">
        <f t="array" ref="J4098">IFERROR(INDEX('Retirement Calculator'!J:J,MATCH('Isaac 401k'!N4098,'Retirement Calculator'!A:A,0),0),0)</f>
        <v>0</v>
      </c>
      <c r="K4098" s="455">
        <f t="shared" ca="1" si="181"/>
        <v>-17256247500.1311</v>
      </c>
      <c r="L4098" s="455">
        <f t="shared" ca="1" si="182"/>
        <v>-4158755647531.5947</v>
      </c>
      <c r="M4098" s="471">
        <f t="shared" si="184"/>
        <v>0.05</v>
      </c>
      <c r="N4098" s="475">
        <f t="shared" si="185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83"/>
        <v>-4158755647531.5947</v>
      </c>
      <c r="J4099" s="455">
        <f t="array" ref="J4099">IFERROR(INDEX('Retirement Calculator'!J:J,MATCH('Isaac 401k'!N4099,'Retirement Calculator'!A:A,0),0),0)</f>
        <v>0</v>
      </c>
      <c r="K4099" s="455">
        <f t="shared" ca="1" si="181"/>
        <v>-17328148531.381645</v>
      </c>
      <c r="L4099" s="455">
        <f t="shared" ca="1" si="182"/>
        <v>-4176083796062.9766</v>
      </c>
      <c r="M4099" s="471">
        <f t="shared" si="184"/>
        <v>0.05</v>
      </c>
      <c r="N4099" s="475">
        <f t="shared" si="185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83"/>
        <v>-4176083796062.9766</v>
      </c>
      <c r="J4100" s="455">
        <f t="array" ref="J4100">IFERROR(INDEX('Retirement Calculator'!J:J,MATCH('Isaac 401k'!N4100,'Retirement Calculator'!A:A,0),0),0)</f>
        <v>0</v>
      </c>
      <c r="K4100" s="455">
        <f t="shared" ca="1" si="181"/>
        <v>-17400349150.262402</v>
      </c>
      <c r="L4100" s="455">
        <f t="shared" ca="1" si="182"/>
        <v>-4193484145213.2388</v>
      </c>
      <c r="M4100" s="471">
        <f t="shared" si="184"/>
        <v>0.05</v>
      </c>
      <c r="N4100" s="475">
        <f t="shared" si="185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83"/>
        <v>-4193484145213.2388</v>
      </c>
      <c r="J4101" s="455">
        <f t="array" ref="J4101">IFERROR(INDEX('Retirement Calculator'!J:J,MATCH('Isaac 401k'!N4101,'Retirement Calculator'!A:A,0),0),0)</f>
        <v>0</v>
      </c>
      <c r="K4101" s="455">
        <f t="shared" ca="1" si="181"/>
        <v>-17472850605.055161</v>
      </c>
      <c r="L4101" s="455">
        <f t="shared" ca="1" si="182"/>
        <v>-4210956995818.2939</v>
      </c>
      <c r="M4101" s="471">
        <f t="shared" si="184"/>
        <v>0.05</v>
      </c>
      <c r="N4101" s="475">
        <f t="shared" si="185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83"/>
        <v>-4210956995818.2939</v>
      </c>
      <c r="J4102" s="455">
        <f t="array" ref="J4102">IFERROR(INDEX('Retirement Calculator'!J:J,MATCH('Isaac 401k'!N4102,'Retirement Calculator'!A:A,0),0),0)</f>
        <v>0</v>
      </c>
      <c r="K4102" s="455">
        <f t="shared" ca="1" si="181"/>
        <v>-17545654149.242893</v>
      </c>
      <c r="L4102" s="455">
        <f t="shared" ca="1" si="182"/>
        <v>-4228502649967.5366</v>
      </c>
      <c r="M4102" s="471">
        <f t="shared" si="184"/>
        <v>0.05</v>
      </c>
      <c r="N4102" s="475">
        <f t="shared" si="185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83"/>
        <v>-4228502649967.5366</v>
      </c>
      <c r="J4103" s="455">
        <f t="array" ref="J4103">IFERROR(INDEX('Retirement Calculator'!J:J,MATCH('Isaac 401k'!N4103,'Retirement Calculator'!A:A,0),0),0)</f>
        <v>0</v>
      </c>
      <c r="K4103" s="455">
        <f t="shared" ca="1" si="181"/>
        <v>-17618761041.531399</v>
      </c>
      <c r="L4103" s="455">
        <f t="shared" ca="1" si="182"/>
        <v>-4246121411009.0679</v>
      </c>
      <c r="M4103" s="471">
        <f t="shared" si="184"/>
        <v>0.05</v>
      </c>
      <c r="N4103" s="475">
        <f t="shared" si="185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83"/>
        <v>-4246121411009.0679</v>
      </c>
      <c r="J4104" s="455">
        <f t="array" ref="J4104">IFERROR(INDEX('Retirement Calculator'!J:J,MATCH('Isaac 401k'!N4104,'Retirement Calculator'!A:A,0),0),0)</f>
        <v>0</v>
      </c>
      <c r="K4104" s="455">
        <f t="shared" ca="1" si="181"/>
        <v>-17692172545.871113</v>
      </c>
      <c r="L4104" s="455">
        <f t="shared" ca="1" si="182"/>
        <v>-4263813583554.939</v>
      </c>
      <c r="M4104" s="471">
        <f t="shared" si="184"/>
        <v>0.05</v>
      </c>
      <c r="N4104" s="475">
        <f t="shared" si="185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83"/>
        <v>-4263813583554.939</v>
      </c>
      <c r="J4105" s="455">
        <f t="array" ref="J4105">IFERROR(INDEX('Retirement Calculator'!J:J,MATCH('Isaac 401k'!N4105,'Retirement Calculator'!A:A,0),0),0)</f>
        <v>0</v>
      </c>
      <c r="K4105" s="455">
        <f t="shared" ca="1" si="181"/>
        <v>-17765889931.478909</v>
      </c>
      <c r="L4105" s="455">
        <f t="shared" ca="1" si="182"/>
        <v>-4281579473486.418</v>
      </c>
      <c r="M4105" s="471">
        <f t="shared" si="184"/>
        <v>0.05</v>
      </c>
      <c r="N4105" s="475">
        <f t="shared" si="185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83"/>
        <v>-4281579473486.418</v>
      </c>
      <c r="J4106" s="455">
        <f t="array" ref="J4106">IFERROR(INDEX('Retirement Calculator'!J:J,MATCH('Isaac 401k'!N4106,'Retirement Calculator'!A:A,0),0),0)</f>
        <v>0</v>
      </c>
      <c r="K4106" s="455">
        <f t="shared" ca="1" si="181"/>
        <v>-17839914472.860073</v>
      </c>
      <c r="L4106" s="455">
        <f t="shared" ca="1" si="182"/>
        <v>-4299419387959.2778</v>
      </c>
      <c r="M4106" s="471">
        <f t="shared" si="184"/>
        <v>0.05</v>
      </c>
      <c r="N4106" s="475">
        <f t="shared" si="185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83"/>
        <v>-4299419387959.2778</v>
      </c>
      <c r="J4107" s="455">
        <f t="array" ref="J4107">IFERROR(INDEX('Retirement Calculator'!J:J,MATCH('Isaac 401k'!N4107,'Retirement Calculator'!A:A,0),0),0)</f>
        <v>0</v>
      </c>
      <c r="K4107" s="455">
        <f t="shared" ca="1" si="181"/>
        <v>-17914247449.830322</v>
      </c>
      <c r="L4107" s="455">
        <f t="shared" ca="1" si="182"/>
        <v>-4317333635409.1084</v>
      </c>
      <c r="M4107" s="471">
        <f t="shared" si="184"/>
        <v>0.05</v>
      </c>
      <c r="N4107" s="475">
        <f t="shared" si="185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83"/>
        <v>-4317333635409.1084</v>
      </c>
      <c r="J4108" s="455">
        <f t="array" ref="J4108">IFERROR(INDEX('Retirement Calculator'!J:J,MATCH('Isaac 401k'!N4108,'Retirement Calculator'!A:A,0),0),0)</f>
        <v>0</v>
      </c>
      <c r="K4108" s="455">
        <f t="shared" ca="1" si="181"/>
        <v>-17988890147.537949</v>
      </c>
      <c r="L4108" s="455">
        <f t="shared" ca="1" si="182"/>
        <v>-4335322525556.6465</v>
      </c>
      <c r="M4108" s="471">
        <f t="shared" si="184"/>
        <v>0.05</v>
      </c>
      <c r="N4108" s="475">
        <f t="shared" si="185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83"/>
        <v>-4335322525556.6465</v>
      </c>
      <c r="J4109" s="455">
        <f t="array" ref="J4109">IFERROR(INDEX('Retirement Calculator'!J:J,MATCH('Isaac 401k'!N4109,'Retirement Calculator'!A:A,0),0),0)</f>
        <v>0</v>
      </c>
      <c r="K4109" s="455">
        <f t="shared" ca="1" si="181"/>
        <v>-18063843856.486027</v>
      </c>
      <c r="L4109" s="455">
        <f t="shared" ca="1" si="182"/>
        <v>-4353386369413.1323</v>
      </c>
      <c r="M4109" s="471">
        <f t="shared" si="184"/>
        <v>0.05</v>
      </c>
      <c r="N4109" s="475">
        <f t="shared" si="185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83"/>
        <v>-4353386369413.1323</v>
      </c>
      <c r="J4110" s="455">
        <f t="array" ref="J4110">IFERROR(INDEX('Retirement Calculator'!J:J,MATCH('Isaac 401k'!N4110,'Retirement Calculator'!A:A,0),0),0)</f>
        <v>0</v>
      </c>
      <c r="K4110" s="455">
        <f t="shared" ca="1" si="181"/>
        <v>-18139109872.554718</v>
      </c>
      <c r="L4110" s="455">
        <f t="shared" ca="1" si="182"/>
        <v>-4371525479285.687</v>
      </c>
      <c r="M4110" s="471">
        <f t="shared" si="184"/>
        <v>0.05</v>
      </c>
      <c r="N4110" s="475">
        <f t="shared" si="185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83"/>
        <v>-4371525479285.687</v>
      </c>
      <c r="J4111" s="455">
        <f t="array" ref="J4111">IFERROR(INDEX('Retirement Calculator'!J:J,MATCH('Isaac 401k'!N4111,'Retirement Calculator'!A:A,0),0),0)</f>
        <v>0</v>
      </c>
      <c r="K4111" s="455">
        <f t="shared" ca="1" si="181"/>
        <v>-18214689497.023693</v>
      </c>
      <c r="L4111" s="455">
        <f t="shared" ca="1" si="182"/>
        <v>-4389740168782.7109</v>
      </c>
      <c r="M4111" s="471">
        <f t="shared" si="184"/>
        <v>0.05</v>
      </c>
      <c r="N4111" s="475">
        <f t="shared" si="185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83"/>
        <v>-4389740168782.7109</v>
      </c>
      <c r="J4112" s="455">
        <f t="array" ref="J4112">IFERROR(INDEX('Retirement Calculator'!J:J,MATCH('Isaac 401k'!N4112,'Retirement Calculator'!A:A,0),0),0)</f>
        <v>0</v>
      </c>
      <c r="K4112" s="455">
        <f t="shared" ca="1" si="181"/>
        <v>-18290584036.594627</v>
      </c>
      <c r="L4112" s="455">
        <f t="shared" ca="1" si="182"/>
        <v>-4408030752819.3057</v>
      </c>
      <c r="M4112" s="471">
        <f t="shared" si="184"/>
        <v>0.05</v>
      </c>
      <c r="N4112" s="475">
        <f t="shared" si="185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83"/>
        <v>-4408030752819.3057</v>
      </c>
      <c r="J4113" s="455">
        <f t="array" ref="J4113">IFERROR(INDEX('Retirement Calculator'!J:J,MATCH('Isaac 401k'!N4113,'Retirement Calculator'!A:A,0),0),0)</f>
        <v>0</v>
      </c>
      <c r="K4113" s="455">
        <f t="shared" ca="1" si="181"/>
        <v>-18366794803.413773</v>
      </c>
      <c r="L4113" s="455">
        <f t="shared" ca="1" si="182"/>
        <v>-4426397547622.7197</v>
      </c>
      <c r="M4113" s="471">
        <f t="shared" si="184"/>
        <v>0.05</v>
      </c>
      <c r="N4113" s="475">
        <f t="shared" si="185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83"/>
        <v>-4426397547622.7197</v>
      </c>
      <c r="J4114" s="455">
        <f t="array" ref="J4114">IFERROR(INDEX('Retirement Calculator'!J:J,MATCH('Isaac 401k'!N4114,'Retirement Calculator'!A:A,0),0),0)</f>
        <v>0</v>
      </c>
      <c r="K4114" s="455">
        <f t="shared" ca="1" si="181"/>
        <v>-18443323115.094666</v>
      </c>
      <c r="L4114" s="455">
        <f t="shared" ca="1" si="182"/>
        <v>-4444840870737.8145</v>
      </c>
      <c r="M4114" s="471">
        <f t="shared" si="184"/>
        <v>0.05</v>
      </c>
      <c r="N4114" s="475">
        <f t="shared" si="185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83"/>
        <v>-4444840870737.8145</v>
      </c>
      <c r="J4115" s="455">
        <f t="array" ref="J4115">IFERROR(INDEX('Retirement Calculator'!J:J,MATCH('Isaac 401k'!N4115,'Retirement Calculator'!A:A,0),0),0)</f>
        <v>0</v>
      </c>
      <c r="K4115" s="455">
        <f t="shared" ca="1" si="181"/>
        <v>-18520170294.740894</v>
      </c>
      <c r="L4115" s="455">
        <f t="shared" ca="1" si="182"/>
        <v>-4463361041032.5557</v>
      </c>
      <c r="M4115" s="471">
        <f t="shared" si="184"/>
        <v>0.05</v>
      </c>
      <c r="N4115" s="475">
        <f t="shared" si="185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83"/>
        <v>-4463361041032.5557</v>
      </c>
      <c r="J4116" s="455">
        <f t="array" ref="J4116">IFERROR(INDEX('Retirement Calculator'!J:J,MATCH('Isaac 401k'!N4116,'Retirement Calculator'!A:A,0),0),0)</f>
        <v>0</v>
      </c>
      <c r="K4116" s="455">
        <f t="shared" ca="1" si="181"/>
        <v>-18597337670.968983</v>
      </c>
      <c r="L4116" s="455">
        <f t="shared" ca="1" si="182"/>
        <v>-4481958378703.5244</v>
      </c>
      <c r="M4116" s="471">
        <f t="shared" si="184"/>
        <v>0.05</v>
      </c>
      <c r="N4116" s="475">
        <f t="shared" si="185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83"/>
        <v>-4481958378703.5244</v>
      </c>
      <c r="J4117" s="455">
        <f t="array" ref="J4117">IFERROR(INDEX('Retirement Calculator'!J:J,MATCH('Isaac 401k'!N4117,'Retirement Calculator'!A:A,0),0),0)</f>
        <v>0</v>
      </c>
      <c r="K4117" s="455">
        <f t="shared" ca="1" si="181"/>
        <v>-18674826577.931351</v>
      </c>
      <c r="L4117" s="455">
        <f t="shared" ca="1" si="182"/>
        <v>-4500633205281.4561</v>
      </c>
      <c r="M4117" s="471">
        <f t="shared" si="184"/>
        <v>0.05</v>
      </c>
      <c r="N4117" s="475">
        <f t="shared" si="185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83"/>
        <v>-4500633205281.4561</v>
      </c>
      <c r="J4118" s="455">
        <f t="array" ref="J4118">IFERROR(INDEX('Retirement Calculator'!J:J,MATCH('Isaac 401k'!N4118,'Retirement Calculator'!A:A,0),0),0)</f>
        <v>0</v>
      </c>
      <c r="K4118" s="455">
        <f t="shared" ca="1" si="181"/>
        <v>-18752638355.339401</v>
      </c>
      <c r="L4118" s="455">
        <f t="shared" ca="1" si="182"/>
        <v>-4519385843636.7959</v>
      </c>
      <c r="M4118" s="471">
        <f t="shared" si="184"/>
        <v>0.05</v>
      </c>
      <c r="N4118" s="475">
        <f t="shared" si="185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83"/>
        <v>-4519385843636.7959</v>
      </c>
      <c r="J4119" s="455">
        <f t="array" ref="J4119">IFERROR(INDEX('Retirement Calculator'!J:J,MATCH('Isaac 401k'!N4119,'Retirement Calculator'!A:A,0),0),0)</f>
        <v>0</v>
      </c>
      <c r="K4119" s="455">
        <f t="shared" ca="1" si="181"/>
        <v>-18830774348.486649</v>
      </c>
      <c r="L4119" s="455">
        <f t="shared" ca="1" si="182"/>
        <v>-4538216617985.2822</v>
      </c>
      <c r="M4119" s="471">
        <f t="shared" si="184"/>
        <v>0.05</v>
      </c>
      <c r="N4119" s="475">
        <f t="shared" si="185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83"/>
        <v>-4538216617985.2822</v>
      </c>
      <c r="J4120" s="455">
        <f t="array" ref="J4120">IFERROR(INDEX('Retirement Calculator'!J:J,MATCH('Isaac 401k'!N4120,'Retirement Calculator'!A:A,0),0),0)</f>
        <v>0</v>
      </c>
      <c r="K4120" s="455">
        <f t="shared" ca="1" si="181"/>
        <v>-18909235908.272011</v>
      </c>
      <c r="L4120" s="455">
        <f t="shared" ca="1" si="182"/>
        <v>-4557125853893.5547</v>
      </c>
      <c r="M4120" s="471">
        <f t="shared" si="184"/>
        <v>0.05</v>
      </c>
      <c r="N4120" s="475">
        <f t="shared" si="185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83"/>
        <v>-4557125853893.5547</v>
      </c>
      <c r="J4121" s="455">
        <f t="array" ref="J4121">IFERROR(INDEX('Retirement Calculator'!J:J,MATCH('Isaac 401k'!N4121,'Retirement Calculator'!A:A,0),0),0)</f>
        <v>0</v>
      </c>
      <c r="K4121" s="455">
        <f t="shared" ca="1" si="181"/>
        <v>-18988024391.223145</v>
      </c>
      <c r="L4121" s="455">
        <f t="shared" ca="1" si="182"/>
        <v>-4576113878284.7773</v>
      </c>
      <c r="M4121" s="471">
        <f t="shared" si="184"/>
        <v>0.05</v>
      </c>
      <c r="N4121" s="475">
        <f t="shared" si="185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83"/>
        <v>-4576113878284.7773</v>
      </c>
      <c r="J4122" s="455">
        <f t="array" ref="J4122">IFERROR(INDEX('Retirement Calculator'!J:J,MATCH('Isaac 401k'!N4122,'Retirement Calculator'!A:A,0),0),0)</f>
        <v>0</v>
      </c>
      <c r="K4122" s="455">
        <f t="shared" ca="1" si="181"/>
        <v>-19067141159.519905</v>
      </c>
      <c r="L4122" s="455">
        <f t="shared" ca="1" si="182"/>
        <v>-4595181019444.2969</v>
      </c>
      <c r="M4122" s="471">
        <f t="shared" si="184"/>
        <v>0.05</v>
      </c>
      <c r="N4122" s="475">
        <f t="shared" si="185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83"/>
        <v>-4595181019444.2969</v>
      </c>
      <c r="J4123" s="455">
        <f t="array" ref="J4123">IFERROR(INDEX('Retirement Calculator'!J:J,MATCH('Isaac 401k'!N4123,'Retirement Calculator'!A:A,0),0),0)</f>
        <v>0</v>
      </c>
      <c r="K4123" s="455">
        <f t="shared" ca="1" si="181"/>
        <v>-19146587581.017902</v>
      </c>
      <c r="L4123" s="455">
        <f t="shared" ca="1" si="182"/>
        <v>-4614327607025.3145</v>
      </c>
      <c r="M4123" s="471">
        <f t="shared" si="184"/>
        <v>0.05</v>
      </c>
      <c r="N4123" s="475">
        <f t="shared" si="185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83"/>
        <v>-4614327607025.3145</v>
      </c>
      <c r="J4124" s="455">
        <f t="array" ref="J4124">IFERROR(INDEX('Retirement Calculator'!J:J,MATCH('Isaac 401k'!N4124,'Retirement Calculator'!A:A,0),0),0)</f>
        <v>0</v>
      </c>
      <c r="K4124" s="455">
        <f t="shared" ca="1" si="181"/>
        <v>-19226365029.272144</v>
      </c>
      <c r="L4124" s="455">
        <f t="shared" ca="1" si="182"/>
        <v>-4633553972054.5869</v>
      </c>
      <c r="M4124" s="471">
        <f t="shared" si="184"/>
        <v>0.05</v>
      </c>
      <c r="N4124" s="475">
        <f t="shared" si="185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83"/>
        <v>-4633553972054.5869</v>
      </c>
      <c r="J4125" s="455">
        <f t="array" ref="J4125">IFERROR(INDEX('Retirement Calculator'!J:J,MATCH('Isaac 401k'!N4125,'Retirement Calculator'!A:A,0),0),0)</f>
        <v>0</v>
      </c>
      <c r="K4125" s="455">
        <f t="shared" ca="1" si="181"/>
        <v>-19306474883.56078</v>
      </c>
      <c r="L4125" s="455">
        <f t="shared" ca="1" si="182"/>
        <v>-4652860446938.1475</v>
      </c>
      <c r="M4125" s="471">
        <f t="shared" si="184"/>
        <v>0.05</v>
      </c>
      <c r="N4125" s="475">
        <f t="shared" si="185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83"/>
        <v>-4652860446938.1475</v>
      </c>
      <c r="J4126" s="455">
        <f t="array" ref="J4126">IFERROR(INDEX('Retirement Calculator'!J:J,MATCH('Isaac 401k'!N4126,'Retirement Calculator'!A:A,0),0),0)</f>
        <v>0</v>
      </c>
      <c r="K4126" s="455">
        <f t="shared" ca="1" si="181"/>
        <v>-19386918528.908947</v>
      </c>
      <c r="L4126" s="455">
        <f t="shared" ca="1" si="182"/>
        <v>-4672247365467.0566</v>
      </c>
      <c r="M4126" s="471">
        <f t="shared" si="184"/>
        <v>0.05</v>
      </c>
      <c r="N4126" s="475">
        <f t="shared" si="185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83"/>
        <v>-4672247365467.0566</v>
      </c>
      <c r="J4127" s="455">
        <f t="array" ref="J4127">IFERROR(INDEX('Retirement Calculator'!J:J,MATCH('Isaac 401k'!N4127,'Retirement Calculator'!A:A,0),0),0)</f>
        <v>0</v>
      </c>
      <c r="K4127" s="455">
        <f t="shared" ca="1" si="181"/>
        <v>-19467697356.112736</v>
      </c>
      <c r="L4127" s="455">
        <f t="shared" ca="1" si="182"/>
        <v>-4691715062823.1689</v>
      </c>
      <c r="M4127" s="471">
        <f t="shared" si="184"/>
        <v>0.05</v>
      </c>
      <c r="N4127" s="475">
        <f t="shared" si="185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83"/>
        <v>-4691715062823.1689</v>
      </c>
      <c r="J4128" s="455">
        <f t="array" ref="J4128">IFERROR(INDEX('Retirement Calculator'!J:J,MATCH('Isaac 401k'!N4128,'Retirement Calculator'!A:A,0),0),0)</f>
        <v>0</v>
      </c>
      <c r="K4128" s="455">
        <f t="shared" ca="1" si="181"/>
        <v>-19548812761.763203</v>
      </c>
      <c r="L4128" s="455">
        <f t="shared" ca="1" si="182"/>
        <v>-4711263875584.9326</v>
      </c>
      <c r="M4128" s="471">
        <f t="shared" si="184"/>
        <v>0.05</v>
      </c>
      <c r="N4128" s="475">
        <f t="shared" si="185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83"/>
        <v>-4711263875584.9326</v>
      </c>
      <c r="J4129" s="455">
        <f t="array" ref="J4129">IFERROR(INDEX('Retirement Calculator'!J:J,MATCH('Isaac 401k'!N4129,'Retirement Calculator'!A:A,0),0),0)</f>
        <v>0</v>
      </c>
      <c r="K4129" s="455">
        <f t="shared" ca="1" si="181"/>
        <v>-19630266148.270554</v>
      </c>
      <c r="L4129" s="455">
        <f t="shared" ca="1" si="182"/>
        <v>-4730894141733.2031</v>
      </c>
      <c r="M4129" s="471">
        <f t="shared" si="184"/>
        <v>0.05</v>
      </c>
      <c r="N4129" s="475">
        <f t="shared" si="185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83"/>
        <v>-4730894141733.2031</v>
      </c>
      <c r="J4130" s="455">
        <f t="array" ref="J4130">IFERROR(INDEX('Retirement Calculator'!J:J,MATCH('Isaac 401k'!N4130,'Retirement Calculator'!A:A,0),0),0)</f>
        <v>0</v>
      </c>
      <c r="K4130" s="455">
        <f t="shared" ca="1" si="181"/>
        <v>-19712058923.888348</v>
      </c>
      <c r="L4130" s="455">
        <f t="shared" ca="1" si="182"/>
        <v>-4750606200657.0918</v>
      </c>
      <c r="M4130" s="471">
        <f t="shared" si="184"/>
        <v>0.05</v>
      </c>
      <c r="N4130" s="475">
        <f t="shared" si="185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83"/>
        <v>-4750606200657.0918</v>
      </c>
      <c r="J4131" s="455">
        <f t="array" ref="J4131">IFERROR(INDEX('Retirement Calculator'!J:J,MATCH('Isaac 401k'!N4131,'Retirement Calculator'!A:A,0),0),0)</f>
        <v>0</v>
      </c>
      <c r="K4131" s="455">
        <f t="shared" ca="1" si="181"/>
        <v>-19794192502.737881</v>
      </c>
      <c r="L4131" s="455">
        <f t="shared" ca="1" si="182"/>
        <v>-4770400393159.8301</v>
      </c>
      <c r="M4131" s="471">
        <f t="shared" si="184"/>
        <v>0.05</v>
      </c>
      <c r="N4131" s="475">
        <f t="shared" si="185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83"/>
        <v>-4770400393159.8301</v>
      </c>
      <c r="J4132" s="455">
        <f t="array" ref="J4132">IFERROR(INDEX('Retirement Calculator'!J:J,MATCH('Isaac 401k'!N4132,'Retirement Calculator'!A:A,0),0),0)</f>
        <v>0</v>
      </c>
      <c r="K4132" s="455">
        <f t="shared" ca="1" si="181"/>
        <v>-19876668304.832626</v>
      </c>
      <c r="L4132" s="455">
        <f t="shared" ca="1" si="182"/>
        <v>-4790277061464.6631</v>
      </c>
      <c r="M4132" s="471">
        <f t="shared" si="184"/>
        <v>0.05</v>
      </c>
      <c r="N4132" s="475">
        <f t="shared" si="185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83"/>
        <v>-4790277061464.6631</v>
      </c>
      <c r="J4133" s="455">
        <f t="array" ref="J4133">IFERROR(INDEX('Retirement Calculator'!J:J,MATCH('Isaac 401k'!N4133,'Retirement Calculator'!A:A,0),0),0)</f>
        <v>0</v>
      </c>
      <c r="K4133" s="455">
        <f t="shared" ca="1" si="181"/>
        <v>-19959487756.102764</v>
      </c>
      <c r="L4133" s="455">
        <f t="shared" ca="1" si="182"/>
        <v>-4810236549220.7656</v>
      </c>
      <c r="M4133" s="471">
        <f t="shared" si="184"/>
        <v>0.05</v>
      </c>
      <c r="N4133" s="475">
        <f t="shared" si="185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83"/>
        <v>-4810236549220.7656</v>
      </c>
      <c r="J4134" s="455">
        <f t="array" ref="J4134">IFERROR(INDEX('Retirement Calculator'!J:J,MATCH('Isaac 401k'!N4134,'Retirement Calculator'!A:A,0),0),0)</f>
        <v>0</v>
      </c>
      <c r="K4134" s="455">
        <f t="shared" ca="1" si="181"/>
        <v>-20042652288.419857</v>
      </c>
      <c r="L4134" s="455">
        <f t="shared" ca="1" si="182"/>
        <v>-4830279201509.1855</v>
      </c>
      <c r="M4134" s="471">
        <f t="shared" si="184"/>
        <v>0.05</v>
      </c>
      <c r="N4134" s="475">
        <f t="shared" si="185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83"/>
        <v>-4830279201509.1855</v>
      </c>
      <c r="J4135" s="455">
        <f t="array" ref="J4135">IFERROR(INDEX('Retirement Calculator'!J:J,MATCH('Isaac 401k'!N4135,'Retirement Calculator'!A:A,0),0),0)</f>
        <v>0</v>
      </c>
      <c r="K4135" s="455">
        <f t="shared" ca="1" si="181"/>
        <v>-20126163339.621605</v>
      </c>
      <c r="L4135" s="455">
        <f t="shared" ca="1" si="182"/>
        <v>-4850405364848.8076</v>
      </c>
      <c r="M4135" s="471">
        <f t="shared" si="184"/>
        <v>0.05</v>
      </c>
      <c r="N4135" s="475">
        <f t="shared" si="185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83"/>
        <v>-4850405364848.8076</v>
      </c>
      <c r="J4136" s="455">
        <f t="array" ref="J4136">IFERROR(INDEX('Retirement Calculator'!J:J,MATCH('Isaac 401k'!N4136,'Retirement Calculator'!A:A,0),0),0)</f>
        <v>0</v>
      </c>
      <c r="K4136" s="455">
        <f t="shared" ca="1" si="181"/>
        <v>-20210022353.536697</v>
      </c>
      <c r="L4136" s="455">
        <f t="shared" ca="1" si="182"/>
        <v>-4870615387202.3447</v>
      </c>
      <c r="M4136" s="471">
        <f t="shared" si="184"/>
        <v>0.05</v>
      </c>
      <c r="N4136" s="475">
        <f t="shared" si="185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83"/>
        <v>-4870615387202.3447</v>
      </c>
      <c r="J4137" s="455">
        <f t="array" ref="J4137">IFERROR(INDEX('Retirement Calculator'!J:J,MATCH('Isaac 401k'!N4137,'Retirement Calculator'!A:A,0),0),0)</f>
        <v>0</v>
      </c>
      <c r="K4137" s="455">
        <f t="shared" ca="1" si="181"/>
        <v>-20294230780.009769</v>
      </c>
      <c r="L4137" s="455">
        <f t="shared" ca="1" si="182"/>
        <v>-4890909617982.3545</v>
      </c>
      <c r="M4137" s="471">
        <f t="shared" si="184"/>
        <v>0.05</v>
      </c>
      <c r="N4137" s="475">
        <f t="shared" si="185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83"/>
        <v>-4890909617982.3545</v>
      </c>
      <c r="J4138" s="455">
        <f t="array" ref="J4138">IFERROR(INDEX('Retirement Calculator'!J:J,MATCH('Isaac 401k'!N4138,'Retirement Calculator'!A:A,0),0),0)</f>
        <v>0</v>
      </c>
      <c r="K4138" s="455">
        <f t="shared" ca="1" si="181"/>
        <v>-20378790074.926476</v>
      </c>
      <c r="L4138" s="455">
        <f t="shared" ca="1" si="182"/>
        <v>-4911288408057.2813</v>
      </c>
      <c r="M4138" s="471">
        <f t="shared" si="184"/>
        <v>0.05</v>
      </c>
      <c r="N4138" s="475">
        <f t="shared" si="185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83"/>
        <v>-4911288408057.2813</v>
      </c>
      <c r="J4139" s="455">
        <f t="array" ref="J4139">IFERROR(INDEX('Retirement Calculator'!J:J,MATCH('Isaac 401k'!N4139,'Retirement Calculator'!A:A,0),0),0)</f>
        <v>0</v>
      </c>
      <c r="K4139" s="455">
        <f t="shared" ca="1" si="181"/>
        <v>-20463701700.23867</v>
      </c>
      <c r="L4139" s="455">
        <f t="shared" ca="1" si="182"/>
        <v>-4931752109757.5195</v>
      </c>
      <c r="M4139" s="471">
        <f t="shared" si="184"/>
        <v>0.05</v>
      </c>
      <c r="N4139" s="475">
        <f t="shared" si="185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83"/>
        <v>-4931752109757.5195</v>
      </c>
      <c r="J4140" s="455">
        <f t="array" ref="J4140">IFERROR(INDEX('Retirement Calculator'!J:J,MATCH('Isaac 401k'!N4140,'Retirement Calculator'!A:A,0),0),0)</f>
        <v>0</v>
      </c>
      <c r="K4140" s="455">
        <f t="shared" ca="1" si="181"/>
        <v>-20548967123.989666</v>
      </c>
      <c r="L4140" s="455">
        <f t="shared" ca="1" si="182"/>
        <v>-4952301076881.5088</v>
      </c>
      <c r="M4140" s="471">
        <f t="shared" si="184"/>
        <v>0.05</v>
      </c>
      <c r="N4140" s="475">
        <f t="shared" si="185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83"/>
        <v>-4952301076881.5088</v>
      </c>
      <c r="J4141" s="455">
        <f t="array" ref="J4141">IFERROR(INDEX('Retirement Calculator'!J:J,MATCH('Isaac 401k'!N4141,'Retirement Calculator'!A:A,0),0),0)</f>
        <v>0</v>
      </c>
      <c r="K4141" s="455">
        <f t="shared" ca="1" si="181"/>
        <v>-20634587820.339619</v>
      </c>
      <c r="L4141" s="455">
        <f t="shared" ca="1" si="182"/>
        <v>-4972935664701.8486</v>
      </c>
      <c r="M4141" s="471">
        <f t="shared" si="184"/>
        <v>0.05</v>
      </c>
      <c r="N4141" s="475">
        <f t="shared" si="185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83"/>
        <v>-4972935664701.8486</v>
      </c>
      <c r="J4142" s="455">
        <f t="array" ref="J4142">IFERROR(INDEX('Retirement Calculator'!J:J,MATCH('Isaac 401k'!N4142,'Retirement Calculator'!A:A,0),0),0)</f>
        <v>0</v>
      </c>
      <c r="K4142" s="455">
        <f t="shared" ca="1" si="181"/>
        <v>-20720565269.591034</v>
      </c>
      <c r="L4142" s="455">
        <f t="shared" ca="1" si="182"/>
        <v>-4993656229971.4395</v>
      </c>
      <c r="M4142" s="471">
        <f t="shared" si="184"/>
        <v>0.05</v>
      </c>
      <c r="N4142" s="475">
        <f t="shared" si="185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83"/>
        <v>-4993656229971.4395</v>
      </c>
      <c r="J4143" s="455">
        <f t="array" ref="J4143">IFERROR(INDEX('Retirement Calculator'!J:J,MATCH('Isaac 401k'!N4143,'Retirement Calculator'!A:A,0),0),0)</f>
        <v>0</v>
      </c>
      <c r="K4143" s="455">
        <f t="shared" ca="1" si="181"/>
        <v>-20806900958.214333</v>
      </c>
      <c r="L4143" s="455">
        <f t="shared" ca="1" si="182"/>
        <v>-5014463130929.6533</v>
      </c>
      <c r="M4143" s="471">
        <f t="shared" si="184"/>
        <v>0.05</v>
      </c>
      <c r="N4143" s="475">
        <f t="shared" si="185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83"/>
        <v>-5014463130929.6533</v>
      </c>
      <c r="J4144" s="455">
        <f t="array" ref="J4144">IFERROR(INDEX('Retirement Calculator'!J:J,MATCH('Isaac 401k'!N4144,'Retirement Calculator'!A:A,0),0),0)</f>
        <v>0</v>
      </c>
      <c r="K4144" s="455">
        <f t="shared" ca="1" si="181"/>
        <v>-20893596378.873554</v>
      </c>
      <c r="L4144" s="455">
        <f t="shared" ca="1" si="182"/>
        <v>-5035356727308.5273</v>
      </c>
      <c r="M4144" s="471">
        <f t="shared" si="184"/>
        <v>0.05</v>
      </c>
      <c r="N4144" s="475">
        <f t="shared" si="185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83"/>
        <v>-5035356727308.5273</v>
      </c>
      <c r="J4145" s="455">
        <f t="array" ref="J4145">IFERROR(INDEX('Retirement Calculator'!J:J,MATCH('Isaac 401k'!N4145,'Retirement Calculator'!A:A,0),0),0)</f>
        <v>0</v>
      </c>
      <c r="K4145" s="455">
        <f t="shared" ca="1" si="181"/>
        <v>-20980653030.452198</v>
      </c>
      <c r="L4145" s="455">
        <f t="shared" ca="1" si="182"/>
        <v>-5056337380338.9795</v>
      </c>
      <c r="M4145" s="471">
        <f t="shared" si="184"/>
        <v>0.05</v>
      </c>
      <c r="N4145" s="475">
        <f t="shared" si="185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83"/>
        <v>-5056337380338.9795</v>
      </c>
      <c r="J4146" s="455">
        <f t="array" ref="J4146">IFERROR(INDEX('Retirement Calculator'!J:J,MATCH('Isaac 401k'!N4146,'Retirement Calculator'!A:A,0),0),0)</f>
        <v>0</v>
      </c>
      <c r="K4146" s="455">
        <f t="shared" ca="1" si="181"/>
        <v>-21068072418.079082</v>
      </c>
      <c r="L4146" s="455">
        <f t="shared" ca="1" si="182"/>
        <v>-5077405452757.0586</v>
      </c>
      <c r="M4146" s="471">
        <f t="shared" si="184"/>
        <v>0.05</v>
      </c>
      <c r="N4146" s="475">
        <f t="shared" si="185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83"/>
        <v>-5077405452757.0586</v>
      </c>
      <c r="J4147" s="455">
        <f t="array" ref="J4147">IFERROR(INDEX('Retirement Calculator'!J:J,MATCH('Isaac 401k'!N4147,'Retirement Calculator'!A:A,0),0),0)</f>
        <v>0</v>
      </c>
      <c r="K4147" s="455">
        <f t="shared" ca="1" si="181"/>
        <v>-21155856053.154411</v>
      </c>
      <c r="L4147" s="455">
        <f t="shared" ca="1" si="182"/>
        <v>-5098561308810.2129</v>
      </c>
      <c r="M4147" s="471">
        <f t="shared" si="184"/>
        <v>0.05</v>
      </c>
      <c r="N4147" s="475">
        <f t="shared" si="185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83"/>
        <v>-5098561308810.2129</v>
      </c>
      <c r="J4148" s="455">
        <f t="array" ref="J4148">IFERROR(INDEX('Retirement Calculator'!J:J,MATCH('Isaac 401k'!N4148,'Retirement Calculator'!A:A,0),0),0)</f>
        <v>0</v>
      </c>
      <c r="K4148" s="455">
        <f t="shared" ca="1" si="181"/>
        <v>-21244005453.375885</v>
      </c>
      <c r="L4148" s="455">
        <f t="shared" ca="1" si="182"/>
        <v>-5119805314263.5889</v>
      </c>
      <c r="M4148" s="471">
        <f t="shared" si="184"/>
        <v>0.05</v>
      </c>
      <c r="N4148" s="475">
        <f t="shared" si="185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83"/>
        <v>-5119805314263.5889</v>
      </c>
      <c r="J4149" s="455">
        <f t="array" ref="J4149">IFERROR(INDEX('Retirement Calculator'!J:J,MATCH('Isaac 401k'!N4149,'Retirement Calculator'!A:A,0),0),0)</f>
        <v>0</v>
      </c>
      <c r="K4149" s="455">
        <f t="shared" ca="1" si="181"/>
        <v>-21332522142.764954</v>
      </c>
      <c r="L4149" s="455">
        <f t="shared" ca="1" si="182"/>
        <v>-5141137836406.3535</v>
      </c>
      <c r="M4149" s="471">
        <f t="shared" si="184"/>
        <v>0.05</v>
      </c>
      <c r="N4149" s="475">
        <f t="shared" si="185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83"/>
        <v>-5141137836406.3535</v>
      </c>
      <c r="J4150" s="455">
        <f t="array" ref="J4150">IFERROR(INDEX('Retirement Calculator'!J:J,MATCH('Isaac 401k'!N4150,'Retirement Calculator'!A:A,0),0),0)</f>
        <v>0</v>
      </c>
      <c r="K4150" s="455">
        <f t="shared" ca="1" si="181"/>
        <v>-21421407651.693138</v>
      </c>
      <c r="L4150" s="455">
        <f t="shared" ca="1" si="182"/>
        <v>-5162559244058.0469</v>
      </c>
      <c r="M4150" s="471">
        <f t="shared" si="184"/>
        <v>0.05</v>
      </c>
      <c r="N4150" s="475">
        <f t="shared" si="185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83"/>
        <v>-5162559244058.0469</v>
      </c>
      <c r="J4151" s="455">
        <f t="array" ref="J4151">IFERROR(INDEX('Retirement Calculator'!J:J,MATCH('Isaac 401k'!N4151,'Retirement Calculator'!A:A,0),0),0)</f>
        <v>0</v>
      </c>
      <c r="K4151" s="455">
        <f t="shared" ca="1" si="181"/>
        <v>-21510663516.908527</v>
      </c>
      <c r="L4151" s="455">
        <f t="shared" ca="1" si="182"/>
        <v>-5184069907574.9551</v>
      </c>
      <c r="M4151" s="471">
        <f t="shared" si="184"/>
        <v>0.05</v>
      </c>
      <c r="N4151" s="475">
        <f t="shared" si="185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83"/>
        <v>-5184069907574.9551</v>
      </c>
      <c r="J4152" s="455">
        <f t="array" ref="J4152">IFERROR(INDEX('Retirement Calculator'!J:J,MATCH('Isaac 401k'!N4152,'Retirement Calculator'!A:A,0),0),0)</f>
        <v>0</v>
      </c>
      <c r="K4152" s="455">
        <f t="shared" ca="1" si="181"/>
        <v>-21600291281.562313</v>
      </c>
      <c r="L4152" s="455">
        <f t="shared" ca="1" si="182"/>
        <v>-5205670198856.5176</v>
      </c>
      <c r="M4152" s="471">
        <f t="shared" si="184"/>
        <v>0.05</v>
      </c>
      <c r="N4152" s="475">
        <f t="shared" si="185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83"/>
        <v>-5205670198856.5176</v>
      </c>
      <c r="J4153" s="455">
        <f t="array" ref="J4153">IFERROR(INDEX('Retirement Calculator'!J:J,MATCH('Isaac 401k'!N4153,'Retirement Calculator'!A:A,0),0),0)</f>
        <v>0</v>
      </c>
      <c r="K4153" s="455">
        <f t="shared" ca="1" si="181"/>
        <v>-21690292495.235489</v>
      </c>
      <c r="L4153" s="455">
        <f t="shared" ca="1" si="182"/>
        <v>-5227360491351.7529</v>
      </c>
      <c r="M4153" s="471">
        <f t="shared" si="184"/>
        <v>0.05</v>
      </c>
      <c r="N4153" s="475">
        <f t="shared" si="185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83"/>
        <v>-5227360491351.7529</v>
      </c>
      <c r="J4154" s="455">
        <f t="array" ref="J4154">IFERROR(INDEX('Retirement Calculator'!J:J,MATCH('Isaac 401k'!N4154,'Retirement Calculator'!A:A,0),0),0)</f>
        <v>0</v>
      </c>
      <c r="K4154" s="455">
        <f t="shared" ca="1" si="181"/>
        <v>-21780668713.965637</v>
      </c>
      <c r="L4154" s="455">
        <f t="shared" ca="1" si="182"/>
        <v>-5249141160065.7188</v>
      </c>
      <c r="M4154" s="471">
        <f t="shared" si="184"/>
        <v>0.05</v>
      </c>
      <c r="N4154" s="475">
        <f t="shared" si="185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83"/>
        <v>-5249141160065.7188</v>
      </c>
      <c r="J4155" s="455">
        <f t="array" ref="J4155">IFERROR(INDEX('Retirement Calculator'!J:J,MATCH('Isaac 401k'!N4155,'Retirement Calculator'!A:A,0),0),0)</f>
        <v>0</v>
      </c>
      <c r="K4155" s="455">
        <f t="shared" ca="1" si="181"/>
        <v>-21871421500.273827</v>
      </c>
      <c r="L4155" s="455">
        <f t="shared" ca="1" si="182"/>
        <v>-5271012581565.9922</v>
      </c>
      <c r="M4155" s="471">
        <f t="shared" si="184"/>
        <v>0.05</v>
      </c>
      <c r="N4155" s="475">
        <f t="shared" si="185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83"/>
        <v>-5271012581565.9922</v>
      </c>
      <c r="J4156" s="455">
        <f t="array" ref="J4156">IFERROR(INDEX('Retirement Calculator'!J:J,MATCH('Isaac 401k'!N4156,'Retirement Calculator'!A:A,0),0),0)</f>
        <v>0</v>
      </c>
      <c r="K4156" s="455">
        <f t="shared" ca="1" si="181"/>
        <v>-21962552423.191635</v>
      </c>
      <c r="L4156" s="455">
        <f t="shared" ca="1" si="182"/>
        <v>-5292975133989.1836</v>
      </c>
      <c r="M4156" s="471">
        <f t="shared" si="184"/>
        <v>0.05</v>
      </c>
      <c r="N4156" s="475">
        <f t="shared" si="185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83"/>
        <v>-5292975133989.1836</v>
      </c>
      <c r="J4157" s="455">
        <f t="array" ref="J4157">IFERROR(INDEX('Retirement Calculator'!J:J,MATCH('Isaac 401k'!N4157,'Retirement Calculator'!A:A,0),0),0)</f>
        <v>0</v>
      </c>
      <c r="K4157" s="455">
        <f t="shared" ca="1" si="181"/>
        <v>-22054063058.288265</v>
      </c>
      <c r="L4157" s="455">
        <f t="shared" ca="1" si="182"/>
        <v>-5315029197047.4717</v>
      </c>
      <c r="M4157" s="471">
        <f t="shared" si="184"/>
        <v>0.05</v>
      </c>
      <c r="N4157" s="475">
        <f t="shared" si="185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83"/>
        <v>-5315029197047.4717</v>
      </c>
      <c r="J4158" s="455">
        <f t="array" ref="J4158">IFERROR(INDEX('Retirement Calculator'!J:J,MATCH('Isaac 401k'!N4158,'Retirement Calculator'!A:A,0),0),0)</f>
        <v>0</v>
      </c>
      <c r="K4158" s="455">
        <f t="shared" ca="1" si="181"/>
        <v>-22145954987.6978</v>
      </c>
      <c r="L4158" s="455">
        <f t="shared" ca="1" si="182"/>
        <v>-5337175152035.1699</v>
      </c>
      <c r="M4158" s="471">
        <f t="shared" si="184"/>
        <v>0.05</v>
      </c>
      <c r="N4158" s="475">
        <f t="shared" si="185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83"/>
        <v>-5337175152035.1699</v>
      </c>
      <c r="J4159" s="455">
        <f t="array" ref="J4159">IFERROR(INDEX('Retirement Calculator'!J:J,MATCH('Isaac 401k'!N4159,'Retirement Calculator'!A:A,0),0),0)</f>
        <v>0</v>
      </c>
      <c r="K4159" s="455">
        <f t="shared" ca="1" si="181"/>
        <v>-22238229800.146542</v>
      </c>
      <c r="L4159" s="455">
        <f t="shared" ca="1" si="182"/>
        <v>-5359413381835.3164</v>
      </c>
      <c r="M4159" s="471">
        <f t="shared" si="184"/>
        <v>0.05</v>
      </c>
      <c r="N4159" s="475">
        <f t="shared" si="185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83"/>
        <v>-5359413381835.3164</v>
      </c>
      <c r="J4160" s="455">
        <f t="array" ref="J4160">IFERROR(INDEX('Retirement Calculator'!J:J,MATCH('Isaac 401k'!N4160,'Retirement Calculator'!A:A,0),0),0)</f>
        <v>0</v>
      </c>
      <c r="K4160" s="455">
        <f t="shared" ca="1" si="181"/>
        <v>-22330889090.980484</v>
      </c>
      <c r="L4160" s="455">
        <f t="shared" ca="1" si="182"/>
        <v>-5381744270926.2969</v>
      </c>
      <c r="M4160" s="471">
        <f t="shared" si="184"/>
        <v>0.05</v>
      </c>
      <c r="N4160" s="475">
        <f t="shared" si="185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83"/>
        <v>-5381744270926.2969</v>
      </c>
      <c r="J4161" s="455">
        <f t="array" ref="J4161">IFERROR(INDEX('Retirement Calculator'!J:J,MATCH('Isaac 401k'!N4161,'Retirement Calculator'!A:A,0),0),0)</f>
        <v>0</v>
      </c>
      <c r="K4161" s="455">
        <f t="shared" ca="1" si="181"/>
        <v>-22423934462.192902</v>
      </c>
      <c r="L4161" s="455">
        <f t="shared" ca="1" si="182"/>
        <v>-5404168205388.4902</v>
      </c>
      <c r="M4161" s="471">
        <f t="shared" si="184"/>
        <v>0.05</v>
      </c>
      <c r="N4161" s="475">
        <f t="shared" si="185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83"/>
        <v>-5404168205388.4902</v>
      </c>
      <c r="J4162" s="455">
        <f t="array" ref="J4162">IFERROR(INDEX('Retirement Calculator'!J:J,MATCH('Isaac 401k'!N4162,'Retirement Calculator'!A:A,0),0),0)</f>
        <v>0</v>
      </c>
      <c r="K4162" s="455">
        <f t="shared" ca="1" si="181"/>
        <v>-22517367522.452042</v>
      </c>
      <c r="L4162" s="455">
        <f t="shared" ca="1" si="182"/>
        <v>-5426685572910.9424</v>
      </c>
      <c r="M4162" s="471">
        <f t="shared" si="184"/>
        <v>0.05</v>
      </c>
      <c r="N4162" s="475">
        <f t="shared" si="185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83"/>
        <v>-5426685572910.9424</v>
      </c>
      <c r="J4163" s="455">
        <f t="array" ref="J4163">IFERROR(INDEX('Retirement Calculator'!J:J,MATCH('Isaac 401k'!N4163,'Retirement Calculator'!A:A,0),0),0)</f>
        <v>0</v>
      </c>
      <c r="K4163" s="455">
        <f t="shared" ca="1" si="181"/>
        <v>-22611189887.128925</v>
      </c>
      <c r="L4163" s="455">
        <f t="shared" ca="1" si="182"/>
        <v>-5449296762798.0713</v>
      </c>
      <c r="M4163" s="471">
        <f t="shared" si="184"/>
        <v>0.05</v>
      </c>
      <c r="N4163" s="475">
        <f t="shared" si="185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83"/>
        <v>-5449296762798.0713</v>
      </c>
      <c r="J4164" s="455">
        <f t="array" ref="J4164">IFERROR(INDEX('Retirement Calculator'!J:J,MATCH('Isaac 401k'!N4164,'Retirement Calculator'!A:A,0),0),0)</f>
        <v>0</v>
      </c>
      <c r="K4164" s="455">
        <f t="shared" ca="1" si="181"/>
        <v>-22705403178.325298</v>
      </c>
      <c r="L4164" s="455">
        <f t="shared" ca="1" si="182"/>
        <v>-5472002165976.3965</v>
      </c>
      <c r="M4164" s="471">
        <f t="shared" si="184"/>
        <v>0.05</v>
      </c>
      <c r="N4164" s="475">
        <f t="shared" si="185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83"/>
        <v>-5472002165976.3965</v>
      </c>
      <c r="J4165" s="455">
        <f t="array" ref="J4165">IFERROR(INDEX('Retirement Calculator'!J:J,MATCH('Isaac 401k'!N4165,'Retirement Calculator'!A:A,0),0),0)</f>
        <v>0</v>
      </c>
      <c r="K4165" s="455">
        <f t="shared" ca="1" si="181"/>
        <v>-22800009024.901653</v>
      </c>
      <c r="L4165" s="455">
        <f t="shared" ca="1" si="182"/>
        <v>-5494802175001.2979</v>
      </c>
      <c r="M4165" s="471">
        <f t="shared" si="184"/>
        <v>0.05</v>
      </c>
      <c r="N4165" s="475">
        <f t="shared" si="185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83"/>
        <v>-5494802175001.2979</v>
      </c>
      <c r="J4166" s="455">
        <f t="array" ref="J4166">IFERROR(INDEX('Retirement Calculator'!J:J,MATCH('Isaac 401k'!N4166,'Retirement Calculator'!A:A,0),0),0)</f>
        <v>0</v>
      </c>
      <c r="K4166" s="455">
        <f t="shared" ca="1" si="181"/>
        <v>-22895009062.505409</v>
      </c>
      <c r="L4166" s="455">
        <f t="shared" ca="1" si="182"/>
        <v>-5517697184063.8037</v>
      </c>
      <c r="M4166" s="471">
        <f t="shared" si="184"/>
        <v>0.05</v>
      </c>
      <c r="N4166" s="475">
        <f t="shared" si="185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83"/>
        <v>-5517697184063.8037</v>
      </c>
      <c r="J4167" s="455">
        <f t="array" ref="J4167">IFERROR(INDEX('Retirement Calculator'!J:J,MATCH('Isaac 401k'!N4167,'Retirement Calculator'!A:A,0),0),0)</f>
        <v>0</v>
      </c>
      <c r="K4167" s="455">
        <f t="shared" ca="1" si="181"/>
        <v>-22990404933.599182</v>
      </c>
      <c r="L4167" s="455">
        <f t="shared" ca="1" si="182"/>
        <v>-5540687588997.4033</v>
      </c>
      <c r="M4167" s="471">
        <f t="shared" si="184"/>
        <v>0.05</v>
      </c>
      <c r="N4167" s="475">
        <f t="shared" si="185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83"/>
        <v>-5540687588997.4033</v>
      </c>
      <c r="J4168" s="455">
        <f t="array" ref="J4168">IFERROR(INDEX('Retirement Calculator'!J:J,MATCH('Isaac 401k'!N4168,'Retirement Calculator'!A:A,0),0),0)</f>
        <v>0</v>
      </c>
      <c r="K4168" s="455">
        <f t="shared" ca="1" si="181"/>
        <v>-23086198287.489182</v>
      </c>
      <c r="L4168" s="455">
        <f t="shared" ca="1" si="182"/>
        <v>-5563773787284.8926</v>
      </c>
      <c r="M4168" s="471">
        <f t="shared" si="184"/>
        <v>0.05</v>
      </c>
      <c r="N4168" s="475">
        <f t="shared" si="185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83"/>
        <v>-5563773787284.8926</v>
      </c>
      <c r="J4169" s="455">
        <f t="array" ref="J4169">IFERROR(INDEX('Retirement Calculator'!J:J,MATCH('Isaac 401k'!N4169,'Retirement Calculator'!A:A,0),0),0)</f>
        <v>0</v>
      </c>
      <c r="K4169" s="455">
        <f t="shared" ca="1" si="181"/>
        <v>-23182390780.353718</v>
      </c>
      <c r="L4169" s="455">
        <f t="shared" ca="1" si="182"/>
        <v>-5586956178065.2461</v>
      </c>
      <c r="M4169" s="471">
        <f t="shared" si="184"/>
        <v>0.05</v>
      </c>
      <c r="N4169" s="475">
        <f t="shared" si="185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83"/>
        <v>-5586956178065.2461</v>
      </c>
      <c r="J4170" s="455">
        <f t="array" ref="J4170">IFERROR(INDEX('Retirement Calculator'!J:J,MATCH('Isaac 401k'!N4170,'Retirement Calculator'!A:A,0),0),0)</f>
        <v>0</v>
      </c>
      <c r="K4170" s="455">
        <f t="shared" ca="1" si="181"/>
        <v>-23278984075.271858</v>
      </c>
      <c r="L4170" s="455">
        <f t="shared" ca="1" si="182"/>
        <v>-5610235162140.5176</v>
      </c>
      <c r="M4170" s="471">
        <f t="shared" si="184"/>
        <v>0.05</v>
      </c>
      <c r="N4170" s="475">
        <f t="shared" si="185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83"/>
        <v>-5610235162140.5176</v>
      </c>
      <c r="J4171" s="455">
        <f t="array" ref="J4171">IFERROR(INDEX('Retirement Calculator'!J:J,MATCH('Isaac 401k'!N4171,'Retirement Calculator'!A:A,0),0),0)</f>
        <v>0</v>
      </c>
      <c r="K4171" s="455">
        <f t="shared" ca="1" si="181"/>
        <v>-23375979842.252155</v>
      </c>
      <c r="L4171" s="455">
        <f t="shared" ca="1" si="182"/>
        <v>-5633611141982.7695</v>
      </c>
      <c r="M4171" s="471">
        <f t="shared" si="184"/>
        <v>0.05</v>
      </c>
      <c r="N4171" s="475">
        <f t="shared" si="185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83"/>
        <v>-5633611141982.7695</v>
      </c>
      <c r="J4172" s="455">
        <f t="array" ref="J4172">IFERROR(INDEX('Retirement Calculator'!J:J,MATCH('Isaac 401k'!N4172,'Retirement Calculator'!A:A,0),0),0)</f>
        <v>0</v>
      </c>
      <c r="K4172" s="455">
        <f t="shared" ca="1" si="181"/>
        <v>-23473379758.261539</v>
      </c>
      <c r="L4172" s="455">
        <f t="shared" ca="1" si="182"/>
        <v>-5657084521741.0313</v>
      </c>
      <c r="M4172" s="471">
        <f t="shared" si="184"/>
        <v>0.05</v>
      </c>
      <c r="N4172" s="475">
        <f t="shared" si="185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83"/>
        <v>-5657084521741.0313</v>
      </c>
      <c r="J4173" s="455">
        <f t="array" ref="J4173">IFERROR(INDEX('Retirement Calculator'!J:J,MATCH('Isaac 401k'!N4173,'Retirement Calculator'!A:A,0),0),0)</f>
        <v>0</v>
      </c>
      <c r="K4173" s="455">
        <f t="shared" ca="1" si="181"/>
        <v>-23571185507.254295</v>
      </c>
      <c r="L4173" s="455">
        <f t="shared" ca="1" si="182"/>
        <v>-5680655707248.2852</v>
      </c>
      <c r="M4173" s="471">
        <f t="shared" si="184"/>
        <v>0.05</v>
      </c>
      <c r="N4173" s="475">
        <f t="shared" si="185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83"/>
        <v>-5680655707248.2852</v>
      </c>
      <c r="J4174" s="455">
        <f t="array" ref="J4174">IFERROR(INDEX('Retirement Calculator'!J:J,MATCH('Isaac 401k'!N4174,'Retirement Calculator'!A:A,0),0),0)</f>
        <v>0</v>
      </c>
      <c r="K4174" s="455">
        <f t="shared" ca="1" si="181"/>
        <v>-23669398780.201187</v>
      </c>
      <c r="L4174" s="455">
        <f t="shared" ca="1" si="182"/>
        <v>-5704325106028.4863</v>
      </c>
      <c r="M4174" s="471">
        <f t="shared" si="184"/>
        <v>0.05</v>
      </c>
      <c r="N4174" s="475">
        <f t="shared" si="185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83"/>
        <v>-5704325106028.4863</v>
      </c>
      <c r="J4175" s="455">
        <f t="array" ref="J4175">IFERROR(INDEX('Retirement Calculator'!J:J,MATCH('Isaac 401k'!N4175,'Retirement Calculator'!A:A,0),0),0)</f>
        <v>0</v>
      </c>
      <c r="K4175" s="455">
        <f t="shared" ca="1" si="181"/>
        <v>-23768021275.118694</v>
      </c>
      <c r="L4175" s="455">
        <f t="shared" ca="1" si="182"/>
        <v>-5728093127303.6055</v>
      </c>
      <c r="M4175" s="471">
        <f t="shared" si="184"/>
        <v>0.05</v>
      </c>
      <c r="N4175" s="475">
        <f t="shared" si="185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83"/>
        <v>-5728093127303.6055</v>
      </c>
      <c r="J4176" s="455">
        <f t="array" ref="J4176">IFERROR(INDEX('Retirement Calculator'!J:J,MATCH('Isaac 401k'!N4176,'Retirement Calculator'!A:A,0),0),0)</f>
        <v>0</v>
      </c>
      <c r="K4176" s="455">
        <f t="shared" ca="1" si="181"/>
        <v>-23867054697.098354</v>
      </c>
      <c r="L4176" s="455">
        <f t="shared" ca="1" si="182"/>
        <v>-5751960182000.7041</v>
      </c>
      <c r="M4176" s="471">
        <f t="shared" si="184"/>
        <v>0.05</v>
      </c>
      <c r="N4176" s="475">
        <f t="shared" si="185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83"/>
        <v>-5751960182000.7041</v>
      </c>
      <c r="J4177" s="455">
        <f t="array" ref="J4177">IFERROR(INDEX('Retirement Calculator'!J:J,MATCH('Isaac 401k'!N4177,'Retirement Calculator'!A:A,0),0),0)</f>
        <v>0</v>
      </c>
      <c r="K4177" s="455">
        <f t="shared" ca="1" si="181"/>
        <v>-23966500758.336266</v>
      </c>
      <c r="L4177" s="455">
        <f t="shared" ca="1" si="182"/>
        <v>-5775926682759.04</v>
      </c>
      <c r="M4177" s="471">
        <f t="shared" si="184"/>
        <v>0.05</v>
      </c>
      <c r="N4177" s="475">
        <f t="shared" si="185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83"/>
        <v>-5775926682759.04</v>
      </c>
      <c r="J4178" s="455">
        <f t="array" ref="J4178">IFERROR(INDEX('Retirement Calculator'!J:J,MATCH('Isaac 401k'!N4178,'Retirement Calculator'!A:A,0),0),0)</f>
        <v>0</v>
      </c>
      <c r="K4178" s="455">
        <f t="shared" ca="1" si="181"/>
        <v>-24066361178.162666</v>
      </c>
      <c r="L4178" s="455">
        <f t="shared" ca="1" si="182"/>
        <v>-5799993043937.2031</v>
      </c>
      <c r="M4178" s="471">
        <f t="shared" si="184"/>
        <v>0.05</v>
      </c>
      <c r="N4178" s="475">
        <f t="shared" si="185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83"/>
        <v>-5799993043937.2031</v>
      </c>
      <c r="J4179" s="455">
        <f t="array" ref="J4179">IFERROR(INDEX('Retirement Calculator'!J:J,MATCH('Isaac 401k'!N4179,'Retirement Calculator'!A:A,0),0),0)</f>
        <v>0</v>
      </c>
      <c r="K4179" s="455">
        <f t="shared" ca="1" si="181"/>
        <v>-24166637683.071678</v>
      </c>
      <c r="L4179" s="455">
        <f t="shared" ca="1" si="182"/>
        <v>-5824159681620.2744</v>
      </c>
      <c r="M4179" s="471">
        <f t="shared" si="184"/>
        <v>0.05</v>
      </c>
      <c r="N4179" s="475">
        <f t="shared" si="185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83"/>
        <v>-5824159681620.2744</v>
      </c>
      <c r="J4180" s="455">
        <f t="array" ref="J4180">IFERROR(INDEX('Retirement Calculator'!J:J,MATCH('Isaac 401k'!N4180,'Retirement Calculator'!A:A,0),0),0)</f>
        <v>0</v>
      </c>
      <c r="K4180" s="455">
        <f t="shared" ca="1" si="181"/>
        <v>-24267332006.751144</v>
      </c>
      <c r="L4180" s="455">
        <f t="shared" ca="1" si="182"/>
        <v>-5848427013627.0254</v>
      </c>
      <c r="M4180" s="471">
        <f t="shared" si="184"/>
        <v>0.05</v>
      </c>
      <c r="N4180" s="475">
        <f t="shared" si="185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83"/>
        <v>-5848427013627.0254</v>
      </c>
      <c r="J4181" s="455">
        <f t="array" ref="J4181">IFERROR(INDEX('Retirement Calculator'!J:J,MATCH('Isaac 401k'!N4181,'Retirement Calculator'!A:A,0),0),0)</f>
        <v>0</v>
      </c>
      <c r="K4181" s="455">
        <f t="shared" ca="1" si="181"/>
        <v>-24368445890.112606</v>
      </c>
      <c r="L4181" s="455">
        <f t="shared" ca="1" si="182"/>
        <v>-5872795459517.1377</v>
      </c>
      <c r="M4181" s="471">
        <f t="shared" si="184"/>
        <v>0.05</v>
      </c>
      <c r="N4181" s="475">
        <f t="shared" si="185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83"/>
        <v>-5872795459517.1377</v>
      </c>
      <c r="J4182" s="455">
        <f t="array" ref="J4182">IFERROR(INDEX('Retirement Calculator'!J:J,MATCH('Isaac 401k'!N4182,'Retirement Calculator'!A:A,0),0),0)</f>
        <v>0</v>
      </c>
      <c r="K4182" s="455">
        <f t="shared" ca="1" si="181"/>
        <v>-24469981081.321407</v>
      </c>
      <c r="L4182" s="455">
        <f t="shared" ca="1" si="182"/>
        <v>-5897265440598.459</v>
      </c>
      <c r="M4182" s="471">
        <f t="shared" si="184"/>
        <v>0.05</v>
      </c>
      <c r="N4182" s="475">
        <f t="shared" si="185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83"/>
        <v>-5897265440598.459</v>
      </c>
      <c r="J4183" s="455">
        <f t="array" ref="J4183">IFERROR(INDEX('Retirement Calculator'!J:J,MATCH('Isaac 401k'!N4183,'Retirement Calculator'!A:A,0),0),0)</f>
        <v>0</v>
      </c>
      <c r="K4183" s="455">
        <f t="shared" ca="1" si="181"/>
        <v>-24571939335.826912</v>
      </c>
      <c r="L4183" s="455">
        <f t="shared" ca="1" si="182"/>
        <v>-5921837379934.2861</v>
      </c>
      <c r="M4183" s="471">
        <f t="shared" si="184"/>
        <v>0.05</v>
      </c>
      <c r="N4183" s="475">
        <f t="shared" si="185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83"/>
        <v>-5921837379934.2861</v>
      </c>
      <c r="J4184" s="455">
        <f t="array" ref="J4184">IFERROR(INDEX('Retirement Calculator'!J:J,MATCH('Isaac 401k'!N4184,'Retirement Calculator'!A:A,0),0),0)</f>
        <v>0</v>
      </c>
      <c r="K4184" s="455">
        <f t="shared" ca="1" si="181"/>
        <v>-24674322416.39286</v>
      </c>
      <c r="L4184" s="455">
        <f t="shared" ca="1" si="182"/>
        <v>-5946511702350.6787</v>
      </c>
      <c r="M4184" s="471">
        <f t="shared" si="184"/>
        <v>0.05</v>
      </c>
      <c r="N4184" s="475">
        <f t="shared" si="185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83"/>
        <v>-5946511702350.6787</v>
      </c>
      <c r="J4185" s="455">
        <f t="array" ref="J4185">IFERROR(INDEX('Retirement Calculator'!J:J,MATCH('Isaac 401k'!N4185,'Retirement Calculator'!A:A,0),0),0)</f>
        <v>0</v>
      </c>
      <c r="K4185" s="455">
        <f t="shared" ca="1" si="181"/>
        <v>-24777132093.127827</v>
      </c>
      <c r="L4185" s="455">
        <f t="shared" ca="1" si="182"/>
        <v>-5971288834443.8066</v>
      </c>
      <c r="M4185" s="471">
        <f t="shared" si="184"/>
        <v>0.05</v>
      </c>
      <c r="N4185" s="475">
        <f t="shared" si="185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83"/>
        <v>-5971288834443.8066</v>
      </c>
      <c r="J4186" s="455">
        <f t="array" ref="J4186">IFERROR(INDEX('Retirement Calculator'!J:J,MATCH('Isaac 401k'!N4186,'Retirement Calculator'!A:A,0),0),0)</f>
        <v>0</v>
      </c>
      <c r="K4186" s="455">
        <f t="shared" ca="1" si="181"/>
        <v>-24880370143.515862</v>
      </c>
      <c r="L4186" s="455">
        <f t="shared" ca="1" si="182"/>
        <v>-5996169204587.3223</v>
      </c>
      <c r="M4186" s="471">
        <f t="shared" si="184"/>
        <v>0.05</v>
      </c>
      <c r="N4186" s="475">
        <f t="shared" si="185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83"/>
        <v>-5996169204587.3223</v>
      </c>
      <c r="J4187" s="455">
        <f t="array" ref="J4187">IFERROR(INDEX('Retirement Calculator'!J:J,MATCH('Isaac 401k'!N4187,'Retirement Calculator'!A:A,0),0),0)</f>
        <v>0</v>
      </c>
      <c r="K4187" s="455">
        <f t="shared" ca="1" si="181"/>
        <v>-24984038352.447174</v>
      </c>
      <c r="L4187" s="455">
        <f t="shared" ca="1" si="182"/>
        <v>-6021153242939.7695</v>
      </c>
      <c r="M4187" s="471">
        <f t="shared" si="184"/>
        <v>0.05</v>
      </c>
      <c r="N4187" s="475">
        <f t="shared" si="185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83"/>
        <v>-6021153242939.7695</v>
      </c>
      <c r="J4188" s="455">
        <f t="array" ref="J4188">IFERROR(INDEX('Retirement Calculator'!J:J,MATCH('Isaac 401k'!N4188,'Retirement Calculator'!A:A,0),0),0)</f>
        <v>0</v>
      </c>
      <c r="K4188" s="455">
        <f t="shared" ca="1" si="181"/>
        <v>-25088138512.249039</v>
      </c>
      <c r="L4188" s="455">
        <f t="shared" ca="1" si="182"/>
        <v>-6046241381452.0186</v>
      </c>
      <c r="M4188" s="471">
        <f t="shared" si="184"/>
        <v>0.05</v>
      </c>
      <c r="N4188" s="475">
        <f t="shared" si="185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83"/>
        <v>-6046241381452.0186</v>
      </c>
      <c r="J4189" s="455">
        <f t="array" ref="J4189">IFERROR(INDEX('Retirement Calculator'!J:J,MATCH('Isaac 401k'!N4189,'Retirement Calculator'!A:A,0),0),0)</f>
        <v>0</v>
      </c>
      <c r="K4189" s="455">
        <f t="shared" ca="1" si="181"/>
        <v>-25192672422.716743</v>
      </c>
      <c r="L4189" s="455">
        <f t="shared" ca="1" si="182"/>
        <v>-6071434053874.7354</v>
      </c>
      <c r="M4189" s="471">
        <f t="shared" si="184"/>
        <v>0.05</v>
      </c>
      <c r="N4189" s="475">
        <f t="shared" si="185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83"/>
        <v>-6071434053874.7354</v>
      </c>
      <c r="J4190" s="455">
        <f t="array" ref="J4190">IFERROR(INDEX('Retirement Calculator'!J:J,MATCH('Isaac 401k'!N4190,'Retirement Calculator'!A:A,0),0),0)</f>
        <v>0</v>
      </c>
      <c r="K4190" s="455">
        <f t="shared" ca="1" si="181"/>
        <v>-25297641891.14473</v>
      </c>
      <c r="L4190" s="455">
        <f t="shared" ca="1" si="182"/>
        <v>-6096731695765.8799</v>
      </c>
      <c r="M4190" s="471">
        <f t="shared" si="184"/>
        <v>0.05</v>
      </c>
      <c r="N4190" s="475">
        <f t="shared" si="185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83"/>
        <v>-6096731695765.8799</v>
      </c>
      <c r="J4191" s="455">
        <f t="array" ref="J4191">IFERROR(INDEX('Retirement Calculator'!J:J,MATCH('Isaac 401k'!N4191,'Retirement Calculator'!A:A,0),0),0)</f>
        <v>0</v>
      </c>
      <c r="K4191" s="455">
        <f t="shared" ca="1" si="181"/>
        <v>-25403048732.357834</v>
      </c>
      <c r="L4191" s="455">
        <f t="shared" ca="1" si="182"/>
        <v>-6122134744498.2373</v>
      </c>
      <c r="M4191" s="471">
        <f t="shared" si="184"/>
        <v>0.05</v>
      </c>
      <c r="N4191" s="475">
        <f t="shared" si="185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83"/>
        <v>-6122134744498.2373</v>
      </c>
      <c r="J4192" s="455">
        <f t="array" ref="J4192">IFERROR(INDEX('Retirement Calculator'!J:J,MATCH('Isaac 401k'!N4192,'Retirement Calculator'!A:A,0),0),0)</f>
        <v>0</v>
      </c>
      <c r="K4192" s="455">
        <f t="shared" ca="1" si="181"/>
        <v>-25508894768.742657</v>
      </c>
      <c r="L4192" s="455">
        <f t="shared" ca="1" si="182"/>
        <v>-6147643639266.9795</v>
      </c>
      <c r="M4192" s="471">
        <f t="shared" si="184"/>
        <v>0.05</v>
      </c>
      <c r="N4192" s="475">
        <f t="shared" si="185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83"/>
        <v>-6147643639266.9795</v>
      </c>
      <c r="J4193" s="455">
        <f t="array" ref="J4193">IFERROR(INDEX('Retirement Calculator'!J:J,MATCH('Isaac 401k'!N4193,'Retirement Calculator'!A:A,0),0),0)</f>
        <v>0</v>
      </c>
      <c r="K4193" s="455">
        <f t="shared" ca="1" si="181"/>
        <v>-25615181830.279079</v>
      </c>
      <c r="L4193" s="455">
        <f t="shared" ca="1" si="182"/>
        <v>-6173258821097.2588</v>
      </c>
      <c r="M4193" s="471">
        <f t="shared" si="184"/>
        <v>0.05</v>
      </c>
      <c r="N4193" s="475">
        <f t="shared" si="185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83"/>
        <v>-6173258821097.2588</v>
      </c>
      <c r="J4194" s="455">
        <f t="array" ref="J4194">IFERROR(INDEX('Retirement Calculator'!J:J,MATCH('Isaac 401k'!N4194,'Retirement Calculator'!A:A,0),0),0)</f>
        <v>0</v>
      </c>
      <c r="K4194" s="455">
        <f t="shared" ca="1" si="181"/>
        <v>-25721911754.571911</v>
      </c>
      <c r="L4194" s="455">
        <f t="shared" ca="1" si="182"/>
        <v>-6198980732851.8311</v>
      </c>
      <c r="M4194" s="471">
        <f t="shared" si="184"/>
        <v>0.05</v>
      </c>
      <c r="N4194" s="475">
        <f t="shared" si="185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83"/>
        <v>-6198980732851.8311</v>
      </c>
      <c r="J4195" s="455">
        <f t="array" ref="J4195">IFERROR(INDEX('Retirement Calculator'!J:J,MATCH('Isaac 401k'!N4195,'Retirement Calculator'!A:A,0),0),0)</f>
        <v>0</v>
      </c>
      <c r="K4195" s="455">
        <f t="shared" ca="1" si="181"/>
        <v>-25829086386.882629</v>
      </c>
      <c r="L4195" s="455">
        <f t="shared" ca="1" si="182"/>
        <v>-6224809819238.7139</v>
      </c>
      <c r="M4195" s="471">
        <f t="shared" si="184"/>
        <v>0.05</v>
      </c>
      <c r="N4195" s="475">
        <f t="shared" si="185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83"/>
        <v>-6224809819238.7139</v>
      </c>
      <c r="J4196" s="455">
        <f t="array" ref="J4196">IFERROR(INDEX('Retirement Calculator'!J:J,MATCH('Isaac 401k'!N4196,'Retirement Calculator'!A:A,0),0),0)</f>
        <v>0</v>
      </c>
      <c r="K4196" s="455">
        <f t="shared" ca="1" si="181"/>
        <v>-25936707580.161308</v>
      </c>
      <c r="L4196" s="455">
        <f t="shared" ca="1" si="182"/>
        <v>-6250746526818.875</v>
      </c>
      <c r="M4196" s="471">
        <f t="shared" si="184"/>
        <v>0.05</v>
      </c>
      <c r="N4196" s="475">
        <f t="shared" si="185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83"/>
        <v>-6250746526818.875</v>
      </c>
      <c r="J4197" s="455">
        <f t="array" ref="J4197">IFERROR(INDEX('Retirement Calculator'!J:J,MATCH('Isaac 401k'!N4197,'Retirement Calculator'!A:A,0),0),0)</f>
        <v>0</v>
      </c>
      <c r="K4197" s="455">
        <f t="shared" ca="1" si="181"/>
        <v>-26044777195.078644</v>
      </c>
      <c r="L4197" s="455">
        <f t="shared" ca="1" si="182"/>
        <v>-6276791304013.9541</v>
      </c>
      <c r="M4197" s="471">
        <f t="shared" si="184"/>
        <v>0.05</v>
      </c>
      <c r="N4197" s="475">
        <f t="shared" si="185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83"/>
        <v>-6276791304013.9541</v>
      </c>
      <c r="J4198" s="455">
        <f t="array" ref="J4198">IFERROR(INDEX('Retirement Calculator'!J:J,MATCH('Isaac 401k'!N4198,'Retirement Calculator'!A:A,0),0),0)</f>
        <v>0</v>
      </c>
      <c r="K4198" s="455">
        <f t="shared" ca="1" si="181"/>
        <v>-26153297100.058144</v>
      </c>
      <c r="L4198" s="455">
        <f t="shared" ca="1" si="182"/>
        <v>-6302944601114.0127</v>
      </c>
      <c r="M4198" s="471">
        <f t="shared" si="184"/>
        <v>0.05</v>
      </c>
      <c r="N4198" s="475">
        <f t="shared" si="185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83"/>
        <v>-6302944601114.0127</v>
      </c>
      <c r="J4199" s="455">
        <f t="array" ref="J4199">IFERROR(INDEX('Retirement Calculator'!J:J,MATCH('Isaac 401k'!N4199,'Retirement Calculator'!A:A,0),0),0)</f>
        <v>0</v>
      </c>
      <c r="K4199" s="455">
        <f t="shared" ca="1" si="181"/>
        <v>-26262269171.308388</v>
      </c>
      <c r="L4199" s="455">
        <f t="shared" ca="1" si="182"/>
        <v>-6329206870285.3213</v>
      </c>
      <c r="M4199" s="471">
        <f t="shared" si="184"/>
        <v>0.05</v>
      </c>
      <c r="N4199" s="475">
        <f t="shared" si="185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83"/>
        <v>-6329206870285.3213</v>
      </c>
      <c r="J4200" s="455">
        <f t="array" ref="J4200">IFERROR(INDEX('Retirement Calculator'!J:J,MATCH('Isaac 401k'!N4200,'Retirement Calculator'!A:A,0),0),0)</f>
        <v>0</v>
      </c>
      <c r="K4200" s="455">
        <f t="shared" ca="1" si="181"/>
        <v>-26371695292.855507</v>
      </c>
      <c r="L4200" s="455">
        <f t="shared" ca="1" si="182"/>
        <v>-6355578565578.1768</v>
      </c>
      <c r="M4200" s="471">
        <f t="shared" si="184"/>
        <v>0.05</v>
      </c>
      <c r="N4200" s="475">
        <f t="shared" si="185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83"/>
        <v>-6355578565578.1768</v>
      </c>
      <c r="J4201" s="455">
        <f t="array" ref="J4201">IFERROR(INDEX('Retirement Calculator'!J:J,MATCH('Isaac 401k'!N4201,'Retirement Calculator'!A:A,0),0),0)</f>
        <v>0</v>
      </c>
      <c r="K4201" s="455">
        <f t="shared" ca="1" si="181"/>
        <v>-26481577356.575737</v>
      </c>
      <c r="L4201" s="455">
        <f t="shared" ca="1" si="182"/>
        <v>-6382060142934.7529</v>
      </c>
      <c r="M4201" s="471">
        <f t="shared" si="184"/>
        <v>0.05</v>
      </c>
      <c r="N4201" s="475">
        <f t="shared" si="185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83"/>
        <v>-6382060142934.7529</v>
      </c>
      <c r="J4202" s="455">
        <f t="array" ref="J4202">IFERROR(INDEX('Retirement Calculator'!J:J,MATCH('Isaac 401k'!N4202,'Retirement Calculator'!A:A,0),0),0)</f>
        <v>0</v>
      </c>
      <c r="K4202" s="455">
        <f t="shared" ca="1" si="181"/>
        <v>-26591917262.228138</v>
      </c>
      <c r="L4202" s="455">
        <f t="shared" ca="1" si="182"/>
        <v>-6408652060196.9814</v>
      </c>
      <c r="M4202" s="471">
        <f t="shared" si="184"/>
        <v>0.05</v>
      </c>
      <c r="N4202" s="475">
        <f t="shared" si="185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83"/>
        <v>-6408652060196.9814</v>
      </c>
      <c r="J4203" s="455">
        <f t="array" ref="J4203">IFERROR(INDEX('Retirement Calculator'!J:J,MATCH('Isaac 401k'!N4203,'Retirement Calculator'!A:A,0),0),0)</f>
        <v>0</v>
      </c>
      <c r="K4203" s="455">
        <f t="shared" ca="1" si="181"/>
        <v>-26702716917.487423</v>
      </c>
      <c r="L4203" s="455">
        <f t="shared" ca="1" si="182"/>
        <v>-6435354777114.4688</v>
      </c>
      <c r="M4203" s="471">
        <f t="shared" si="184"/>
        <v>0.05</v>
      </c>
      <c r="N4203" s="475">
        <f t="shared" si="185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83"/>
        <v>-6435354777114.4688</v>
      </c>
      <c r="J4204" s="455">
        <f t="array" ref="J4204">IFERROR(INDEX('Retirement Calculator'!J:J,MATCH('Isaac 401k'!N4204,'Retirement Calculator'!A:A,0),0),0)</f>
        <v>0</v>
      </c>
      <c r="K4204" s="455">
        <f t="shared" ca="1" si="181"/>
        <v>-26813978237.976952</v>
      </c>
      <c r="L4204" s="455">
        <f t="shared" ca="1" si="182"/>
        <v>-6462168755352.4453</v>
      </c>
      <c r="M4204" s="471">
        <f t="shared" si="184"/>
        <v>0.05</v>
      </c>
      <c r="N4204" s="475">
        <f t="shared" si="185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83"/>
        <v>-6462168755352.4453</v>
      </c>
      <c r="J4205" s="455">
        <f t="array" ref="J4205">IFERROR(INDEX('Retirement Calculator'!J:J,MATCH('Isaac 401k'!N4205,'Retirement Calculator'!A:A,0),0),0)</f>
        <v>0</v>
      </c>
      <c r="K4205" s="455">
        <f t="shared" ca="1" si="181"/>
        <v>-26925703147.301857</v>
      </c>
      <c r="L4205" s="455">
        <f t="shared" ca="1" si="182"/>
        <v>-6489094458499.7471</v>
      </c>
      <c r="M4205" s="471">
        <f t="shared" si="184"/>
        <v>0.05</v>
      </c>
      <c r="N4205" s="475">
        <f t="shared" si="185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83"/>
        <v>-6489094458499.7471</v>
      </c>
      <c r="J4206" s="455">
        <f t="array" ref="J4206">IFERROR(INDEX('Retirement Calculator'!J:J,MATCH('Isaac 401k'!N4206,'Retirement Calculator'!A:A,0),0),0)</f>
        <v>0</v>
      </c>
      <c r="K4206" s="455">
        <f t="shared" ca="1" si="181"/>
        <v>-27037893577.082279</v>
      </c>
      <c r="L4206" s="455">
        <f t="shared" ca="1" si="182"/>
        <v>-6516132352076.8291</v>
      </c>
      <c r="M4206" s="471">
        <f t="shared" si="184"/>
        <v>0.05</v>
      </c>
      <c r="N4206" s="475">
        <f t="shared" si="185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83"/>
        <v>-6516132352076.8291</v>
      </c>
      <c r="J4207" s="455">
        <f t="array" ref="J4207">IFERROR(INDEX('Retirement Calculator'!J:J,MATCH('Isaac 401k'!N4207,'Retirement Calculator'!A:A,0),0),0)</f>
        <v>0</v>
      </c>
      <c r="K4207" s="455">
        <f t="shared" ca="1" si="181"/>
        <v>-27150551466.986786</v>
      </c>
      <c r="L4207" s="455">
        <f t="shared" ca="1" si="182"/>
        <v>-6543282903543.8154</v>
      </c>
      <c r="M4207" s="471">
        <f t="shared" si="184"/>
        <v>0.05</v>
      </c>
      <c r="N4207" s="475">
        <f t="shared" si="185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83"/>
        <v>-6543282903543.8154</v>
      </c>
      <c r="J4208" s="455">
        <f t="array" ref="J4208">IFERROR(INDEX('Retirement Calculator'!J:J,MATCH('Isaac 401k'!N4208,'Retirement Calculator'!A:A,0),0),0)</f>
        <v>0</v>
      </c>
      <c r="K4208" s="455">
        <f t="shared" ca="1" si="181"/>
        <v>-27263678764.765896</v>
      </c>
      <c r="L4208" s="455">
        <f t="shared" ca="1" si="182"/>
        <v>-6570546582308.5811</v>
      </c>
      <c r="M4208" s="471">
        <f t="shared" si="184"/>
        <v>0.05</v>
      </c>
      <c r="N4208" s="475">
        <f t="shared" si="185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83"/>
        <v>-6570546582308.5811</v>
      </c>
      <c r="J4209" s="455">
        <f t="array" ref="J4209">IFERROR(INDEX('Retirement Calculator'!J:J,MATCH('Isaac 401k'!N4209,'Retirement Calculator'!A:A,0),0),0)</f>
        <v>0</v>
      </c>
      <c r="K4209" s="455">
        <f t="shared" ca="1" si="181"/>
        <v>-27377277426.285755</v>
      </c>
      <c r="L4209" s="455">
        <f t="shared" ca="1" si="182"/>
        <v>-6597923859734.8672</v>
      </c>
      <c r="M4209" s="471">
        <f t="shared" si="184"/>
        <v>0.05</v>
      </c>
      <c r="N4209" s="475">
        <f t="shared" si="185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83"/>
        <v>-6597923859734.8672</v>
      </c>
      <c r="J4210" s="455">
        <f t="array" ref="J4210">IFERROR(INDEX('Retirement Calculator'!J:J,MATCH('Isaac 401k'!N4210,'Retirement Calculator'!A:A,0),0),0)</f>
        <v>0</v>
      </c>
      <c r="K4210" s="455">
        <f t="shared" ca="1" si="181"/>
        <v>-27491349415.561947</v>
      </c>
      <c r="L4210" s="455">
        <f t="shared" ca="1" si="182"/>
        <v>-6625415209150.4287</v>
      </c>
      <c r="M4210" s="471">
        <f t="shared" si="184"/>
        <v>0.05</v>
      </c>
      <c r="N4210" s="475">
        <f t="shared" si="185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83"/>
        <v>-6625415209150.4287</v>
      </c>
      <c r="J4211" s="455">
        <f t="array" ref="J4211">IFERROR(INDEX('Retirement Calculator'!J:J,MATCH('Isaac 401k'!N4211,'Retirement Calculator'!A:A,0),0),0)</f>
        <v>0</v>
      </c>
      <c r="K4211" s="455">
        <f t="shared" ca="1" si="181"/>
        <v>-27605896704.793453</v>
      </c>
      <c r="L4211" s="455">
        <f t="shared" ca="1" si="182"/>
        <v>-6653021105855.2217</v>
      </c>
      <c r="M4211" s="471">
        <f t="shared" si="184"/>
        <v>0.05</v>
      </c>
      <c r="N4211" s="475">
        <f t="shared" si="185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83"/>
        <v>-6653021105855.2217</v>
      </c>
      <c r="J4212" s="455">
        <f t="array" ref="J4212">IFERROR(INDEX('Retirement Calculator'!J:J,MATCH('Isaac 401k'!N4212,'Retirement Calculator'!A:A,0),0),0)</f>
        <v>0</v>
      </c>
      <c r="K4212" s="455">
        <f t="shared" ca="1" si="181"/>
        <v>-27720921274.396755</v>
      </c>
      <c r="L4212" s="455">
        <f t="shared" ca="1" si="182"/>
        <v>-6680742027129.6182</v>
      </c>
      <c r="M4212" s="471">
        <f t="shared" si="184"/>
        <v>0.05</v>
      </c>
      <c r="N4212" s="475">
        <f t="shared" si="185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83"/>
        <v>-6680742027129.6182</v>
      </c>
      <c r="J4213" s="455">
        <f t="array" ref="J4213">IFERROR(INDEX('Retirement Calculator'!J:J,MATCH('Isaac 401k'!N4213,'Retirement Calculator'!A:A,0),0),0)</f>
        <v>0</v>
      </c>
      <c r="K4213" s="455">
        <f t="shared" ca="1" si="181"/>
        <v>-27836425113.040073</v>
      </c>
      <c r="L4213" s="455">
        <f t="shared" ca="1" si="182"/>
        <v>-6708578452242.6582</v>
      </c>
      <c r="M4213" s="471">
        <f t="shared" si="184"/>
        <v>0.05</v>
      </c>
      <c r="N4213" s="475">
        <f t="shared" si="185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83"/>
        <v>-6708578452242.6582</v>
      </c>
      <c r="J4214" s="455">
        <f t="array" ref="J4214">IFERROR(INDEX('Retirement Calculator'!J:J,MATCH('Isaac 401k'!N4214,'Retirement Calculator'!A:A,0),0),0)</f>
        <v>0</v>
      </c>
      <c r="K4214" s="455">
        <f t="shared" ca="1" si="181"/>
        <v>-27952410217.677742</v>
      </c>
      <c r="L4214" s="455">
        <f t="shared" ca="1" si="182"/>
        <v>-6736530862460.3359</v>
      </c>
      <c r="M4214" s="471">
        <f t="shared" si="184"/>
        <v>0.05</v>
      </c>
      <c r="N4214" s="475">
        <f t="shared" si="185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83"/>
        <v>-6736530862460.3359</v>
      </c>
      <c r="J4215" s="455">
        <f t="array" ref="J4215">IFERROR(INDEX('Retirement Calculator'!J:J,MATCH('Isaac 401k'!N4215,'Retirement Calculator'!A:A,0),0),0)</f>
        <v>0</v>
      </c>
      <c r="K4215" s="455">
        <f t="shared" ca="1" si="181"/>
        <v>-28068878593.584732</v>
      </c>
      <c r="L4215" s="455">
        <f t="shared" ca="1" si="182"/>
        <v>-6764599741053.9209</v>
      </c>
      <c r="M4215" s="471">
        <f t="shared" si="184"/>
        <v>0.05</v>
      </c>
      <c r="N4215" s="475">
        <f t="shared" si="185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83"/>
        <v>-6764599741053.9209</v>
      </c>
      <c r="J4216" s="455">
        <f t="array" ref="J4216">IFERROR(INDEX('Retirement Calculator'!J:J,MATCH('Isaac 401k'!N4216,'Retirement Calculator'!A:A,0),0),0)</f>
        <v>0</v>
      </c>
      <c r="K4216" s="455">
        <f t="shared" ca="1" si="181"/>
        <v>-28185832254.391338</v>
      </c>
      <c r="L4216" s="455">
        <f t="shared" ca="1" si="182"/>
        <v>-6792785573308.3125</v>
      </c>
      <c r="M4216" s="471">
        <f t="shared" si="184"/>
        <v>0.05</v>
      </c>
      <c r="N4216" s="475">
        <f t="shared" si="185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83"/>
        <v>-6792785573308.3125</v>
      </c>
      <c r="J4217" s="455">
        <f t="array" ref="J4217">IFERROR(INDEX('Retirement Calculator'!J:J,MATCH('Isaac 401k'!N4217,'Retirement Calculator'!A:A,0),0),0)</f>
        <v>0</v>
      </c>
      <c r="K4217" s="455">
        <f t="shared" ca="1" si="181"/>
        <v>-28303273222.11797</v>
      </c>
      <c r="L4217" s="455">
        <f t="shared" ca="1" si="182"/>
        <v>-6821088846530.4307</v>
      </c>
      <c r="M4217" s="471">
        <f t="shared" si="184"/>
        <v>0.05</v>
      </c>
      <c r="N4217" s="475">
        <f t="shared" si="185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83"/>
        <v>-6821088846530.4307</v>
      </c>
      <c r="J4218" s="455">
        <f t="array" ref="J4218">IFERROR(INDEX('Retirement Calculator'!J:J,MATCH('Isaac 401k'!N4218,'Retirement Calculator'!A:A,0),0),0)</f>
        <v>0</v>
      </c>
      <c r="K4218" s="455">
        <f t="shared" ca="1" si="181"/>
        <v>-28421203527.210129</v>
      </c>
      <c r="L4218" s="455">
        <f t="shared" ca="1" si="182"/>
        <v>-6849510050057.6406</v>
      </c>
      <c r="M4218" s="471">
        <f t="shared" si="184"/>
        <v>0.05</v>
      </c>
      <c r="N4218" s="475">
        <f t="shared" si="185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83"/>
        <v>-6849510050057.6406</v>
      </c>
      <c r="J4219" s="455">
        <f t="array" ref="J4219">IFERROR(INDEX('Retirement Calculator'!J:J,MATCH('Isaac 401k'!N4219,'Retirement Calculator'!A:A,0),0),0)</f>
        <v>0</v>
      </c>
      <c r="K4219" s="455">
        <f t="shared" ca="1" si="181"/>
        <v>-28539625208.573502</v>
      </c>
      <c r="L4219" s="455">
        <f t="shared" ca="1" si="182"/>
        <v>-6878049675266.2139</v>
      </c>
      <c r="M4219" s="471">
        <f t="shared" si="184"/>
        <v>0.05</v>
      </c>
      <c r="N4219" s="475">
        <f t="shared" si="185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83"/>
        <v>-6878049675266.2139</v>
      </c>
      <c r="J4220" s="455">
        <f t="array" ref="J4220">IFERROR(INDEX('Retirement Calculator'!J:J,MATCH('Isaac 401k'!N4220,'Retirement Calculator'!A:A,0),0),0)</f>
        <v>0</v>
      </c>
      <c r="K4220" s="455">
        <f t="shared" ca="1" si="181"/>
        <v>-28658540313.609219</v>
      </c>
      <c r="L4220" s="455">
        <f t="shared" ca="1" si="182"/>
        <v>-6906708215579.8232</v>
      </c>
      <c r="M4220" s="471">
        <f t="shared" si="184"/>
        <v>0.05</v>
      </c>
      <c r="N4220" s="475">
        <f t="shared" si="185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83"/>
        <v>-6906708215579.8232</v>
      </c>
      <c r="J4221" s="455">
        <f t="array" ref="J4221">IFERROR(INDEX('Retirement Calculator'!J:J,MATCH('Isaac 401k'!N4221,'Retirement Calculator'!A:A,0),0),0)</f>
        <v>0</v>
      </c>
      <c r="K4221" s="455">
        <f t="shared" ca="1" si="181"/>
        <v>-28777950898.249264</v>
      </c>
      <c r="L4221" s="455">
        <f t="shared" ca="1" si="182"/>
        <v>-6935486166478.0723</v>
      </c>
      <c r="M4221" s="471">
        <f t="shared" si="184"/>
        <v>0.05</v>
      </c>
      <c r="N4221" s="475">
        <f t="shared" si="185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83"/>
        <v>-6935486166478.0723</v>
      </c>
      <c r="J4222" s="455">
        <f t="array" ref="J4222">IFERROR(INDEX('Retirement Calculator'!J:J,MATCH('Isaac 401k'!N4222,'Retirement Calculator'!A:A,0),0),0)</f>
        <v>0</v>
      </c>
      <c r="K4222" s="455">
        <f t="shared" ca="1" si="181"/>
        <v>-28897859026.991966</v>
      </c>
      <c r="L4222" s="455">
        <f t="shared" ca="1" si="182"/>
        <v>-6964384025505.0645</v>
      </c>
      <c r="M4222" s="471">
        <f t="shared" si="184"/>
        <v>0.05</v>
      </c>
      <c r="N4222" s="475">
        <f t="shared" si="185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83"/>
        <v>-6964384025505.0645</v>
      </c>
      <c r="J4223" s="455">
        <f t="array" ref="J4223">IFERROR(INDEX('Retirement Calculator'!J:J,MATCH('Isaac 401k'!N4223,'Retirement Calculator'!A:A,0),0),0)</f>
        <v>0</v>
      </c>
      <c r="K4223" s="455">
        <f t="shared" ca="1" si="181"/>
        <v>-29018266772.937763</v>
      </c>
      <c r="L4223" s="455">
        <f t="shared" ca="1" si="182"/>
        <v>-6993402292278.002</v>
      </c>
      <c r="M4223" s="471">
        <f t="shared" si="184"/>
        <v>0.05</v>
      </c>
      <c r="N4223" s="475">
        <f t="shared" si="185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83"/>
        <v>-6993402292278.002</v>
      </c>
      <c r="J4224" s="455">
        <f t="array" ref="J4224">IFERROR(INDEX('Retirement Calculator'!J:J,MATCH('Isaac 401k'!N4224,'Retirement Calculator'!A:A,0),0),0)</f>
        <v>0</v>
      </c>
      <c r="K4224" s="455">
        <f t="shared" ca="1" si="181"/>
        <v>-29139176217.825005</v>
      </c>
      <c r="L4224" s="455">
        <f t="shared" ca="1" si="182"/>
        <v>-7022541468495.8271</v>
      </c>
      <c r="M4224" s="471">
        <f t="shared" si="184"/>
        <v>0.05</v>
      </c>
      <c r="N4224" s="475">
        <f t="shared" si="185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83"/>
        <v>-7022541468495.8271</v>
      </c>
      <c r="J4225" s="455">
        <f t="array" ref="J4225">IFERROR(INDEX('Retirement Calculator'!J:J,MATCH('Isaac 401k'!N4225,'Retirement Calculator'!A:A,0),0),0)</f>
        <v>0</v>
      </c>
      <c r="K4225" s="455">
        <f t="shared" ca="1" si="181"/>
        <v>-29260589452.065945</v>
      </c>
      <c r="L4225" s="455">
        <f t="shared" ca="1" si="182"/>
        <v>-7051802057947.8936</v>
      </c>
      <c r="M4225" s="471">
        <f t="shared" si="184"/>
        <v>0.05</v>
      </c>
      <c r="N4225" s="475">
        <f t="shared" si="185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83"/>
        <v>-7051802057947.8936</v>
      </c>
      <c r="J4226" s="455">
        <f t="array" ref="J4226">IFERROR(INDEX('Retirement Calculator'!J:J,MATCH('Isaac 401k'!N4226,'Retirement Calculator'!A:A,0),0),0)</f>
        <v>0</v>
      </c>
      <c r="K4226" s="455">
        <f t="shared" ca="1" si="181"/>
        <v>-29382508574.78289</v>
      </c>
      <c r="L4226" s="455">
        <f t="shared" ca="1" si="182"/>
        <v>-7081184566522.6768</v>
      </c>
      <c r="M4226" s="471">
        <f t="shared" si="184"/>
        <v>0.05</v>
      </c>
      <c r="N4226" s="475">
        <f t="shared" si="185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83"/>
        <v>-7081184566522.6768</v>
      </c>
      <c r="J4227" s="455">
        <f t="array" ref="J4227">IFERROR(INDEX('Retirement Calculator'!J:J,MATCH('Isaac 401k'!N4227,'Retirement Calculator'!A:A,0),0),0)</f>
        <v>0</v>
      </c>
      <c r="K4227" s="455">
        <f t="shared" ca="1" si="181"/>
        <v>-29504935693.844486</v>
      </c>
      <c r="L4227" s="455">
        <f t="shared" ca="1" si="182"/>
        <v>-7110689502216.5215</v>
      </c>
      <c r="M4227" s="471">
        <f t="shared" si="184"/>
        <v>0.05</v>
      </c>
      <c r="N4227" s="475">
        <f t="shared" si="185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83"/>
        <v>-7110689502216.5215</v>
      </c>
      <c r="J4228" s="455">
        <f t="array" ref="J4228">IFERROR(INDEX('Retirement Calculator'!J:J,MATCH('Isaac 401k'!N4228,'Retirement Calculator'!A:A,0),0),0)</f>
        <v>0</v>
      </c>
      <c r="K4228" s="455">
        <f t="shared" ca="1" si="181"/>
        <v>-29627872925.902176</v>
      </c>
      <c r="L4228" s="455">
        <f t="shared" ca="1" si="182"/>
        <v>-7140317375142.4238</v>
      </c>
      <c r="M4228" s="471">
        <f t="shared" si="184"/>
        <v>0.05</v>
      </c>
      <c r="N4228" s="475">
        <f t="shared" si="185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83"/>
        <v>-7140317375142.4238</v>
      </c>
      <c r="J4229" s="455">
        <f t="array" ref="J4229">IFERROR(INDEX('Retirement Calculator'!J:J,MATCH('Isaac 401k'!N4229,'Retirement Calculator'!A:A,0),0),0)</f>
        <v>0</v>
      </c>
      <c r="K4229" s="455">
        <f t="shared" ca="1" si="181"/>
        <v>-29751322396.426765</v>
      </c>
      <c r="L4229" s="455">
        <f t="shared" ca="1" si="182"/>
        <v>-7170068697538.8506</v>
      </c>
      <c r="M4229" s="471">
        <f t="shared" si="184"/>
        <v>0.05</v>
      </c>
      <c r="N4229" s="475">
        <f t="shared" si="185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83"/>
        <v>-7170068697538.8506</v>
      </c>
      <c r="J4230" s="455">
        <f t="array" ref="J4230">IFERROR(INDEX('Retirement Calculator'!J:J,MATCH('Isaac 401k'!N4230,'Retirement Calculator'!A:A,0),0),0)</f>
        <v>0</v>
      </c>
      <c r="K4230" s="455">
        <f t="shared" ca="1" si="181"/>
        <v>-29875286239.745209</v>
      </c>
      <c r="L4230" s="455">
        <f t="shared" ca="1" si="182"/>
        <v>-7199943983778.5957</v>
      </c>
      <c r="M4230" s="471">
        <f t="shared" si="184"/>
        <v>0.05</v>
      </c>
      <c r="N4230" s="475">
        <f t="shared" si="185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83"/>
        <v>-7199943983778.5957</v>
      </c>
      <c r="J4231" s="455">
        <f t="array" ref="J4231">IFERROR(INDEX('Retirement Calculator'!J:J,MATCH('Isaac 401k'!N4231,'Retirement Calculator'!A:A,0),0),0)</f>
        <v>0</v>
      </c>
      <c r="K4231" s="455">
        <f t="shared" ca="1" si="181"/>
        <v>-29999766599.07748</v>
      </c>
      <c r="L4231" s="455">
        <f t="shared" ca="1" si="182"/>
        <v>-7229943750377.6729</v>
      </c>
      <c r="M4231" s="471">
        <f t="shared" si="184"/>
        <v>0.05</v>
      </c>
      <c r="N4231" s="475">
        <f t="shared" si="185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83"/>
        <v>-7229943750377.6729</v>
      </c>
      <c r="J4232" s="455">
        <f t="array" ref="J4232">IFERROR(INDEX('Retirement Calculator'!J:J,MATCH('Isaac 401k'!N4232,'Retirement Calculator'!A:A,0),0),0)</f>
        <v>0</v>
      </c>
      <c r="K4232" s="455">
        <f t="shared" ca="1" si="181"/>
        <v>-30124765626.573631</v>
      </c>
      <c r="L4232" s="455">
        <f t="shared" ca="1" si="182"/>
        <v>-7260068516004.2461</v>
      </c>
      <c r="M4232" s="471">
        <f t="shared" si="184"/>
        <v>0.05</v>
      </c>
      <c r="N4232" s="475">
        <f t="shared" si="185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83"/>
        <v>-7260068516004.2461</v>
      </c>
      <c r="J4233" s="455">
        <f t="array" ref="J4233">IFERROR(INDEX('Retirement Calculator'!J:J,MATCH('Isaac 401k'!N4233,'Retirement Calculator'!A:A,0),0),0)</f>
        <v>0</v>
      </c>
      <c r="K4233" s="455">
        <f t="shared" ca="1" si="181"/>
        <v>-30250285483.351021</v>
      </c>
      <c r="L4233" s="455">
        <f t="shared" ca="1" si="182"/>
        <v>-7290318801487.5967</v>
      </c>
      <c r="M4233" s="471">
        <f t="shared" si="184"/>
        <v>0.05</v>
      </c>
      <c r="N4233" s="475">
        <f t="shared" si="185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83"/>
        <v>-7290318801487.5967</v>
      </c>
      <c r="J4234" s="455">
        <f t="array" ref="J4234">IFERROR(INDEX('Retirement Calculator'!J:J,MATCH('Isaac 401k'!N4234,'Retirement Calculator'!A:A,0),0),0)</f>
        <v>0</v>
      </c>
      <c r="K4234" s="455">
        <f t="shared" ca="1" si="181"/>
        <v>-30376328339.531647</v>
      </c>
      <c r="L4234" s="455">
        <f t="shared" ca="1" si="182"/>
        <v>-7320695129827.1279</v>
      </c>
      <c r="M4234" s="471">
        <f t="shared" si="184"/>
        <v>0.05</v>
      </c>
      <c r="N4234" s="475">
        <f t="shared" si="185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83"/>
        <v>-7320695129827.1279</v>
      </c>
      <c r="J4235" s="455">
        <f t="array" ref="J4235">IFERROR(INDEX('Retirement Calculator'!J:J,MATCH('Isaac 401k'!N4235,'Retirement Calculator'!A:A,0),0),0)</f>
        <v>0</v>
      </c>
      <c r="K4235" s="455">
        <f t="shared" ca="1" si="181"/>
        <v>-30502896374.279697</v>
      </c>
      <c r="L4235" s="455">
        <f t="shared" ca="1" si="182"/>
        <v>-7351198026201.4072</v>
      </c>
      <c r="M4235" s="471">
        <f t="shared" si="184"/>
        <v>0.05</v>
      </c>
      <c r="N4235" s="475">
        <f t="shared" si="185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83"/>
        <v>-7351198026201.4072</v>
      </c>
      <c r="J4236" s="455">
        <f t="array" ref="J4236">IFERROR(INDEX('Retirement Calculator'!J:J,MATCH('Isaac 401k'!N4236,'Retirement Calculator'!A:A,0),0),0)</f>
        <v>0</v>
      </c>
      <c r="K4236" s="455">
        <f t="shared" ca="1" si="181"/>
        <v>-30629991775.839195</v>
      </c>
      <c r="L4236" s="455">
        <f t="shared" ca="1" si="182"/>
        <v>-7381828017977.2461</v>
      </c>
      <c r="M4236" s="471">
        <f t="shared" si="184"/>
        <v>0.05</v>
      </c>
      <c r="N4236" s="475">
        <f t="shared" si="185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83"/>
        <v>-7381828017977.2461</v>
      </c>
      <c r="J4237" s="455">
        <f t="array" ref="J4237">IFERROR(INDEX('Retirement Calculator'!J:J,MATCH('Isaac 401k'!N4237,'Retirement Calculator'!A:A,0),0),0)</f>
        <v>0</v>
      </c>
      <c r="K4237" s="455">
        <f t="shared" ca="1" si="181"/>
        <v>-30757616741.571857</v>
      </c>
      <c r="L4237" s="455">
        <f t="shared" ca="1" si="182"/>
        <v>-7412585634718.8184</v>
      </c>
      <c r="M4237" s="471">
        <f t="shared" si="184"/>
        <v>0.05</v>
      </c>
      <c r="N4237" s="475">
        <f t="shared" si="185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83"/>
        <v>-7412585634718.8184</v>
      </c>
      <c r="J4238" s="455">
        <f t="array" ref="J4238">IFERROR(INDEX('Retirement Calculator'!J:J,MATCH('Isaac 401k'!N4238,'Retirement Calculator'!A:A,0),0),0)</f>
        <v>0</v>
      </c>
      <c r="K4238" s="455">
        <f t="shared" ca="1" si="181"/>
        <v>-30885773477.995075</v>
      </c>
      <c r="L4238" s="455">
        <f t="shared" ca="1" si="182"/>
        <v>-7443471408196.8135</v>
      </c>
      <c r="M4238" s="471">
        <f t="shared" si="184"/>
        <v>0.05</v>
      </c>
      <c r="N4238" s="475">
        <f t="shared" si="185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83"/>
        <v>-7443471408196.8135</v>
      </c>
      <c r="J4239" s="455">
        <f t="array" ref="J4239">IFERROR(INDEX('Retirement Calculator'!J:J,MATCH('Isaac 401k'!N4239,'Retirement Calculator'!A:A,0),0),0)</f>
        <v>0</v>
      </c>
      <c r="K4239" s="455">
        <f t="shared" ca="1" si="181"/>
        <v>-31014464200.820057</v>
      </c>
      <c r="L4239" s="455">
        <f t="shared" ca="1" si="182"/>
        <v>-7474485872397.6338</v>
      </c>
      <c r="M4239" s="471">
        <f t="shared" si="184"/>
        <v>0.05</v>
      </c>
      <c r="N4239" s="475">
        <f t="shared" si="185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83"/>
        <v>-7474485872397.6338</v>
      </c>
      <c r="J4240" s="455">
        <f t="array" ref="J4240">IFERROR(INDEX('Retirement Calculator'!J:J,MATCH('Isaac 401k'!N4240,'Retirement Calculator'!A:A,0),0),0)</f>
        <v>0</v>
      </c>
      <c r="K4240" s="455">
        <f t="shared" ca="1" si="181"/>
        <v>-31143691134.990139</v>
      </c>
      <c r="L4240" s="455">
        <f t="shared" ca="1" si="182"/>
        <v>-7505629563532.624</v>
      </c>
      <c r="M4240" s="471">
        <f t="shared" si="184"/>
        <v>0.05</v>
      </c>
      <c r="N4240" s="475">
        <f t="shared" si="185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83"/>
        <v>-7505629563532.624</v>
      </c>
      <c r="J4241" s="455">
        <f t="array" ref="J4241">IFERROR(INDEX('Retirement Calculator'!J:J,MATCH('Isaac 401k'!N4241,'Retirement Calculator'!A:A,0),0),0)</f>
        <v>0</v>
      </c>
      <c r="K4241" s="455">
        <f t="shared" ca="1" si="181"/>
        <v>-31273456514.719265</v>
      </c>
      <c r="L4241" s="455">
        <f t="shared" ca="1" si="182"/>
        <v>-7536903020047.3438</v>
      </c>
      <c r="M4241" s="471">
        <f t="shared" si="184"/>
        <v>0.05</v>
      </c>
      <c r="N4241" s="475">
        <f t="shared" si="185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83"/>
        <v>-7536903020047.3438</v>
      </c>
      <c r="J4242" s="455">
        <f t="array" ref="J4242">IFERROR(INDEX('Retirement Calculator'!J:J,MATCH('Isaac 401k'!N4242,'Retirement Calculator'!A:A,0),0),0)</f>
        <v>0</v>
      </c>
      <c r="K4242" s="455">
        <f t="shared" ca="1" si="181"/>
        <v>-31403762583.530594</v>
      </c>
      <c r="L4242" s="455">
        <f t="shared" ca="1" si="182"/>
        <v>-7568306782630.874</v>
      </c>
      <c r="M4242" s="471">
        <f t="shared" si="184"/>
        <v>0.05</v>
      </c>
      <c r="N4242" s="475">
        <f t="shared" si="185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83"/>
        <v>-7568306782630.874</v>
      </c>
      <c r="J4243" s="455">
        <f t="array" ref="J4243">IFERROR(INDEX('Retirement Calculator'!J:J,MATCH('Isaac 401k'!N4243,'Retirement Calculator'!A:A,0),0),0)</f>
        <v>0</v>
      </c>
      <c r="K4243" s="455">
        <f t="shared" ca="1" si="181"/>
        <v>-31534611594.295307</v>
      </c>
      <c r="L4243" s="455">
        <f t="shared" ca="1" si="182"/>
        <v>-7599841394225.1689</v>
      </c>
      <c r="M4243" s="471">
        <f t="shared" si="184"/>
        <v>0.05</v>
      </c>
      <c r="N4243" s="475">
        <f t="shared" si="185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83"/>
        <v>-7599841394225.1689</v>
      </c>
      <c r="J4244" s="455">
        <f t="array" ref="J4244">IFERROR(INDEX('Retirement Calculator'!J:J,MATCH('Isaac 401k'!N4244,'Retirement Calculator'!A:A,0),0),0)</f>
        <v>0</v>
      </c>
      <c r="K4244" s="455">
        <f t="shared" ca="1" si="181"/>
        <v>-31666005809.271538</v>
      </c>
      <c r="L4244" s="455">
        <f t="shared" ca="1" si="182"/>
        <v>-7631507400034.4404</v>
      </c>
      <c r="M4244" s="471">
        <f t="shared" si="184"/>
        <v>0.05</v>
      </c>
      <c r="N4244" s="475">
        <f t="shared" si="185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83"/>
        <v>-7631507400034.4404</v>
      </c>
      <c r="J4245" s="455">
        <f t="array" ref="J4245">IFERROR(INDEX('Retirement Calculator'!J:J,MATCH('Isaac 401k'!N4245,'Retirement Calculator'!A:A,0),0),0)</f>
        <v>0</v>
      </c>
      <c r="K4245" s="455">
        <f t="shared" ca="1" si="181"/>
        <v>-31797947500.143501</v>
      </c>
      <c r="L4245" s="455">
        <f t="shared" ca="1" si="182"/>
        <v>-7663305347534.584</v>
      </c>
      <c r="M4245" s="471">
        <f t="shared" si="184"/>
        <v>0.05</v>
      </c>
      <c r="N4245" s="475">
        <f t="shared" si="185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83"/>
        <v>-7663305347534.584</v>
      </c>
      <c r="J4246" s="455">
        <f t="array" ref="J4246">IFERROR(INDEX('Retirement Calculator'!J:J,MATCH('Isaac 401k'!N4246,'Retirement Calculator'!A:A,0),0),0)</f>
        <v>0</v>
      </c>
      <c r="K4246" s="455">
        <f t="shared" ca="1" si="181"/>
        <v>-31930438948.060764</v>
      </c>
      <c r="L4246" s="455">
        <f t="shared" ca="1" si="182"/>
        <v>-7695235786482.6445</v>
      </c>
      <c r="M4246" s="471">
        <f t="shared" si="184"/>
        <v>0.05</v>
      </c>
      <c r="N4246" s="475">
        <f t="shared" si="185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83"/>
        <v>-7695235786482.6445</v>
      </c>
      <c r="J4247" s="455">
        <f t="array" ref="J4247">IFERROR(INDEX('Retirement Calculator'!J:J,MATCH('Isaac 401k'!N4247,'Retirement Calculator'!A:A,0),0),0)</f>
        <v>0</v>
      </c>
      <c r="K4247" s="455">
        <f t="shared" ca="1" si="181"/>
        <v>-32063482443.677689</v>
      </c>
      <c r="L4247" s="455">
        <f t="shared" ca="1" si="182"/>
        <v>-7727299268926.3223</v>
      </c>
      <c r="M4247" s="471">
        <f t="shared" si="184"/>
        <v>0.05</v>
      </c>
      <c r="N4247" s="475">
        <f t="shared" si="185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83"/>
        <v>-7727299268926.3223</v>
      </c>
      <c r="J4248" s="455">
        <f t="array" ref="J4248">IFERROR(INDEX('Retirement Calculator'!J:J,MATCH('Isaac 401k'!N4248,'Retirement Calculator'!A:A,0),0),0)</f>
        <v>0</v>
      </c>
      <c r="K4248" s="455">
        <f t="shared" ca="1" si="181"/>
        <v>-32197080287.193005</v>
      </c>
      <c r="L4248" s="455">
        <f t="shared" ca="1" si="182"/>
        <v>-7759496349213.5156</v>
      </c>
      <c r="M4248" s="471">
        <f t="shared" si="184"/>
        <v>0.05</v>
      </c>
      <c r="N4248" s="475">
        <f t="shared" si="185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83"/>
        <v>-7759496349213.5156</v>
      </c>
      <c r="J4249" s="455">
        <f t="array" ref="J4249">IFERROR(INDEX('Retirement Calculator'!J:J,MATCH('Isaac 401k'!N4249,'Retirement Calculator'!A:A,0),0),0)</f>
        <v>0</v>
      </c>
      <c r="K4249" s="455">
        <f t="shared" ca="1" si="181"/>
        <v>-32331234788.389648</v>
      </c>
      <c r="L4249" s="455">
        <f t="shared" ca="1" si="182"/>
        <v>-7791827584001.9053</v>
      </c>
      <c r="M4249" s="471">
        <f t="shared" si="184"/>
        <v>0.05</v>
      </c>
      <c r="N4249" s="475">
        <f t="shared" si="185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83"/>
        <v>-7791827584001.9053</v>
      </c>
      <c r="J4250" s="455">
        <f t="array" ref="J4250">IFERROR(INDEX('Retirement Calculator'!J:J,MATCH('Isaac 401k'!N4250,'Retirement Calculator'!A:A,0),0),0)</f>
        <v>0</v>
      </c>
      <c r="K4250" s="455">
        <f t="shared" ca="1" si="181"/>
        <v>-32465948266.674603</v>
      </c>
      <c r="L4250" s="455">
        <f t="shared" ca="1" si="182"/>
        <v>-7824293532268.5801</v>
      </c>
      <c r="M4250" s="471">
        <f t="shared" si="184"/>
        <v>0.05</v>
      </c>
      <c r="N4250" s="475">
        <f t="shared" si="185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83"/>
        <v>-7824293532268.5801</v>
      </c>
      <c r="J4251" s="455">
        <f t="array" ref="J4251">IFERROR(INDEX('Retirement Calculator'!J:J,MATCH('Isaac 401k'!N4251,'Retirement Calculator'!A:A,0),0),0)</f>
        <v>0</v>
      </c>
      <c r="K4251" s="455">
        <f t="shared" ca="1" si="181"/>
        <v>-32601223051.119083</v>
      </c>
      <c r="L4251" s="455">
        <f t="shared" ca="1" si="182"/>
        <v>-7856894755319.6992</v>
      </c>
      <c r="M4251" s="471">
        <f t="shared" si="184"/>
        <v>0.05</v>
      </c>
      <c r="N4251" s="475">
        <f t="shared" si="185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83"/>
        <v>-7856894755319.6992</v>
      </c>
      <c r="J4252" s="455">
        <f t="array" ref="J4252">IFERROR(INDEX('Retirement Calculator'!J:J,MATCH('Isaac 401k'!N4252,'Retirement Calculator'!A:A,0),0),0)</f>
        <v>0</v>
      </c>
      <c r="K4252" s="455">
        <f t="shared" ca="1" si="181"/>
        <v>-32737061480.498749</v>
      </c>
      <c r="L4252" s="455">
        <f t="shared" ca="1" si="182"/>
        <v>-7889631816800.1982</v>
      </c>
      <c r="M4252" s="471">
        <f t="shared" si="184"/>
        <v>0.05</v>
      </c>
      <c r="N4252" s="475">
        <f t="shared" si="185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83"/>
        <v>-7889631816800.1982</v>
      </c>
      <c r="J4253" s="455">
        <f t="array" ref="J4253">IFERROR(INDEX('Retirement Calculator'!J:J,MATCH('Isaac 401k'!N4253,'Retirement Calculator'!A:A,0),0),0)</f>
        <v>0</v>
      </c>
      <c r="K4253" s="455">
        <f t="shared" ca="1" si="181"/>
        <v>-32873465903.334164</v>
      </c>
      <c r="L4253" s="455">
        <f t="shared" ca="1" si="182"/>
        <v>-7922505282703.5322</v>
      </c>
      <c r="M4253" s="471">
        <f t="shared" si="184"/>
        <v>0.05</v>
      </c>
      <c r="N4253" s="475">
        <f t="shared" si="185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83"/>
        <v>-7922505282703.5322</v>
      </c>
      <c r="J4254" s="455">
        <f t="array" ref="J4254">IFERROR(INDEX('Retirement Calculator'!J:J,MATCH('Isaac 401k'!N4254,'Retirement Calculator'!A:A,0),0),0)</f>
        <v>0</v>
      </c>
      <c r="K4254" s="455">
        <f t="shared" ca="1" si="181"/>
        <v>-33010438677.931381</v>
      </c>
      <c r="L4254" s="455">
        <f t="shared" ca="1" si="182"/>
        <v>-7955515721381.4639</v>
      </c>
      <c r="M4254" s="471">
        <f t="shared" si="184"/>
        <v>0.05</v>
      </c>
      <c r="N4254" s="475">
        <f t="shared" si="185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83"/>
        <v>-7955515721381.4639</v>
      </c>
      <c r="J4255" s="455">
        <f t="array" ref="J4255">IFERROR(INDEX('Retirement Calculator'!J:J,MATCH('Isaac 401k'!N4255,'Retirement Calculator'!A:A,0),0),0)</f>
        <v>0</v>
      </c>
      <c r="K4255" s="455">
        <f t="shared" ca="1" si="181"/>
        <v>-33147982172.422764</v>
      </c>
      <c r="L4255" s="455">
        <f t="shared" ca="1" si="182"/>
        <v>-7988663703553.8867</v>
      </c>
      <c r="M4255" s="471">
        <f t="shared" si="184"/>
        <v>0.05</v>
      </c>
      <c r="N4255" s="475">
        <f t="shared" si="185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83"/>
        <v>-7988663703553.8867</v>
      </c>
      <c r="J4256" s="455">
        <f t="array" ref="J4256">IFERROR(INDEX('Retirement Calculator'!J:J,MATCH('Isaac 401k'!N4256,'Retirement Calculator'!A:A,0),0),0)</f>
        <v>0</v>
      </c>
      <c r="K4256" s="455">
        <f t="shared" ca="1" si="181"/>
        <v>-33286098764.807861</v>
      </c>
      <c r="L4256" s="455">
        <f t="shared" ca="1" si="182"/>
        <v>-8021949802318.6943</v>
      </c>
      <c r="M4256" s="471">
        <f t="shared" si="184"/>
        <v>0.05</v>
      </c>
      <c r="N4256" s="475">
        <f t="shared" si="185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83"/>
        <v>-8021949802318.6943</v>
      </c>
      <c r="J4257" s="455">
        <f t="array" ref="J4257">IFERROR(INDEX('Retirement Calculator'!J:J,MATCH('Isaac 401k'!N4257,'Retirement Calculator'!A:A,0),0),0)</f>
        <v>0</v>
      </c>
      <c r="K4257" s="455">
        <f t="shared" ca="1" si="181"/>
        <v>-33424790842.994556</v>
      </c>
      <c r="L4257" s="455">
        <f t="shared" ca="1" si="182"/>
        <v>-8055374593161.6885</v>
      </c>
      <c r="M4257" s="471">
        <f t="shared" si="184"/>
        <v>0.05</v>
      </c>
      <c r="N4257" s="475">
        <f t="shared" si="185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83"/>
        <v>-8055374593161.6885</v>
      </c>
      <c r="J4258" s="455">
        <f t="array" ref="J4258">IFERROR(INDEX('Retirement Calculator'!J:J,MATCH('Isaac 401k'!N4258,'Retirement Calculator'!A:A,0),0),0)</f>
        <v>0</v>
      </c>
      <c r="K4258" s="455">
        <f t="shared" ca="1" si="181"/>
        <v>-33564060804.840366</v>
      </c>
      <c r="L4258" s="455">
        <f t="shared" ca="1" si="182"/>
        <v>-8088938653966.5293</v>
      </c>
      <c r="M4258" s="471">
        <f t="shared" si="184"/>
        <v>0.05</v>
      </c>
      <c r="N4258" s="475">
        <f t="shared" si="185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83"/>
        <v>-8088938653966.5293</v>
      </c>
      <c r="J4259" s="455">
        <f t="array" ref="J4259">IFERROR(INDEX('Retirement Calculator'!J:J,MATCH('Isaac 401k'!N4259,'Retirement Calculator'!A:A,0),0),0)</f>
        <v>0</v>
      </c>
      <c r="K4259" s="455">
        <f t="shared" ca="1" si="181"/>
        <v>-33703911058.193871</v>
      </c>
      <c r="L4259" s="455">
        <f t="shared" ca="1" si="182"/>
        <v>-8122642565024.7236</v>
      </c>
      <c r="M4259" s="471">
        <f t="shared" si="184"/>
        <v>0.05</v>
      </c>
      <c r="N4259" s="475">
        <f t="shared" si="185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83"/>
        <v>-8122642565024.7236</v>
      </c>
      <c r="J4260" s="455">
        <f t="array" ref="J4260">IFERROR(INDEX('Retirement Calculator'!J:J,MATCH('Isaac 401k'!N4260,'Retirement Calculator'!A:A,0),0),0)</f>
        <v>0</v>
      </c>
      <c r="K4260" s="455">
        <f t="shared" ca="1" si="181"/>
        <v>-33844344020.936344</v>
      </c>
      <c r="L4260" s="455">
        <f t="shared" ca="1" si="182"/>
        <v>-8156486909045.6602</v>
      </c>
      <c r="M4260" s="471">
        <f t="shared" si="184"/>
        <v>0.05</v>
      </c>
      <c r="N4260" s="475">
        <f t="shared" si="185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83"/>
        <v>-8156486909045.6602</v>
      </c>
      <c r="J4261" s="455">
        <f t="array" ref="J4261">IFERROR(INDEX('Retirement Calculator'!J:J,MATCH('Isaac 401k'!N4261,'Retirement Calculator'!A:A,0),0),0)</f>
        <v>0</v>
      </c>
      <c r="K4261" s="455">
        <f t="shared" ca="1" si="181"/>
        <v>-33985362121.023582</v>
      </c>
      <c r="L4261" s="455">
        <f t="shared" ca="1" si="182"/>
        <v>-8190472271166.6836</v>
      </c>
      <c r="M4261" s="471">
        <f t="shared" si="184"/>
        <v>0.05</v>
      </c>
      <c r="N4261" s="475">
        <f t="shared" si="185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83"/>
        <v>-8190472271166.6836</v>
      </c>
      <c r="J4262" s="455">
        <f t="array" ref="J4262">IFERROR(INDEX('Retirement Calculator'!J:J,MATCH('Isaac 401k'!N4262,'Retirement Calculator'!A:A,0),0),0)</f>
        <v>0</v>
      </c>
      <c r="K4262" s="455">
        <f t="shared" ca="1" si="181"/>
        <v>-34126967796.527847</v>
      </c>
      <c r="L4262" s="455">
        <f t="shared" ca="1" si="182"/>
        <v>-8224599238963.2119</v>
      </c>
      <c r="M4262" s="471">
        <f t="shared" si="184"/>
        <v>0.05</v>
      </c>
      <c r="N4262" s="475">
        <f t="shared" si="185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83"/>
        <v>-8224599238963.2119</v>
      </c>
      <c r="J4263" s="455">
        <f t="array" ref="J4263">IFERROR(INDEX('Retirement Calculator'!J:J,MATCH('Isaac 401k'!N4263,'Retirement Calculator'!A:A,0),0),0)</f>
        <v>0</v>
      </c>
      <c r="K4263" s="455">
        <f t="shared" ca="1" si="181"/>
        <v>-34269163495.680046</v>
      </c>
      <c r="L4263" s="455">
        <f t="shared" ca="1" si="182"/>
        <v>-8258868402458.8916</v>
      </c>
      <c r="M4263" s="471">
        <f t="shared" si="184"/>
        <v>0.05</v>
      </c>
      <c r="N4263" s="475">
        <f t="shared" si="185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83"/>
        <v>-8258868402458.8916</v>
      </c>
      <c r="J4264" s="455">
        <f t="array" ref="J4264">IFERROR(INDEX('Retirement Calculator'!J:J,MATCH('Isaac 401k'!N4264,'Retirement Calculator'!A:A,0),0),0)</f>
        <v>0</v>
      </c>
      <c r="K4264" s="455">
        <f t="shared" ca="1" si="181"/>
        <v>-34411951676.912048</v>
      </c>
      <c r="L4264" s="455">
        <f t="shared" ca="1" si="182"/>
        <v>-8293280354135.8037</v>
      </c>
      <c r="M4264" s="471">
        <f t="shared" si="184"/>
        <v>0.05</v>
      </c>
      <c r="N4264" s="475">
        <f t="shared" si="185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83"/>
        <v>-8293280354135.8037</v>
      </c>
      <c r="J4265" s="455">
        <f t="array" ref="J4265">IFERROR(INDEX('Retirement Calculator'!J:J,MATCH('Isaac 401k'!N4265,'Retirement Calculator'!A:A,0),0),0)</f>
        <v>0</v>
      </c>
      <c r="K4265" s="455">
        <f t="shared" ca="1" si="181"/>
        <v>-34555334808.899185</v>
      </c>
      <c r="L4265" s="455">
        <f t="shared" ca="1" si="182"/>
        <v>-8327835688944.7031</v>
      </c>
      <c r="M4265" s="471">
        <f t="shared" si="184"/>
        <v>0.05</v>
      </c>
      <c r="N4265" s="475">
        <f t="shared" si="185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83"/>
        <v>-8327835688944.7031</v>
      </c>
      <c r="J4266" s="455">
        <f t="array" ref="J4266">IFERROR(INDEX('Retirement Calculator'!J:J,MATCH('Isaac 401k'!N4266,'Retirement Calculator'!A:A,0),0),0)</f>
        <v>0</v>
      </c>
      <c r="K4266" s="455">
        <f t="shared" ca="1" si="181"/>
        <v>-34699315370.602936</v>
      </c>
      <c r="L4266" s="455">
        <f t="shared" ca="1" si="182"/>
        <v>-8362535004315.3057</v>
      </c>
      <c r="M4266" s="471">
        <f t="shared" si="184"/>
        <v>0.05</v>
      </c>
      <c r="N4266" s="475">
        <f t="shared" si="185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83"/>
        <v>-8362535004315.3057</v>
      </c>
      <c r="J4267" s="455">
        <f t="array" ref="J4267">IFERROR(INDEX('Retirement Calculator'!J:J,MATCH('Isaac 401k'!N4267,'Retirement Calculator'!A:A,0),0),0)</f>
        <v>0</v>
      </c>
      <c r="K4267" s="455">
        <f t="shared" ca="1" si="181"/>
        <v>-34843895851.313774</v>
      </c>
      <c r="L4267" s="455">
        <f t="shared" ca="1" si="182"/>
        <v>-8397378900166.6191</v>
      </c>
      <c r="M4267" s="471">
        <f t="shared" si="184"/>
        <v>0.05</v>
      </c>
      <c r="N4267" s="475">
        <f t="shared" si="185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83"/>
        <v>-8397378900166.6191</v>
      </c>
      <c r="J4268" s="455">
        <f t="array" ref="J4268">IFERROR(INDEX('Retirement Calculator'!J:J,MATCH('Isaac 401k'!N4268,'Retirement Calculator'!A:A,0),0),0)</f>
        <v>0</v>
      </c>
      <c r="K4268" s="455">
        <f t="shared" ca="1" si="181"/>
        <v>-34989078750.694244</v>
      </c>
      <c r="L4268" s="455">
        <f t="shared" ca="1" si="182"/>
        <v>-8432367978917.3135</v>
      </c>
      <c r="M4268" s="471">
        <f t="shared" si="184"/>
        <v>0.05</v>
      </c>
      <c r="N4268" s="475">
        <f t="shared" si="185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83"/>
        <v>-8432367978917.3135</v>
      </c>
      <c r="J4269" s="455">
        <f t="array" ref="J4269">IFERROR(INDEX('Retirement Calculator'!J:J,MATCH('Isaac 401k'!N4269,'Retirement Calculator'!A:A,0),0),0)</f>
        <v>0</v>
      </c>
      <c r="K4269" s="455">
        <f t="shared" ca="1" si="181"/>
        <v>-35134866578.822136</v>
      </c>
      <c r="L4269" s="455">
        <f t="shared" ca="1" si="182"/>
        <v>-8467502845496.1357</v>
      </c>
      <c r="M4269" s="471">
        <f t="shared" si="184"/>
        <v>0.05</v>
      </c>
      <c r="N4269" s="475">
        <f t="shared" si="185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83"/>
        <v>-8467502845496.1357</v>
      </c>
      <c r="J4270" s="455">
        <f t="array" ref="J4270">IFERROR(INDEX('Retirement Calculator'!J:J,MATCH('Isaac 401k'!N4270,'Retirement Calculator'!A:A,0),0),0)</f>
        <v>0</v>
      </c>
      <c r="K4270" s="455">
        <f t="shared" ca="1" si="181"/>
        <v>-35281261856.233902</v>
      </c>
      <c r="L4270" s="455">
        <f t="shared" ca="1" si="182"/>
        <v>-8502784107352.3701</v>
      </c>
      <c r="M4270" s="471">
        <f t="shared" si="184"/>
        <v>0.05</v>
      </c>
      <c r="N4270" s="475">
        <f t="shared" si="185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83"/>
        <v>-8502784107352.3701</v>
      </c>
      <c r="J4271" s="455">
        <f t="array" ref="J4271">IFERROR(INDEX('Retirement Calculator'!J:J,MATCH('Isaac 401k'!N4271,'Retirement Calculator'!A:A,0),0),0)</f>
        <v>0</v>
      </c>
      <c r="K4271" s="455">
        <f t="shared" ca="1" si="181"/>
        <v>-35428267113.968216</v>
      </c>
      <c r="L4271" s="455">
        <f t="shared" ca="1" si="182"/>
        <v>-8538212374466.3379</v>
      </c>
      <c r="M4271" s="471">
        <f t="shared" si="184"/>
        <v>0.05</v>
      </c>
      <c r="N4271" s="475">
        <f t="shared" si="185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83"/>
        <v>-8538212374466.3379</v>
      </c>
      <c r="J4272" s="455">
        <f t="array" ref="J4272">IFERROR(INDEX('Retirement Calculator'!J:J,MATCH('Isaac 401k'!N4272,'Retirement Calculator'!A:A,0),0),0)</f>
        <v>0</v>
      </c>
      <c r="K4272" s="455">
        <f t="shared" ca="1" si="181"/>
        <v>-35575884893.609741</v>
      </c>
      <c r="L4272" s="455">
        <f t="shared" ca="1" si="182"/>
        <v>-8573788259359.9473</v>
      </c>
      <c r="M4272" s="471">
        <f t="shared" si="184"/>
        <v>0.05</v>
      </c>
      <c r="N4272" s="475">
        <f t="shared" si="185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83"/>
        <v>-8573788259359.9473</v>
      </c>
      <c r="J4273" s="455">
        <f t="array" ref="J4273">IFERROR(INDEX('Retirement Calculator'!J:J,MATCH('Isaac 401k'!N4273,'Retirement Calculator'!A:A,0),0),0)</f>
        <v>0</v>
      </c>
      <c r="K4273" s="455">
        <f t="shared" ca="1" si="181"/>
        <v>-35724117747.333115</v>
      </c>
      <c r="L4273" s="455">
        <f t="shared" ca="1" si="182"/>
        <v>-8609512377107.2803</v>
      </c>
      <c r="M4273" s="471">
        <f t="shared" si="184"/>
        <v>0.05</v>
      </c>
      <c r="N4273" s="475">
        <f t="shared" si="185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83"/>
        <v>-8609512377107.2803</v>
      </c>
      <c r="J4274" s="455">
        <f t="array" ref="J4274">IFERROR(INDEX('Retirement Calculator'!J:J,MATCH('Isaac 401k'!N4274,'Retirement Calculator'!A:A,0),0),0)</f>
        <v>0</v>
      </c>
      <c r="K4274" s="455">
        <f t="shared" ca="1" si="181"/>
        <v>-35872968237.946999</v>
      </c>
      <c r="L4274" s="455">
        <f t="shared" ca="1" si="182"/>
        <v>-8645385345345.2275</v>
      </c>
      <c r="M4274" s="471">
        <f t="shared" si="184"/>
        <v>0.05</v>
      </c>
      <c r="N4274" s="475">
        <f t="shared" si="185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83"/>
        <v>-8645385345345.2275</v>
      </c>
      <c r="J4275" s="455">
        <f t="array" ref="J4275">IFERROR(INDEX('Retirement Calculator'!J:J,MATCH('Isaac 401k'!N4275,'Retirement Calculator'!A:A,0),0),0)</f>
        <v>0</v>
      </c>
      <c r="K4275" s="455">
        <f t="shared" ca="1" si="181"/>
        <v>-36022438938.938446</v>
      </c>
      <c r="L4275" s="455">
        <f t="shared" ca="1" si="182"/>
        <v>-8681407784284.166</v>
      </c>
      <c r="M4275" s="471">
        <f t="shared" si="184"/>
        <v>0.05</v>
      </c>
      <c r="N4275" s="475">
        <f t="shared" si="185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83"/>
        <v>-8681407784284.166</v>
      </c>
      <c r="J4276" s="455">
        <f t="array" ref="J4276">IFERROR(INDEX('Retirement Calculator'!J:J,MATCH('Isaac 401k'!N4276,'Retirement Calculator'!A:A,0),0),0)</f>
        <v>0</v>
      </c>
      <c r="K4276" s="455">
        <f t="shared" ca="1" si="181"/>
        <v>-36172532434.517357</v>
      </c>
      <c r="L4276" s="455">
        <f t="shared" ca="1" si="182"/>
        <v>-8717580316718.6836</v>
      </c>
      <c r="M4276" s="471">
        <f t="shared" si="184"/>
        <v>0.05</v>
      </c>
      <c r="N4276" s="475">
        <f t="shared" si="185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83"/>
        <v>-8717580316718.6836</v>
      </c>
      <c r="J4277" s="455">
        <f t="array" ref="J4277">IFERROR(INDEX('Retirement Calculator'!J:J,MATCH('Isaac 401k'!N4277,'Retirement Calculator'!A:A,0),0),0)</f>
        <v>0</v>
      </c>
      <c r="K4277" s="455">
        <f t="shared" ca="1" si="181"/>
        <v>-36323251319.661186</v>
      </c>
      <c r="L4277" s="455">
        <f t="shared" ca="1" si="182"/>
        <v>-8753903568038.3447</v>
      </c>
      <c r="M4277" s="471">
        <f t="shared" si="184"/>
        <v>0.05</v>
      </c>
      <c r="N4277" s="475">
        <f t="shared" si="185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83"/>
        <v>-8753903568038.3447</v>
      </c>
      <c r="J4278" s="455">
        <f t="array" ref="J4278">IFERROR(INDEX('Retirement Calculator'!J:J,MATCH('Isaac 401k'!N4278,'Retirement Calculator'!A:A,0),0),0)</f>
        <v>0</v>
      </c>
      <c r="K4278" s="455">
        <f t="shared" ca="1" si="181"/>
        <v>-36474598200.159767</v>
      </c>
      <c r="L4278" s="455">
        <f t="shared" ca="1" si="182"/>
        <v>-8790378166238.5049</v>
      </c>
      <c r="M4278" s="471">
        <f t="shared" si="184"/>
        <v>0.05</v>
      </c>
      <c r="N4278" s="475">
        <f t="shared" si="185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83"/>
        <v>-8790378166238.5049</v>
      </c>
      <c r="J4279" s="455">
        <f t="array" ref="J4279">IFERROR(INDEX('Retirement Calculator'!J:J,MATCH('Isaac 401k'!N4279,'Retirement Calculator'!A:A,0),0),0)</f>
        <v>0</v>
      </c>
      <c r="K4279" s="455">
        <f t="shared" ca="1" si="181"/>
        <v>-36626575692.660431</v>
      </c>
      <c r="L4279" s="455">
        <f t="shared" ca="1" si="182"/>
        <v>-8827004741931.166</v>
      </c>
      <c r="M4279" s="471">
        <f t="shared" si="184"/>
        <v>0.05</v>
      </c>
      <c r="N4279" s="475">
        <f t="shared" si="185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83"/>
        <v>-8827004741931.166</v>
      </c>
      <c r="J4280" s="455">
        <f t="array" ref="J4280">IFERROR(INDEX('Retirement Calculator'!J:J,MATCH('Isaac 401k'!N4280,'Retirement Calculator'!A:A,0),0),0)</f>
        <v>0</v>
      </c>
      <c r="K4280" s="455">
        <f t="shared" ca="1" si="181"/>
        <v>-36779186424.713188</v>
      </c>
      <c r="L4280" s="455">
        <f t="shared" ca="1" si="182"/>
        <v>-8863783928355.8789</v>
      </c>
      <c r="M4280" s="471">
        <f t="shared" si="184"/>
        <v>0.05</v>
      </c>
      <c r="N4280" s="475">
        <f t="shared" si="185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83"/>
        <v>-8863783928355.8789</v>
      </c>
      <c r="J4281" s="455">
        <f t="array" ref="J4281">IFERROR(INDEX('Retirement Calculator'!J:J,MATCH('Isaac 401k'!N4281,'Retirement Calculator'!A:A,0),0),0)</f>
        <v>0</v>
      </c>
      <c r="K4281" s="455">
        <f t="shared" ca="1" si="181"/>
        <v>-36932433034.816162</v>
      </c>
      <c r="L4281" s="455">
        <f t="shared" ca="1" si="182"/>
        <v>-8900716361390.6953</v>
      </c>
      <c r="M4281" s="471">
        <f t="shared" si="184"/>
        <v>0.05</v>
      </c>
      <c r="N4281" s="475">
        <f t="shared" si="185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83"/>
        <v>-8900716361390.6953</v>
      </c>
      <c r="J4282" s="455">
        <f t="array" ref="J4282">IFERROR(INDEX('Retirement Calculator'!J:J,MATCH('Isaac 401k'!N4282,'Retirement Calculator'!A:A,0),0),0)</f>
        <v>0</v>
      </c>
      <c r="K4282" s="455">
        <f t="shared" ca="1" si="181"/>
        <v>-37086318172.461227</v>
      </c>
      <c r="L4282" s="455">
        <f t="shared" ca="1" si="182"/>
        <v>-8937802679563.1563</v>
      </c>
      <c r="M4282" s="471">
        <f t="shared" si="184"/>
        <v>0.05</v>
      </c>
      <c r="N4282" s="475">
        <f t="shared" si="185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83"/>
        <v>-8937802679563.1563</v>
      </c>
      <c r="J4283" s="455">
        <f t="array" ref="J4283">IFERROR(INDEX('Retirement Calculator'!J:J,MATCH('Isaac 401k'!N4283,'Retirement Calculator'!A:A,0),0),0)</f>
        <v>0</v>
      </c>
      <c r="K4283" s="455">
        <f t="shared" ca="1" si="181"/>
        <v>-37240844498.179817</v>
      </c>
      <c r="L4283" s="455">
        <f t="shared" ca="1" si="182"/>
        <v>-8975043524061.3359</v>
      </c>
      <c r="M4283" s="471">
        <f t="shared" si="184"/>
        <v>0.05</v>
      </c>
      <c r="N4283" s="475">
        <f t="shared" si="185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83"/>
        <v>-8975043524061.3359</v>
      </c>
      <c r="J4284" s="455">
        <f t="array" ref="J4284">IFERROR(INDEX('Retirement Calculator'!J:J,MATCH('Isaac 401k'!N4284,'Retirement Calculator'!A:A,0),0),0)</f>
        <v>0</v>
      </c>
      <c r="K4284" s="455">
        <f t="shared" ca="1" si="181"/>
        <v>-37396014683.588898</v>
      </c>
      <c r="L4284" s="455">
        <f t="shared" ca="1" si="182"/>
        <v>-9012439538744.9258</v>
      </c>
      <c r="M4284" s="471">
        <f t="shared" si="184"/>
        <v>0.05</v>
      </c>
      <c r="N4284" s="475">
        <f t="shared" si="185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83"/>
        <v>-9012439538744.9258</v>
      </c>
      <c r="J4285" s="455">
        <f t="array" ref="J4285">IFERROR(INDEX('Retirement Calculator'!J:J,MATCH('Isaac 401k'!N4285,'Retirement Calculator'!A:A,0),0),0)</f>
        <v>0</v>
      </c>
      <c r="K4285" s="455">
        <f t="shared" ca="1" si="181"/>
        <v>-37551831411.437187</v>
      </c>
      <c r="L4285" s="455">
        <f t="shared" ca="1" si="182"/>
        <v>-9049991370156.3633</v>
      </c>
      <c r="M4285" s="471">
        <f t="shared" si="184"/>
        <v>0.05</v>
      </c>
      <c r="N4285" s="475">
        <f t="shared" si="185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83"/>
        <v>-9049991370156.3633</v>
      </c>
      <c r="J4286" s="455">
        <f t="array" ref="J4286">IFERROR(INDEX('Retirement Calculator'!J:J,MATCH('Isaac 401k'!N4286,'Retirement Calculator'!A:A,0),0),0)</f>
        <v>0</v>
      </c>
      <c r="K4286" s="455">
        <f t="shared" ca="1" si="181"/>
        <v>-37708297375.651512</v>
      </c>
      <c r="L4286" s="455">
        <f t="shared" ca="1" si="182"/>
        <v>-9087699667532.0156</v>
      </c>
      <c r="M4286" s="471">
        <f t="shared" si="184"/>
        <v>0.05</v>
      </c>
      <c r="N4286" s="475">
        <f t="shared" si="185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83"/>
        <v>-9087699667532.0156</v>
      </c>
      <c r="J4287" s="455">
        <f t="array" ref="J4287">IFERROR(INDEX('Retirement Calculator'!J:J,MATCH('Isaac 401k'!N4287,'Retirement Calculator'!A:A,0),0),0)</f>
        <v>0</v>
      </c>
      <c r="K4287" s="455">
        <f t="shared" ca="1" si="181"/>
        <v>-37865415281.3834</v>
      </c>
      <c r="L4287" s="455">
        <f t="shared" ca="1" si="182"/>
        <v>-9125565082813.3984</v>
      </c>
      <c r="M4287" s="471">
        <f t="shared" si="184"/>
        <v>0.05</v>
      </c>
      <c r="N4287" s="475">
        <f t="shared" si="185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83"/>
        <v>-9125565082813.3984</v>
      </c>
      <c r="J4288" s="455">
        <f t="array" ref="J4288">IFERROR(INDEX('Retirement Calculator'!J:J,MATCH('Isaac 401k'!N4288,'Retirement Calculator'!A:A,0),0),0)</f>
        <v>0</v>
      </c>
      <c r="K4288" s="455">
        <f t="shared" ca="1" si="181"/>
        <v>-38023187845.055824</v>
      </c>
      <c r="L4288" s="455">
        <f t="shared" ca="1" si="182"/>
        <v>-9163588270658.4551</v>
      </c>
      <c r="M4288" s="471">
        <f t="shared" si="184"/>
        <v>0.05</v>
      </c>
      <c r="N4288" s="475">
        <f t="shared" si="185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83"/>
        <v>-9163588270658.4551</v>
      </c>
      <c r="J4289" s="455">
        <f t="array" ref="J4289">IFERROR(INDEX('Retirement Calculator'!J:J,MATCH('Isaac 401k'!N4289,'Retirement Calculator'!A:A,0),0),0)</f>
        <v>0</v>
      </c>
      <c r="K4289" s="455">
        <f t="shared" ca="1" si="181"/>
        <v>-38181617794.410233</v>
      </c>
      <c r="L4289" s="455">
        <f t="shared" ca="1" si="182"/>
        <v>-9201769888452.8652</v>
      </c>
      <c r="M4289" s="471">
        <f t="shared" si="184"/>
        <v>0.05</v>
      </c>
      <c r="N4289" s="475">
        <f t="shared" si="185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83"/>
        <v>-9201769888452.8652</v>
      </c>
      <c r="J4290" s="455">
        <f t="array" ref="J4290">IFERROR(INDEX('Retirement Calculator'!J:J,MATCH('Isaac 401k'!N4290,'Retirement Calculator'!A:A,0),0),0)</f>
        <v>0</v>
      </c>
      <c r="K4290" s="455">
        <f t="shared" ca="1" si="181"/>
        <v>-38340707868.553604</v>
      </c>
      <c r="L4290" s="455">
        <f t="shared" ca="1" si="182"/>
        <v>-9240110596321.418</v>
      </c>
      <c r="M4290" s="471">
        <f t="shared" si="184"/>
        <v>0.05</v>
      </c>
      <c r="N4290" s="475">
        <f t="shared" si="185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83"/>
        <v>-9240110596321.418</v>
      </c>
      <c r="J4291" s="455">
        <f t="array" ref="J4291">IFERROR(INDEX('Retirement Calculator'!J:J,MATCH('Isaac 401k'!N4291,'Retirement Calculator'!A:A,0),0),0)</f>
        <v>0</v>
      </c>
      <c r="K4291" s="455">
        <f t="shared" ca="1" si="181"/>
        <v>-38500460818.005905</v>
      </c>
      <c r="L4291" s="455">
        <f t="shared" ca="1" si="182"/>
        <v>-9278611057139.4238</v>
      </c>
      <c r="M4291" s="471">
        <f t="shared" si="184"/>
        <v>0.05</v>
      </c>
      <c r="N4291" s="475">
        <f t="shared" si="185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83"/>
        <v>-9278611057139.4238</v>
      </c>
      <c r="J4292" s="455">
        <f t="array" ref="J4292">IFERROR(INDEX('Retirement Calculator'!J:J,MATCH('Isaac 401k'!N4292,'Retirement Calculator'!A:A,0),0),0)</f>
        <v>0</v>
      </c>
      <c r="K4292" s="455">
        <f t="shared" ca="1" si="181"/>
        <v>-38660879404.747597</v>
      </c>
      <c r="L4292" s="455">
        <f t="shared" ca="1" si="182"/>
        <v>-9317271936544.1719</v>
      </c>
      <c r="M4292" s="471">
        <f t="shared" si="184"/>
        <v>0.05</v>
      </c>
      <c r="N4292" s="475">
        <f t="shared" si="185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83"/>
        <v>-9317271936544.1719</v>
      </c>
      <c r="J4293" s="455">
        <f t="array" ref="J4293">IFERROR(INDEX('Retirement Calculator'!J:J,MATCH('Isaac 401k'!N4293,'Retirement Calculator'!A:A,0),0),0)</f>
        <v>0</v>
      </c>
      <c r="K4293" s="455">
        <f t="shared" ca="1" si="181"/>
        <v>-38821966402.26738</v>
      </c>
      <c r="L4293" s="455">
        <f t="shared" ca="1" si="182"/>
        <v>-9356093902946.4395</v>
      </c>
      <c r="M4293" s="471">
        <f t="shared" si="184"/>
        <v>0.05</v>
      </c>
      <c r="N4293" s="475">
        <f t="shared" si="185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83"/>
        <v>-9356093902946.4395</v>
      </c>
      <c r="J4294" s="455">
        <f t="array" ref="J4294">IFERROR(INDEX('Retirement Calculator'!J:J,MATCH('Isaac 401k'!N4294,'Retirement Calculator'!A:A,0),0),0)</f>
        <v>0</v>
      </c>
      <c r="K4294" s="455">
        <f t="shared" ca="1" si="181"/>
        <v>-38983724595.610161</v>
      </c>
      <c r="L4294" s="455">
        <f t="shared" ca="1" si="182"/>
        <v>-9395077627542.0488</v>
      </c>
      <c r="M4294" s="471">
        <f t="shared" si="184"/>
        <v>0.05</v>
      </c>
      <c r="N4294" s="475">
        <f t="shared" si="185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83"/>
        <v>-9395077627542.0488</v>
      </c>
      <c r="J4295" s="455">
        <f t="array" ref="J4295">IFERROR(INDEX('Retirement Calculator'!J:J,MATCH('Isaac 401k'!N4295,'Retirement Calculator'!A:A,0),0),0)</f>
        <v>0</v>
      </c>
      <c r="K4295" s="455">
        <f t="shared" ca="1" si="181"/>
        <v>-39146156781.425201</v>
      </c>
      <c r="L4295" s="455">
        <f t="shared" ca="1" si="182"/>
        <v>-9434223784323.4746</v>
      </c>
      <c r="M4295" s="471">
        <f t="shared" si="184"/>
        <v>0.05</v>
      </c>
      <c r="N4295" s="475">
        <f t="shared" si="185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83"/>
        <v>-9434223784323.4746</v>
      </c>
      <c r="J4296" s="455">
        <f t="array" ref="J4296">IFERROR(INDEX('Retirement Calculator'!J:J,MATCH('Isaac 401k'!N4296,'Retirement Calculator'!A:A,0),0),0)</f>
        <v>0</v>
      </c>
      <c r="K4296" s="455">
        <f t="shared" ca="1" si="181"/>
        <v>-39309265768.014481</v>
      </c>
      <c r="L4296" s="455">
        <f t="shared" ca="1" si="182"/>
        <v>-9473533050091.4883</v>
      </c>
      <c r="M4296" s="471">
        <f t="shared" si="184"/>
        <v>0.05</v>
      </c>
      <c r="N4296" s="475">
        <f t="shared" si="185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83"/>
        <v>-9473533050091.4883</v>
      </c>
      <c r="J4297" s="455">
        <f t="array" ref="J4297">IFERROR(INDEX('Retirement Calculator'!J:J,MATCH('Isaac 401k'!N4297,'Retirement Calculator'!A:A,0),0),0)</f>
        <v>0</v>
      </c>
      <c r="K4297" s="455">
        <f t="shared" ca="1" si="181"/>
        <v>-39473054375.381203</v>
      </c>
      <c r="L4297" s="455">
        <f t="shared" ca="1" si="182"/>
        <v>-9513006104466.8691</v>
      </c>
      <c r="M4297" s="471">
        <f t="shared" si="184"/>
        <v>0.05</v>
      </c>
      <c r="N4297" s="475">
        <f t="shared" si="185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83"/>
        <v>-9513006104466.8691</v>
      </c>
      <c r="J4298" s="455">
        <f t="array" ref="J4298">IFERROR(INDEX('Retirement Calculator'!J:J,MATCH('Isaac 401k'!N4298,'Retirement Calculator'!A:A,0),0),0)</f>
        <v>0</v>
      </c>
      <c r="K4298" s="455">
        <f t="shared" ca="1" si="181"/>
        <v>-39637525435.278618</v>
      </c>
      <c r="L4298" s="455">
        <f t="shared" ca="1" si="182"/>
        <v>-9552643629902.1484</v>
      </c>
      <c r="M4298" s="471">
        <f t="shared" si="184"/>
        <v>0.05</v>
      </c>
      <c r="N4298" s="475">
        <f t="shared" si="185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83"/>
        <v>-9552643629902.1484</v>
      </c>
      <c r="J4299" s="455">
        <f t="array" ref="J4299">IFERROR(INDEX('Retirement Calculator'!J:J,MATCH('Isaac 401k'!N4299,'Retirement Calculator'!A:A,0),0),0)</f>
        <v>0</v>
      </c>
      <c r="K4299" s="455">
        <f t="shared" ca="1" si="181"/>
        <v>-39802681791.258949</v>
      </c>
      <c r="L4299" s="455">
        <f t="shared" ca="1" si="182"/>
        <v>-9592446311693.4082</v>
      </c>
      <c r="M4299" s="471">
        <f t="shared" si="184"/>
        <v>0.05</v>
      </c>
      <c r="N4299" s="475">
        <f t="shared" si="185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83"/>
        <v>-9592446311693.4082</v>
      </c>
      <c r="J4300" s="455">
        <f t="array" ref="J4300">IFERROR(INDEX('Retirement Calculator'!J:J,MATCH('Isaac 401k'!N4300,'Retirement Calculator'!A:A,0),0),0)</f>
        <v>0</v>
      </c>
      <c r="K4300" s="455">
        <f t="shared" ca="1" si="181"/>
        <v>-39968526298.722534</v>
      </c>
      <c r="L4300" s="455">
        <f t="shared" ca="1" si="182"/>
        <v>-9632414837992.1309</v>
      </c>
      <c r="M4300" s="471">
        <f t="shared" si="184"/>
        <v>0.05</v>
      </c>
      <c r="N4300" s="475">
        <f t="shared" si="185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83"/>
        <v>-9632414837992.1309</v>
      </c>
      <c r="J4301" s="455">
        <f t="array" ref="J4301">IFERROR(INDEX('Retirement Calculator'!J:J,MATCH('Isaac 401k'!N4301,'Retirement Calculator'!A:A,0),0),0)</f>
        <v>0</v>
      </c>
      <c r="K4301" s="455">
        <f t="shared" ca="1" si="181"/>
        <v>-40135061824.967209</v>
      </c>
      <c r="L4301" s="455">
        <f t="shared" ca="1" si="182"/>
        <v>-9672549899817.0977</v>
      </c>
      <c r="M4301" s="471">
        <f t="shared" si="184"/>
        <v>0.05</v>
      </c>
      <c r="N4301" s="475">
        <f t="shared" si="185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83"/>
        <v>-9672549899817.0977</v>
      </c>
      <c r="J4302" s="455">
        <f t="array" ref="J4302">IFERROR(INDEX('Retirement Calculator'!J:J,MATCH('Isaac 401k'!N4302,'Retirement Calculator'!A:A,0),0),0)</f>
        <v>0</v>
      </c>
      <c r="K4302" s="455">
        <f t="shared" ca="1" si="181"/>
        <v>-40302291249.237907</v>
      </c>
      <c r="L4302" s="455">
        <f t="shared" ca="1" si="182"/>
        <v>-9712852191066.3359</v>
      </c>
      <c r="M4302" s="471">
        <f t="shared" si="184"/>
        <v>0.05</v>
      </c>
      <c r="N4302" s="475">
        <f t="shared" si="185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83"/>
        <v>-9712852191066.3359</v>
      </c>
      <c r="J4303" s="455">
        <f t="array" ref="J4303">IFERROR(INDEX('Retirement Calculator'!J:J,MATCH('Isaac 401k'!N4303,'Retirement Calculator'!A:A,0),0),0)</f>
        <v>0</v>
      </c>
      <c r="K4303" s="455">
        <f t="shared" ca="1" si="181"/>
        <v>-40470217462.776398</v>
      </c>
      <c r="L4303" s="455">
        <f t="shared" ca="1" si="182"/>
        <v>-9753322408529.1133</v>
      </c>
      <c r="M4303" s="471">
        <f t="shared" si="184"/>
        <v>0.05</v>
      </c>
      <c r="N4303" s="475">
        <f t="shared" si="185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83"/>
        <v>-9753322408529.1133</v>
      </c>
      <c r="J4304" s="455">
        <f t="array" ref="J4304">IFERROR(INDEX('Retirement Calculator'!J:J,MATCH('Isaac 401k'!N4304,'Retirement Calculator'!A:A,0),0),0)</f>
        <v>0</v>
      </c>
      <c r="K4304" s="455">
        <f t="shared" ca="1" si="181"/>
        <v>-40638843368.871307</v>
      </c>
      <c r="L4304" s="455">
        <f t="shared" ca="1" si="182"/>
        <v>-9793961251897.9844</v>
      </c>
      <c r="M4304" s="471">
        <f t="shared" si="184"/>
        <v>0.05</v>
      </c>
      <c r="N4304" s="475">
        <f t="shared" si="185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83"/>
        <v>-9793961251897.9844</v>
      </c>
      <c r="J4305" s="455">
        <f t="array" ref="J4305">IFERROR(INDEX('Retirement Calculator'!J:J,MATCH('Isaac 401k'!N4305,'Retirement Calculator'!A:A,0),0),0)</f>
        <v>0</v>
      </c>
      <c r="K4305" s="455">
        <f t="shared" ca="1" si="181"/>
        <v>-40808171882.908264</v>
      </c>
      <c r="L4305" s="455">
        <f t="shared" ca="1" si="182"/>
        <v>-9834769423780.8926</v>
      </c>
      <c r="M4305" s="471">
        <f t="shared" si="184"/>
        <v>0.05</v>
      </c>
      <c r="N4305" s="475">
        <f t="shared" si="185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83"/>
        <v>-9834769423780.8926</v>
      </c>
      <c r="J4306" s="455">
        <f t="array" ref="J4306">IFERROR(INDEX('Retirement Calculator'!J:J,MATCH('Isaac 401k'!N4306,'Retirement Calculator'!A:A,0),0),0)</f>
        <v>0</v>
      </c>
      <c r="K4306" s="455">
        <f t="shared" ca="1" si="181"/>
        <v>-40978205932.420387</v>
      </c>
      <c r="L4306" s="455">
        <f t="shared" ca="1" si="182"/>
        <v>-9875747629713.3125</v>
      </c>
      <c r="M4306" s="471">
        <f t="shared" si="184"/>
        <v>0.05</v>
      </c>
      <c r="N4306" s="475">
        <f t="shared" si="185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83"/>
        <v>-9875747629713.3125</v>
      </c>
      <c r="J4307" s="455">
        <f t="array" ref="J4307">IFERROR(INDEX('Retirement Calculator'!J:J,MATCH('Isaac 401k'!N4307,'Retirement Calculator'!A:A,0),0),0)</f>
        <v>0</v>
      </c>
      <c r="K4307" s="455">
        <f t="shared" ca="1" si="181"/>
        <v>-41148948457.138802</v>
      </c>
      <c r="L4307" s="455">
        <f t="shared" ca="1" si="182"/>
        <v>-9916896578170.4512</v>
      </c>
      <c r="M4307" s="471">
        <f t="shared" si="184"/>
        <v>0.05</v>
      </c>
      <c r="N4307" s="475">
        <f t="shared" si="185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83"/>
        <v>-9916896578170.4512</v>
      </c>
      <c r="J4308" s="455">
        <f t="array" ref="J4308">IFERROR(INDEX('Retirement Calculator'!J:J,MATCH('Isaac 401k'!N4308,'Retirement Calculator'!A:A,0),0),0)</f>
        <v>0</v>
      </c>
      <c r="K4308" s="455">
        <f t="shared" ca="1" si="181"/>
        <v>-41320402409.043549</v>
      </c>
      <c r="L4308" s="455">
        <f t="shared" ca="1" si="182"/>
        <v>-9958216980579.4941</v>
      </c>
      <c r="M4308" s="471">
        <f t="shared" si="184"/>
        <v>0.05</v>
      </c>
      <c r="N4308" s="475">
        <f t="shared" si="185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83"/>
        <v>-9958216980579.4941</v>
      </c>
      <c r="J4309" s="455">
        <f t="array" ref="J4309">IFERROR(INDEX('Retirement Calculator'!J:J,MATCH('Isaac 401k'!N4309,'Retirement Calculator'!A:A,0),0),0)</f>
        <v>0</v>
      </c>
      <c r="K4309" s="455">
        <f t="shared" ca="1" si="181"/>
        <v>-41492570752.414558</v>
      </c>
      <c r="L4309" s="455">
        <f t="shared" ca="1" si="182"/>
        <v>-9999709551331.9082</v>
      </c>
      <c r="M4309" s="471">
        <f t="shared" si="184"/>
        <v>0.05</v>
      </c>
      <c r="N4309" s="475">
        <f t="shared" si="185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83"/>
        <v>-9999709551331.9082</v>
      </c>
      <c r="J4310" s="455">
        <f t="array" ref="J4310">IFERROR(INDEX('Retirement Calculator'!J:J,MATCH('Isaac 401k'!N4310,'Retirement Calculator'!A:A,0),0),0)</f>
        <v>0</v>
      </c>
      <c r="K4310" s="455">
        <f t="shared" ca="1" si="181"/>
        <v>-41665456463.88295</v>
      </c>
      <c r="L4310" s="455">
        <f t="shared" ca="1" si="182"/>
        <v>-10041375007795.791</v>
      </c>
      <c r="M4310" s="471">
        <f t="shared" si="184"/>
        <v>0.05</v>
      </c>
      <c r="N4310" s="475">
        <f t="shared" si="185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83"/>
        <v>-10041375007795.791</v>
      </c>
      <c r="J4311" s="455">
        <f t="array" ref="J4311">IFERROR(INDEX('Retirement Calculator'!J:J,MATCH('Isaac 401k'!N4311,'Retirement Calculator'!A:A,0),0),0)</f>
        <v>0</v>
      </c>
      <c r="K4311" s="455">
        <f t="shared" ca="1" si="181"/>
        <v>-41839062532.48246</v>
      </c>
      <c r="L4311" s="455">
        <f t="shared" ca="1" si="182"/>
        <v>-10083214070328.273</v>
      </c>
      <c r="M4311" s="471">
        <f t="shared" si="184"/>
        <v>0.05</v>
      </c>
      <c r="N4311" s="475">
        <f t="shared" si="185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83"/>
        <v>-10083214070328.273</v>
      </c>
      <c r="J4312" s="455">
        <f t="array" ref="J4312">IFERROR(INDEX('Retirement Calculator'!J:J,MATCH('Isaac 401k'!N4312,'Retirement Calculator'!A:A,0),0),0)</f>
        <v>0</v>
      </c>
      <c r="K4312" s="455">
        <f t="shared" ca="1" si="181"/>
        <v>-42013391959.701141</v>
      </c>
      <c r="L4312" s="455">
        <f t="shared" ca="1" si="182"/>
        <v>-10125227462287.975</v>
      </c>
      <c r="M4312" s="471">
        <f t="shared" si="184"/>
        <v>0.05</v>
      </c>
      <c r="N4312" s="475">
        <f t="shared" si="185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83"/>
        <v>-10125227462287.975</v>
      </c>
      <c r="J4313" s="455">
        <f t="array" ref="J4313">IFERROR(INDEX('Retirement Calculator'!J:J,MATCH('Isaac 401k'!N4313,'Retirement Calculator'!A:A,0),0),0)</f>
        <v>0</v>
      </c>
      <c r="K4313" s="455">
        <f t="shared" ca="1" si="181"/>
        <v>-42188447759.533226</v>
      </c>
      <c r="L4313" s="455">
        <f t="shared" ca="1" si="182"/>
        <v>-10167415910047.508</v>
      </c>
      <c r="M4313" s="471">
        <f t="shared" si="184"/>
        <v>0.05</v>
      </c>
      <c r="N4313" s="475">
        <f t="shared" si="185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83"/>
        <v>-10167415910047.508</v>
      </c>
      <c r="J4314" s="455">
        <f t="array" ref="J4314">IFERROR(INDEX('Retirement Calculator'!J:J,MATCH('Isaac 401k'!N4314,'Retirement Calculator'!A:A,0),0),0)</f>
        <v>0</v>
      </c>
      <c r="K4314" s="455">
        <f t="shared" ca="1" si="181"/>
        <v>-42364232958.531281</v>
      </c>
      <c r="L4314" s="455">
        <f t="shared" ca="1" si="182"/>
        <v>-10209780143006.039</v>
      </c>
      <c r="M4314" s="471">
        <f t="shared" si="184"/>
        <v>0.05</v>
      </c>
      <c r="N4314" s="475">
        <f t="shared" si="185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83"/>
        <v>-10209780143006.039</v>
      </c>
      <c r="J4315" s="455">
        <f t="array" ref="J4315">IFERROR(INDEX('Retirement Calculator'!J:J,MATCH('Isaac 401k'!N4315,'Retirement Calculator'!A:A,0),0),0)</f>
        <v>0</v>
      </c>
      <c r="K4315" s="455">
        <f t="shared" ca="1" si="181"/>
        <v>-42540750595.858498</v>
      </c>
      <c r="L4315" s="455">
        <f t="shared" ca="1" si="182"/>
        <v>-10252320893601.898</v>
      </c>
      <c r="M4315" s="471">
        <f t="shared" si="184"/>
        <v>0.05</v>
      </c>
      <c r="N4315" s="475">
        <f t="shared" si="185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83"/>
        <v>-10252320893601.898</v>
      </c>
      <c r="J4316" s="455">
        <f t="array" ref="J4316">IFERROR(INDEX('Retirement Calculator'!J:J,MATCH('Isaac 401k'!N4316,'Retirement Calculator'!A:A,0),0),0)</f>
        <v>0</v>
      </c>
      <c r="K4316" s="455">
        <f t="shared" ca="1" si="181"/>
        <v>-42718003723.34124</v>
      </c>
      <c r="L4316" s="455">
        <f t="shared" ca="1" si="182"/>
        <v>-10295038897325.24</v>
      </c>
      <c r="M4316" s="471">
        <f t="shared" si="184"/>
        <v>0.05</v>
      </c>
      <c r="N4316" s="475">
        <f t="shared" si="185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83"/>
        <v>-10295038897325.24</v>
      </c>
      <c r="J4317" s="455">
        <f t="array" ref="J4317">IFERROR(INDEX('Retirement Calculator'!J:J,MATCH('Isaac 401k'!N4317,'Retirement Calculator'!A:A,0),0),0)</f>
        <v>0</v>
      </c>
      <c r="K4317" s="455">
        <f t="shared" ca="1" si="181"/>
        <v>-42895995405.521835</v>
      </c>
      <c r="L4317" s="455">
        <f t="shared" ca="1" si="182"/>
        <v>-10337934892730.762</v>
      </c>
      <c r="M4317" s="471">
        <f t="shared" si="184"/>
        <v>0.05</v>
      </c>
      <c r="N4317" s="475">
        <f t="shared" si="185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83"/>
        <v>-10337934892730.762</v>
      </c>
      <c r="J4318" s="455">
        <f t="array" ref="J4318">IFERROR(INDEX('Retirement Calculator'!J:J,MATCH('Isaac 401k'!N4318,'Retirement Calculator'!A:A,0),0),0)</f>
        <v>0</v>
      </c>
      <c r="K4318" s="455">
        <f t="shared" ca="1" si="181"/>
        <v>-43074728719.71151</v>
      </c>
      <c r="L4318" s="455">
        <f t="shared" ca="1" si="182"/>
        <v>-10381009621450.473</v>
      </c>
      <c r="M4318" s="471">
        <f t="shared" si="184"/>
        <v>0.05</v>
      </c>
      <c r="N4318" s="475">
        <f t="shared" si="185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83"/>
        <v>-10381009621450.473</v>
      </c>
      <c r="J4319" s="455">
        <f t="array" ref="J4319">IFERROR(INDEX('Retirement Calculator'!J:J,MATCH('Isaac 401k'!N4319,'Retirement Calculator'!A:A,0),0),0)</f>
        <v>0</v>
      </c>
      <c r="K4319" s="455">
        <f t="shared" ca="1" si="181"/>
        <v>-43254206756.043633</v>
      </c>
      <c r="L4319" s="455">
        <f t="shared" ca="1" si="182"/>
        <v>-10424263828206.516</v>
      </c>
      <c r="M4319" s="471">
        <f t="shared" si="184"/>
        <v>0.05</v>
      </c>
      <c r="N4319" s="475">
        <f t="shared" si="185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83"/>
        <v>-10424263828206.516</v>
      </c>
      <c r="J4320" s="455">
        <f t="array" ref="J4320">IFERROR(INDEX('Retirement Calculator'!J:J,MATCH('Isaac 401k'!N4320,'Retirement Calculator'!A:A,0),0),0)</f>
        <v>0</v>
      </c>
      <c r="K4320" s="455">
        <f t="shared" ca="1" si="181"/>
        <v>-43434432617.527145</v>
      </c>
      <c r="L4320" s="455">
        <f t="shared" ca="1" si="182"/>
        <v>-10467698260824.043</v>
      </c>
      <c r="M4320" s="471">
        <f t="shared" si="184"/>
        <v>0.05</v>
      </c>
      <c r="N4320" s="475">
        <f t="shared" si="185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83"/>
        <v>-10467698260824.043</v>
      </c>
      <c r="J4321" s="455">
        <f t="array" ref="J4321">IFERROR(INDEX('Retirement Calculator'!J:J,MATCH('Isaac 401k'!N4321,'Retirement Calculator'!A:A,0),0),0)</f>
        <v>0</v>
      </c>
      <c r="K4321" s="455">
        <f t="shared" ca="1" si="181"/>
        <v>-43615409420.100182</v>
      </c>
      <c r="L4321" s="455">
        <f t="shared" ca="1" si="182"/>
        <v>-10511313670244.143</v>
      </c>
      <c r="M4321" s="471">
        <f t="shared" si="184"/>
        <v>0.05</v>
      </c>
      <c r="N4321" s="475">
        <f t="shared" si="185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83"/>
        <v>-10511313670244.143</v>
      </c>
      <c r="J4322" s="455">
        <f t="array" ref="J4322">IFERROR(INDEX('Retirement Calculator'!J:J,MATCH('Isaac 401k'!N4322,'Retirement Calculator'!A:A,0),0),0)</f>
        <v>0</v>
      </c>
      <c r="K4322" s="455">
        <f t="shared" ca="1" si="181"/>
        <v>-43797140292.683929</v>
      </c>
      <c r="L4322" s="455">
        <f t="shared" ca="1" si="182"/>
        <v>-10555110810536.826</v>
      </c>
      <c r="M4322" s="471">
        <f t="shared" si="184"/>
        <v>0.05</v>
      </c>
      <c r="N4322" s="475">
        <f t="shared" si="185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83"/>
        <v>-10555110810536.826</v>
      </c>
      <c r="J4323" s="455">
        <f t="array" ref="J4323">IFERROR(INDEX('Retirement Calculator'!J:J,MATCH('Isaac 401k'!N4323,'Retirement Calculator'!A:A,0),0),0)</f>
        <v>0</v>
      </c>
      <c r="K4323" s="455">
        <f t="shared" ca="1" si="181"/>
        <v>-43979628377.236778</v>
      </c>
      <c r="L4323" s="455">
        <f t="shared" ca="1" si="182"/>
        <v>-10599090438914.063</v>
      </c>
      <c r="M4323" s="471">
        <f t="shared" si="184"/>
        <v>0.05</v>
      </c>
      <c r="N4323" s="475">
        <f t="shared" si="185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83"/>
        <v>-10599090438914.063</v>
      </c>
      <c r="J4324" s="455">
        <f t="array" ref="J4324">IFERROR(INDEX('Retirement Calculator'!J:J,MATCH('Isaac 401k'!N4324,'Retirement Calculator'!A:A,0),0),0)</f>
        <v>0</v>
      </c>
      <c r="K4324" s="455">
        <f t="shared" ca="1" si="181"/>
        <v>-44162876828.808594</v>
      </c>
      <c r="L4324" s="455">
        <f t="shared" ca="1" si="182"/>
        <v>-10643253315742.871</v>
      </c>
      <c r="M4324" s="471">
        <f t="shared" si="184"/>
        <v>0.05</v>
      </c>
      <c r="N4324" s="475">
        <f t="shared" si="185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83"/>
        <v>-10643253315742.871</v>
      </c>
      <c r="J4325" s="455">
        <f t="array" ref="J4325">IFERROR(INDEX('Retirement Calculator'!J:J,MATCH('Isaac 401k'!N4325,'Retirement Calculator'!A:A,0),0),0)</f>
        <v>0</v>
      </c>
      <c r="K4325" s="455">
        <f t="shared" ca="1" si="181"/>
        <v>-44346888815.595299</v>
      </c>
      <c r="L4325" s="455">
        <f t="shared" ca="1" si="182"/>
        <v>-10687600204558.467</v>
      </c>
      <c r="M4325" s="471">
        <f t="shared" si="184"/>
        <v>0.05</v>
      </c>
      <c r="N4325" s="475">
        <f t="shared" si="185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83"/>
        <v>-10687600204558.467</v>
      </c>
      <c r="J4326" s="455">
        <f t="array" ref="J4326">IFERROR(INDEX('Retirement Calculator'!J:J,MATCH('Isaac 401k'!N4326,'Retirement Calculator'!A:A,0),0),0)</f>
        <v>0</v>
      </c>
      <c r="K4326" s="455">
        <f t="shared" ca="1" si="181"/>
        <v>-44531667518.993614</v>
      </c>
      <c r="L4326" s="455">
        <f t="shared" ca="1" si="182"/>
        <v>-10732131872077.461</v>
      </c>
      <c r="M4326" s="471">
        <f t="shared" si="184"/>
        <v>0.05</v>
      </c>
      <c r="N4326" s="475">
        <f t="shared" si="185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83"/>
        <v>-10732131872077.461</v>
      </c>
      <c r="J4327" s="455">
        <f t="array" ref="J4327">IFERROR(INDEX('Retirement Calculator'!J:J,MATCH('Isaac 401k'!N4327,'Retirement Calculator'!A:A,0),0),0)</f>
        <v>0</v>
      </c>
      <c r="K4327" s="455">
        <f t="shared" ca="1" si="181"/>
        <v>-44717216133.65609</v>
      </c>
      <c r="L4327" s="455">
        <f t="shared" ca="1" si="182"/>
        <v>-10776849088211.117</v>
      </c>
      <c r="M4327" s="471">
        <f t="shared" si="184"/>
        <v>0.05</v>
      </c>
      <c r="N4327" s="475">
        <f t="shared" si="185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83"/>
        <v>-10776849088211.117</v>
      </c>
      <c r="J4328" s="455">
        <f t="array" ref="J4328">IFERROR(INDEX('Retirement Calculator'!J:J,MATCH('Isaac 401k'!N4328,'Retirement Calculator'!A:A,0),0),0)</f>
        <v>0</v>
      </c>
      <c r="K4328" s="455">
        <f t="shared" ca="1" si="181"/>
        <v>-44903537867.546318</v>
      </c>
      <c r="L4328" s="455">
        <f t="shared" ca="1" si="182"/>
        <v>-10821752626078.664</v>
      </c>
      <c r="M4328" s="471">
        <f t="shared" si="184"/>
        <v>0.05</v>
      </c>
      <c r="N4328" s="475">
        <f t="shared" si="185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83"/>
        <v>-10821752626078.664</v>
      </c>
      <c r="J4329" s="455">
        <f t="array" ref="J4329">IFERROR(INDEX('Retirement Calculator'!J:J,MATCH('Isaac 401k'!N4329,'Retirement Calculator'!A:A,0),0),0)</f>
        <v>0</v>
      </c>
      <c r="K4329" s="455">
        <f t="shared" ca="1" si="181"/>
        <v>-45090635941.994431</v>
      </c>
      <c r="L4329" s="455">
        <f t="shared" ca="1" si="182"/>
        <v>-10866843262020.658</v>
      </c>
      <c r="M4329" s="471">
        <f t="shared" si="184"/>
        <v>0.05</v>
      </c>
      <c r="N4329" s="475">
        <f t="shared" si="185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83"/>
        <v>-10866843262020.658</v>
      </c>
      <c r="J4330" s="455">
        <f t="array" ref="J4330">IFERROR(INDEX('Retirement Calculator'!J:J,MATCH('Isaac 401k'!N4330,'Retirement Calculator'!A:A,0),0),0)</f>
        <v>0</v>
      </c>
      <c r="K4330" s="455">
        <f t="shared" ca="1" si="181"/>
        <v>-45278513591.752739</v>
      </c>
      <c r="L4330" s="455">
        <f t="shared" ca="1" si="182"/>
        <v>-10912121775612.41</v>
      </c>
      <c r="M4330" s="471">
        <f t="shared" si="184"/>
        <v>0.05</v>
      </c>
      <c r="N4330" s="475">
        <f t="shared" si="185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83"/>
        <v>-10912121775612.41</v>
      </c>
      <c r="J4331" s="455">
        <f t="array" ref="J4331">IFERROR(INDEX('Retirement Calculator'!J:J,MATCH('Isaac 401k'!N4331,'Retirement Calculator'!A:A,0),0),0)</f>
        <v>0</v>
      </c>
      <c r="K4331" s="455">
        <f t="shared" ca="1" si="181"/>
        <v>-45467174065.051712</v>
      </c>
      <c r="L4331" s="455">
        <f t="shared" ca="1" si="182"/>
        <v>-10957588949677.461</v>
      </c>
      <c r="M4331" s="471">
        <f t="shared" si="184"/>
        <v>0.05</v>
      </c>
      <c r="N4331" s="475">
        <f t="shared" si="185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83"/>
        <v>-10957588949677.461</v>
      </c>
      <c r="J4332" s="455">
        <f t="array" ref="J4332">IFERROR(INDEX('Retirement Calculator'!J:J,MATCH('Isaac 401k'!N4332,'Retirement Calculator'!A:A,0),0),0)</f>
        <v>0</v>
      </c>
      <c r="K4332" s="455">
        <f t="shared" ca="1" si="181"/>
        <v>-45656620623.65609</v>
      </c>
      <c r="L4332" s="455">
        <f t="shared" ca="1" si="182"/>
        <v>-11003245570301.117</v>
      </c>
      <c r="M4332" s="471">
        <f t="shared" si="184"/>
        <v>0.05</v>
      </c>
      <c r="N4332" s="475">
        <f t="shared" si="185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83"/>
        <v>-11003245570301.117</v>
      </c>
      <c r="J4333" s="455">
        <f t="array" ref="J4333">IFERROR(INDEX('Retirement Calculator'!J:J,MATCH('Isaac 401k'!N4333,'Retirement Calculator'!A:A,0),0),0)</f>
        <v>0</v>
      </c>
      <c r="K4333" s="455">
        <f t="shared" ca="1" si="181"/>
        <v>-45846856542.921318</v>
      </c>
      <c r="L4333" s="455">
        <f t="shared" ca="1" si="182"/>
        <v>-11049092426844.039</v>
      </c>
      <c r="M4333" s="471">
        <f t="shared" si="184"/>
        <v>0.05</v>
      </c>
      <c r="N4333" s="475">
        <f t="shared" si="185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83"/>
        <v>-11049092426844.039</v>
      </c>
      <c r="J4334" s="455">
        <f t="array" ref="J4334">IFERROR(INDEX('Retirement Calculator'!J:J,MATCH('Isaac 401k'!N4334,'Retirement Calculator'!A:A,0),0),0)</f>
        <v>0</v>
      </c>
      <c r="K4334" s="455">
        <f t="shared" ca="1" si="181"/>
        <v>-46037885111.850159</v>
      </c>
      <c r="L4334" s="455">
        <f t="shared" ca="1" si="182"/>
        <v>-11095130311955.889</v>
      </c>
      <c r="M4334" s="471">
        <f t="shared" si="184"/>
        <v>0.05</v>
      </c>
      <c r="N4334" s="475">
        <f t="shared" si="185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83"/>
        <v>-11095130311955.889</v>
      </c>
      <c r="J4335" s="455">
        <f t="array" ref="J4335">IFERROR(INDEX('Retirement Calculator'!J:J,MATCH('Isaac 401k'!N4335,'Retirement Calculator'!A:A,0),0),0)</f>
        <v>0</v>
      </c>
      <c r="K4335" s="455">
        <f t="shared" ca="1" si="181"/>
        <v>-46229709633.149536</v>
      </c>
      <c r="L4335" s="455">
        <f t="shared" ca="1" si="182"/>
        <v>-11141360021589.039</v>
      </c>
      <c r="M4335" s="471">
        <f t="shared" si="184"/>
        <v>0.05</v>
      </c>
      <c r="N4335" s="475">
        <f t="shared" si="185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83"/>
        <v>-11141360021589.039</v>
      </c>
      <c r="J4336" s="455">
        <f t="array" ref="J4336">IFERROR(INDEX('Retirement Calculator'!J:J,MATCH('Isaac 401k'!N4336,'Retirement Calculator'!A:A,0),0),0)</f>
        <v>0</v>
      </c>
      <c r="K4336" s="455">
        <f t="shared" ca="1" si="181"/>
        <v>-46422333423.287659</v>
      </c>
      <c r="L4336" s="455">
        <f t="shared" ca="1" si="182"/>
        <v>-11187782355012.326</v>
      </c>
      <c r="M4336" s="471">
        <f t="shared" si="184"/>
        <v>0.05</v>
      </c>
      <c r="N4336" s="475">
        <f t="shared" si="185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83"/>
        <v>-11187782355012.326</v>
      </c>
      <c r="J4337" s="455">
        <f t="array" ref="J4337">IFERROR(INDEX('Retirement Calculator'!J:J,MATCH('Isaac 401k'!N4337,'Retirement Calculator'!A:A,0),0),0)</f>
        <v>0</v>
      </c>
      <c r="K4337" s="455">
        <f t="shared" ca="1" si="181"/>
        <v>-46615759812.551361</v>
      </c>
      <c r="L4337" s="455">
        <f t="shared" ca="1" si="182"/>
        <v>-11234398114824.877</v>
      </c>
      <c r="M4337" s="471">
        <f t="shared" si="184"/>
        <v>0.05</v>
      </c>
      <c r="N4337" s="475">
        <f t="shared" si="185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83"/>
        <v>-11234398114824.877</v>
      </c>
      <c r="J4338" s="455">
        <f t="array" ref="J4338">IFERROR(INDEX('Retirement Calculator'!J:J,MATCH('Isaac 401k'!N4338,'Retirement Calculator'!A:A,0),0),0)</f>
        <v>0</v>
      </c>
      <c r="K4338" s="455">
        <f t="shared" ca="1" si="181"/>
        <v>-46809992145.103653</v>
      </c>
      <c r="L4338" s="455">
        <f t="shared" ca="1" si="182"/>
        <v>-11281208106969.98</v>
      </c>
      <c r="M4338" s="471">
        <f t="shared" si="184"/>
        <v>0.05</v>
      </c>
      <c r="N4338" s="475">
        <f t="shared" si="185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83"/>
        <v>-11281208106969.98</v>
      </c>
      <c r="J4339" s="455">
        <f t="array" ref="J4339">IFERROR(INDEX('Retirement Calculator'!J:J,MATCH('Isaac 401k'!N4339,'Retirement Calculator'!A:A,0),0),0)</f>
        <v>0</v>
      </c>
      <c r="K4339" s="455">
        <f t="shared" ca="1" si="181"/>
        <v>-47005033779.041588</v>
      </c>
      <c r="L4339" s="455">
        <f t="shared" ca="1" si="182"/>
        <v>-11328213140749.021</v>
      </c>
      <c r="M4339" s="471">
        <f t="shared" si="184"/>
        <v>0.05</v>
      </c>
      <c r="N4339" s="475">
        <f t="shared" si="185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83"/>
        <v>-11328213140749.021</v>
      </c>
      <c r="J4340" s="455">
        <f t="array" ref="J4340">IFERROR(INDEX('Retirement Calculator'!J:J,MATCH('Isaac 401k'!N4340,'Retirement Calculator'!A:A,0),0),0)</f>
        <v>0</v>
      </c>
      <c r="K4340" s="455">
        <f t="shared" ca="1" si="181"/>
        <v>-47200888086.454254</v>
      </c>
      <c r="L4340" s="455">
        <f t="shared" ca="1" si="182"/>
        <v>-11375414028835.477</v>
      </c>
      <c r="M4340" s="471">
        <f t="shared" si="184"/>
        <v>0.05</v>
      </c>
      <c r="N4340" s="475">
        <f t="shared" si="185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83"/>
        <v>-11375414028835.477</v>
      </c>
      <c r="J4341" s="455">
        <f t="array" ref="J4341">IFERROR(INDEX('Retirement Calculator'!J:J,MATCH('Isaac 401k'!N4341,'Retirement Calculator'!A:A,0),0),0)</f>
        <v>0</v>
      </c>
      <c r="K4341" s="455">
        <f t="shared" ca="1" si="181"/>
        <v>-47397558453.481155</v>
      </c>
      <c r="L4341" s="455">
        <f t="shared" ca="1" si="182"/>
        <v>-11422811587288.957</v>
      </c>
      <c r="M4341" s="471">
        <f t="shared" si="184"/>
        <v>0.05</v>
      </c>
      <c r="N4341" s="475">
        <f t="shared" si="185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83"/>
        <v>-11422811587288.957</v>
      </c>
      <c r="J4342" s="455">
        <f t="array" ref="J4342">IFERROR(INDEX('Retirement Calculator'!J:J,MATCH('Isaac 401k'!N4342,'Retirement Calculator'!A:A,0),0),0)</f>
        <v>0</v>
      </c>
      <c r="K4342" s="455">
        <f t="shared" ca="1" si="181"/>
        <v>-47595048280.370651</v>
      </c>
      <c r="L4342" s="455">
        <f t="shared" ca="1" si="182"/>
        <v>-11470406635569.328</v>
      </c>
      <c r="M4342" s="471">
        <f t="shared" si="184"/>
        <v>0.05</v>
      </c>
      <c r="N4342" s="475">
        <f t="shared" si="185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83"/>
        <v>-11470406635569.328</v>
      </c>
      <c r="J4343" s="455">
        <f t="array" ref="J4343">IFERROR(INDEX('Retirement Calculator'!J:J,MATCH('Isaac 401k'!N4343,'Retirement Calculator'!A:A,0),0),0)</f>
        <v>0</v>
      </c>
      <c r="K4343" s="455">
        <f t="shared" ref="K4343:K4597" ca="1" si="186">IPMT(M4343/12,1,12,-I4343+J4343,,0)</f>
        <v>-47793360981.538864</v>
      </c>
      <c r="L4343" s="455">
        <f t="shared" ref="L4343:L4597" ca="1" si="187">I4343-J4343+K4343</f>
        <v>-11518199996550.867</v>
      </c>
      <c r="M4343" s="471">
        <f t="shared" si="184"/>
        <v>0.05</v>
      </c>
      <c r="N4343" s="475">
        <f t="shared" si="185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88">L4343</f>
        <v>-11518199996550.867</v>
      </c>
      <c r="J4344" s="455">
        <f t="array" ref="J4344">IFERROR(INDEX('Retirement Calculator'!J:J,MATCH('Isaac 401k'!N4344,'Retirement Calculator'!A:A,0),0),0)</f>
        <v>0</v>
      </c>
      <c r="K4344" s="455">
        <f t="shared" ca="1" si="186"/>
        <v>-47992499985.628616</v>
      </c>
      <c r="L4344" s="455">
        <f t="shared" ca="1" si="187"/>
        <v>-11566192496536.496</v>
      </c>
      <c r="M4344" s="471">
        <f t="shared" ref="M4344:M4598" si="189">M4343</f>
        <v>0.05</v>
      </c>
      <c r="N4344" s="475">
        <f t="shared" ref="N4344:N4598" si="190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88"/>
        <v>-11566192496536.496</v>
      </c>
      <c r="J4345" s="455">
        <f t="array" ref="J4345">IFERROR(INDEX('Retirement Calculator'!J:J,MATCH('Isaac 401k'!N4345,'Retirement Calculator'!A:A,0),0),0)</f>
        <v>0</v>
      </c>
      <c r="K4345" s="455">
        <f t="shared" ca="1" si="186"/>
        <v>-48192468735.568733</v>
      </c>
      <c r="L4345" s="455">
        <f t="shared" ca="1" si="187"/>
        <v>-11614384965272.064</v>
      </c>
      <c r="M4345" s="471">
        <f t="shared" si="189"/>
        <v>0.05</v>
      </c>
      <c r="N4345" s="475">
        <f t="shared" si="190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88"/>
        <v>-11614384965272.064</v>
      </c>
      <c r="J4346" s="455">
        <f t="array" ref="J4346">IFERROR(INDEX('Retirement Calculator'!J:J,MATCH('Isaac 401k'!N4346,'Retirement Calculator'!A:A,0),0),0)</f>
        <v>0</v>
      </c>
      <c r="K4346" s="455">
        <f t="shared" ca="1" si="186"/>
        <v>-48393270688.633598</v>
      </c>
      <c r="L4346" s="455">
        <f t="shared" ca="1" si="187"/>
        <v>-11662778235960.697</v>
      </c>
      <c r="M4346" s="471">
        <f t="shared" si="189"/>
        <v>0.05</v>
      </c>
      <c r="N4346" s="475">
        <f t="shared" si="190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88"/>
        <v>-11662778235960.697</v>
      </c>
      <c r="J4347" s="455">
        <f t="array" ref="J4347">IFERROR(INDEX('Retirement Calculator'!J:J,MATCH('Isaac 401k'!N4347,'Retirement Calculator'!A:A,0),0),0)</f>
        <v>0</v>
      </c>
      <c r="K4347" s="455">
        <f t="shared" ca="1" si="186"/>
        <v>-48594909316.502907</v>
      </c>
      <c r="L4347" s="455">
        <f t="shared" ca="1" si="187"/>
        <v>-11711373145277.199</v>
      </c>
      <c r="M4347" s="471">
        <f t="shared" si="189"/>
        <v>0.05</v>
      </c>
      <c r="N4347" s="475">
        <f t="shared" si="190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88"/>
        <v>-11711373145277.199</v>
      </c>
      <c r="J4348" s="455">
        <f t="array" ref="J4348">IFERROR(INDEX('Retirement Calculator'!J:J,MATCH('Isaac 401k'!N4348,'Retirement Calculator'!A:A,0),0),0)</f>
        <v>0</v>
      </c>
      <c r="K4348" s="455">
        <f t="shared" ca="1" si="186"/>
        <v>-48797388105.321663</v>
      </c>
      <c r="L4348" s="455">
        <f t="shared" ca="1" si="187"/>
        <v>-11760170533382.521</v>
      </c>
      <c r="M4348" s="471">
        <f t="shared" si="189"/>
        <v>0.05</v>
      </c>
      <c r="N4348" s="475">
        <f t="shared" si="190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88"/>
        <v>-11760170533382.521</v>
      </c>
      <c r="J4349" s="455">
        <f t="array" ref="J4349">IFERROR(INDEX('Retirement Calculator'!J:J,MATCH('Isaac 401k'!N4349,'Retirement Calculator'!A:A,0),0),0)</f>
        <v>0</v>
      </c>
      <c r="K4349" s="455">
        <f t="shared" ca="1" si="186"/>
        <v>-49000710555.760506</v>
      </c>
      <c r="L4349" s="455">
        <f t="shared" ca="1" si="187"/>
        <v>-11809171243938.281</v>
      </c>
      <c r="M4349" s="471">
        <f t="shared" si="189"/>
        <v>0.05</v>
      </c>
      <c r="N4349" s="475">
        <f t="shared" si="190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88"/>
        <v>-11809171243938.281</v>
      </c>
      <c r="J4350" s="455">
        <f t="array" ref="J4350">IFERROR(INDEX('Retirement Calculator'!J:J,MATCH('Isaac 401k'!N4350,'Retirement Calculator'!A:A,0),0),0)</f>
        <v>0</v>
      </c>
      <c r="K4350" s="455">
        <f t="shared" ca="1" si="186"/>
        <v>-49204880183.076172</v>
      </c>
      <c r="L4350" s="455">
        <f t="shared" ca="1" si="187"/>
        <v>-11858376124121.357</v>
      </c>
      <c r="M4350" s="471">
        <f t="shared" si="189"/>
        <v>0.05</v>
      </c>
      <c r="N4350" s="475">
        <f t="shared" si="190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88"/>
        <v>-11858376124121.357</v>
      </c>
      <c r="J4351" s="455">
        <f t="array" ref="J4351">IFERROR(INDEX('Retirement Calculator'!J:J,MATCH('Isaac 401k'!N4351,'Retirement Calculator'!A:A,0),0),0)</f>
        <v>0</v>
      </c>
      <c r="K4351" s="455">
        <f t="shared" ca="1" si="186"/>
        <v>-49409900517.172325</v>
      </c>
      <c r="L4351" s="455">
        <f t="shared" ca="1" si="187"/>
        <v>-11907786024638.529</v>
      </c>
      <c r="M4351" s="471">
        <f t="shared" si="189"/>
        <v>0.05</v>
      </c>
      <c r="N4351" s="475">
        <f t="shared" si="190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88"/>
        <v>-11907786024638.529</v>
      </c>
      <c r="J4352" s="455">
        <f t="array" ref="J4352">IFERROR(INDEX('Retirement Calculator'!J:J,MATCH('Isaac 401k'!N4352,'Retirement Calculator'!A:A,0),0),0)</f>
        <v>0</v>
      </c>
      <c r="K4352" s="455">
        <f t="shared" ca="1" si="186"/>
        <v>-49615775102.660538</v>
      </c>
      <c r="L4352" s="455">
        <f t="shared" ca="1" si="187"/>
        <v>-11957401799741.189</v>
      </c>
      <c r="M4352" s="471">
        <f t="shared" si="189"/>
        <v>0.05</v>
      </c>
      <c r="N4352" s="475">
        <f t="shared" si="190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88"/>
        <v>-11957401799741.189</v>
      </c>
      <c r="J4353" s="455">
        <f t="array" ref="J4353">IFERROR(INDEX('Retirement Calculator'!J:J,MATCH('Isaac 401k'!N4353,'Retirement Calculator'!A:A,0),0),0)</f>
        <v>0</v>
      </c>
      <c r="K4353" s="455">
        <f t="shared" ca="1" si="186"/>
        <v>-49822507498.921623</v>
      </c>
      <c r="L4353" s="455">
        <f t="shared" ca="1" si="187"/>
        <v>-12007224307240.111</v>
      </c>
      <c r="M4353" s="471">
        <f t="shared" si="189"/>
        <v>0.05</v>
      </c>
      <c r="N4353" s="475">
        <f t="shared" si="190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88"/>
        <v>-12007224307240.111</v>
      </c>
      <c r="J4354" s="455">
        <f t="array" ref="J4354">IFERROR(INDEX('Retirement Calculator'!J:J,MATCH('Isaac 401k'!N4354,'Retirement Calculator'!A:A,0),0),0)</f>
        <v>0</v>
      </c>
      <c r="K4354" s="455">
        <f t="shared" ca="1" si="186"/>
        <v>-50030101280.16713</v>
      </c>
      <c r="L4354" s="455">
        <f t="shared" ca="1" si="187"/>
        <v>-12057254408520.279</v>
      </c>
      <c r="M4354" s="471">
        <f t="shared" si="189"/>
        <v>0.05</v>
      </c>
      <c r="N4354" s="475">
        <f t="shared" si="190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88"/>
        <v>-12057254408520.279</v>
      </c>
      <c r="J4355" s="455">
        <f t="array" ref="J4355">IFERROR(INDEX('Retirement Calculator'!J:J,MATCH('Isaac 401k'!N4355,'Retirement Calculator'!A:A,0),0),0)</f>
        <v>0</v>
      </c>
      <c r="K4355" s="455">
        <f t="shared" ca="1" si="186"/>
        <v>-50238560035.50116</v>
      </c>
      <c r="L4355" s="455">
        <f t="shared" ca="1" si="187"/>
        <v>-12107492968555.781</v>
      </c>
      <c r="M4355" s="471">
        <f t="shared" si="189"/>
        <v>0.05</v>
      </c>
      <c r="N4355" s="475">
        <f t="shared" si="190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88"/>
        <v>-12107492968555.781</v>
      </c>
      <c r="J4356" s="455">
        <f t="array" ref="J4356">IFERROR(INDEX('Retirement Calculator'!J:J,MATCH('Isaac 401k'!N4356,'Retirement Calculator'!A:A,0),0),0)</f>
        <v>0</v>
      </c>
      <c r="K4356" s="455">
        <f t="shared" ca="1" si="186"/>
        <v>-50447887368.982422</v>
      </c>
      <c r="L4356" s="455">
        <f t="shared" ca="1" si="187"/>
        <v>-12157940855924.764</v>
      </c>
      <c r="M4356" s="471">
        <f t="shared" si="189"/>
        <v>0.05</v>
      </c>
      <c r="N4356" s="475">
        <f t="shared" si="190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88"/>
        <v>-12157940855924.764</v>
      </c>
      <c r="J4357" s="455">
        <f t="array" ref="J4357">IFERROR(INDEX('Retirement Calculator'!J:J,MATCH('Isaac 401k'!N4357,'Retirement Calculator'!A:A,0),0),0)</f>
        <v>0</v>
      </c>
      <c r="K4357" s="455">
        <f t="shared" ca="1" si="186"/>
        <v>-50658086899.686516</v>
      </c>
      <c r="L4357" s="455">
        <f t="shared" ca="1" si="187"/>
        <v>-12208598942824.449</v>
      </c>
      <c r="M4357" s="471">
        <f t="shared" si="189"/>
        <v>0.05</v>
      </c>
      <c r="N4357" s="475">
        <f t="shared" si="190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88"/>
        <v>-12208598942824.449</v>
      </c>
      <c r="J4358" s="455">
        <f t="array" ref="J4358">IFERROR(INDEX('Retirement Calculator'!J:J,MATCH('Isaac 401k'!N4358,'Retirement Calculator'!A:A,0),0),0)</f>
        <v>0</v>
      </c>
      <c r="K4358" s="455">
        <f t="shared" ca="1" si="186"/>
        <v>-50869162261.768539</v>
      </c>
      <c r="L4358" s="455">
        <f t="shared" ca="1" si="187"/>
        <v>-12259468105086.217</v>
      </c>
      <c r="M4358" s="471">
        <f t="shared" si="189"/>
        <v>0.05</v>
      </c>
      <c r="N4358" s="475">
        <f t="shared" si="190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88"/>
        <v>-12259468105086.217</v>
      </c>
      <c r="J4359" s="455">
        <f t="array" ref="J4359">IFERROR(INDEX('Retirement Calculator'!J:J,MATCH('Isaac 401k'!N4359,'Retirement Calculator'!A:A,0),0),0)</f>
        <v>0</v>
      </c>
      <c r="K4359" s="455">
        <f t="shared" ca="1" si="186"/>
        <v>-51081117104.525902</v>
      </c>
      <c r="L4359" s="455">
        <f t="shared" ca="1" si="187"/>
        <v>-12310549222190.742</v>
      </c>
      <c r="M4359" s="471">
        <f t="shared" si="189"/>
        <v>0.05</v>
      </c>
      <c r="N4359" s="475">
        <f t="shared" si="190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88"/>
        <v>-12310549222190.742</v>
      </c>
      <c r="J4360" s="455">
        <f t="array" ref="J4360">IFERROR(INDEX('Retirement Calculator'!J:J,MATCH('Isaac 401k'!N4360,'Retirement Calculator'!A:A,0),0),0)</f>
        <v>0</v>
      </c>
      <c r="K4360" s="455">
        <f t="shared" ca="1" si="186"/>
        <v>-51293955092.461426</v>
      </c>
      <c r="L4360" s="455">
        <f t="shared" ca="1" si="187"/>
        <v>-12361843177283.203</v>
      </c>
      <c r="M4360" s="471">
        <f t="shared" si="189"/>
        <v>0.05</v>
      </c>
      <c r="N4360" s="475">
        <f t="shared" si="190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88"/>
        <v>-12361843177283.203</v>
      </c>
      <c r="J4361" s="455">
        <f t="array" ref="J4361">IFERROR(INDEX('Retirement Calculator'!J:J,MATCH('Isaac 401k'!N4361,'Retirement Calculator'!A:A,0),0),0)</f>
        <v>0</v>
      </c>
      <c r="K4361" s="455">
        <f t="shared" ca="1" si="186"/>
        <v>-51507679905.34668</v>
      </c>
      <c r="L4361" s="455">
        <f t="shared" ca="1" si="187"/>
        <v>-12413350857188.551</v>
      </c>
      <c r="M4361" s="471">
        <f t="shared" si="189"/>
        <v>0.05</v>
      </c>
      <c r="N4361" s="475">
        <f t="shared" si="190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88"/>
        <v>-12413350857188.551</v>
      </c>
      <c r="J4362" s="455">
        <f t="array" ref="J4362">IFERROR(INDEX('Retirement Calculator'!J:J,MATCH('Isaac 401k'!N4362,'Retirement Calculator'!A:A,0),0),0)</f>
        <v>0</v>
      </c>
      <c r="K4362" s="455">
        <f t="shared" ca="1" si="186"/>
        <v>-51722295238.285629</v>
      </c>
      <c r="L4362" s="455">
        <f t="shared" ca="1" si="187"/>
        <v>-12465073152426.836</v>
      </c>
      <c r="M4362" s="471">
        <f t="shared" si="189"/>
        <v>0.05</v>
      </c>
      <c r="N4362" s="475">
        <f t="shared" si="190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88"/>
        <v>-12465073152426.836</v>
      </c>
      <c r="J4363" s="455">
        <f t="array" ref="J4363">IFERROR(INDEX('Retirement Calculator'!J:J,MATCH('Isaac 401k'!N4363,'Retirement Calculator'!A:A,0),0),0)</f>
        <v>0</v>
      </c>
      <c r="K4363" s="455">
        <f t="shared" ca="1" si="186"/>
        <v>-51937804801.778481</v>
      </c>
      <c r="L4363" s="455">
        <f t="shared" ca="1" si="187"/>
        <v>-12517010957228.615</v>
      </c>
      <c r="M4363" s="471">
        <f t="shared" si="189"/>
        <v>0.05</v>
      </c>
      <c r="N4363" s="475">
        <f t="shared" si="190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88"/>
        <v>-12517010957228.615</v>
      </c>
      <c r="J4364" s="455">
        <f t="array" ref="J4364">IFERROR(INDEX('Retirement Calculator'!J:J,MATCH('Isaac 401k'!N4364,'Retirement Calculator'!A:A,0),0),0)</f>
        <v>0</v>
      </c>
      <c r="K4364" s="455">
        <f t="shared" ca="1" si="186"/>
        <v>-52154212321.785896</v>
      </c>
      <c r="L4364" s="455">
        <f t="shared" ca="1" si="187"/>
        <v>-12569165169550.4</v>
      </c>
      <c r="M4364" s="471">
        <f t="shared" si="189"/>
        <v>0.05</v>
      </c>
      <c r="N4364" s="475">
        <f t="shared" si="190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88"/>
        <v>-12569165169550.4</v>
      </c>
      <c r="J4365" s="455">
        <f t="array" ref="J4365">IFERROR(INDEX('Retirement Calculator'!J:J,MATCH('Isaac 401k'!N4365,'Retirement Calculator'!A:A,0),0),0)</f>
        <v>0</v>
      </c>
      <c r="K4365" s="455">
        <f t="shared" ca="1" si="186"/>
        <v>-52371521539.793335</v>
      </c>
      <c r="L4365" s="455">
        <f t="shared" ca="1" si="187"/>
        <v>-12621536691090.193</v>
      </c>
      <c r="M4365" s="471">
        <f t="shared" si="189"/>
        <v>0.05</v>
      </c>
      <c r="N4365" s="475">
        <f t="shared" si="190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88"/>
        <v>-12621536691090.193</v>
      </c>
      <c r="J4366" s="455">
        <f t="array" ref="J4366">IFERROR(INDEX('Retirement Calculator'!J:J,MATCH('Isaac 401k'!N4366,'Retirement Calculator'!A:A,0),0),0)</f>
        <v>0</v>
      </c>
      <c r="K4366" s="455">
        <f t="shared" ca="1" si="186"/>
        <v>-52589736212.875809</v>
      </c>
      <c r="L4366" s="455">
        <f t="shared" ca="1" si="187"/>
        <v>-12674126427303.068</v>
      </c>
      <c r="M4366" s="471">
        <f t="shared" si="189"/>
        <v>0.05</v>
      </c>
      <c r="N4366" s="475">
        <f t="shared" si="190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88"/>
        <v>-12674126427303.068</v>
      </c>
      <c r="J4367" s="455">
        <f t="array" ref="J4367">IFERROR(INDEX('Retirement Calculator'!J:J,MATCH('Isaac 401k'!N4367,'Retirement Calculator'!A:A,0),0),0)</f>
        <v>0</v>
      </c>
      <c r="K4367" s="455">
        <f t="shared" ca="1" si="186"/>
        <v>-52808860113.762787</v>
      </c>
      <c r="L4367" s="455">
        <f t="shared" ca="1" si="187"/>
        <v>-12726935287416.832</v>
      </c>
      <c r="M4367" s="471">
        <f t="shared" si="189"/>
        <v>0.05</v>
      </c>
      <c r="N4367" s="475">
        <f t="shared" si="190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88"/>
        <v>-12726935287416.832</v>
      </c>
      <c r="J4368" s="455">
        <f t="array" ref="J4368">IFERROR(INDEX('Retirement Calculator'!J:J,MATCH('Isaac 401k'!N4368,'Retirement Calculator'!A:A,0),0),0)</f>
        <v>0</v>
      </c>
      <c r="K4368" s="455">
        <f t="shared" ca="1" si="186"/>
        <v>-53028897030.903465</v>
      </c>
      <c r="L4368" s="455">
        <f t="shared" ca="1" si="187"/>
        <v>-12779964184447.736</v>
      </c>
      <c r="M4368" s="471">
        <f t="shared" si="189"/>
        <v>0.05</v>
      </c>
      <c r="N4368" s="475">
        <f t="shared" si="190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88"/>
        <v>-12779964184447.736</v>
      </c>
      <c r="J4369" s="455">
        <f t="array" ref="J4369">IFERROR(INDEX('Retirement Calculator'!J:J,MATCH('Isaac 401k'!N4369,'Retirement Calculator'!A:A,0),0),0)</f>
        <v>0</v>
      </c>
      <c r="K4369" s="455">
        <f t="shared" ca="1" si="186"/>
        <v>-53249850768.532234</v>
      </c>
      <c r="L4369" s="455">
        <f t="shared" ca="1" si="187"/>
        <v>-12833214035216.27</v>
      </c>
      <c r="M4369" s="471">
        <f t="shared" si="189"/>
        <v>0.05</v>
      </c>
      <c r="N4369" s="475">
        <f t="shared" si="190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88"/>
        <v>-12833214035216.27</v>
      </c>
      <c r="J4370" s="455">
        <f t="array" ref="J4370">IFERROR(INDEX('Retirement Calculator'!J:J,MATCH('Isaac 401k'!N4370,'Retirement Calculator'!A:A,0),0),0)</f>
        <v>0</v>
      </c>
      <c r="K4370" s="455">
        <f t="shared" ca="1" si="186"/>
        <v>-53471725146.734459</v>
      </c>
      <c r="L4370" s="455">
        <f t="shared" ca="1" si="187"/>
        <v>-12886685760363.004</v>
      </c>
      <c r="M4370" s="471">
        <f t="shared" si="189"/>
        <v>0.05</v>
      </c>
      <c r="N4370" s="475">
        <f t="shared" si="190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88"/>
        <v>-12886685760363.004</v>
      </c>
      <c r="J4371" s="455">
        <f t="array" ref="J4371">IFERROR(INDEX('Retirement Calculator'!J:J,MATCH('Isaac 401k'!N4371,'Retirement Calculator'!A:A,0),0),0)</f>
        <v>0</v>
      </c>
      <c r="K4371" s="455">
        <f t="shared" ca="1" si="186"/>
        <v>-53694524001.512512</v>
      </c>
      <c r="L4371" s="455">
        <f t="shared" ca="1" si="187"/>
        <v>-12940380284364.516</v>
      </c>
      <c r="M4371" s="471">
        <f t="shared" si="189"/>
        <v>0.05</v>
      </c>
      <c r="N4371" s="475">
        <f t="shared" si="190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88"/>
        <v>-12940380284364.516</v>
      </c>
      <c r="J4372" s="455">
        <f t="array" ref="J4372">IFERROR(INDEX('Retirement Calculator'!J:J,MATCH('Isaac 401k'!N4372,'Retirement Calculator'!A:A,0),0),0)</f>
        <v>0</v>
      </c>
      <c r="K4372" s="455">
        <f t="shared" ca="1" si="186"/>
        <v>-53918251184.85215</v>
      </c>
      <c r="L4372" s="455">
        <f t="shared" ca="1" si="187"/>
        <v>-12994298535549.367</v>
      </c>
      <c r="M4372" s="471">
        <f t="shared" si="189"/>
        <v>0.05</v>
      </c>
      <c r="N4372" s="475">
        <f t="shared" si="190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88"/>
        <v>-12994298535549.367</v>
      </c>
      <c r="J4373" s="455">
        <f t="array" ref="J4373">IFERROR(INDEX('Retirement Calculator'!J:J,MATCH('Isaac 401k'!N4373,'Retirement Calculator'!A:A,0),0),0)</f>
        <v>0</v>
      </c>
      <c r="K4373" s="455">
        <f t="shared" ca="1" si="186"/>
        <v>-54142910564.789032</v>
      </c>
      <c r="L4373" s="455">
        <f t="shared" ca="1" si="187"/>
        <v>-13048441446114.156</v>
      </c>
      <c r="M4373" s="471">
        <f t="shared" si="189"/>
        <v>0.05</v>
      </c>
      <c r="N4373" s="475">
        <f t="shared" si="190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88"/>
        <v>-13048441446114.156</v>
      </c>
      <c r="J4374" s="455">
        <f t="array" ref="J4374">IFERROR(INDEX('Retirement Calculator'!J:J,MATCH('Isaac 401k'!N4374,'Retirement Calculator'!A:A,0),0),0)</f>
        <v>0</v>
      </c>
      <c r="K4374" s="455">
        <f t="shared" ca="1" si="186"/>
        <v>-54368506025.475647</v>
      </c>
      <c r="L4374" s="455">
        <f t="shared" ca="1" si="187"/>
        <v>-13102809952139.633</v>
      </c>
      <c r="M4374" s="471">
        <f t="shared" si="189"/>
        <v>0.05</v>
      </c>
      <c r="N4374" s="475">
        <f t="shared" si="190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88"/>
        <v>-13102809952139.633</v>
      </c>
      <c r="J4375" s="455">
        <f t="array" ref="J4375">IFERROR(INDEX('Retirement Calculator'!J:J,MATCH('Isaac 401k'!N4375,'Retirement Calculator'!A:A,0),0),0)</f>
        <v>0</v>
      </c>
      <c r="K4375" s="455">
        <f t="shared" ca="1" si="186"/>
        <v>-54595041467.248466</v>
      </c>
      <c r="L4375" s="455">
        <f t="shared" ca="1" si="187"/>
        <v>-13157404993606.881</v>
      </c>
      <c r="M4375" s="471">
        <f t="shared" si="189"/>
        <v>0.05</v>
      </c>
      <c r="N4375" s="475">
        <f t="shared" si="190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88"/>
        <v>-13157404993606.881</v>
      </c>
      <c r="J4376" s="455">
        <f t="array" ref="J4376">IFERROR(INDEX('Retirement Calculator'!J:J,MATCH('Isaac 401k'!N4376,'Retirement Calculator'!A:A,0),0),0)</f>
        <v>0</v>
      </c>
      <c r="K4376" s="455">
        <f t="shared" ca="1" si="186"/>
        <v>-54822520806.695335</v>
      </c>
      <c r="L4376" s="455">
        <f t="shared" ca="1" si="187"/>
        <v>-13212227514413.576</v>
      </c>
      <c r="M4376" s="471">
        <f t="shared" si="189"/>
        <v>0.05</v>
      </c>
      <c r="N4376" s="475">
        <f t="shared" si="190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88"/>
        <v>-13212227514413.576</v>
      </c>
      <c r="J4377" s="455">
        <f t="array" ref="J4377">IFERROR(INDEX('Retirement Calculator'!J:J,MATCH('Isaac 401k'!N4377,'Retirement Calculator'!A:A,0),0),0)</f>
        <v>0</v>
      </c>
      <c r="K4377" s="455">
        <f t="shared" ca="1" si="186"/>
        <v>-55050947976.723236</v>
      </c>
      <c r="L4377" s="455">
        <f t="shared" ca="1" si="187"/>
        <v>-13267278462390.299</v>
      </c>
      <c r="M4377" s="471">
        <f t="shared" si="189"/>
        <v>0.05</v>
      </c>
      <c r="N4377" s="475">
        <f t="shared" si="190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88"/>
        <v>-13267278462390.299</v>
      </c>
      <c r="J4378" s="455">
        <f t="array" ref="J4378">IFERROR(INDEX('Retirement Calculator'!J:J,MATCH('Isaac 401k'!N4378,'Retirement Calculator'!A:A,0),0),0)</f>
        <v>0</v>
      </c>
      <c r="K4378" s="455">
        <f t="shared" ca="1" si="186"/>
        <v>-55280326926.626244</v>
      </c>
      <c r="L4378" s="455">
        <f t="shared" ca="1" si="187"/>
        <v>-13322558789316.926</v>
      </c>
      <c r="M4378" s="471">
        <f t="shared" si="189"/>
        <v>0.05</v>
      </c>
      <c r="N4378" s="475">
        <f t="shared" si="190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88"/>
        <v>-13322558789316.926</v>
      </c>
      <c r="J4379" s="455">
        <f t="array" ref="J4379">IFERROR(INDEX('Retirement Calculator'!J:J,MATCH('Isaac 401k'!N4379,'Retirement Calculator'!A:A,0),0),0)</f>
        <v>0</v>
      </c>
      <c r="K4379" s="455">
        <f t="shared" ca="1" si="186"/>
        <v>-55510661622.153854</v>
      </c>
      <c r="L4379" s="455">
        <f t="shared" ca="1" si="187"/>
        <v>-13378069450939.08</v>
      </c>
      <c r="M4379" s="471">
        <f t="shared" si="189"/>
        <v>0.05</v>
      </c>
      <c r="N4379" s="475">
        <f t="shared" si="190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88"/>
        <v>-13378069450939.08</v>
      </c>
      <c r="J4380" s="455">
        <f t="array" ref="J4380">IFERROR(INDEX('Retirement Calculator'!J:J,MATCH('Isaac 401k'!N4380,'Retirement Calculator'!A:A,0),0),0)</f>
        <v>0</v>
      </c>
      <c r="K4380" s="455">
        <f t="shared" ca="1" si="186"/>
        <v>-55741956045.579498</v>
      </c>
      <c r="L4380" s="455">
        <f t="shared" ca="1" si="187"/>
        <v>-13433811406984.66</v>
      </c>
      <c r="M4380" s="471">
        <f t="shared" si="189"/>
        <v>0.05</v>
      </c>
      <c r="N4380" s="475">
        <f t="shared" si="190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88"/>
        <v>-13433811406984.66</v>
      </c>
      <c r="J4381" s="455">
        <f t="array" ref="J4381">IFERROR(INDEX('Retirement Calculator'!J:J,MATCH('Isaac 401k'!N4381,'Retirement Calculator'!A:A,0),0),0)</f>
        <v>0</v>
      </c>
      <c r="K4381" s="455">
        <f t="shared" ca="1" si="186"/>
        <v>-55974214195.769417</v>
      </c>
      <c r="L4381" s="455">
        <f t="shared" ca="1" si="187"/>
        <v>-13489785621180.43</v>
      </c>
      <c r="M4381" s="471">
        <f t="shared" si="189"/>
        <v>0.05</v>
      </c>
      <c r="N4381" s="475">
        <f t="shared" si="190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88"/>
        <v>-13489785621180.43</v>
      </c>
      <c r="J4382" s="455">
        <f t="array" ref="J4382">IFERROR(INDEX('Retirement Calculator'!J:J,MATCH('Isaac 401k'!N4382,'Retirement Calculator'!A:A,0),0),0)</f>
        <v>0</v>
      </c>
      <c r="K4382" s="455">
        <f t="shared" ca="1" si="186"/>
        <v>-56207440088.251793</v>
      </c>
      <c r="L4382" s="455">
        <f t="shared" ca="1" si="187"/>
        <v>-13545993061268.682</v>
      </c>
      <c r="M4382" s="471">
        <f t="shared" si="189"/>
        <v>0.05</v>
      </c>
      <c r="N4382" s="475">
        <f t="shared" si="190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88"/>
        <v>-13545993061268.682</v>
      </c>
      <c r="J4383" s="455">
        <f t="array" ref="J4383">IFERROR(INDEX('Retirement Calculator'!J:J,MATCH('Isaac 401k'!N4383,'Retirement Calculator'!A:A,0),0),0)</f>
        <v>0</v>
      </c>
      <c r="K4383" s="455">
        <f t="shared" ca="1" si="186"/>
        <v>-56441637755.286171</v>
      </c>
      <c r="L4383" s="455">
        <f t="shared" ca="1" si="187"/>
        <v>-13602434699023.969</v>
      </c>
      <c r="M4383" s="471">
        <f t="shared" si="189"/>
        <v>0.05</v>
      </c>
      <c r="N4383" s="475">
        <f t="shared" si="190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88"/>
        <v>-13602434699023.969</v>
      </c>
      <c r="J4384" s="455">
        <f t="array" ref="J4384">IFERROR(INDEX('Retirement Calculator'!J:J,MATCH('Isaac 401k'!N4384,'Retirement Calculator'!A:A,0),0),0)</f>
        <v>0</v>
      </c>
      <c r="K4384" s="455">
        <f t="shared" ca="1" si="186"/>
        <v>-56676811245.933205</v>
      </c>
      <c r="L4384" s="455">
        <f t="shared" ca="1" si="187"/>
        <v>-13659111510269.902</v>
      </c>
      <c r="M4384" s="471">
        <f t="shared" si="189"/>
        <v>0.05</v>
      </c>
      <c r="N4384" s="475">
        <f t="shared" si="190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88"/>
        <v>-13659111510269.902</v>
      </c>
      <c r="J4385" s="455">
        <f t="array" ref="J4385">IFERROR(INDEX('Retirement Calculator'!J:J,MATCH('Isaac 401k'!N4385,'Retirement Calculator'!A:A,0),0),0)</f>
        <v>0</v>
      </c>
      <c r="K4385" s="455">
        <f t="shared" ca="1" si="186"/>
        <v>-56912964626.124596</v>
      </c>
      <c r="L4385" s="455">
        <f t="shared" ca="1" si="187"/>
        <v>-13716024474896.027</v>
      </c>
      <c r="M4385" s="471">
        <f t="shared" si="189"/>
        <v>0.05</v>
      </c>
      <c r="N4385" s="475">
        <f t="shared" si="190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88"/>
        <v>-13716024474896.027</v>
      </c>
      <c r="J4386" s="455">
        <f t="array" ref="J4386">IFERROR(INDEX('Retirement Calculator'!J:J,MATCH('Isaac 401k'!N4386,'Retirement Calculator'!A:A,0),0),0)</f>
        <v>0</v>
      </c>
      <c r="K4386" s="455">
        <f t="shared" ca="1" si="186"/>
        <v>-57150101978.733437</v>
      </c>
      <c r="L4386" s="455">
        <f t="shared" ca="1" si="187"/>
        <v>-13773174576874.762</v>
      </c>
      <c r="M4386" s="471">
        <f t="shared" si="189"/>
        <v>0.05</v>
      </c>
      <c r="N4386" s="475">
        <f t="shared" si="190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88"/>
        <v>-13773174576874.762</v>
      </c>
      <c r="J4387" s="455">
        <f t="array" ref="J4387">IFERROR(INDEX('Retirement Calculator'!J:J,MATCH('Isaac 401k'!N4387,'Retirement Calculator'!A:A,0),0),0)</f>
        <v>0</v>
      </c>
      <c r="K4387" s="455">
        <f t="shared" ca="1" si="186"/>
        <v>-57388227403.644836</v>
      </c>
      <c r="L4387" s="455">
        <f t="shared" ca="1" si="187"/>
        <v>-13830562804278.406</v>
      </c>
      <c r="M4387" s="471">
        <f t="shared" si="189"/>
        <v>0.05</v>
      </c>
      <c r="N4387" s="475">
        <f t="shared" si="190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88"/>
        <v>-13830562804278.406</v>
      </c>
      <c r="J4388" s="455">
        <f t="array" ref="J4388">IFERROR(INDEX('Retirement Calculator'!J:J,MATCH('Isaac 401k'!N4388,'Retirement Calculator'!A:A,0),0),0)</f>
        <v>0</v>
      </c>
      <c r="K4388" s="455">
        <f t="shared" ca="1" si="186"/>
        <v>-57627345017.826691</v>
      </c>
      <c r="L4388" s="455">
        <f t="shared" ca="1" si="187"/>
        <v>-13888190149296.232</v>
      </c>
      <c r="M4388" s="471">
        <f t="shared" si="189"/>
        <v>0.05</v>
      </c>
      <c r="N4388" s="475">
        <f t="shared" si="190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88"/>
        <v>-13888190149296.232</v>
      </c>
      <c r="J4389" s="455">
        <f t="array" ref="J4389">IFERROR(INDEX('Retirement Calculator'!J:J,MATCH('Isaac 401k'!N4389,'Retirement Calculator'!A:A,0),0),0)</f>
        <v>0</v>
      </c>
      <c r="K4389" s="455">
        <f t="shared" ca="1" si="186"/>
        <v>-57867458955.40097</v>
      </c>
      <c r="L4389" s="455">
        <f t="shared" ca="1" si="187"/>
        <v>-13946057608251.633</v>
      </c>
      <c r="M4389" s="471">
        <f t="shared" si="189"/>
        <v>0.05</v>
      </c>
      <c r="N4389" s="475">
        <f t="shared" si="190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88"/>
        <v>-13946057608251.633</v>
      </c>
      <c r="J4390" s="455">
        <f t="array" ref="J4390">IFERROR(INDEX('Retirement Calculator'!J:J,MATCH('Isaac 401k'!N4390,'Retirement Calculator'!A:A,0),0),0)</f>
        <v>0</v>
      </c>
      <c r="K4390" s="455">
        <f t="shared" ca="1" si="186"/>
        <v>-58108573367.715134</v>
      </c>
      <c r="L4390" s="455">
        <f t="shared" ca="1" si="187"/>
        <v>-14004166181619.348</v>
      </c>
      <c r="M4390" s="471">
        <f t="shared" si="189"/>
        <v>0.05</v>
      </c>
      <c r="N4390" s="475">
        <f t="shared" si="190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88"/>
        <v>-14004166181619.348</v>
      </c>
      <c r="J4391" s="455">
        <f t="array" ref="J4391">IFERROR(INDEX('Retirement Calculator'!J:J,MATCH('Isaac 401k'!N4391,'Retirement Calculator'!A:A,0),0),0)</f>
        <v>0</v>
      </c>
      <c r="K4391" s="455">
        <f t="shared" ca="1" si="186"/>
        <v>-58350692423.413948</v>
      </c>
      <c r="L4391" s="455">
        <f t="shared" ca="1" si="187"/>
        <v>-14062516874042.762</v>
      </c>
      <c r="M4391" s="471">
        <f t="shared" si="189"/>
        <v>0.05</v>
      </c>
      <c r="N4391" s="475">
        <f t="shared" si="190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88"/>
        <v>-14062516874042.762</v>
      </c>
      <c r="J4392" s="455">
        <f t="array" ref="J4392">IFERROR(INDEX('Retirement Calculator'!J:J,MATCH('Isaac 401k'!N4392,'Retirement Calculator'!A:A,0),0),0)</f>
        <v>0</v>
      </c>
      <c r="K4392" s="455">
        <f t="shared" ca="1" si="186"/>
        <v>-58593820308.511497</v>
      </c>
      <c r="L4392" s="455">
        <f t="shared" ca="1" si="187"/>
        <v>-14121110694351.273</v>
      </c>
      <c r="M4392" s="471">
        <f t="shared" si="189"/>
        <v>0.05</v>
      </c>
      <c r="N4392" s="475">
        <f t="shared" si="190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88"/>
        <v>-14121110694351.273</v>
      </c>
      <c r="J4393" s="455">
        <f t="array" ref="J4393">IFERROR(INDEX('Retirement Calculator'!J:J,MATCH('Isaac 401k'!N4393,'Retirement Calculator'!A:A,0),0),0)</f>
        <v>0</v>
      </c>
      <c r="K4393" s="455">
        <f t="shared" ca="1" si="186"/>
        <v>-58837961226.463631</v>
      </c>
      <c r="L4393" s="455">
        <f t="shared" ca="1" si="187"/>
        <v>-14179948655577.736</v>
      </c>
      <c r="M4393" s="471">
        <f t="shared" si="189"/>
        <v>0.05</v>
      </c>
      <c r="N4393" s="475">
        <f t="shared" si="190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88"/>
        <v>-14179948655577.736</v>
      </c>
      <c r="J4394" s="455">
        <f t="array" ref="J4394">IFERROR(INDEX('Retirement Calculator'!J:J,MATCH('Isaac 401k'!N4394,'Retirement Calculator'!A:A,0),0),0)</f>
        <v>0</v>
      </c>
      <c r="K4394" s="455">
        <f t="shared" ca="1" si="186"/>
        <v>-59083119398.24057</v>
      </c>
      <c r="L4394" s="455">
        <f t="shared" ca="1" si="187"/>
        <v>-14239031774975.977</v>
      </c>
      <c r="M4394" s="471">
        <f t="shared" si="189"/>
        <v>0.05</v>
      </c>
      <c r="N4394" s="475">
        <f t="shared" si="190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88"/>
        <v>-14239031774975.977</v>
      </c>
      <c r="J4395" s="455">
        <f t="array" ref="J4395">IFERROR(INDEX('Retirement Calculator'!J:J,MATCH('Isaac 401k'!N4395,'Retirement Calculator'!A:A,0),0),0)</f>
        <v>0</v>
      </c>
      <c r="K4395" s="455">
        <f t="shared" ca="1" si="186"/>
        <v>-59329299062.399902</v>
      </c>
      <c r="L4395" s="455">
        <f t="shared" ca="1" si="187"/>
        <v>-14298361074038.377</v>
      </c>
      <c r="M4395" s="471">
        <f t="shared" si="189"/>
        <v>0.05</v>
      </c>
      <c r="N4395" s="475">
        <f t="shared" si="190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88"/>
        <v>-14298361074038.377</v>
      </c>
      <c r="J4396" s="455">
        <f t="array" ref="J4396">IFERROR(INDEX('Retirement Calculator'!J:J,MATCH('Isaac 401k'!N4396,'Retirement Calculator'!A:A,0),0),0)</f>
        <v>0</v>
      </c>
      <c r="K4396" s="455">
        <f t="shared" ca="1" si="186"/>
        <v>-59576504475.159904</v>
      </c>
      <c r="L4396" s="455">
        <f t="shared" ca="1" si="187"/>
        <v>-14357937578513.537</v>
      </c>
      <c r="M4396" s="471">
        <f t="shared" si="189"/>
        <v>0.05</v>
      </c>
      <c r="N4396" s="475">
        <f t="shared" si="190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88"/>
        <v>-14357937578513.537</v>
      </c>
      <c r="J4397" s="455">
        <f t="array" ref="J4397">IFERROR(INDEX('Retirement Calculator'!J:J,MATCH('Isaac 401k'!N4397,'Retirement Calculator'!A:A,0),0),0)</f>
        <v>0</v>
      </c>
      <c r="K4397" s="455">
        <f t="shared" ca="1" si="186"/>
        <v>-59824739910.473076</v>
      </c>
      <c r="L4397" s="455">
        <f t="shared" ca="1" si="187"/>
        <v>-14417762318424.01</v>
      </c>
      <c r="M4397" s="471">
        <f t="shared" si="189"/>
        <v>0.05</v>
      </c>
      <c r="N4397" s="475">
        <f t="shared" si="190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88"/>
        <v>-14417762318424.01</v>
      </c>
      <c r="J4398" s="455">
        <f t="array" ref="J4398">IFERROR(INDEX('Retirement Calculator'!J:J,MATCH('Isaac 401k'!N4398,'Retirement Calculator'!A:A,0),0),0)</f>
        <v>0</v>
      </c>
      <c r="K4398" s="455">
        <f t="shared" ca="1" si="186"/>
        <v>-60074009660.100037</v>
      </c>
      <c r="L4398" s="455">
        <f t="shared" ca="1" si="187"/>
        <v>-14477836328084.109</v>
      </c>
      <c r="M4398" s="471">
        <f t="shared" si="189"/>
        <v>0.05</v>
      </c>
      <c r="N4398" s="475">
        <f t="shared" si="190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88"/>
        <v>-14477836328084.109</v>
      </c>
      <c r="J4399" s="455">
        <f t="array" ref="J4399">IFERROR(INDEX('Retirement Calculator'!J:J,MATCH('Isaac 401k'!N4399,'Retirement Calculator'!A:A,0),0),0)</f>
        <v>0</v>
      </c>
      <c r="K4399" s="455">
        <f t="shared" ca="1" si="186"/>
        <v>-60324318033.683784</v>
      </c>
      <c r="L4399" s="455">
        <f t="shared" ca="1" si="187"/>
        <v>-14538160646117.793</v>
      </c>
      <c r="M4399" s="471">
        <f t="shared" si="189"/>
        <v>0.05</v>
      </c>
      <c r="N4399" s="475">
        <f t="shared" si="190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88"/>
        <v>-14538160646117.793</v>
      </c>
      <c r="J4400" s="455">
        <f t="array" ref="J4400">IFERROR(INDEX('Retirement Calculator'!J:J,MATCH('Isaac 401k'!N4400,'Retirement Calculator'!A:A,0),0),0)</f>
        <v>0</v>
      </c>
      <c r="K4400" s="455">
        <f t="shared" ca="1" si="186"/>
        <v>-60575669358.824135</v>
      </c>
      <c r="L4400" s="455">
        <f t="shared" ca="1" si="187"/>
        <v>-14598736315476.617</v>
      </c>
      <c r="M4400" s="471">
        <f t="shared" si="189"/>
        <v>0.05</v>
      </c>
      <c r="N4400" s="475">
        <f t="shared" si="190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88"/>
        <v>-14598736315476.617</v>
      </c>
      <c r="J4401" s="455">
        <f t="array" ref="J4401">IFERROR(INDEX('Retirement Calculator'!J:J,MATCH('Isaac 401k'!N4401,'Retirement Calculator'!A:A,0),0),0)</f>
        <v>0</v>
      </c>
      <c r="K4401" s="455">
        <f t="shared" ca="1" si="186"/>
        <v>-60828067981.152573</v>
      </c>
      <c r="L4401" s="455">
        <f t="shared" ca="1" si="187"/>
        <v>-14659564383457.77</v>
      </c>
      <c r="M4401" s="471">
        <f t="shared" si="189"/>
        <v>0.05</v>
      </c>
      <c r="N4401" s="475">
        <f t="shared" si="190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88"/>
        <v>-14659564383457.77</v>
      </c>
      <c r="J4402" s="455">
        <f t="array" ref="J4402">IFERROR(INDEX('Retirement Calculator'!J:J,MATCH('Isaac 401k'!N4402,'Retirement Calculator'!A:A,0),0),0)</f>
        <v>0</v>
      </c>
      <c r="K4402" s="455">
        <f t="shared" ca="1" si="186"/>
        <v>-61081518264.407372</v>
      </c>
      <c r="L4402" s="455">
        <f t="shared" ca="1" si="187"/>
        <v>-14720645901722.178</v>
      </c>
      <c r="M4402" s="471">
        <f t="shared" si="189"/>
        <v>0.05</v>
      </c>
      <c r="N4402" s="475">
        <f t="shared" si="190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88"/>
        <v>-14720645901722.178</v>
      </c>
      <c r="J4403" s="455">
        <f t="array" ref="J4403">IFERROR(INDEX('Retirement Calculator'!J:J,MATCH('Isaac 401k'!N4403,'Retirement Calculator'!A:A,0),0),0)</f>
        <v>0</v>
      </c>
      <c r="K4403" s="455">
        <f t="shared" ca="1" si="186"/>
        <v>-61336024590.509071</v>
      </c>
      <c r="L4403" s="455">
        <f t="shared" ca="1" si="187"/>
        <v>-14781981926312.688</v>
      </c>
      <c r="M4403" s="471">
        <f t="shared" si="189"/>
        <v>0.05</v>
      </c>
      <c r="N4403" s="475">
        <f t="shared" si="190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88"/>
        <v>-14781981926312.688</v>
      </c>
      <c r="J4404" s="455">
        <f t="array" ref="J4404">IFERROR(INDEX('Retirement Calculator'!J:J,MATCH('Isaac 401k'!N4404,'Retirement Calculator'!A:A,0),0),0)</f>
        <v>0</v>
      </c>
      <c r="K4404" s="455">
        <f t="shared" ca="1" si="186"/>
        <v>-61591591359.636192</v>
      </c>
      <c r="L4404" s="455">
        <f t="shared" ca="1" si="187"/>
        <v>-14843573517672.324</v>
      </c>
      <c r="M4404" s="471">
        <f t="shared" si="189"/>
        <v>0.05</v>
      </c>
      <c r="N4404" s="475">
        <f t="shared" si="190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88"/>
        <v>-14843573517672.324</v>
      </c>
      <c r="J4405" s="455">
        <f t="array" ref="J4405">IFERROR(INDEX('Retirement Calculator'!J:J,MATCH('Isaac 401k'!N4405,'Retirement Calculator'!A:A,0),0),0)</f>
        <v>0</v>
      </c>
      <c r="K4405" s="455">
        <f t="shared" ca="1" si="186"/>
        <v>-61848222990.301353</v>
      </c>
      <c r="L4405" s="455">
        <f t="shared" ca="1" si="187"/>
        <v>-14905421740662.625</v>
      </c>
      <c r="M4405" s="471">
        <f t="shared" si="189"/>
        <v>0.05</v>
      </c>
      <c r="N4405" s="475">
        <f t="shared" si="190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88"/>
        <v>-14905421740662.625</v>
      </c>
      <c r="J4406" s="455">
        <f t="array" ref="J4406">IFERROR(INDEX('Retirement Calculator'!J:J,MATCH('Isaac 401k'!N4406,'Retirement Calculator'!A:A,0),0),0)</f>
        <v>0</v>
      </c>
      <c r="K4406" s="455">
        <f t="shared" ca="1" si="186"/>
        <v>-62105923919.427605</v>
      </c>
      <c r="L4406" s="455">
        <f t="shared" ca="1" si="187"/>
        <v>-14967527664582.053</v>
      </c>
      <c r="M4406" s="471">
        <f t="shared" si="189"/>
        <v>0.05</v>
      </c>
      <c r="N4406" s="475">
        <f t="shared" si="190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88"/>
        <v>-14967527664582.053</v>
      </c>
      <c r="J4407" s="455">
        <f t="array" ref="J4407">IFERROR(INDEX('Retirement Calculator'!J:J,MATCH('Isaac 401k'!N4407,'Retirement Calculator'!A:A,0),0),0)</f>
        <v>0</v>
      </c>
      <c r="K4407" s="455">
        <f t="shared" ca="1" si="186"/>
        <v>-62364698602.425209</v>
      </c>
      <c r="L4407" s="455">
        <f t="shared" ca="1" si="187"/>
        <v>-15029892363184.479</v>
      </c>
      <c r="M4407" s="471">
        <f t="shared" si="189"/>
        <v>0.05</v>
      </c>
      <c r="N4407" s="475">
        <f t="shared" si="190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88"/>
        <v>-15029892363184.479</v>
      </c>
      <c r="J4408" s="455">
        <f t="array" ref="J4408">IFERROR(INDEX('Retirement Calculator'!J:J,MATCH('Isaac 401k'!N4408,'Retirement Calculator'!A:A,0),0),0)</f>
        <v>0</v>
      </c>
      <c r="K4408" s="455">
        <f t="shared" ca="1" si="186"/>
        <v>-62624551513.268661</v>
      </c>
      <c r="L4408" s="455">
        <f t="shared" ca="1" si="187"/>
        <v>-15092516914697.748</v>
      </c>
      <c r="M4408" s="471">
        <f t="shared" si="189"/>
        <v>0.05</v>
      </c>
      <c r="N4408" s="475">
        <f t="shared" si="190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88"/>
        <v>-15092516914697.748</v>
      </c>
      <c r="J4409" s="455">
        <f t="array" ref="J4409">IFERROR(INDEX('Retirement Calculator'!J:J,MATCH('Isaac 401k'!N4409,'Retirement Calculator'!A:A,0),0),0)</f>
        <v>0</v>
      </c>
      <c r="K4409" s="455">
        <f t="shared" ca="1" si="186"/>
        <v>-62885487144.573952</v>
      </c>
      <c r="L4409" s="455">
        <f t="shared" ca="1" si="187"/>
        <v>-15155402401842.322</v>
      </c>
      <c r="M4409" s="471">
        <f t="shared" si="189"/>
        <v>0.05</v>
      </c>
      <c r="N4409" s="475">
        <f t="shared" si="190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88"/>
        <v>-15155402401842.322</v>
      </c>
      <c r="J4410" s="455">
        <f t="array" ref="J4410">IFERROR(INDEX('Retirement Calculator'!J:J,MATCH('Isaac 401k'!N4410,'Retirement Calculator'!A:A,0),0),0)</f>
        <v>0</v>
      </c>
      <c r="K4410" s="455">
        <f t="shared" ca="1" si="186"/>
        <v>-63147510007.676338</v>
      </c>
      <c r="L4410" s="455">
        <f t="shared" ca="1" si="187"/>
        <v>-15218549911849.998</v>
      </c>
      <c r="M4410" s="471">
        <f t="shared" si="189"/>
        <v>0.05</v>
      </c>
      <c r="N4410" s="475">
        <f t="shared" si="190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88"/>
        <v>-15218549911849.998</v>
      </c>
      <c r="J4411" s="455">
        <f t="array" ref="J4411">IFERROR(INDEX('Retirement Calculator'!J:J,MATCH('Isaac 401k'!N4411,'Retirement Calculator'!A:A,0),0),0)</f>
        <v>0</v>
      </c>
      <c r="K4411" s="455">
        <f t="shared" ca="1" si="186"/>
        <v>-63410624632.708321</v>
      </c>
      <c r="L4411" s="455">
        <f t="shared" ca="1" si="187"/>
        <v>-15281960536482.707</v>
      </c>
      <c r="M4411" s="471">
        <f t="shared" si="189"/>
        <v>0.05</v>
      </c>
      <c r="N4411" s="475">
        <f t="shared" si="190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88"/>
        <v>-15281960536482.707</v>
      </c>
      <c r="J4412" s="455">
        <f t="array" ref="J4412">IFERROR(INDEX('Retirement Calculator'!J:J,MATCH('Isaac 401k'!N4412,'Retirement Calculator'!A:A,0),0),0)</f>
        <v>0</v>
      </c>
      <c r="K4412" s="455">
        <f t="shared" ca="1" si="186"/>
        <v>-63674835568.677948</v>
      </c>
      <c r="L4412" s="455">
        <f t="shared" ca="1" si="187"/>
        <v>-15345635372051.385</v>
      </c>
      <c r="M4412" s="471">
        <f t="shared" si="189"/>
        <v>0.05</v>
      </c>
      <c r="N4412" s="475">
        <f t="shared" si="190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88"/>
        <v>-15345635372051.385</v>
      </c>
      <c r="J4413" s="455">
        <f t="array" ref="J4413">IFERROR(INDEX('Retirement Calculator'!J:J,MATCH('Isaac 401k'!N4413,'Retirement Calculator'!A:A,0),0),0)</f>
        <v>0</v>
      </c>
      <c r="K4413" s="455">
        <f t="shared" ca="1" si="186"/>
        <v>-63940147383.547424</v>
      </c>
      <c r="L4413" s="455">
        <f t="shared" ca="1" si="187"/>
        <v>-15409575519434.932</v>
      </c>
      <c r="M4413" s="471">
        <f t="shared" si="189"/>
        <v>0.05</v>
      </c>
      <c r="N4413" s="475">
        <f t="shared" si="190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88"/>
        <v>-15409575519434.932</v>
      </c>
      <c r="J4414" s="455">
        <f t="array" ref="J4414">IFERROR(INDEX('Retirement Calculator'!J:J,MATCH('Isaac 401k'!N4414,'Retirement Calculator'!A:A,0),0),0)</f>
        <v>0</v>
      </c>
      <c r="K4414" s="455">
        <f t="shared" ca="1" si="186"/>
        <v>-64206564664.312218</v>
      </c>
      <c r="L4414" s="455">
        <f t="shared" ca="1" si="187"/>
        <v>-15473782084099.244</v>
      </c>
      <c r="M4414" s="471">
        <f t="shared" si="189"/>
        <v>0.05</v>
      </c>
      <c r="N4414" s="475">
        <f t="shared" si="190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88"/>
        <v>-15473782084099.244</v>
      </c>
      <c r="J4415" s="455">
        <f t="array" ref="J4415">IFERROR(INDEX('Retirement Calculator'!J:J,MATCH('Isaac 401k'!N4415,'Retirement Calculator'!A:A,0),0),0)</f>
        <v>0</v>
      </c>
      <c r="K4415" s="455">
        <f t="shared" ca="1" si="186"/>
        <v>-64474092017.080177</v>
      </c>
      <c r="L4415" s="455">
        <f t="shared" ca="1" si="187"/>
        <v>-15538256176116.324</v>
      </c>
      <c r="M4415" s="471">
        <f t="shared" si="189"/>
        <v>0.05</v>
      </c>
      <c r="N4415" s="475">
        <f t="shared" si="190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88"/>
        <v>-15538256176116.324</v>
      </c>
      <c r="J4416" s="455">
        <f t="array" ref="J4416">IFERROR(INDEX('Retirement Calculator'!J:J,MATCH('Isaac 401k'!N4416,'Retirement Calculator'!A:A,0),0),0)</f>
        <v>0</v>
      </c>
      <c r="K4416" s="455">
        <f t="shared" ca="1" si="186"/>
        <v>-64742734067.151352</v>
      </c>
      <c r="L4416" s="455">
        <f t="shared" ca="1" si="187"/>
        <v>-15602998910183.475</v>
      </c>
      <c r="M4416" s="471">
        <f t="shared" si="189"/>
        <v>0.05</v>
      </c>
      <c r="N4416" s="475">
        <f t="shared" si="190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88"/>
        <v>-15602998910183.475</v>
      </c>
      <c r="J4417" s="455">
        <f t="array" ref="J4417">IFERROR(INDEX('Retirement Calculator'!J:J,MATCH('Isaac 401k'!N4417,'Retirement Calculator'!A:A,0),0),0)</f>
        <v>0</v>
      </c>
      <c r="K4417" s="455">
        <f t="shared" ca="1" si="186"/>
        <v>-65012495459.097801</v>
      </c>
      <c r="L4417" s="455">
        <f t="shared" ca="1" si="187"/>
        <v>-15668011405642.572</v>
      </c>
      <c r="M4417" s="471">
        <f t="shared" si="189"/>
        <v>0.05</v>
      </c>
      <c r="N4417" s="475">
        <f t="shared" si="190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88"/>
        <v>-15668011405642.572</v>
      </c>
      <c r="J4418" s="455">
        <f t="array" ref="J4418">IFERROR(INDEX('Retirement Calculator'!J:J,MATCH('Isaac 401k'!N4418,'Retirement Calculator'!A:A,0),0),0)</f>
        <v>0</v>
      </c>
      <c r="K4418" s="455">
        <f t="shared" ca="1" si="186"/>
        <v>-65283380856.84404</v>
      </c>
      <c r="L4418" s="455">
        <f t="shared" ca="1" si="187"/>
        <v>-15733294786499.416</v>
      </c>
      <c r="M4418" s="471">
        <f t="shared" si="189"/>
        <v>0.05</v>
      </c>
      <c r="N4418" s="475">
        <f t="shared" si="190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88"/>
        <v>-15733294786499.416</v>
      </c>
      <c r="J4419" s="455">
        <f t="array" ref="J4419">IFERROR(INDEX('Retirement Calculator'!J:J,MATCH('Isaac 401k'!N4419,'Retirement Calculator'!A:A,0),0),0)</f>
        <v>0</v>
      </c>
      <c r="K4419" s="455">
        <f t="shared" ca="1" si="186"/>
        <v>-65555394943.747566</v>
      </c>
      <c r="L4419" s="455">
        <f t="shared" ca="1" si="187"/>
        <v>-15798850181443.164</v>
      </c>
      <c r="M4419" s="471">
        <f t="shared" si="189"/>
        <v>0.05</v>
      </c>
      <c r="N4419" s="475">
        <f t="shared" si="190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88"/>
        <v>-15798850181443.164</v>
      </c>
      <c r="J4420" s="455">
        <f t="array" ref="J4420">IFERROR(INDEX('Retirement Calculator'!J:J,MATCH('Isaac 401k'!N4420,'Retirement Calculator'!A:A,0),0),0)</f>
        <v>0</v>
      </c>
      <c r="K4420" s="455">
        <f t="shared" ca="1" si="186"/>
        <v>-65828542422.67984</v>
      </c>
      <c r="L4420" s="455">
        <f t="shared" ca="1" si="187"/>
        <v>-15864678723865.844</v>
      </c>
      <c r="M4420" s="471">
        <f t="shared" si="189"/>
        <v>0.05</v>
      </c>
      <c r="N4420" s="475">
        <f t="shared" si="190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88"/>
        <v>-15864678723865.844</v>
      </c>
      <c r="J4421" s="455">
        <f t="array" ref="J4421">IFERROR(INDEX('Retirement Calculator'!J:J,MATCH('Isaac 401k'!N4421,'Retirement Calculator'!A:A,0),0),0)</f>
        <v>0</v>
      </c>
      <c r="K4421" s="455">
        <f t="shared" ca="1" si="186"/>
        <v>-66102828016.107681</v>
      </c>
      <c r="L4421" s="455">
        <f t="shared" ca="1" si="187"/>
        <v>-15930781551881.951</v>
      </c>
      <c r="M4421" s="471">
        <f t="shared" si="189"/>
        <v>0.05</v>
      </c>
      <c r="N4421" s="475">
        <f t="shared" si="190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88"/>
        <v>-15930781551881.951</v>
      </c>
      <c r="J4422" s="455">
        <f t="array" ref="J4422">IFERROR(INDEX('Retirement Calculator'!J:J,MATCH('Isaac 401k'!N4422,'Retirement Calculator'!A:A,0),0),0)</f>
        <v>0</v>
      </c>
      <c r="K4422" s="455">
        <f t="shared" ca="1" si="186"/>
        <v>-66378256466.174797</v>
      </c>
      <c r="L4422" s="455">
        <f t="shared" ca="1" si="187"/>
        <v>-15997159808348.125</v>
      </c>
      <c r="M4422" s="471">
        <f t="shared" si="189"/>
        <v>0.05</v>
      </c>
      <c r="N4422" s="475">
        <f t="shared" si="190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88"/>
        <v>-15997159808348.125</v>
      </c>
      <c r="J4423" s="455">
        <f t="array" ref="J4423">IFERROR(INDEX('Retirement Calculator'!J:J,MATCH('Isaac 401k'!N4423,'Retirement Calculator'!A:A,0),0),0)</f>
        <v>0</v>
      </c>
      <c r="K4423" s="455">
        <f t="shared" ca="1" si="186"/>
        <v>-66654832534.783852</v>
      </c>
      <c r="L4423" s="455">
        <f t="shared" ca="1" si="187"/>
        <v>-16063814640882.908</v>
      </c>
      <c r="M4423" s="471">
        <f t="shared" si="189"/>
        <v>0.05</v>
      </c>
      <c r="N4423" s="475">
        <f t="shared" si="190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88"/>
        <v>-16063814640882.908</v>
      </c>
      <c r="J4424" s="455">
        <f t="array" ref="J4424">IFERROR(INDEX('Retirement Calculator'!J:J,MATCH('Isaac 401k'!N4424,'Retirement Calculator'!A:A,0),0),0)</f>
        <v>0</v>
      </c>
      <c r="K4424" s="455">
        <f t="shared" ca="1" si="186"/>
        <v>-66932561003.678795</v>
      </c>
      <c r="L4424" s="455">
        <f t="shared" ca="1" si="187"/>
        <v>-16130747201886.588</v>
      </c>
      <c r="M4424" s="471">
        <f t="shared" si="189"/>
        <v>0.05</v>
      </c>
      <c r="N4424" s="475">
        <f t="shared" si="190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88"/>
        <v>-16130747201886.588</v>
      </c>
      <c r="J4425" s="455">
        <f t="array" ref="J4425">IFERROR(INDEX('Retirement Calculator'!J:J,MATCH('Isaac 401k'!N4425,'Retirement Calculator'!A:A,0),0),0)</f>
        <v>0</v>
      </c>
      <c r="K4425" s="455">
        <f t="shared" ca="1" si="186"/>
        <v>-67211446674.527451</v>
      </c>
      <c r="L4425" s="455">
        <f t="shared" ca="1" si="187"/>
        <v>-16197958648561.115</v>
      </c>
      <c r="M4425" s="471">
        <f t="shared" si="189"/>
        <v>0.05</v>
      </c>
      <c r="N4425" s="475">
        <f t="shared" si="190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88"/>
        <v>-16197958648561.115</v>
      </c>
      <c r="J4426" s="455">
        <f t="array" ref="J4426">IFERROR(INDEX('Retirement Calculator'!J:J,MATCH('Isaac 401k'!N4426,'Retirement Calculator'!A:A,0),0),0)</f>
        <v>0</v>
      </c>
      <c r="K4426" s="455">
        <f t="shared" ca="1" si="186"/>
        <v>-67491494369.004646</v>
      </c>
      <c r="L4426" s="455">
        <f t="shared" ca="1" si="187"/>
        <v>-16265450142930.119</v>
      </c>
      <c r="M4426" s="471">
        <f t="shared" si="189"/>
        <v>0.05</v>
      </c>
      <c r="N4426" s="475">
        <f t="shared" si="190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88"/>
        <v>-16265450142930.119</v>
      </c>
      <c r="J4427" s="455">
        <f t="array" ref="J4427">IFERROR(INDEX('Retirement Calculator'!J:J,MATCH('Isaac 401k'!N4427,'Retirement Calculator'!A:A,0),0),0)</f>
        <v>0</v>
      </c>
      <c r="K4427" s="455">
        <f t="shared" ca="1" si="186"/>
        <v>-67772708928.875488</v>
      </c>
      <c r="L4427" s="455">
        <f t="shared" ca="1" si="187"/>
        <v>-16333222851858.994</v>
      </c>
      <c r="M4427" s="471">
        <f t="shared" si="189"/>
        <v>0.05</v>
      </c>
      <c r="N4427" s="475">
        <f t="shared" si="190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88"/>
        <v>-16333222851858.994</v>
      </c>
      <c r="J4428" s="455">
        <f t="array" ref="J4428">IFERROR(INDEX('Retirement Calculator'!J:J,MATCH('Isaac 401k'!N4428,'Retirement Calculator'!A:A,0),0),0)</f>
        <v>0</v>
      </c>
      <c r="K4428" s="455">
        <f t="shared" ca="1" si="186"/>
        <v>-68055095216.07914</v>
      </c>
      <c r="L4428" s="455">
        <f t="shared" ca="1" si="187"/>
        <v>-16401277947075.074</v>
      </c>
      <c r="M4428" s="471">
        <f t="shared" si="189"/>
        <v>0.05</v>
      </c>
      <c r="N4428" s="475">
        <f t="shared" si="190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88"/>
        <v>-16401277947075.074</v>
      </c>
      <c r="J4429" s="455">
        <f t="array" ref="J4429">IFERROR(INDEX('Retirement Calculator'!J:J,MATCH('Isaac 401k'!N4429,'Retirement Calculator'!A:A,0),0),0)</f>
        <v>0</v>
      </c>
      <c r="K4429" s="455">
        <f t="shared" ca="1" si="186"/>
        <v>-68338658112.812805</v>
      </c>
      <c r="L4429" s="455">
        <f t="shared" ca="1" si="187"/>
        <v>-16469616605187.887</v>
      </c>
      <c r="M4429" s="471">
        <f t="shared" si="189"/>
        <v>0.05</v>
      </c>
      <c r="N4429" s="475">
        <f t="shared" si="190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88"/>
        <v>-16469616605187.887</v>
      </c>
      <c r="J4430" s="455">
        <f t="array" ref="J4430">IFERROR(INDEX('Retirement Calculator'!J:J,MATCH('Isaac 401k'!N4430,'Retirement Calculator'!A:A,0),0),0)</f>
        <v>0</v>
      </c>
      <c r="K4430" s="455">
        <f t="shared" ca="1" si="186"/>
        <v>-68623402521.616196</v>
      </c>
      <c r="L4430" s="455">
        <f t="shared" ca="1" si="187"/>
        <v>-16538240007709.502</v>
      </c>
      <c r="M4430" s="471">
        <f t="shared" si="189"/>
        <v>0.05</v>
      </c>
      <c r="N4430" s="475">
        <f t="shared" si="190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88"/>
        <v>-16538240007709.502</v>
      </c>
      <c r="J4431" s="455">
        <f t="array" ref="J4431">IFERROR(INDEX('Retirement Calculator'!J:J,MATCH('Isaac 401k'!N4431,'Retirement Calculator'!A:A,0),0),0)</f>
        <v>0</v>
      </c>
      <c r="K4431" s="455">
        <f t="shared" ca="1" si="186"/>
        <v>-68909333365.456253</v>
      </c>
      <c r="L4431" s="455">
        <f t="shared" ca="1" si="187"/>
        <v>-16607149341074.959</v>
      </c>
      <c r="M4431" s="471">
        <f t="shared" si="189"/>
        <v>0.05</v>
      </c>
      <c r="N4431" s="475">
        <f t="shared" si="190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88"/>
        <v>-16607149341074.959</v>
      </c>
      <c r="J4432" s="455">
        <f t="array" ref="J4432">IFERROR(INDEX('Retirement Calculator'!J:J,MATCH('Isaac 401k'!N4432,'Retirement Calculator'!A:A,0),0),0)</f>
        <v>0</v>
      </c>
      <c r="K4432" s="455">
        <f t="shared" ca="1" si="186"/>
        <v>-69196455587.812332</v>
      </c>
      <c r="L4432" s="455">
        <f t="shared" ca="1" si="187"/>
        <v>-16676345796662.771</v>
      </c>
      <c r="M4432" s="471">
        <f t="shared" si="189"/>
        <v>0.05</v>
      </c>
      <c r="N4432" s="475">
        <f t="shared" si="190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88"/>
        <v>-16676345796662.771</v>
      </c>
      <c r="J4433" s="455">
        <f t="array" ref="J4433">IFERROR(INDEX('Retirement Calculator'!J:J,MATCH('Isaac 401k'!N4433,'Retirement Calculator'!A:A,0),0),0)</f>
        <v>0</v>
      </c>
      <c r="K4433" s="455">
        <f t="shared" ca="1" si="186"/>
        <v>-69484774152.761551</v>
      </c>
      <c r="L4433" s="455">
        <f t="shared" ca="1" si="187"/>
        <v>-16745830570815.533</v>
      </c>
      <c r="M4433" s="471">
        <f t="shared" si="189"/>
        <v>0.05</v>
      </c>
      <c r="N4433" s="475">
        <f t="shared" si="190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88"/>
        <v>-16745830570815.533</v>
      </c>
      <c r="J4434" s="455">
        <f t="array" ref="J4434">IFERROR(INDEX('Retirement Calculator'!J:J,MATCH('Isaac 401k'!N4434,'Retirement Calculator'!A:A,0),0),0)</f>
        <v>0</v>
      </c>
      <c r="K4434" s="455">
        <f t="shared" ca="1" si="186"/>
        <v>-69774294045.064728</v>
      </c>
      <c r="L4434" s="455">
        <f t="shared" ca="1" si="187"/>
        <v>-16815604864860.598</v>
      </c>
      <c r="M4434" s="471">
        <f t="shared" si="189"/>
        <v>0.05</v>
      </c>
      <c r="N4434" s="475">
        <f t="shared" si="190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88"/>
        <v>-16815604864860.598</v>
      </c>
      <c r="J4435" s="455">
        <f t="array" ref="J4435">IFERROR(INDEX('Retirement Calculator'!J:J,MATCH('Isaac 401k'!N4435,'Retirement Calculator'!A:A,0),0),0)</f>
        <v>0</v>
      </c>
      <c r="K4435" s="455">
        <f t="shared" ca="1" si="186"/>
        <v>-70065020270.252487</v>
      </c>
      <c r="L4435" s="455">
        <f t="shared" ca="1" si="187"/>
        <v>-16885669885130.85</v>
      </c>
      <c r="M4435" s="471">
        <f t="shared" si="189"/>
        <v>0.05</v>
      </c>
      <c r="N4435" s="475">
        <f t="shared" si="190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88"/>
        <v>-16885669885130.85</v>
      </c>
      <c r="J4436" s="455">
        <f t="array" ref="J4436">IFERROR(INDEX('Retirement Calculator'!J:J,MATCH('Isaac 401k'!N4436,'Retirement Calculator'!A:A,0),0),0)</f>
        <v>0</v>
      </c>
      <c r="K4436" s="455">
        <f t="shared" ca="1" si="186"/>
        <v>-70356957854.711868</v>
      </c>
      <c r="L4436" s="455">
        <f t="shared" ca="1" si="187"/>
        <v>-16956026842985.561</v>
      </c>
      <c r="M4436" s="471">
        <f t="shared" si="189"/>
        <v>0.05</v>
      </c>
      <c r="N4436" s="475">
        <f t="shared" si="190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88"/>
        <v>-16956026842985.561</v>
      </c>
      <c r="J4437" s="455">
        <f t="array" ref="J4437">IFERROR(INDEX('Retirement Calculator'!J:J,MATCH('Isaac 401k'!N4437,'Retirement Calculator'!A:A,0),0),0)</f>
        <v>0</v>
      </c>
      <c r="K4437" s="455">
        <f t="shared" ca="1" si="186"/>
        <v>-70650111845.773163</v>
      </c>
      <c r="L4437" s="455">
        <f t="shared" ca="1" si="187"/>
        <v>-17026676954831.334</v>
      </c>
      <c r="M4437" s="471">
        <f t="shared" si="189"/>
        <v>0.05</v>
      </c>
      <c r="N4437" s="475">
        <f t="shared" si="190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88"/>
        <v>-17026676954831.334</v>
      </c>
      <c r="J4438" s="455">
        <f t="array" ref="J4438">IFERROR(INDEX('Retirement Calculator'!J:J,MATCH('Isaac 401k'!N4438,'Retirement Calculator'!A:A,0),0),0)</f>
        <v>0</v>
      </c>
      <c r="K4438" s="455">
        <f t="shared" ca="1" si="186"/>
        <v>-70944487311.797226</v>
      </c>
      <c r="L4438" s="455">
        <f t="shared" ca="1" si="187"/>
        <v>-17097621442143.131</v>
      </c>
      <c r="M4438" s="471">
        <f t="shared" si="189"/>
        <v>0.05</v>
      </c>
      <c r="N4438" s="475">
        <f t="shared" si="190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88"/>
        <v>-17097621442143.131</v>
      </c>
      <c r="J4439" s="455">
        <f t="array" ref="J4439">IFERROR(INDEX('Retirement Calculator'!J:J,MATCH('Isaac 401k'!N4439,'Retirement Calculator'!A:A,0),0),0)</f>
        <v>0</v>
      </c>
      <c r="K4439" s="455">
        <f t="shared" ca="1" si="186"/>
        <v>-71240089342.263046</v>
      </c>
      <c r="L4439" s="455">
        <f t="shared" ca="1" si="187"/>
        <v>-17168861531485.395</v>
      </c>
      <c r="M4439" s="471">
        <f t="shared" si="189"/>
        <v>0.05</v>
      </c>
      <c r="N4439" s="475">
        <f t="shared" si="190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88"/>
        <v>-17168861531485.395</v>
      </c>
      <c r="J4440" s="455">
        <f t="array" ref="J4440">IFERROR(INDEX('Retirement Calculator'!J:J,MATCH('Isaac 401k'!N4440,'Retirement Calculator'!A:A,0),0),0)</f>
        <v>0</v>
      </c>
      <c r="K4440" s="455">
        <f t="shared" ca="1" si="186"/>
        <v>-71536923047.855804</v>
      </c>
      <c r="L4440" s="455">
        <f t="shared" ca="1" si="187"/>
        <v>-17240398454533.25</v>
      </c>
      <c r="M4440" s="471">
        <f t="shared" si="189"/>
        <v>0.05</v>
      </c>
      <c r="N4440" s="475">
        <f t="shared" si="190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88"/>
        <v>-17240398454533.25</v>
      </c>
      <c r="J4441" s="455">
        <f t="array" ref="J4441">IFERROR(INDEX('Retirement Calculator'!J:J,MATCH('Isaac 401k'!N4441,'Retirement Calculator'!A:A,0),0),0)</f>
        <v>0</v>
      </c>
      <c r="K4441" s="455">
        <f t="shared" ca="1" si="186"/>
        <v>-71834993560.555222</v>
      </c>
      <c r="L4441" s="455">
        <f t="shared" ca="1" si="187"/>
        <v>-17312233448093.805</v>
      </c>
      <c r="M4441" s="471">
        <f t="shared" si="189"/>
        <v>0.05</v>
      </c>
      <c r="N4441" s="475">
        <f t="shared" si="190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88"/>
        <v>-17312233448093.805</v>
      </c>
      <c r="J4442" s="455">
        <f t="array" ref="J4442">IFERROR(INDEX('Retirement Calculator'!J:J,MATCH('Isaac 401k'!N4442,'Retirement Calculator'!A:A,0),0),0)</f>
        <v>0</v>
      </c>
      <c r="K4442" s="455">
        <f t="shared" ca="1" si="186"/>
        <v>-72134306033.724182</v>
      </c>
      <c r="L4442" s="455">
        <f t="shared" ca="1" si="187"/>
        <v>-17384367754127.529</v>
      </c>
      <c r="M4442" s="471">
        <f t="shared" si="189"/>
        <v>0.05</v>
      </c>
      <c r="N4442" s="475">
        <f t="shared" si="190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88"/>
        <v>-17384367754127.529</v>
      </c>
      <c r="J4443" s="455">
        <f t="array" ref="J4443">IFERROR(INDEX('Retirement Calculator'!J:J,MATCH('Isaac 401k'!N4443,'Retirement Calculator'!A:A,0),0),0)</f>
        <v>0</v>
      </c>
      <c r="K4443" s="455">
        <f t="shared" ca="1" si="186"/>
        <v>-72434865642.198044</v>
      </c>
      <c r="L4443" s="455">
        <f t="shared" ca="1" si="187"/>
        <v>-17456802619769.727</v>
      </c>
      <c r="M4443" s="471">
        <f t="shared" si="189"/>
        <v>0.05</v>
      </c>
      <c r="N4443" s="475">
        <f t="shared" si="190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88"/>
        <v>-17456802619769.727</v>
      </c>
      <c r="J4444" s="455">
        <f t="array" ref="J4444">IFERROR(INDEX('Retirement Calculator'!J:J,MATCH('Isaac 401k'!N4444,'Retirement Calculator'!A:A,0),0),0)</f>
        <v>0</v>
      </c>
      <c r="K4444" s="455">
        <f t="shared" ca="1" si="186"/>
        <v>-72736677582.373856</v>
      </c>
      <c r="L4444" s="455">
        <f t="shared" ca="1" si="187"/>
        <v>-17529539297352.1</v>
      </c>
      <c r="M4444" s="471">
        <f t="shared" si="189"/>
        <v>0.05</v>
      </c>
      <c r="N4444" s="475">
        <f t="shared" si="190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88"/>
        <v>-17529539297352.1</v>
      </c>
      <c r="J4445" s="455">
        <f t="array" ref="J4445">IFERROR(INDEX('Retirement Calculator'!J:J,MATCH('Isaac 401k'!N4445,'Retirement Calculator'!A:A,0),0),0)</f>
        <v>0</v>
      </c>
      <c r="K4445" s="455">
        <f t="shared" ca="1" si="186"/>
        <v>-73039747072.300415</v>
      </c>
      <c r="L4445" s="455">
        <f t="shared" ca="1" si="187"/>
        <v>-17602579044424.398</v>
      </c>
      <c r="M4445" s="471">
        <f t="shared" si="189"/>
        <v>0.05</v>
      </c>
      <c r="N4445" s="475">
        <f t="shared" si="190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88"/>
        <v>-17602579044424.398</v>
      </c>
      <c r="J4446" s="455">
        <f t="array" ref="J4446">IFERROR(INDEX('Retirement Calculator'!J:J,MATCH('Isaac 401k'!N4446,'Retirement Calculator'!A:A,0),0),0)</f>
        <v>0</v>
      </c>
      <c r="K4446" s="455">
        <f t="shared" ca="1" si="186"/>
        <v>-73344079351.768326</v>
      </c>
      <c r="L4446" s="455">
        <f t="shared" ca="1" si="187"/>
        <v>-17675923123776.168</v>
      </c>
      <c r="M4446" s="471">
        <f t="shared" si="189"/>
        <v>0.05</v>
      </c>
      <c r="N4446" s="475">
        <f t="shared" si="190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88"/>
        <v>-17675923123776.168</v>
      </c>
      <c r="J4447" s="455">
        <f t="array" ref="J4447">IFERROR(INDEX('Retirement Calculator'!J:J,MATCH('Isaac 401k'!N4447,'Retirement Calculator'!A:A,0),0),0)</f>
        <v>0</v>
      </c>
      <c r="K4447" s="455">
        <f t="shared" ca="1" si="186"/>
        <v>-73649679682.400696</v>
      </c>
      <c r="L4447" s="455">
        <f t="shared" ca="1" si="187"/>
        <v>-17749572803458.57</v>
      </c>
      <c r="M4447" s="471">
        <f t="shared" si="189"/>
        <v>0.05</v>
      </c>
      <c r="N4447" s="475">
        <f t="shared" si="190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88"/>
        <v>-17749572803458.57</v>
      </c>
      <c r="J4448" s="455">
        <f t="array" ref="J4448">IFERROR(INDEX('Retirement Calculator'!J:J,MATCH('Isaac 401k'!N4448,'Retirement Calculator'!A:A,0),0),0)</f>
        <v>0</v>
      </c>
      <c r="K4448" s="455">
        <f t="shared" ca="1" si="186"/>
        <v>-73956553347.744049</v>
      </c>
      <c r="L4448" s="455">
        <f t="shared" ca="1" si="187"/>
        <v>-17823529356806.313</v>
      </c>
      <c r="M4448" s="471">
        <f t="shared" si="189"/>
        <v>0.05</v>
      </c>
      <c r="N4448" s="475">
        <f t="shared" si="190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88"/>
        <v>-17823529356806.313</v>
      </c>
      <c r="J4449" s="455">
        <f t="array" ref="J4449">IFERROR(INDEX('Retirement Calculator'!J:J,MATCH('Isaac 401k'!N4449,'Retirement Calculator'!A:A,0),0),0)</f>
        <v>0</v>
      </c>
      <c r="K4449" s="455">
        <f t="shared" ca="1" si="186"/>
        <v>-74264705653.359634</v>
      </c>
      <c r="L4449" s="455">
        <f t="shared" ca="1" si="187"/>
        <v>-17897794062459.672</v>
      </c>
      <c r="M4449" s="471">
        <f t="shared" si="189"/>
        <v>0.05</v>
      </c>
      <c r="N4449" s="475">
        <f t="shared" si="190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88"/>
        <v>-17897794062459.672</v>
      </c>
      <c r="J4450" s="455">
        <f t="array" ref="J4450">IFERROR(INDEX('Retirement Calculator'!J:J,MATCH('Isaac 401k'!N4450,'Retirement Calculator'!A:A,0),0),0)</f>
        <v>0</v>
      </c>
      <c r="K4450" s="455">
        <f t="shared" ca="1" si="186"/>
        <v>-74574141926.915298</v>
      </c>
      <c r="L4450" s="455">
        <f t="shared" ca="1" si="187"/>
        <v>-17972368204386.586</v>
      </c>
      <c r="M4450" s="471">
        <f t="shared" si="189"/>
        <v>0.05</v>
      </c>
      <c r="N4450" s="475">
        <f t="shared" si="190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88"/>
        <v>-17972368204386.586</v>
      </c>
      <c r="J4451" s="455">
        <f t="array" ref="J4451">IFERROR(INDEX('Retirement Calculator'!J:J,MATCH('Isaac 401k'!N4451,'Retirement Calculator'!A:A,0),0),0)</f>
        <v>0</v>
      </c>
      <c r="K4451" s="455">
        <f t="shared" ca="1" si="186"/>
        <v>-74884867518.277435</v>
      </c>
      <c r="L4451" s="455">
        <f t="shared" ca="1" si="187"/>
        <v>-18047253071904.863</v>
      </c>
      <c r="M4451" s="471">
        <f t="shared" si="189"/>
        <v>0.05</v>
      </c>
      <c r="N4451" s="475">
        <f t="shared" si="190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88"/>
        <v>-18047253071904.863</v>
      </c>
      <c r="J4452" s="455">
        <f t="array" ref="J4452">IFERROR(INDEX('Retirement Calculator'!J:J,MATCH('Isaac 401k'!N4452,'Retirement Calculator'!A:A,0),0),0)</f>
        <v>0</v>
      </c>
      <c r="K4452" s="455">
        <f t="shared" ca="1" si="186"/>
        <v>-75196887799.603592</v>
      </c>
      <c r="L4452" s="455">
        <f t="shared" ca="1" si="187"/>
        <v>-18122449959704.469</v>
      </c>
      <c r="M4452" s="471">
        <f t="shared" si="189"/>
        <v>0.05</v>
      </c>
      <c r="N4452" s="475">
        <f t="shared" si="190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88"/>
        <v>-18122449959704.469</v>
      </c>
      <c r="J4453" s="455">
        <f t="array" ref="J4453">IFERROR(INDEX('Retirement Calculator'!J:J,MATCH('Isaac 401k'!N4453,'Retirement Calculator'!A:A,0),0),0)</f>
        <v>0</v>
      </c>
      <c r="K4453" s="455">
        <f t="shared" ca="1" si="186"/>
        <v>-75510208165.435287</v>
      </c>
      <c r="L4453" s="455">
        <f t="shared" ca="1" si="187"/>
        <v>-18197960167869.902</v>
      </c>
      <c r="M4453" s="471">
        <f t="shared" si="189"/>
        <v>0.05</v>
      </c>
      <c r="N4453" s="475">
        <f t="shared" si="190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88"/>
        <v>-18197960167869.902</v>
      </c>
      <c r="J4454" s="455">
        <f t="array" ref="J4454">IFERROR(INDEX('Retirement Calculator'!J:J,MATCH('Isaac 401k'!N4454,'Retirement Calculator'!A:A,0),0),0)</f>
        <v>0</v>
      </c>
      <c r="K4454" s="455">
        <f t="shared" ca="1" si="186"/>
        <v>-75824834032.79126</v>
      </c>
      <c r="L4454" s="455">
        <f t="shared" ca="1" si="187"/>
        <v>-18273785001902.695</v>
      </c>
      <c r="M4454" s="471">
        <f t="shared" si="189"/>
        <v>0.05</v>
      </c>
      <c r="N4454" s="475">
        <f t="shared" si="190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88"/>
        <v>-18273785001902.695</v>
      </c>
      <c r="J4455" s="455">
        <f t="array" ref="J4455">IFERROR(INDEX('Retirement Calculator'!J:J,MATCH('Isaac 401k'!N4455,'Retirement Calculator'!A:A,0),0),0)</f>
        <v>0</v>
      </c>
      <c r="K4455" s="455">
        <f t="shared" ca="1" si="186"/>
        <v>-76140770841.26123</v>
      </c>
      <c r="L4455" s="455">
        <f t="shared" ca="1" si="187"/>
        <v>-18349925772743.957</v>
      </c>
      <c r="M4455" s="471">
        <f t="shared" si="189"/>
        <v>0.05</v>
      </c>
      <c r="N4455" s="475">
        <f t="shared" si="190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88"/>
        <v>-18349925772743.957</v>
      </c>
      <c r="J4456" s="455">
        <f t="array" ref="J4456">IFERROR(INDEX('Retirement Calculator'!J:J,MATCH('Isaac 401k'!N4456,'Retirement Calculator'!A:A,0),0),0)</f>
        <v>0</v>
      </c>
      <c r="K4456" s="455">
        <f t="shared" ca="1" si="186"/>
        <v>-76458024053.099823</v>
      </c>
      <c r="L4456" s="455">
        <f t="shared" ca="1" si="187"/>
        <v>-18426383796797.059</v>
      </c>
      <c r="M4456" s="471">
        <f t="shared" si="189"/>
        <v>0.05</v>
      </c>
      <c r="N4456" s="475">
        <f t="shared" si="190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88"/>
        <v>-18426383796797.059</v>
      </c>
      <c r="J4457" s="455">
        <f t="array" ref="J4457">IFERROR(INDEX('Retirement Calculator'!J:J,MATCH('Isaac 401k'!N4457,'Retirement Calculator'!A:A,0),0),0)</f>
        <v>0</v>
      </c>
      <c r="K4457" s="455">
        <f t="shared" ca="1" si="186"/>
        <v>-76776599153.321075</v>
      </c>
      <c r="L4457" s="455">
        <f t="shared" ca="1" si="187"/>
        <v>-18503160395950.379</v>
      </c>
      <c r="M4457" s="471">
        <f t="shared" si="189"/>
        <v>0.05</v>
      </c>
      <c r="N4457" s="475">
        <f t="shared" si="190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88"/>
        <v>-18503160395950.379</v>
      </c>
      <c r="J4458" s="455">
        <f t="array" ref="J4458">IFERROR(INDEX('Retirement Calculator'!J:J,MATCH('Isaac 401k'!N4458,'Retirement Calculator'!A:A,0),0),0)</f>
        <v>0</v>
      </c>
      <c r="K4458" s="455">
        <f t="shared" ca="1" si="186"/>
        <v>-77096501649.793243</v>
      </c>
      <c r="L4458" s="455">
        <f t="shared" ca="1" si="187"/>
        <v>-18580256897600.172</v>
      </c>
      <c r="M4458" s="471">
        <f t="shared" si="189"/>
        <v>0.05</v>
      </c>
      <c r="N4458" s="475">
        <f t="shared" si="190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88"/>
        <v>-18580256897600.172</v>
      </c>
      <c r="J4459" s="455">
        <f t="array" ref="J4459">IFERROR(INDEX('Retirement Calculator'!J:J,MATCH('Isaac 401k'!N4459,'Retirement Calculator'!A:A,0),0),0)</f>
        <v>0</v>
      </c>
      <c r="K4459" s="455">
        <f t="shared" ca="1" si="186"/>
        <v>-77417737073.334045</v>
      </c>
      <c r="L4459" s="455">
        <f t="shared" ca="1" si="187"/>
        <v>-18657674634673.508</v>
      </c>
      <c r="M4459" s="471">
        <f t="shared" si="189"/>
        <v>0.05</v>
      </c>
      <c r="N4459" s="475">
        <f t="shared" si="190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88"/>
        <v>-18657674634673.508</v>
      </c>
      <c r="J4460" s="455">
        <f t="array" ref="J4460">IFERROR(INDEX('Retirement Calculator'!J:J,MATCH('Isaac 401k'!N4460,'Retirement Calculator'!A:A,0),0),0)</f>
        <v>0</v>
      </c>
      <c r="K4460" s="455">
        <f t="shared" ca="1" si="186"/>
        <v>-77740310977.806274</v>
      </c>
      <c r="L4460" s="455">
        <f t="shared" ca="1" si="187"/>
        <v>-18735414945651.313</v>
      </c>
      <c r="M4460" s="471">
        <f t="shared" si="189"/>
        <v>0.05</v>
      </c>
      <c r="N4460" s="475">
        <f t="shared" si="190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88"/>
        <v>-18735414945651.313</v>
      </c>
      <c r="J4461" s="455">
        <f t="array" ref="J4461">IFERROR(INDEX('Retirement Calculator'!J:J,MATCH('Isaac 401k'!N4461,'Retirement Calculator'!A:A,0),0),0)</f>
        <v>0</v>
      </c>
      <c r="K4461" s="455">
        <f t="shared" ca="1" si="186"/>
        <v>-78064228940.213806</v>
      </c>
      <c r="L4461" s="455">
        <f t="shared" ca="1" si="187"/>
        <v>-18813479174591.527</v>
      </c>
      <c r="M4461" s="471">
        <f t="shared" si="189"/>
        <v>0.05</v>
      </c>
      <c r="N4461" s="475">
        <f t="shared" si="190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88"/>
        <v>-18813479174591.527</v>
      </c>
      <c r="J4462" s="455">
        <f t="array" ref="J4462">IFERROR(INDEX('Retirement Calculator'!J:J,MATCH('Isaac 401k'!N4462,'Retirement Calculator'!A:A,0),0),0)</f>
        <v>0</v>
      </c>
      <c r="K4462" s="455">
        <f t="shared" ca="1" si="186"/>
        <v>-78389496560.798035</v>
      </c>
      <c r="L4462" s="455">
        <f t="shared" ca="1" si="187"/>
        <v>-18891868671152.324</v>
      </c>
      <c r="M4462" s="471">
        <f t="shared" si="189"/>
        <v>0.05</v>
      </c>
      <c r="N4462" s="475">
        <f t="shared" si="190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88"/>
        <v>-18891868671152.324</v>
      </c>
      <c r="J4463" s="455">
        <f t="array" ref="J4463">IFERROR(INDEX('Retirement Calculator'!J:J,MATCH('Isaac 401k'!N4463,'Retirement Calculator'!A:A,0),0),0)</f>
        <v>0</v>
      </c>
      <c r="K4463" s="455">
        <f t="shared" ca="1" si="186"/>
        <v>-78716119463.134689</v>
      </c>
      <c r="L4463" s="455">
        <f t="shared" ca="1" si="187"/>
        <v>-18970584790615.457</v>
      </c>
      <c r="M4463" s="471">
        <f t="shared" si="189"/>
        <v>0.05</v>
      </c>
      <c r="N4463" s="475">
        <f t="shared" si="190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88"/>
        <v>-18970584790615.457</v>
      </c>
      <c r="J4464" s="455">
        <f t="array" ref="J4464">IFERROR(INDEX('Retirement Calculator'!J:J,MATCH('Isaac 401k'!N4464,'Retirement Calculator'!A:A,0),0),0)</f>
        <v>0</v>
      </c>
      <c r="K4464" s="455">
        <f t="shared" ca="1" si="186"/>
        <v>-79044103294.231064</v>
      </c>
      <c r="L4464" s="455">
        <f t="shared" ca="1" si="187"/>
        <v>-19049628893909.688</v>
      </c>
      <c r="M4464" s="471">
        <f t="shared" si="189"/>
        <v>0.05</v>
      </c>
      <c r="N4464" s="475">
        <f t="shared" si="190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88"/>
        <v>-19049628893909.688</v>
      </c>
      <c r="J4465" s="455">
        <f t="array" ref="J4465">IFERROR(INDEX('Retirement Calculator'!J:J,MATCH('Isaac 401k'!N4465,'Retirement Calculator'!A:A,0),0),0)</f>
        <v>0</v>
      </c>
      <c r="K4465" s="455">
        <f t="shared" ca="1" si="186"/>
        <v>-79373453724.623703</v>
      </c>
      <c r="L4465" s="455">
        <f t="shared" ca="1" si="187"/>
        <v>-19129002347634.313</v>
      </c>
      <c r="M4465" s="471">
        <f t="shared" si="189"/>
        <v>0.05</v>
      </c>
      <c r="N4465" s="475">
        <f t="shared" si="190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88"/>
        <v>-19129002347634.313</v>
      </c>
      <c r="J4466" s="455">
        <f t="array" ref="J4466">IFERROR(INDEX('Retirement Calculator'!J:J,MATCH('Isaac 401k'!N4466,'Retirement Calculator'!A:A,0),0),0)</f>
        <v>0</v>
      </c>
      <c r="K4466" s="455">
        <f t="shared" ca="1" si="186"/>
        <v>-79704176448.476303</v>
      </c>
      <c r="L4466" s="455">
        <f t="shared" ca="1" si="187"/>
        <v>-19208706524082.789</v>
      </c>
      <c r="M4466" s="471">
        <f t="shared" si="189"/>
        <v>0.05</v>
      </c>
      <c r="N4466" s="475">
        <f t="shared" si="190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88"/>
        <v>-19208706524082.789</v>
      </c>
      <c r="J4467" s="455">
        <f t="array" ref="J4467">IFERROR(INDEX('Retirement Calculator'!J:J,MATCH('Isaac 401k'!N4467,'Retirement Calculator'!A:A,0),0),0)</f>
        <v>0</v>
      </c>
      <c r="K4467" s="455">
        <f t="shared" ca="1" si="186"/>
        <v>-80036277183.678284</v>
      </c>
      <c r="L4467" s="455">
        <f t="shared" ca="1" si="187"/>
        <v>-19288742801266.469</v>
      </c>
      <c r="M4467" s="471">
        <f t="shared" si="189"/>
        <v>0.05</v>
      </c>
      <c r="N4467" s="475">
        <f t="shared" si="190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88"/>
        <v>-19288742801266.469</v>
      </c>
      <c r="J4468" s="455">
        <f t="array" ref="J4468">IFERROR(INDEX('Retirement Calculator'!J:J,MATCH('Isaac 401k'!N4468,'Retirement Calculator'!A:A,0),0),0)</f>
        <v>0</v>
      </c>
      <c r="K4468" s="455">
        <f t="shared" ca="1" si="186"/>
        <v>-80369761671.943619</v>
      </c>
      <c r="L4468" s="455">
        <f t="shared" ca="1" si="187"/>
        <v>-19369112562938.414</v>
      </c>
      <c r="M4468" s="471">
        <f t="shared" si="189"/>
        <v>0.05</v>
      </c>
      <c r="N4468" s="475">
        <f t="shared" si="190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88"/>
        <v>-19369112562938.414</v>
      </c>
      <c r="J4469" s="455">
        <f t="array" ref="J4469">IFERROR(INDEX('Retirement Calculator'!J:J,MATCH('Isaac 401k'!N4469,'Retirement Calculator'!A:A,0),0),0)</f>
        <v>0</v>
      </c>
      <c r="K4469" s="455">
        <f t="shared" ca="1" si="186"/>
        <v>-80704635678.910065</v>
      </c>
      <c r="L4469" s="455">
        <f t="shared" ca="1" si="187"/>
        <v>-19449817198617.324</v>
      </c>
      <c r="M4469" s="471">
        <f t="shared" si="189"/>
        <v>0.05</v>
      </c>
      <c r="N4469" s="475">
        <f t="shared" si="190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88"/>
        <v>-19449817198617.324</v>
      </c>
      <c r="J4470" s="455">
        <f t="array" ref="J4470">IFERROR(INDEX('Retirement Calculator'!J:J,MATCH('Isaac 401k'!N4470,'Retirement Calculator'!A:A,0),0),0)</f>
        <v>0</v>
      </c>
      <c r="K4470" s="455">
        <f t="shared" ca="1" si="186"/>
        <v>-81040904994.238846</v>
      </c>
      <c r="L4470" s="455">
        <f t="shared" ca="1" si="187"/>
        <v>-19530858103611.563</v>
      </c>
      <c r="M4470" s="471">
        <f t="shared" si="189"/>
        <v>0.05</v>
      </c>
      <c r="N4470" s="475">
        <f t="shared" si="190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88"/>
        <v>-19530858103611.563</v>
      </c>
      <c r="J4471" s="455">
        <f t="array" ref="J4471">IFERROR(INDEX('Retirement Calculator'!J:J,MATCH('Isaac 401k'!N4471,'Retirement Calculator'!A:A,0),0),0)</f>
        <v>0</v>
      </c>
      <c r="K4471" s="455">
        <f t="shared" ca="1" si="186"/>
        <v>-81378575431.714844</v>
      </c>
      <c r="L4471" s="455">
        <f t="shared" ca="1" si="187"/>
        <v>-19612236679043.277</v>
      </c>
      <c r="M4471" s="471">
        <f t="shared" si="189"/>
        <v>0.05</v>
      </c>
      <c r="N4471" s="475">
        <f t="shared" si="190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88"/>
        <v>-19612236679043.277</v>
      </c>
      <c r="J4472" s="455">
        <f t="array" ref="J4472">IFERROR(INDEX('Retirement Calculator'!J:J,MATCH('Isaac 401k'!N4472,'Retirement Calculator'!A:A,0),0),0)</f>
        <v>0</v>
      </c>
      <c r="K4472" s="455">
        <f t="shared" ca="1" si="186"/>
        <v>-81717652829.346985</v>
      </c>
      <c r="L4472" s="455">
        <f t="shared" ca="1" si="187"/>
        <v>-19693954331872.625</v>
      </c>
      <c r="M4472" s="471">
        <f t="shared" si="189"/>
        <v>0.05</v>
      </c>
      <c r="N4472" s="475">
        <f t="shared" si="190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88"/>
        <v>-19693954331872.625</v>
      </c>
      <c r="J4473" s="455">
        <f t="array" ref="J4473">IFERROR(INDEX('Retirement Calculator'!J:J,MATCH('Isaac 401k'!N4473,'Retirement Calculator'!A:A,0),0),0)</f>
        <v>0</v>
      </c>
      <c r="K4473" s="455">
        <f t="shared" ca="1" si="186"/>
        <v>-82058143049.469269</v>
      </c>
      <c r="L4473" s="455">
        <f t="shared" ca="1" si="187"/>
        <v>-19776012474922.094</v>
      </c>
      <c r="M4473" s="471">
        <f t="shared" si="189"/>
        <v>0.05</v>
      </c>
      <c r="N4473" s="475">
        <f t="shared" si="190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88"/>
        <v>-19776012474922.094</v>
      </c>
      <c r="J4474" s="455">
        <f t="array" ref="J4474">IFERROR(INDEX('Retirement Calculator'!J:J,MATCH('Isaac 401k'!N4474,'Retirement Calculator'!A:A,0),0),0)</f>
        <v>0</v>
      </c>
      <c r="K4474" s="455">
        <f t="shared" ca="1" si="186"/>
        <v>-82400051978.842056</v>
      </c>
      <c r="L4474" s="455">
        <f t="shared" ca="1" si="187"/>
        <v>-19858412526900.938</v>
      </c>
      <c r="M4474" s="471">
        <f t="shared" si="189"/>
        <v>0.05</v>
      </c>
      <c r="N4474" s="475">
        <f t="shared" si="190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88"/>
        <v>-19858412526900.938</v>
      </c>
      <c r="J4475" s="455">
        <f t="array" ref="J4475">IFERROR(INDEX('Retirement Calculator'!J:J,MATCH('Isaac 401k'!N4475,'Retirement Calculator'!A:A,0),0),0)</f>
        <v>0</v>
      </c>
      <c r="K4475" s="455">
        <f t="shared" ca="1" si="186"/>
        <v>-82743385528.753906</v>
      </c>
      <c r="L4475" s="455">
        <f t="shared" ca="1" si="187"/>
        <v>-19941155912429.691</v>
      </c>
      <c r="M4475" s="471">
        <f t="shared" si="189"/>
        <v>0.05</v>
      </c>
      <c r="N4475" s="475">
        <f t="shared" si="190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88"/>
        <v>-19941155912429.691</v>
      </c>
      <c r="J4476" s="455">
        <f t="array" ref="J4476">IFERROR(INDEX('Retirement Calculator'!J:J,MATCH('Isaac 401k'!N4476,'Retirement Calculator'!A:A,0),0),0)</f>
        <v>0</v>
      </c>
      <c r="K4476" s="455">
        <f t="shared" ca="1" si="186"/>
        <v>-83088149635.123718</v>
      </c>
      <c r="L4476" s="455">
        <f t="shared" ca="1" si="187"/>
        <v>-20024244062064.816</v>
      </c>
      <c r="M4476" s="471">
        <f t="shared" si="189"/>
        <v>0.05</v>
      </c>
      <c r="N4476" s="475">
        <f t="shared" si="190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88"/>
        <v>-20024244062064.816</v>
      </c>
      <c r="J4477" s="455">
        <f t="array" ref="J4477">IFERROR(INDEX('Retirement Calculator'!J:J,MATCH('Isaac 401k'!N4477,'Retirement Calculator'!A:A,0),0),0)</f>
        <v>0</v>
      </c>
      <c r="K4477" s="455">
        <f t="shared" ca="1" si="186"/>
        <v>-83434350258.603394</v>
      </c>
      <c r="L4477" s="455">
        <f t="shared" ca="1" si="187"/>
        <v>-20107678412323.418</v>
      </c>
      <c r="M4477" s="471">
        <f t="shared" si="189"/>
        <v>0.05</v>
      </c>
      <c r="N4477" s="475">
        <f t="shared" si="190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88"/>
        <v>-20107678412323.418</v>
      </c>
      <c r="J4478" s="455">
        <f t="array" ref="J4478">IFERROR(INDEX('Retirement Calculator'!J:J,MATCH('Isaac 401k'!N4478,'Retirement Calculator'!A:A,0),0),0)</f>
        <v>0</v>
      </c>
      <c r="K4478" s="455">
        <f t="shared" ca="1" si="186"/>
        <v>-83781993384.680908</v>
      </c>
      <c r="L4478" s="455">
        <f t="shared" ca="1" si="187"/>
        <v>-20191460405708.098</v>
      </c>
      <c r="M4478" s="471">
        <f t="shared" si="189"/>
        <v>0.05</v>
      </c>
      <c r="N4478" s="475">
        <f t="shared" si="190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88"/>
        <v>-20191460405708.098</v>
      </c>
      <c r="J4479" s="455">
        <f t="array" ref="J4479">IFERROR(INDEX('Retirement Calculator'!J:J,MATCH('Isaac 401k'!N4479,'Retirement Calculator'!A:A,0),0),0)</f>
        <v>0</v>
      </c>
      <c r="K4479" s="455">
        <f t="shared" ca="1" si="186"/>
        <v>-84131085023.783737</v>
      </c>
      <c r="L4479" s="455">
        <f t="shared" ca="1" si="187"/>
        <v>-20275591490731.883</v>
      </c>
      <c r="M4479" s="471">
        <f t="shared" si="189"/>
        <v>0.05</v>
      </c>
      <c r="N4479" s="475">
        <f t="shared" si="190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88"/>
        <v>-20275591490731.883</v>
      </c>
      <c r="J4480" s="455">
        <f t="array" ref="J4480">IFERROR(INDEX('Retirement Calculator'!J:J,MATCH('Isaac 401k'!N4480,'Retirement Calculator'!A:A,0),0),0)</f>
        <v>0</v>
      </c>
      <c r="K4480" s="455">
        <f t="shared" ca="1" si="186"/>
        <v>-84481631211.382843</v>
      </c>
      <c r="L4480" s="455">
        <f t="shared" ca="1" si="187"/>
        <v>-20360073121943.266</v>
      </c>
      <c r="M4480" s="471">
        <f t="shared" si="189"/>
        <v>0.05</v>
      </c>
      <c r="N4480" s="475">
        <f t="shared" si="190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88"/>
        <v>-20360073121943.266</v>
      </c>
      <c r="J4481" s="455">
        <f t="array" ref="J4481">IFERROR(INDEX('Retirement Calculator'!J:J,MATCH('Isaac 401k'!N4481,'Retirement Calculator'!A:A,0),0),0)</f>
        <v>0</v>
      </c>
      <c r="K4481" s="455">
        <f t="shared" ca="1" si="186"/>
        <v>-84833638008.096939</v>
      </c>
      <c r="L4481" s="455">
        <f t="shared" ca="1" si="187"/>
        <v>-20444906759951.363</v>
      </c>
      <c r="M4481" s="471">
        <f t="shared" si="189"/>
        <v>0.05</v>
      </c>
      <c r="N4481" s="475">
        <f t="shared" si="190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88"/>
        <v>-20444906759951.363</v>
      </c>
      <c r="J4482" s="455">
        <f t="array" ref="J4482">IFERROR(INDEX('Retirement Calculator'!J:J,MATCH('Isaac 401k'!N4482,'Retirement Calculator'!A:A,0),0),0)</f>
        <v>0</v>
      </c>
      <c r="K4482" s="455">
        <f t="shared" ca="1" si="186"/>
        <v>-85187111499.797348</v>
      </c>
      <c r="L4482" s="455">
        <f t="shared" ca="1" si="187"/>
        <v>-20530093871451.16</v>
      </c>
      <c r="M4482" s="471">
        <f t="shared" si="189"/>
        <v>0.05</v>
      </c>
      <c r="N4482" s="475">
        <f t="shared" si="190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88"/>
        <v>-20530093871451.16</v>
      </c>
      <c r="J4483" s="455">
        <f t="array" ref="J4483">IFERROR(INDEX('Retirement Calculator'!J:J,MATCH('Isaac 401k'!N4483,'Retirement Calculator'!A:A,0),0),0)</f>
        <v>0</v>
      </c>
      <c r="K4483" s="455">
        <f t="shared" ca="1" si="186"/>
        <v>-85542057797.713165</v>
      </c>
      <c r="L4483" s="455">
        <f t="shared" ca="1" si="187"/>
        <v>-20615635929248.875</v>
      </c>
      <c r="M4483" s="471">
        <f t="shared" si="189"/>
        <v>0.05</v>
      </c>
      <c r="N4483" s="475">
        <f t="shared" si="190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88"/>
        <v>-20615635929248.875</v>
      </c>
      <c r="J4484" s="455">
        <f t="array" ref="J4484">IFERROR(INDEX('Retirement Calculator'!J:J,MATCH('Isaac 401k'!N4484,'Retirement Calculator'!A:A,0),0),0)</f>
        <v>0</v>
      </c>
      <c r="K4484" s="455">
        <f t="shared" ca="1" si="186"/>
        <v>-85898483038.536972</v>
      </c>
      <c r="L4484" s="455">
        <f t="shared" ca="1" si="187"/>
        <v>-20701534412287.41</v>
      </c>
      <c r="M4484" s="471">
        <f t="shared" si="189"/>
        <v>0.05</v>
      </c>
      <c r="N4484" s="475">
        <f t="shared" si="190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88"/>
        <v>-20701534412287.41</v>
      </c>
      <c r="J4485" s="455">
        <f t="array" ref="J4485">IFERROR(INDEX('Retirement Calculator'!J:J,MATCH('Isaac 401k'!N4485,'Retirement Calculator'!A:A,0),0),0)</f>
        <v>0</v>
      </c>
      <c r="K4485" s="455">
        <f t="shared" ca="1" si="186"/>
        <v>-86256393384.530869</v>
      </c>
      <c r="L4485" s="455">
        <f t="shared" ca="1" si="187"/>
        <v>-20787790805671.941</v>
      </c>
      <c r="M4485" s="471">
        <f t="shared" si="189"/>
        <v>0.05</v>
      </c>
      <c r="N4485" s="475">
        <f t="shared" si="190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88"/>
        <v>-20787790805671.941</v>
      </c>
      <c r="J4486" s="455">
        <f t="array" ref="J4486">IFERROR(INDEX('Retirement Calculator'!J:J,MATCH('Isaac 401k'!N4486,'Retirement Calculator'!A:A,0),0),0)</f>
        <v>0</v>
      </c>
      <c r="K4486" s="455">
        <f t="shared" ca="1" si="186"/>
        <v>-86615795023.633087</v>
      </c>
      <c r="L4486" s="455">
        <f t="shared" ca="1" si="187"/>
        <v>-20874406600695.574</v>
      </c>
      <c r="M4486" s="471">
        <f t="shared" si="189"/>
        <v>0.05</v>
      </c>
      <c r="N4486" s="475">
        <f t="shared" si="190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88"/>
        <v>-20874406600695.574</v>
      </c>
      <c r="J4487" s="455">
        <f t="array" ref="J4487">IFERROR(INDEX('Retirement Calculator'!J:J,MATCH('Isaac 401k'!N4487,'Retirement Calculator'!A:A,0),0),0)</f>
        <v>0</v>
      </c>
      <c r="K4487" s="455">
        <f t="shared" ca="1" si="186"/>
        <v>-86976694169.564896</v>
      </c>
      <c r="L4487" s="455">
        <f t="shared" ca="1" si="187"/>
        <v>-20961383294865.141</v>
      </c>
      <c r="M4487" s="471">
        <f t="shared" si="189"/>
        <v>0.05</v>
      </c>
      <c r="N4487" s="475">
        <f t="shared" si="190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88"/>
        <v>-20961383294865.141</v>
      </c>
      <c r="J4488" s="455">
        <f t="array" ref="J4488">IFERROR(INDEX('Retirement Calculator'!J:J,MATCH('Isaac 401k'!N4488,'Retirement Calculator'!A:A,0),0),0)</f>
        <v>0</v>
      </c>
      <c r="K4488" s="455">
        <f t="shared" ca="1" si="186"/>
        <v>-87339097061.93808</v>
      </c>
      <c r="L4488" s="455">
        <f t="shared" ca="1" si="187"/>
        <v>-21048722391927.078</v>
      </c>
      <c r="M4488" s="471">
        <f t="shared" si="189"/>
        <v>0.05</v>
      </c>
      <c r="N4488" s="475">
        <f t="shared" si="190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88"/>
        <v>-21048722391927.078</v>
      </c>
      <c r="J4489" s="455">
        <f t="array" ref="J4489">IFERROR(INDEX('Retirement Calculator'!J:J,MATCH('Isaac 401k'!N4489,'Retirement Calculator'!A:A,0),0),0)</f>
        <v>0</v>
      </c>
      <c r="K4489" s="455">
        <f t="shared" ca="1" si="186"/>
        <v>-87703009966.362823</v>
      </c>
      <c r="L4489" s="455">
        <f t="shared" ca="1" si="187"/>
        <v>-21136425401893.441</v>
      </c>
      <c r="M4489" s="471">
        <f t="shared" si="189"/>
        <v>0.05</v>
      </c>
      <c r="N4489" s="475">
        <f t="shared" si="190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88"/>
        <v>-21136425401893.441</v>
      </c>
      <c r="J4490" s="455">
        <f t="array" ref="J4490">IFERROR(INDEX('Retirement Calculator'!J:J,MATCH('Isaac 401k'!N4490,'Retirement Calculator'!A:A,0),0),0)</f>
        <v>0</v>
      </c>
      <c r="K4490" s="455">
        <f t="shared" ca="1" si="186"/>
        <v>-88068439174.556</v>
      </c>
      <c r="L4490" s="455">
        <f t="shared" ca="1" si="187"/>
        <v>-21224493841067.996</v>
      </c>
      <c r="M4490" s="471">
        <f t="shared" si="189"/>
        <v>0.05</v>
      </c>
      <c r="N4490" s="475">
        <f t="shared" si="190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88"/>
        <v>-21224493841067.996</v>
      </c>
      <c r="J4491" s="455">
        <f t="array" ref="J4491">IFERROR(INDEX('Retirement Calculator'!J:J,MATCH('Isaac 401k'!N4491,'Retirement Calculator'!A:A,0),0),0)</f>
        <v>0</v>
      </c>
      <c r="K4491" s="455">
        <f t="shared" ca="1" si="186"/>
        <v>-88435391004.449982</v>
      </c>
      <c r="L4491" s="455">
        <f t="shared" ca="1" si="187"/>
        <v>-21312929232072.445</v>
      </c>
      <c r="M4491" s="471">
        <f t="shared" si="189"/>
        <v>0.05</v>
      </c>
      <c r="N4491" s="475">
        <f t="shared" si="190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88"/>
        <v>-21312929232072.445</v>
      </c>
      <c r="J4492" s="455">
        <f t="array" ref="J4492">IFERROR(INDEX('Retirement Calculator'!J:J,MATCH('Isaac 401k'!N4492,'Retirement Calculator'!A:A,0),0),0)</f>
        <v>0</v>
      </c>
      <c r="K4492" s="455">
        <f t="shared" ca="1" si="186"/>
        <v>-88803871800.301849</v>
      </c>
      <c r="L4492" s="455">
        <f t="shared" ca="1" si="187"/>
        <v>-21401733103872.746</v>
      </c>
      <c r="M4492" s="471">
        <f t="shared" si="189"/>
        <v>0.05</v>
      </c>
      <c r="N4492" s="475">
        <f t="shared" si="190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88"/>
        <v>-21401733103872.746</v>
      </c>
      <c r="J4493" s="455">
        <f t="array" ref="J4493">IFERROR(INDEX('Retirement Calculator'!J:J,MATCH('Isaac 401k'!N4493,'Retirement Calculator'!A:A,0),0),0)</f>
        <v>0</v>
      </c>
      <c r="K4493" s="455">
        <f t="shared" ca="1" si="186"/>
        <v>-89173887932.803101</v>
      </c>
      <c r="L4493" s="455">
        <f t="shared" ca="1" si="187"/>
        <v>-21490906991805.551</v>
      </c>
      <c r="M4493" s="471">
        <f t="shared" si="189"/>
        <v>0.05</v>
      </c>
      <c r="N4493" s="475">
        <f t="shared" si="190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88"/>
        <v>-21490906991805.551</v>
      </c>
      <c r="J4494" s="455">
        <f t="array" ref="J4494">IFERROR(INDEX('Retirement Calculator'!J:J,MATCH('Isaac 401k'!N4494,'Retirement Calculator'!A:A,0),0),0)</f>
        <v>0</v>
      </c>
      <c r="K4494" s="455">
        <f t="shared" ca="1" si="186"/>
        <v>-89545445799.189789</v>
      </c>
      <c r="L4494" s="455">
        <f t="shared" ca="1" si="187"/>
        <v>-21580452437604.742</v>
      </c>
      <c r="M4494" s="471">
        <f t="shared" si="189"/>
        <v>0.05</v>
      </c>
      <c r="N4494" s="475">
        <f t="shared" si="190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88"/>
        <v>-21580452437604.742</v>
      </c>
      <c r="J4495" s="455">
        <f t="array" ref="J4495">IFERROR(INDEX('Retirement Calculator'!J:J,MATCH('Isaac 401k'!N4495,'Retirement Calculator'!A:A,0),0),0)</f>
        <v>0</v>
      </c>
      <c r="K4495" s="455">
        <f t="shared" ca="1" si="186"/>
        <v>-89918551823.353088</v>
      </c>
      <c r="L4495" s="455">
        <f t="shared" ca="1" si="187"/>
        <v>-21670370989428.094</v>
      </c>
      <c r="M4495" s="471">
        <f t="shared" si="189"/>
        <v>0.05</v>
      </c>
      <c r="N4495" s="475">
        <f t="shared" si="190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88"/>
        <v>-21670370989428.094</v>
      </c>
      <c r="J4496" s="455">
        <f t="array" ref="J4496">IFERROR(INDEX('Retirement Calculator'!J:J,MATCH('Isaac 401k'!N4496,'Retirement Calculator'!A:A,0),0),0)</f>
        <v>0</v>
      </c>
      <c r="K4496" s="455">
        <f t="shared" ca="1" si="186"/>
        <v>-90293212455.950394</v>
      </c>
      <c r="L4496" s="455">
        <f t="shared" ca="1" si="187"/>
        <v>-21760664201884.043</v>
      </c>
      <c r="M4496" s="471">
        <f t="shared" si="189"/>
        <v>0.05</v>
      </c>
      <c r="N4496" s="475">
        <f t="shared" si="190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88"/>
        <v>-21760664201884.043</v>
      </c>
      <c r="J4497" s="455">
        <f t="array" ref="J4497">IFERROR(INDEX('Retirement Calculator'!J:J,MATCH('Isaac 401k'!N4497,'Retirement Calculator'!A:A,0),0),0)</f>
        <v>0</v>
      </c>
      <c r="K4497" s="455">
        <f t="shared" ca="1" si="186"/>
        <v>-90669434174.516846</v>
      </c>
      <c r="L4497" s="455">
        <f t="shared" ca="1" si="187"/>
        <v>-21851333636058.559</v>
      </c>
      <c r="M4497" s="471">
        <f t="shared" si="189"/>
        <v>0.05</v>
      </c>
      <c r="N4497" s="475">
        <f t="shared" si="190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88"/>
        <v>-21851333636058.559</v>
      </c>
      <c r="J4498" s="455">
        <f t="array" ref="J4498">IFERROR(INDEX('Retirement Calculator'!J:J,MATCH('Isaac 401k'!N4498,'Retirement Calculator'!A:A,0),0),0)</f>
        <v>0</v>
      </c>
      <c r="K4498" s="455">
        <f t="shared" ca="1" si="186"/>
        <v>-91047223483.577332</v>
      </c>
      <c r="L4498" s="455">
        <f t="shared" ca="1" si="187"/>
        <v>-21942380859542.137</v>
      </c>
      <c r="M4498" s="471">
        <f t="shared" si="189"/>
        <v>0.05</v>
      </c>
      <c r="N4498" s="475">
        <f t="shared" si="190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88"/>
        <v>-21942380859542.137</v>
      </c>
      <c r="J4499" s="455">
        <f t="array" ref="J4499">IFERROR(INDEX('Retirement Calculator'!J:J,MATCH('Isaac 401k'!N4499,'Retirement Calculator'!A:A,0),0),0)</f>
        <v>0</v>
      </c>
      <c r="K4499" s="455">
        <f t="shared" ca="1" si="186"/>
        <v>-91426586914.758896</v>
      </c>
      <c r="L4499" s="455">
        <f t="shared" ca="1" si="187"/>
        <v>-22033807446456.895</v>
      </c>
      <c r="M4499" s="471">
        <f t="shared" si="189"/>
        <v>0.05</v>
      </c>
      <c r="N4499" s="475">
        <f t="shared" si="190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88"/>
        <v>-22033807446456.895</v>
      </c>
      <c r="J4500" s="455">
        <f t="array" ref="J4500">IFERROR(INDEX('Retirement Calculator'!J:J,MATCH('Isaac 401k'!N4500,'Retirement Calculator'!A:A,0),0),0)</f>
        <v>0</v>
      </c>
      <c r="K4500" s="455">
        <f t="shared" ca="1" si="186"/>
        <v>-91807531026.903732</v>
      </c>
      <c r="L4500" s="455">
        <f t="shared" ca="1" si="187"/>
        <v>-22125614977483.797</v>
      </c>
      <c r="M4500" s="471">
        <f t="shared" si="189"/>
        <v>0.05</v>
      </c>
      <c r="N4500" s="475">
        <f t="shared" si="190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88"/>
        <v>-22125614977483.797</v>
      </c>
      <c r="J4501" s="455">
        <f t="array" ref="J4501">IFERROR(INDEX('Retirement Calculator'!J:J,MATCH('Isaac 401k'!N4501,'Retirement Calculator'!A:A,0),0),0)</f>
        <v>0</v>
      </c>
      <c r="K4501" s="455">
        <f t="shared" ca="1" si="186"/>
        <v>-92190062406.18248</v>
      </c>
      <c r="L4501" s="455">
        <f t="shared" ca="1" si="187"/>
        <v>-22217805039889.98</v>
      </c>
      <c r="M4501" s="471">
        <f t="shared" si="189"/>
        <v>0.05</v>
      </c>
      <c r="N4501" s="475">
        <f t="shared" si="190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88"/>
        <v>-22217805039889.98</v>
      </c>
      <c r="J4502" s="455">
        <f t="array" ref="J4502">IFERROR(INDEX('Retirement Calculator'!J:J,MATCH('Isaac 401k'!N4502,'Retirement Calculator'!A:A,0),0),0)</f>
        <v>0</v>
      </c>
      <c r="K4502" s="455">
        <f t="shared" ca="1" si="186"/>
        <v>-92574187666.208252</v>
      </c>
      <c r="L4502" s="455">
        <f t="shared" ca="1" si="187"/>
        <v>-22310379227556.188</v>
      </c>
      <c r="M4502" s="471">
        <f t="shared" si="189"/>
        <v>0.05</v>
      </c>
      <c r="N4502" s="475">
        <f t="shared" si="190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88"/>
        <v>-22310379227556.188</v>
      </c>
      <c r="J4503" s="455">
        <f t="array" ref="J4503">IFERROR(INDEX('Retirement Calculator'!J:J,MATCH('Isaac 401k'!N4503,'Retirement Calculator'!A:A,0),0),0)</f>
        <v>0</v>
      </c>
      <c r="K4503" s="455">
        <f t="shared" ca="1" si="186"/>
        <v>-92959913448.150787</v>
      </c>
      <c r="L4503" s="455">
        <f t="shared" ca="1" si="187"/>
        <v>-22403339141004.34</v>
      </c>
      <c r="M4503" s="471">
        <f t="shared" si="189"/>
        <v>0.05</v>
      </c>
      <c r="N4503" s="475">
        <f t="shared" si="190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88"/>
        <v>-22403339141004.34</v>
      </c>
      <c r="J4504" s="455">
        <f t="array" ref="J4504">IFERROR(INDEX('Retirement Calculator'!J:J,MATCH('Isaac 401k'!N4504,'Retirement Calculator'!A:A,0),0),0)</f>
        <v>0</v>
      </c>
      <c r="K4504" s="455">
        <f t="shared" ca="1" si="186"/>
        <v>-93347246420.85141</v>
      </c>
      <c r="L4504" s="455">
        <f t="shared" ca="1" si="187"/>
        <v>-22496686387425.191</v>
      </c>
      <c r="M4504" s="471">
        <f t="shared" si="189"/>
        <v>0.05</v>
      </c>
      <c r="N4504" s="475">
        <f t="shared" si="190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88"/>
        <v>-22496686387425.191</v>
      </c>
      <c r="J4505" s="455">
        <f t="array" ref="J4505">IFERROR(INDEX('Retirement Calculator'!J:J,MATCH('Isaac 401k'!N4505,'Retirement Calculator'!A:A,0),0),0)</f>
        <v>0</v>
      </c>
      <c r="K4505" s="455">
        <f t="shared" ca="1" si="186"/>
        <v>-93736193280.938293</v>
      </c>
      <c r="L4505" s="455">
        <f t="shared" ca="1" si="187"/>
        <v>-22590422580706.129</v>
      </c>
      <c r="M4505" s="471">
        <f t="shared" si="189"/>
        <v>0.05</v>
      </c>
      <c r="N4505" s="475">
        <f t="shared" si="190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88"/>
        <v>-22590422580706.129</v>
      </c>
      <c r="J4506" s="455">
        <f t="array" ref="J4506">IFERROR(INDEX('Retirement Calculator'!J:J,MATCH('Isaac 401k'!N4506,'Retirement Calculator'!A:A,0),0),0)</f>
        <v>0</v>
      </c>
      <c r="K4506" s="455">
        <f t="shared" ca="1" si="186"/>
        <v>-94126760752.9422</v>
      </c>
      <c r="L4506" s="455">
        <f t="shared" ca="1" si="187"/>
        <v>-22684549341459.07</v>
      </c>
      <c r="M4506" s="471">
        <f t="shared" si="189"/>
        <v>0.05</v>
      </c>
      <c r="N4506" s="475">
        <f t="shared" si="190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88"/>
        <v>-22684549341459.07</v>
      </c>
      <c r="J4507" s="455">
        <f t="array" ref="J4507">IFERROR(INDEX('Retirement Calculator'!J:J,MATCH('Isaac 401k'!N4507,'Retirement Calculator'!A:A,0),0),0)</f>
        <v>0</v>
      </c>
      <c r="K4507" s="455">
        <f t="shared" ca="1" si="186"/>
        <v>-94518955589.412796</v>
      </c>
      <c r="L4507" s="455">
        <f t="shared" ca="1" si="187"/>
        <v>-22779068297048.484</v>
      </c>
      <c r="M4507" s="471">
        <f t="shared" si="189"/>
        <v>0.05</v>
      </c>
      <c r="N4507" s="475">
        <f t="shared" si="190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88"/>
        <v>-22779068297048.484</v>
      </c>
      <c r="J4508" s="455">
        <f t="array" ref="J4508">IFERROR(INDEX('Retirement Calculator'!J:J,MATCH('Isaac 401k'!N4508,'Retirement Calculator'!A:A,0),0),0)</f>
        <v>0</v>
      </c>
      <c r="K4508" s="455">
        <f t="shared" ca="1" si="186"/>
        <v>-94912784571.035355</v>
      </c>
      <c r="L4508" s="455">
        <f t="shared" ca="1" si="187"/>
        <v>-22873981081619.52</v>
      </c>
      <c r="M4508" s="471">
        <f t="shared" si="189"/>
        <v>0.05</v>
      </c>
      <c r="N4508" s="475">
        <f t="shared" si="190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88"/>
        <v>-22873981081619.52</v>
      </c>
      <c r="J4509" s="455">
        <f t="array" ref="J4509">IFERROR(INDEX('Retirement Calculator'!J:J,MATCH('Isaac 401k'!N4509,'Retirement Calculator'!A:A,0),0),0)</f>
        <v>0</v>
      </c>
      <c r="K4509" s="455">
        <f t="shared" ca="1" si="186"/>
        <v>-95308254506.748001</v>
      </c>
      <c r="L4509" s="455">
        <f t="shared" ca="1" si="187"/>
        <v>-22969289336126.266</v>
      </c>
      <c r="M4509" s="471">
        <f t="shared" si="189"/>
        <v>0.05</v>
      </c>
      <c r="N4509" s="475">
        <f t="shared" si="190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88"/>
        <v>-22969289336126.266</v>
      </c>
      <c r="J4510" s="455">
        <f t="array" ref="J4510">IFERROR(INDEX('Retirement Calculator'!J:J,MATCH('Isaac 401k'!N4510,'Retirement Calculator'!A:A,0),0),0)</f>
        <v>0</v>
      </c>
      <c r="K4510" s="455">
        <f t="shared" ca="1" si="186"/>
        <v>-95705372233.859436</v>
      </c>
      <c r="L4510" s="455">
        <f t="shared" ca="1" si="187"/>
        <v>-23064994708360.125</v>
      </c>
      <c r="M4510" s="471">
        <f t="shared" si="189"/>
        <v>0.05</v>
      </c>
      <c r="N4510" s="475">
        <f t="shared" si="190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88"/>
        <v>-23064994708360.125</v>
      </c>
      <c r="J4511" s="455">
        <f t="array" ref="J4511">IFERROR(INDEX('Retirement Calculator'!J:J,MATCH('Isaac 401k'!N4511,'Retirement Calculator'!A:A,0),0),0)</f>
        <v>0</v>
      </c>
      <c r="K4511" s="455">
        <f t="shared" ca="1" si="186"/>
        <v>-96104144618.167191</v>
      </c>
      <c r="L4511" s="455">
        <f t="shared" ca="1" si="187"/>
        <v>-23161098852978.293</v>
      </c>
      <c r="M4511" s="471">
        <f t="shared" si="189"/>
        <v>0.05</v>
      </c>
      <c r="N4511" s="475">
        <f t="shared" si="190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88"/>
        <v>-23161098852978.293</v>
      </c>
      <c r="J4512" s="455">
        <f t="array" ref="J4512">IFERROR(INDEX('Retirement Calculator'!J:J,MATCH('Isaac 401k'!N4512,'Retirement Calculator'!A:A,0),0),0)</f>
        <v>0</v>
      </c>
      <c r="K4512" s="455">
        <f t="shared" ca="1" si="186"/>
        <v>-96504578554.076218</v>
      </c>
      <c r="L4512" s="455">
        <f t="shared" ca="1" si="187"/>
        <v>-23257603431532.371</v>
      </c>
      <c r="M4512" s="471">
        <f t="shared" si="189"/>
        <v>0.05</v>
      </c>
      <c r="N4512" s="475">
        <f t="shared" si="190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88"/>
        <v>-23257603431532.371</v>
      </c>
      <c r="J4513" s="455">
        <f t="array" ref="J4513">IFERROR(INDEX('Retirement Calculator'!J:J,MATCH('Isaac 401k'!N4513,'Retirement Calculator'!A:A,0),0),0)</f>
        <v>0</v>
      </c>
      <c r="K4513" s="455">
        <f t="shared" ca="1" si="186"/>
        <v>-96906680964.718216</v>
      </c>
      <c r="L4513" s="455">
        <f t="shared" ca="1" si="187"/>
        <v>-23354510112497.09</v>
      </c>
      <c r="M4513" s="471">
        <f t="shared" si="189"/>
        <v>0.05</v>
      </c>
      <c r="N4513" s="475">
        <f t="shared" si="190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88"/>
        <v>-23354510112497.09</v>
      </c>
      <c r="J4514" s="455">
        <f t="array" ref="J4514">IFERROR(INDEX('Retirement Calculator'!J:J,MATCH('Isaac 401k'!N4514,'Retirement Calculator'!A:A,0),0),0)</f>
        <v>0</v>
      </c>
      <c r="K4514" s="455">
        <f t="shared" ca="1" si="186"/>
        <v>-97310458802.071213</v>
      </c>
      <c r="L4514" s="455">
        <f t="shared" ca="1" si="187"/>
        <v>-23451820571299.16</v>
      </c>
      <c r="M4514" s="471">
        <f t="shared" si="189"/>
        <v>0.05</v>
      </c>
      <c r="N4514" s="475">
        <f t="shared" si="190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88"/>
        <v>-23451820571299.16</v>
      </c>
      <c r="J4515" s="455">
        <f t="array" ref="J4515">IFERROR(INDEX('Retirement Calculator'!J:J,MATCH('Isaac 401k'!N4515,'Retirement Calculator'!A:A,0),0),0)</f>
        <v>0</v>
      </c>
      <c r="K4515" s="455">
        <f t="shared" ca="1" si="186"/>
        <v>-97715919047.079834</v>
      </c>
      <c r="L4515" s="455">
        <f t="shared" ca="1" si="187"/>
        <v>-23549536490346.238</v>
      </c>
      <c r="M4515" s="471">
        <f t="shared" si="189"/>
        <v>0.05</v>
      </c>
      <c r="N4515" s="475">
        <f t="shared" si="190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88"/>
        <v>-23549536490346.238</v>
      </c>
      <c r="J4516" s="455">
        <f t="array" ref="J4516">IFERROR(INDEX('Retirement Calculator'!J:J,MATCH('Isaac 401k'!N4516,'Retirement Calculator'!A:A,0),0),0)</f>
        <v>0</v>
      </c>
      <c r="K4516" s="455">
        <f t="shared" ca="1" si="186"/>
        <v>-98123068709.775986</v>
      </c>
      <c r="L4516" s="455">
        <f t="shared" ca="1" si="187"/>
        <v>-23647659559056.016</v>
      </c>
      <c r="M4516" s="471">
        <f t="shared" si="189"/>
        <v>0.05</v>
      </c>
      <c r="N4516" s="475">
        <f t="shared" si="190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88"/>
        <v>-23647659559056.016</v>
      </c>
      <c r="J4517" s="455">
        <f t="array" ref="J4517">IFERROR(INDEX('Retirement Calculator'!J:J,MATCH('Isaac 401k'!N4517,'Retirement Calculator'!A:A,0),0),0)</f>
        <v>0</v>
      </c>
      <c r="K4517" s="455">
        <f t="shared" ca="1" si="186"/>
        <v>-98531914829.40007</v>
      </c>
      <c r="L4517" s="455">
        <f t="shared" ca="1" si="187"/>
        <v>-23746191473885.414</v>
      </c>
      <c r="M4517" s="471">
        <f t="shared" si="189"/>
        <v>0.05</v>
      </c>
      <c r="N4517" s="475">
        <f t="shared" si="190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88"/>
        <v>-23746191473885.414</v>
      </c>
      <c r="J4518" s="455">
        <f t="array" ref="J4518">IFERROR(INDEX('Retirement Calculator'!J:J,MATCH('Isaac 401k'!N4518,'Retirement Calculator'!A:A,0),0),0)</f>
        <v>0</v>
      </c>
      <c r="K4518" s="455">
        <f t="shared" ca="1" si="186"/>
        <v>-98942464474.522552</v>
      </c>
      <c r="L4518" s="455">
        <f t="shared" ca="1" si="187"/>
        <v>-23845133938359.938</v>
      </c>
      <c r="M4518" s="471">
        <f t="shared" si="189"/>
        <v>0.05</v>
      </c>
      <c r="N4518" s="475">
        <f t="shared" si="190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88"/>
        <v>-23845133938359.938</v>
      </c>
      <c r="J4519" s="455">
        <f t="array" ref="J4519">IFERROR(INDEX('Retirement Calculator'!J:J,MATCH('Isaac 401k'!N4519,'Retirement Calculator'!A:A,0),0),0)</f>
        <v>0</v>
      </c>
      <c r="K4519" s="455">
        <f t="shared" ca="1" si="186"/>
        <v>-99354724743.166412</v>
      </c>
      <c r="L4519" s="455">
        <f t="shared" ca="1" si="187"/>
        <v>-23944488663103.105</v>
      </c>
      <c r="M4519" s="471">
        <f t="shared" si="189"/>
        <v>0.05</v>
      </c>
      <c r="N4519" s="475">
        <f t="shared" si="190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88"/>
        <v>-23944488663103.105</v>
      </c>
      <c r="J4520" s="455">
        <f t="array" ref="J4520">IFERROR(INDEX('Retirement Calculator'!J:J,MATCH('Isaac 401k'!N4520,'Retirement Calculator'!A:A,0),0),0)</f>
        <v>0</v>
      </c>
      <c r="K4520" s="455">
        <f t="shared" ca="1" si="186"/>
        <v>-99768702762.929611</v>
      </c>
      <c r="L4520" s="455">
        <f t="shared" ca="1" si="187"/>
        <v>-24044257365866.035</v>
      </c>
      <c r="M4520" s="471">
        <f t="shared" si="189"/>
        <v>0.05</v>
      </c>
      <c r="N4520" s="475">
        <f t="shared" si="190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88"/>
        <v>-24044257365866.035</v>
      </c>
      <c r="J4521" s="455">
        <f t="array" ref="J4521">IFERROR(INDEX('Retirement Calculator'!J:J,MATCH('Isaac 401k'!N4521,'Retirement Calculator'!A:A,0),0),0)</f>
        <v>0</v>
      </c>
      <c r="K4521" s="455">
        <f t="shared" ca="1" si="186"/>
        <v>-100184405691.10847</v>
      </c>
      <c r="L4521" s="455">
        <f t="shared" ca="1" si="187"/>
        <v>-24144441771557.145</v>
      </c>
      <c r="M4521" s="471">
        <f t="shared" si="189"/>
        <v>0.05</v>
      </c>
      <c r="N4521" s="475">
        <f t="shared" si="190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88"/>
        <v>-24144441771557.145</v>
      </c>
      <c r="J4522" s="455">
        <f t="array" ref="J4522">IFERROR(INDEX('Retirement Calculator'!J:J,MATCH('Isaac 401k'!N4522,'Retirement Calculator'!A:A,0),0),0)</f>
        <v>0</v>
      </c>
      <c r="K4522" s="455">
        <f t="shared" ca="1" si="186"/>
        <v>-100601840714.82144</v>
      </c>
      <c r="L4522" s="455">
        <f t="shared" ca="1" si="187"/>
        <v>-24245043612271.965</v>
      </c>
      <c r="M4522" s="471">
        <f t="shared" si="189"/>
        <v>0.05</v>
      </c>
      <c r="N4522" s="475">
        <f t="shared" si="190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88"/>
        <v>-24245043612271.965</v>
      </c>
      <c r="J4523" s="455">
        <f t="array" ref="J4523">IFERROR(INDEX('Retirement Calculator'!J:J,MATCH('Isaac 401k'!N4523,'Retirement Calculator'!A:A,0),0),0)</f>
        <v>0</v>
      </c>
      <c r="K4523" s="455">
        <f t="shared" ca="1" si="186"/>
        <v>-101021015051.13318</v>
      </c>
      <c r="L4523" s="455">
        <f t="shared" ca="1" si="187"/>
        <v>-24346064627323.098</v>
      </c>
      <c r="M4523" s="471">
        <f t="shared" si="189"/>
        <v>0.05</v>
      </c>
      <c r="N4523" s="475">
        <f t="shared" si="190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88"/>
        <v>-24346064627323.098</v>
      </c>
      <c r="J4524" s="455">
        <f t="array" ref="J4524">IFERROR(INDEX('Retirement Calculator'!J:J,MATCH('Isaac 401k'!N4524,'Retirement Calculator'!A:A,0),0),0)</f>
        <v>0</v>
      </c>
      <c r="K4524" s="455">
        <f t="shared" ca="1" si="186"/>
        <v>-101441935947.17957</v>
      </c>
      <c r="L4524" s="455">
        <f t="shared" ca="1" si="187"/>
        <v>-24447506563270.277</v>
      </c>
      <c r="M4524" s="471">
        <f t="shared" si="189"/>
        <v>0.05</v>
      </c>
      <c r="N4524" s="475">
        <f t="shared" si="190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88"/>
        <v>-24447506563270.277</v>
      </c>
      <c r="J4525" s="455">
        <f t="array" ref="J4525">IFERROR(INDEX('Retirement Calculator'!J:J,MATCH('Isaac 401k'!N4525,'Retirement Calculator'!A:A,0),0),0)</f>
        <v>0</v>
      </c>
      <c r="K4525" s="455">
        <f t="shared" ca="1" si="186"/>
        <v>-101864610680.29282</v>
      </c>
      <c r="L4525" s="455">
        <f t="shared" ca="1" si="187"/>
        <v>-24549371173950.57</v>
      </c>
      <c r="M4525" s="471">
        <f t="shared" si="189"/>
        <v>0.05</v>
      </c>
      <c r="N4525" s="475">
        <f t="shared" si="190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88"/>
        <v>-24549371173950.57</v>
      </c>
      <c r="J4526" s="455">
        <f t="array" ref="J4526">IFERROR(INDEX('Retirement Calculator'!J:J,MATCH('Isaac 401k'!N4526,'Retirement Calculator'!A:A,0),0),0)</f>
        <v>0</v>
      </c>
      <c r="K4526" s="455">
        <f t="shared" ca="1" si="186"/>
        <v>-102289046558.12738</v>
      </c>
      <c r="L4526" s="455">
        <f t="shared" ca="1" si="187"/>
        <v>-24651660220508.699</v>
      </c>
      <c r="M4526" s="471">
        <f t="shared" si="189"/>
        <v>0.05</v>
      </c>
      <c r="N4526" s="475">
        <f t="shared" si="190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88"/>
        <v>-24651660220508.699</v>
      </c>
      <c r="J4527" s="455">
        <f t="array" ref="J4527">IFERROR(INDEX('Retirement Calculator'!J:J,MATCH('Isaac 401k'!N4527,'Retirement Calculator'!A:A,0),0),0)</f>
        <v>0</v>
      </c>
      <c r="K4527" s="455">
        <f t="shared" ca="1" si="186"/>
        <v>-102715250918.78624</v>
      </c>
      <c r="L4527" s="455">
        <f t="shared" ca="1" si="187"/>
        <v>-24754375471427.484</v>
      </c>
      <c r="M4527" s="471">
        <f t="shared" si="189"/>
        <v>0.05</v>
      </c>
      <c r="N4527" s="475">
        <f t="shared" si="190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88"/>
        <v>-24754375471427.484</v>
      </c>
      <c r="J4528" s="455">
        <f t="array" ref="J4528">IFERROR(INDEX('Retirement Calculator'!J:J,MATCH('Isaac 401k'!N4528,'Retirement Calculator'!A:A,0),0),0)</f>
        <v>0</v>
      </c>
      <c r="K4528" s="455">
        <f t="shared" ca="1" si="186"/>
        <v>-103143231130.94785</v>
      </c>
      <c r="L4528" s="455">
        <f t="shared" ca="1" si="187"/>
        <v>-24857518702558.434</v>
      </c>
      <c r="M4528" s="471">
        <f t="shared" si="189"/>
        <v>0.05</v>
      </c>
      <c r="N4528" s="475">
        <f t="shared" si="190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88"/>
        <v>-24857518702558.434</v>
      </c>
      <c r="J4529" s="455">
        <f t="array" ref="J4529">IFERROR(INDEX('Retirement Calculator'!J:J,MATCH('Isaac 401k'!N4529,'Retirement Calculator'!A:A,0),0),0)</f>
        <v>0</v>
      </c>
      <c r="K4529" s="455">
        <f t="shared" ca="1" si="186"/>
        <v>-103572994593.99347</v>
      </c>
      <c r="L4529" s="455">
        <f t="shared" ca="1" si="187"/>
        <v>-24961091697152.426</v>
      </c>
      <c r="M4529" s="471">
        <f t="shared" si="189"/>
        <v>0.05</v>
      </c>
      <c r="N4529" s="475">
        <f t="shared" si="190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88"/>
        <v>-24961091697152.426</v>
      </c>
      <c r="J4530" s="455">
        <f t="array" ref="J4530">IFERROR(INDEX('Retirement Calculator'!J:J,MATCH('Isaac 401k'!N4530,'Retirement Calculator'!A:A,0),0),0)</f>
        <v>0</v>
      </c>
      <c r="K4530" s="455">
        <f t="shared" ca="1" si="186"/>
        <v>-104004548738.1351</v>
      </c>
      <c r="L4530" s="455">
        <f t="shared" ca="1" si="187"/>
        <v>-25065096245890.563</v>
      </c>
      <c r="M4530" s="471">
        <f t="shared" si="189"/>
        <v>0.05</v>
      </c>
      <c r="N4530" s="475">
        <f t="shared" si="190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88"/>
        <v>-25065096245890.563</v>
      </c>
      <c r="J4531" s="455">
        <f t="array" ref="J4531">IFERROR(INDEX('Retirement Calculator'!J:J,MATCH('Isaac 401k'!N4531,'Retirement Calculator'!A:A,0),0),0)</f>
        <v>0</v>
      </c>
      <c r="K4531" s="455">
        <f t="shared" ca="1" si="186"/>
        <v>-104437901024.54401</v>
      </c>
      <c r="L4531" s="455">
        <f t="shared" ca="1" si="187"/>
        <v>-25169534146915.105</v>
      </c>
      <c r="M4531" s="471">
        <f t="shared" si="189"/>
        <v>0.05</v>
      </c>
      <c r="N4531" s="475">
        <f t="shared" si="190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88"/>
        <v>-25169534146915.105</v>
      </c>
      <c r="J4532" s="455">
        <f t="array" ref="J4532">IFERROR(INDEX('Retirement Calculator'!J:J,MATCH('Isaac 401k'!N4532,'Retirement Calculator'!A:A,0),0),0)</f>
        <v>0</v>
      </c>
      <c r="K4532" s="455">
        <f t="shared" ca="1" si="186"/>
        <v>-104873058945.4796</v>
      </c>
      <c r="L4532" s="455">
        <f t="shared" ca="1" si="187"/>
        <v>-25274407205860.586</v>
      </c>
      <c r="M4532" s="471">
        <f t="shared" si="189"/>
        <v>0.05</v>
      </c>
      <c r="N4532" s="475">
        <f t="shared" si="190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88"/>
        <v>-25274407205860.586</v>
      </c>
      <c r="J4533" s="455">
        <f t="array" ref="J4533">IFERROR(INDEX('Retirement Calculator'!J:J,MATCH('Isaac 401k'!N4533,'Retirement Calculator'!A:A,0),0),0)</f>
        <v>0</v>
      </c>
      <c r="K4533" s="455">
        <f t="shared" ca="1" si="186"/>
        <v>-105310030024.41911</v>
      </c>
      <c r="L4533" s="455">
        <f t="shared" ca="1" si="187"/>
        <v>-25379717235885.004</v>
      </c>
      <c r="M4533" s="471">
        <f t="shared" si="189"/>
        <v>0.05</v>
      </c>
      <c r="N4533" s="475">
        <f t="shared" si="190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88"/>
        <v>-25379717235885.004</v>
      </c>
      <c r="J4534" s="455">
        <f t="array" ref="J4534">IFERROR(INDEX('Retirement Calculator'!J:J,MATCH('Isaac 401k'!N4534,'Retirement Calculator'!A:A,0),0),0)</f>
        <v>0</v>
      </c>
      <c r="K4534" s="455">
        <f t="shared" ca="1" si="186"/>
        <v>-105748821816.18752</v>
      </c>
      <c r="L4534" s="455">
        <f t="shared" ca="1" si="187"/>
        <v>-25485466057701.191</v>
      </c>
      <c r="M4534" s="471">
        <f t="shared" si="189"/>
        <v>0.05</v>
      </c>
      <c r="N4534" s="475">
        <f t="shared" si="190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88"/>
        <v>-25485466057701.191</v>
      </c>
      <c r="J4535" s="455">
        <f t="array" ref="J4535">IFERROR(INDEX('Retirement Calculator'!J:J,MATCH('Isaac 401k'!N4535,'Retirement Calculator'!A:A,0),0),0)</f>
        <v>0</v>
      </c>
      <c r="K4535" s="455">
        <f t="shared" ca="1" si="186"/>
        <v>-106189441907.0883</v>
      </c>
      <c r="L4535" s="455">
        <f t="shared" ca="1" si="187"/>
        <v>-25591655499608.281</v>
      </c>
      <c r="M4535" s="471">
        <f t="shared" si="189"/>
        <v>0.05</v>
      </c>
      <c r="N4535" s="475">
        <f t="shared" si="190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88"/>
        <v>-25591655499608.281</v>
      </c>
      <c r="J4536" s="455">
        <f t="array" ref="J4536">IFERROR(INDEX('Retirement Calculator'!J:J,MATCH('Isaac 401k'!N4536,'Retirement Calculator'!A:A,0),0),0)</f>
        <v>0</v>
      </c>
      <c r="K4536" s="455">
        <f t="shared" ca="1" si="186"/>
        <v>-106631897915.0345</v>
      </c>
      <c r="L4536" s="455">
        <f t="shared" ca="1" si="187"/>
        <v>-25698287397523.316</v>
      </c>
      <c r="M4536" s="471">
        <f t="shared" si="189"/>
        <v>0.05</v>
      </c>
      <c r="N4536" s="475">
        <f t="shared" si="190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88"/>
        <v>-25698287397523.316</v>
      </c>
      <c r="J4537" s="455">
        <f t="array" ref="J4537">IFERROR(INDEX('Retirement Calculator'!J:J,MATCH('Isaac 401k'!N4537,'Retirement Calculator'!A:A,0),0),0)</f>
        <v>0</v>
      </c>
      <c r="K4537" s="455">
        <f t="shared" ca="1" si="186"/>
        <v>-107076197489.68048</v>
      </c>
      <c r="L4537" s="455">
        <f t="shared" ca="1" si="187"/>
        <v>-25805363595012.996</v>
      </c>
      <c r="M4537" s="471">
        <f t="shared" si="189"/>
        <v>0.05</v>
      </c>
      <c r="N4537" s="475">
        <f t="shared" si="190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88"/>
        <v>-25805363595012.996</v>
      </c>
      <c r="J4538" s="455">
        <f t="array" ref="J4538">IFERROR(INDEX('Retirement Calculator'!J:J,MATCH('Isaac 401k'!N4538,'Retirement Calculator'!A:A,0),0),0)</f>
        <v>0</v>
      </c>
      <c r="K4538" s="455">
        <f t="shared" ca="1" si="186"/>
        <v>-107522348312.55415</v>
      </c>
      <c r="L4538" s="455">
        <f t="shared" ca="1" si="187"/>
        <v>-25912885943325.551</v>
      </c>
      <c r="M4538" s="471">
        <f t="shared" si="189"/>
        <v>0.05</v>
      </c>
      <c r="N4538" s="475">
        <f t="shared" si="190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88"/>
        <v>-25912885943325.551</v>
      </c>
      <c r="J4539" s="455">
        <f t="array" ref="J4539">IFERROR(INDEX('Retirement Calculator'!J:J,MATCH('Isaac 401k'!N4539,'Retirement Calculator'!A:A,0),0),0)</f>
        <v>0</v>
      </c>
      <c r="K4539" s="455">
        <f t="shared" ca="1" si="186"/>
        <v>-107970358097.18979</v>
      </c>
      <c r="L4539" s="455">
        <f t="shared" ca="1" si="187"/>
        <v>-26020856301422.742</v>
      </c>
      <c r="M4539" s="471">
        <f t="shared" si="189"/>
        <v>0.05</v>
      </c>
      <c r="N4539" s="475">
        <f t="shared" si="190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88"/>
        <v>-26020856301422.742</v>
      </c>
      <c r="J4540" s="455">
        <f t="array" ref="J4540">IFERROR(INDEX('Retirement Calculator'!J:J,MATCH('Isaac 401k'!N4540,'Retirement Calculator'!A:A,0),0),0)</f>
        <v>0</v>
      </c>
      <c r="K4540" s="455">
        <f t="shared" ca="1" si="186"/>
        <v>-108420234589.26143</v>
      </c>
      <c r="L4540" s="455">
        <f t="shared" ca="1" si="187"/>
        <v>-26129276536012.004</v>
      </c>
      <c r="M4540" s="471">
        <f t="shared" si="189"/>
        <v>0.05</v>
      </c>
      <c r="N4540" s="475">
        <f t="shared" si="190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88"/>
        <v>-26129276536012.004</v>
      </c>
      <c r="J4541" s="455">
        <f t="array" ref="J4541">IFERROR(INDEX('Retirement Calculator'!J:J,MATCH('Isaac 401k'!N4541,'Retirement Calculator'!A:A,0),0),0)</f>
        <v>0</v>
      </c>
      <c r="K4541" s="455">
        <f t="shared" ca="1" si="186"/>
        <v>-108871985566.71667</v>
      </c>
      <c r="L4541" s="455">
        <f t="shared" ca="1" si="187"/>
        <v>-26238148521578.719</v>
      </c>
      <c r="M4541" s="471">
        <f t="shared" si="189"/>
        <v>0.05</v>
      </c>
      <c r="N4541" s="475">
        <f t="shared" si="190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88"/>
        <v>-26238148521578.719</v>
      </c>
      <c r="J4542" s="455">
        <f t="array" ref="J4542">IFERROR(INDEX('Retirement Calculator'!J:J,MATCH('Isaac 401k'!N4542,'Retirement Calculator'!A:A,0),0),0)</f>
        <v>0</v>
      </c>
      <c r="K4542" s="455">
        <f t="shared" ca="1" si="186"/>
        <v>-109325618839.91133</v>
      </c>
      <c r="L4542" s="455">
        <f t="shared" ca="1" si="187"/>
        <v>-26347474140418.629</v>
      </c>
      <c r="M4542" s="471">
        <f t="shared" si="189"/>
        <v>0.05</v>
      </c>
      <c r="N4542" s="475">
        <f t="shared" si="190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88"/>
        <v>-26347474140418.629</v>
      </c>
      <c r="J4543" s="455">
        <f t="array" ref="J4543">IFERROR(INDEX('Retirement Calculator'!J:J,MATCH('Isaac 401k'!N4543,'Retirement Calculator'!A:A,0),0),0)</f>
        <v>0</v>
      </c>
      <c r="K4543" s="455">
        <f t="shared" ca="1" si="186"/>
        <v>-109781142251.74429</v>
      </c>
      <c r="L4543" s="455">
        <f t="shared" ca="1" si="187"/>
        <v>-26457255282670.375</v>
      </c>
      <c r="M4543" s="471">
        <f t="shared" si="189"/>
        <v>0.05</v>
      </c>
      <c r="N4543" s="475">
        <f t="shared" si="190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88"/>
        <v>-26457255282670.375</v>
      </c>
      <c r="J4544" s="455">
        <f t="array" ref="J4544">IFERROR(INDEX('Retirement Calculator'!J:J,MATCH('Isaac 401k'!N4544,'Retirement Calculator'!A:A,0),0),0)</f>
        <v>0</v>
      </c>
      <c r="K4544" s="455">
        <f t="shared" ca="1" si="186"/>
        <v>-110238563677.79323</v>
      </c>
      <c r="L4544" s="455">
        <f t="shared" ca="1" si="187"/>
        <v>-26567493846348.168</v>
      </c>
      <c r="M4544" s="471">
        <f t="shared" si="189"/>
        <v>0.05</v>
      </c>
      <c r="N4544" s="475">
        <f t="shared" si="190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88"/>
        <v>-26567493846348.168</v>
      </c>
      <c r="J4545" s="455">
        <f t="array" ref="J4545">IFERROR(INDEX('Retirement Calculator'!J:J,MATCH('Isaac 401k'!N4545,'Retirement Calculator'!A:A,0),0),0)</f>
        <v>0</v>
      </c>
      <c r="K4545" s="455">
        <f t="shared" ca="1" si="186"/>
        <v>-110697891026.4507</v>
      </c>
      <c r="L4545" s="455">
        <f t="shared" ca="1" si="187"/>
        <v>-26678191737374.617</v>
      </c>
      <c r="M4545" s="471">
        <f t="shared" si="189"/>
        <v>0.05</v>
      </c>
      <c r="N4545" s="475">
        <f t="shared" si="190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88"/>
        <v>-26678191737374.617</v>
      </c>
      <c r="J4546" s="455">
        <f t="array" ref="J4546">IFERROR(INDEX('Retirement Calculator'!J:J,MATCH('Isaac 401k'!N4546,'Retirement Calculator'!A:A,0),0),0)</f>
        <v>0</v>
      </c>
      <c r="K4546" s="455">
        <f t="shared" ca="1" si="186"/>
        <v>-111159132239.0609</v>
      </c>
      <c r="L4546" s="455">
        <f t="shared" ca="1" si="187"/>
        <v>-26789350869613.68</v>
      </c>
      <c r="M4546" s="471">
        <f t="shared" si="189"/>
        <v>0.05</v>
      </c>
      <c r="N4546" s="475">
        <f t="shared" si="190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88"/>
        <v>-26789350869613.68</v>
      </c>
      <c r="J4547" s="455">
        <f t="array" ref="J4547">IFERROR(INDEX('Retirement Calculator'!J:J,MATCH('Isaac 401k'!N4547,'Retirement Calculator'!A:A,0),0),0)</f>
        <v>0</v>
      </c>
      <c r="K4547" s="455">
        <f t="shared" ca="1" si="186"/>
        <v>-111622295290.05699</v>
      </c>
      <c r="L4547" s="455">
        <f t="shared" ca="1" si="187"/>
        <v>-26900973164903.738</v>
      </c>
      <c r="M4547" s="471">
        <f t="shared" si="189"/>
        <v>0.05</v>
      </c>
      <c r="N4547" s="475">
        <f t="shared" si="190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88"/>
        <v>-26900973164903.738</v>
      </c>
      <c r="J4548" s="455">
        <f t="array" ref="J4548">IFERROR(INDEX('Retirement Calculator'!J:J,MATCH('Isaac 401k'!N4548,'Retirement Calculator'!A:A,0),0),0)</f>
        <v>0</v>
      </c>
      <c r="K4548" s="455">
        <f t="shared" ca="1" si="186"/>
        <v>-112087388187.09891</v>
      </c>
      <c r="L4548" s="455">
        <f t="shared" ca="1" si="187"/>
        <v>-27013060553090.836</v>
      </c>
      <c r="M4548" s="471">
        <f t="shared" si="189"/>
        <v>0.05</v>
      </c>
      <c r="N4548" s="475">
        <f t="shared" si="190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88"/>
        <v>-27013060553090.836</v>
      </c>
      <c r="J4549" s="455">
        <f t="array" ref="J4549">IFERROR(INDEX('Retirement Calculator'!J:J,MATCH('Isaac 401k'!N4549,'Retirement Calculator'!A:A,0),0),0)</f>
        <v>0</v>
      </c>
      <c r="K4549" s="455">
        <f t="shared" ca="1" si="186"/>
        <v>-112554418971.21181</v>
      </c>
      <c r="L4549" s="455">
        <f t="shared" ca="1" si="187"/>
        <v>-27125614972062.047</v>
      </c>
      <c r="M4549" s="471">
        <f t="shared" si="189"/>
        <v>0.05</v>
      </c>
      <c r="N4549" s="475">
        <f t="shared" si="190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88"/>
        <v>-27125614972062.047</v>
      </c>
      <c r="J4550" s="455">
        <f t="array" ref="J4550">IFERROR(INDEX('Retirement Calculator'!J:J,MATCH('Isaac 401k'!N4550,'Retirement Calculator'!A:A,0),0),0)</f>
        <v>0</v>
      </c>
      <c r="K4550" s="455">
        <f t="shared" ca="1" si="186"/>
        <v>-113023395716.92519</v>
      </c>
      <c r="L4550" s="455">
        <f t="shared" ca="1" si="187"/>
        <v>-27238638367778.973</v>
      </c>
      <c r="M4550" s="471">
        <f t="shared" si="189"/>
        <v>0.05</v>
      </c>
      <c r="N4550" s="475">
        <f t="shared" si="190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88"/>
        <v>-27238638367778.973</v>
      </c>
      <c r="J4551" s="455">
        <f t="array" ref="J4551">IFERROR(INDEX('Retirement Calculator'!J:J,MATCH('Isaac 401k'!N4551,'Retirement Calculator'!A:A,0),0),0)</f>
        <v>0</v>
      </c>
      <c r="K4551" s="455">
        <f t="shared" ca="1" si="186"/>
        <v>-113494326532.41238</v>
      </c>
      <c r="L4551" s="455">
        <f t="shared" ca="1" si="187"/>
        <v>-27352132694311.387</v>
      </c>
      <c r="M4551" s="471">
        <f t="shared" si="189"/>
        <v>0.05</v>
      </c>
      <c r="N4551" s="475">
        <f t="shared" si="190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88"/>
        <v>-27352132694311.387</v>
      </c>
      <c r="J4552" s="455">
        <f t="array" ref="J4552">IFERROR(INDEX('Retirement Calculator'!J:J,MATCH('Isaac 401k'!N4552,'Retirement Calculator'!A:A,0),0),0)</f>
        <v>0</v>
      </c>
      <c r="K4552" s="455">
        <f t="shared" ca="1" si="186"/>
        <v>-113967219559.63078</v>
      </c>
      <c r="L4552" s="455">
        <f t="shared" ca="1" si="187"/>
        <v>-27466099913871.016</v>
      </c>
      <c r="M4552" s="471">
        <f t="shared" si="189"/>
        <v>0.05</v>
      </c>
      <c r="N4552" s="475">
        <f t="shared" si="190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88"/>
        <v>-27466099913871.016</v>
      </c>
      <c r="J4553" s="455">
        <f t="array" ref="J4553">IFERROR(INDEX('Retirement Calculator'!J:J,MATCH('Isaac 401k'!N4553,'Retirement Calculator'!A:A,0),0),0)</f>
        <v>0</v>
      </c>
      <c r="K4553" s="455">
        <f t="shared" ca="1" si="186"/>
        <v>-114442082974.46259</v>
      </c>
      <c r="L4553" s="455">
        <f t="shared" ca="1" si="187"/>
        <v>-27580541996845.477</v>
      </c>
      <c r="M4553" s="471">
        <f t="shared" si="189"/>
        <v>0.05</v>
      </c>
      <c r="N4553" s="475">
        <f t="shared" si="190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88"/>
        <v>-27580541996845.477</v>
      </c>
      <c r="J4554" s="455">
        <f t="array" ref="J4554">IFERROR(INDEX('Retirement Calculator'!J:J,MATCH('Isaac 401k'!N4554,'Retirement Calculator'!A:A,0),0),0)</f>
        <v>0</v>
      </c>
      <c r="K4554" s="455">
        <f t="shared" ca="1" si="186"/>
        <v>-114918924986.85616</v>
      </c>
      <c r="L4554" s="455">
        <f t="shared" ca="1" si="187"/>
        <v>-27695460921832.332</v>
      </c>
      <c r="M4554" s="471">
        <f t="shared" si="189"/>
        <v>0.05</v>
      </c>
      <c r="N4554" s="475">
        <f t="shared" si="190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88"/>
        <v>-27695460921832.332</v>
      </c>
      <c r="J4555" s="455">
        <f t="array" ref="J4555">IFERROR(INDEX('Retirement Calculator'!J:J,MATCH('Isaac 401k'!N4555,'Retirement Calculator'!A:A,0),0),0)</f>
        <v>0</v>
      </c>
      <c r="K4555" s="455">
        <f t="shared" ca="1" si="186"/>
        <v>-115397753840.96805</v>
      </c>
      <c r="L4555" s="455">
        <f t="shared" ca="1" si="187"/>
        <v>-27810858675673.301</v>
      </c>
      <c r="M4555" s="471">
        <f t="shared" si="189"/>
        <v>0.05</v>
      </c>
      <c r="N4555" s="475">
        <f t="shared" si="190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88"/>
        <v>-27810858675673.301</v>
      </c>
      <c r="J4556" s="455">
        <f t="array" ref="J4556">IFERROR(INDEX('Retirement Calculator'!J:J,MATCH('Isaac 401k'!N4556,'Retirement Calculator'!A:A,0),0),0)</f>
        <v>0</v>
      </c>
      <c r="K4556" s="455">
        <f t="shared" ca="1" si="186"/>
        <v>-115878577815.30544</v>
      </c>
      <c r="L4556" s="455">
        <f t="shared" ca="1" si="187"/>
        <v>-27926737253488.605</v>
      </c>
      <c r="M4556" s="471">
        <f t="shared" si="189"/>
        <v>0.05</v>
      </c>
      <c r="N4556" s="475">
        <f t="shared" si="190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88"/>
        <v>-27926737253488.605</v>
      </c>
      <c r="J4557" s="455">
        <f t="array" ref="J4557">IFERROR(INDEX('Retirement Calculator'!J:J,MATCH('Isaac 401k'!N4557,'Retirement Calculator'!A:A,0),0),0)</f>
        <v>0</v>
      </c>
      <c r="K4557" s="455">
        <f t="shared" ca="1" si="186"/>
        <v>-116361405222.86919</v>
      </c>
      <c r="L4557" s="455">
        <f t="shared" ca="1" si="187"/>
        <v>-28043098658711.477</v>
      </c>
      <c r="M4557" s="471">
        <f t="shared" si="189"/>
        <v>0.05</v>
      </c>
      <c r="N4557" s="475">
        <f t="shared" si="190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88"/>
        <v>-28043098658711.477</v>
      </c>
      <c r="J4558" s="455">
        <f t="array" ref="J4558">IFERROR(INDEX('Retirement Calculator'!J:J,MATCH('Isaac 401k'!N4558,'Retirement Calculator'!A:A,0),0),0)</f>
        <v>0</v>
      </c>
      <c r="K4558" s="455">
        <f t="shared" ca="1" si="186"/>
        <v>-116846244411.29782</v>
      </c>
      <c r="L4558" s="455">
        <f t="shared" ca="1" si="187"/>
        <v>-28159944903122.773</v>
      </c>
      <c r="M4558" s="471">
        <f t="shared" si="189"/>
        <v>0.05</v>
      </c>
      <c r="N4558" s="475">
        <f t="shared" si="190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88"/>
        <v>-28159944903122.773</v>
      </c>
      <c r="J4559" s="455">
        <f t="array" ref="J4559">IFERROR(INDEX('Retirement Calculator'!J:J,MATCH('Isaac 401k'!N4559,'Retirement Calculator'!A:A,0),0),0)</f>
        <v>0</v>
      </c>
      <c r="K4559" s="455">
        <f t="shared" ca="1" si="186"/>
        <v>-117333103763.01157</v>
      </c>
      <c r="L4559" s="455">
        <f t="shared" ca="1" si="187"/>
        <v>-28277278006885.785</v>
      </c>
      <c r="M4559" s="471">
        <f t="shared" si="189"/>
        <v>0.05</v>
      </c>
      <c r="N4559" s="475">
        <f t="shared" si="190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88"/>
        <v>-28277278006885.785</v>
      </c>
      <c r="J4560" s="455">
        <f t="array" ref="J4560">IFERROR(INDEX('Retirement Calculator'!J:J,MATCH('Isaac 401k'!N4560,'Retirement Calculator'!A:A,0),0),0)</f>
        <v>0</v>
      </c>
      <c r="K4560" s="455">
        <f t="shared" ca="1" si="186"/>
        <v>-117821991695.35744</v>
      </c>
      <c r="L4560" s="455">
        <f t="shared" ca="1" si="187"/>
        <v>-28395099998581.145</v>
      </c>
      <c r="M4560" s="471">
        <f t="shared" si="189"/>
        <v>0.05</v>
      </c>
      <c r="N4560" s="475">
        <f t="shared" si="190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88"/>
        <v>-28395099998581.145</v>
      </c>
      <c r="J4561" s="455">
        <f t="array" ref="J4561">IFERROR(INDEX('Retirement Calculator'!J:J,MATCH('Isaac 401k'!N4561,'Retirement Calculator'!A:A,0),0),0)</f>
        <v>0</v>
      </c>
      <c r="K4561" s="455">
        <f t="shared" ca="1" si="186"/>
        <v>-118312916660.75478</v>
      </c>
      <c r="L4561" s="455">
        <f t="shared" ca="1" si="187"/>
        <v>-28513412915241.898</v>
      </c>
      <c r="M4561" s="471">
        <f t="shared" si="189"/>
        <v>0.05</v>
      </c>
      <c r="N4561" s="475">
        <f t="shared" si="190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88"/>
        <v>-28513412915241.898</v>
      </c>
      <c r="J4562" s="455">
        <f t="array" ref="J4562">IFERROR(INDEX('Retirement Calculator'!J:J,MATCH('Isaac 401k'!N4562,'Retirement Calculator'!A:A,0),0),0)</f>
        <v>0</v>
      </c>
      <c r="K4562" s="455">
        <f t="shared" ca="1" si="186"/>
        <v>-118805887146.84123</v>
      </c>
      <c r="L4562" s="455">
        <f t="shared" ca="1" si="187"/>
        <v>-28632218802388.738</v>
      </c>
      <c r="M4562" s="471">
        <f t="shared" si="189"/>
        <v>0.05</v>
      </c>
      <c r="N4562" s="475">
        <f t="shared" si="190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88"/>
        <v>-28632218802388.738</v>
      </c>
      <c r="J4563" s="455">
        <f t="array" ref="J4563">IFERROR(INDEX('Retirement Calculator'!J:J,MATCH('Isaac 401k'!N4563,'Retirement Calculator'!A:A,0),0),0)</f>
        <v>0</v>
      </c>
      <c r="K4563" s="455">
        <f t="shared" ca="1" si="186"/>
        <v>-119300911676.61974</v>
      </c>
      <c r="L4563" s="455">
        <f t="shared" ca="1" si="187"/>
        <v>-28751519714065.359</v>
      </c>
      <c r="M4563" s="471">
        <f t="shared" si="189"/>
        <v>0.05</v>
      </c>
      <c r="N4563" s="475">
        <f t="shared" si="190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88"/>
        <v>-28751519714065.359</v>
      </c>
      <c r="J4564" s="455">
        <f t="array" ref="J4564">IFERROR(INDEX('Retirement Calculator'!J:J,MATCH('Isaac 401k'!N4564,'Retirement Calculator'!A:A,0),0),0)</f>
        <v>0</v>
      </c>
      <c r="K4564" s="455">
        <f t="shared" ca="1" si="186"/>
        <v>-119797998808.60565</v>
      </c>
      <c r="L4564" s="455">
        <f t="shared" ca="1" si="187"/>
        <v>-28871317712873.965</v>
      </c>
      <c r="M4564" s="471">
        <f t="shared" si="189"/>
        <v>0.05</v>
      </c>
      <c r="N4564" s="475">
        <f t="shared" si="190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88"/>
        <v>-28871317712873.965</v>
      </c>
      <c r="J4565" s="455">
        <f t="array" ref="J4565">IFERROR(INDEX('Retirement Calculator'!J:J,MATCH('Isaac 401k'!N4565,'Retirement Calculator'!A:A,0),0),0)</f>
        <v>0</v>
      </c>
      <c r="K4565" s="455">
        <f t="shared" ca="1" si="186"/>
        <v>-120297157136.97485</v>
      </c>
      <c r="L4565" s="455">
        <f t="shared" ca="1" si="187"/>
        <v>-28991614870010.941</v>
      </c>
      <c r="M4565" s="471">
        <f t="shared" si="189"/>
        <v>0.05</v>
      </c>
      <c r="N4565" s="475">
        <f t="shared" si="190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88"/>
        <v>-28991614870010.941</v>
      </c>
      <c r="J4566" s="455">
        <f t="array" ref="J4566">IFERROR(INDEX('Retirement Calculator'!J:J,MATCH('Isaac 401k'!N4566,'Retirement Calculator'!A:A,0),0),0)</f>
        <v>0</v>
      </c>
      <c r="K4566" s="455">
        <f t="shared" ca="1" si="186"/>
        <v>-120798395291.71225</v>
      </c>
      <c r="L4566" s="455">
        <f t="shared" ca="1" si="187"/>
        <v>-29112413265302.652</v>
      </c>
      <c r="M4566" s="471">
        <f t="shared" si="189"/>
        <v>0.05</v>
      </c>
      <c r="N4566" s="475">
        <f t="shared" si="190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88"/>
        <v>-29112413265302.652</v>
      </c>
      <c r="J4567" s="455">
        <f t="array" ref="J4567">IFERROR(INDEX('Retirement Calculator'!J:J,MATCH('Isaac 401k'!N4567,'Retirement Calculator'!A:A,0),0),0)</f>
        <v>0</v>
      </c>
      <c r="K4567" s="455">
        <f t="shared" ca="1" si="186"/>
        <v>-121301721938.76105</v>
      </c>
      <c r="L4567" s="455">
        <f t="shared" ca="1" si="187"/>
        <v>-29233714987241.414</v>
      </c>
      <c r="M4567" s="471">
        <f t="shared" si="189"/>
        <v>0.05</v>
      </c>
      <c r="N4567" s="475">
        <f t="shared" si="190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88"/>
        <v>-29233714987241.414</v>
      </c>
      <c r="J4568" s="455">
        <f t="array" ref="J4568">IFERROR(INDEX('Retirement Calculator'!J:J,MATCH('Isaac 401k'!N4568,'Retirement Calculator'!A:A,0),0),0)</f>
        <v>0</v>
      </c>
      <c r="K4568" s="455">
        <f t="shared" ca="1" si="186"/>
        <v>-121807145780.17256</v>
      </c>
      <c r="L4568" s="455">
        <f t="shared" ca="1" si="187"/>
        <v>-29355522133021.586</v>
      </c>
      <c r="M4568" s="471">
        <f t="shared" si="189"/>
        <v>0.05</v>
      </c>
      <c r="N4568" s="475">
        <f t="shared" si="190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88"/>
        <v>-29355522133021.586</v>
      </c>
      <c r="J4569" s="455">
        <f t="array" ref="J4569">IFERROR(INDEX('Retirement Calculator'!J:J,MATCH('Isaac 401k'!N4569,'Retirement Calculator'!A:A,0),0),0)</f>
        <v>0</v>
      </c>
      <c r="K4569" s="455">
        <f t="shared" ca="1" si="186"/>
        <v>-122314675554.25661</v>
      </c>
      <c r="L4569" s="455">
        <f t="shared" ca="1" si="187"/>
        <v>-29477836808575.844</v>
      </c>
      <c r="M4569" s="471">
        <f t="shared" si="189"/>
        <v>0.05</v>
      </c>
      <c r="N4569" s="475">
        <f t="shared" si="190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88"/>
        <v>-29477836808575.844</v>
      </c>
      <c r="J4570" s="455">
        <f t="array" ref="J4570">IFERROR(INDEX('Retirement Calculator'!J:J,MATCH('Isaac 401k'!N4570,'Retirement Calculator'!A:A,0),0),0)</f>
        <v>0</v>
      </c>
      <c r="K4570" s="455">
        <f t="shared" ca="1" si="186"/>
        <v>-122824320035.73268</v>
      </c>
      <c r="L4570" s="455">
        <f t="shared" ca="1" si="187"/>
        <v>-29600661128611.578</v>
      </c>
      <c r="M4570" s="471">
        <f t="shared" si="189"/>
        <v>0.05</v>
      </c>
      <c r="N4570" s="475">
        <f t="shared" si="190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88"/>
        <v>-29600661128611.578</v>
      </c>
      <c r="J4571" s="455">
        <f t="array" ref="J4571">IFERROR(INDEX('Retirement Calculator'!J:J,MATCH('Isaac 401k'!N4571,'Retirement Calculator'!A:A,0),0),0)</f>
        <v>0</v>
      </c>
      <c r="K4571" s="455">
        <f t="shared" ca="1" si="186"/>
        <v>-123336088035.88158</v>
      </c>
      <c r="L4571" s="455">
        <f t="shared" ca="1" si="187"/>
        <v>-29723997216647.461</v>
      </c>
      <c r="M4571" s="471">
        <f t="shared" si="189"/>
        <v>0.05</v>
      </c>
      <c r="N4571" s="475">
        <f t="shared" si="190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88"/>
        <v>-29723997216647.461</v>
      </c>
      <c r="J4572" s="455">
        <f t="array" ref="J4572">IFERROR(INDEX('Retirement Calculator'!J:J,MATCH('Isaac 401k'!N4572,'Retirement Calculator'!A:A,0),0),0)</f>
        <v>0</v>
      </c>
      <c r="K4572" s="455">
        <f t="shared" ca="1" si="186"/>
        <v>-123849988402.69775</v>
      </c>
      <c r="L4572" s="455">
        <f t="shared" ca="1" si="187"/>
        <v>-29847847205050.16</v>
      </c>
      <c r="M4572" s="471">
        <f t="shared" si="189"/>
        <v>0.05</v>
      </c>
      <c r="N4572" s="475">
        <f t="shared" si="190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88"/>
        <v>-29847847205050.16</v>
      </c>
      <c r="J4573" s="455">
        <f t="array" ref="J4573">IFERROR(INDEX('Retirement Calculator'!J:J,MATCH('Isaac 401k'!N4573,'Retirement Calculator'!A:A,0),0),0)</f>
        <v>0</v>
      </c>
      <c r="K4573" s="455">
        <f t="shared" ca="1" si="186"/>
        <v>-124366030021.04233</v>
      </c>
      <c r="L4573" s="455">
        <f t="shared" ca="1" si="187"/>
        <v>-29972213235071.203</v>
      </c>
      <c r="M4573" s="471">
        <f t="shared" si="189"/>
        <v>0.05</v>
      </c>
      <c r="N4573" s="475">
        <f t="shared" si="190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88"/>
        <v>-29972213235071.203</v>
      </c>
      <c r="J4574" s="455">
        <f t="array" ref="J4574">IFERROR(INDEX('Retirement Calculator'!J:J,MATCH('Isaac 401k'!N4574,'Retirement Calculator'!A:A,0),0),0)</f>
        <v>0</v>
      </c>
      <c r="K4574" s="455">
        <f t="shared" ca="1" si="186"/>
        <v>-124884221812.79668</v>
      </c>
      <c r="L4574" s="455">
        <f t="shared" ca="1" si="187"/>
        <v>-30097097456884</v>
      </c>
      <c r="M4574" s="471">
        <f t="shared" si="189"/>
        <v>0.05</v>
      </c>
      <c r="N4574" s="475">
        <f t="shared" si="190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88"/>
        <v>-30097097456884</v>
      </c>
      <c r="J4575" s="455">
        <f t="array" ref="J4575">IFERROR(INDEX('Retirement Calculator'!J:J,MATCH('Isaac 401k'!N4575,'Retirement Calculator'!A:A,0),0),0)</f>
        <v>0</v>
      </c>
      <c r="K4575" s="455">
        <f t="shared" ca="1" si="186"/>
        <v>-125404572737.01665</v>
      </c>
      <c r="L4575" s="455">
        <f t="shared" ca="1" si="187"/>
        <v>-30222502029621.016</v>
      </c>
      <c r="M4575" s="471">
        <f t="shared" si="189"/>
        <v>0.05</v>
      </c>
      <c r="N4575" s="475">
        <f t="shared" si="190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88"/>
        <v>-30222502029621.016</v>
      </c>
      <c r="J4576" s="455">
        <f t="array" ref="J4576">IFERROR(INDEX('Retirement Calculator'!J:J,MATCH('Isaac 401k'!N4576,'Retirement Calculator'!A:A,0),0),0)</f>
        <v>0</v>
      </c>
      <c r="K4576" s="455">
        <f t="shared" ca="1" si="186"/>
        <v>-125927091790.08759</v>
      </c>
      <c r="L4576" s="455">
        <f t="shared" ca="1" si="187"/>
        <v>-30348429121411.102</v>
      </c>
      <c r="M4576" s="471">
        <f t="shared" si="189"/>
        <v>0.05</v>
      </c>
      <c r="N4576" s="475">
        <f t="shared" si="190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88"/>
        <v>-30348429121411.102</v>
      </c>
      <c r="J4577" s="455">
        <f t="array" ref="J4577">IFERROR(INDEX('Retirement Calculator'!J:J,MATCH('Isaac 401k'!N4577,'Retirement Calculator'!A:A,0),0),0)</f>
        <v>0</v>
      </c>
      <c r="K4577" s="455">
        <f t="shared" ca="1" si="186"/>
        <v>-126451788005.87959</v>
      </c>
      <c r="L4577" s="455">
        <f t="shared" ca="1" si="187"/>
        <v>-30474880909416.98</v>
      </c>
      <c r="M4577" s="471">
        <f t="shared" si="189"/>
        <v>0.05</v>
      </c>
      <c r="N4577" s="475">
        <f t="shared" si="190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88"/>
        <v>-30474880909416.98</v>
      </c>
      <c r="J4578" s="455">
        <f t="array" ref="J4578">IFERROR(INDEX('Retirement Calculator'!J:J,MATCH('Isaac 401k'!N4578,'Retirement Calculator'!A:A,0),0),0)</f>
        <v>0</v>
      </c>
      <c r="K4578" s="455">
        <f t="shared" ca="1" si="186"/>
        <v>-126978670455.90408</v>
      </c>
      <c r="L4578" s="455">
        <f t="shared" ca="1" si="187"/>
        <v>-30601859579872.883</v>
      </c>
      <c r="M4578" s="471">
        <f t="shared" si="189"/>
        <v>0.05</v>
      </c>
      <c r="N4578" s="475">
        <f t="shared" si="190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88"/>
        <v>-30601859579872.883</v>
      </c>
      <c r="J4579" s="455">
        <f t="array" ref="J4579">IFERROR(INDEX('Retirement Calculator'!J:J,MATCH('Isaac 401k'!N4579,'Retirement Calculator'!A:A,0),0),0)</f>
        <v>0</v>
      </c>
      <c r="K4579" s="455">
        <f t="shared" ca="1" si="186"/>
        <v>-127507748249.47035</v>
      </c>
      <c r="L4579" s="455">
        <f t="shared" ca="1" si="187"/>
        <v>-30729367328122.352</v>
      </c>
      <c r="M4579" s="471">
        <f t="shared" si="189"/>
        <v>0.05</v>
      </c>
      <c r="N4579" s="475">
        <f t="shared" si="190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88"/>
        <v>-30729367328122.352</v>
      </c>
      <c r="J4580" s="455">
        <f t="array" ref="J4580">IFERROR(INDEX('Retirement Calculator'!J:J,MATCH('Isaac 401k'!N4580,'Retirement Calculator'!A:A,0),0),0)</f>
        <v>0</v>
      </c>
      <c r="K4580" s="455">
        <f t="shared" ca="1" si="186"/>
        <v>-128039030533.84312</v>
      </c>
      <c r="L4580" s="455">
        <f t="shared" ca="1" si="187"/>
        <v>-30857406358656.195</v>
      </c>
      <c r="M4580" s="471">
        <f t="shared" si="189"/>
        <v>0.05</v>
      </c>
      <c r="N4580" s="475">
        <f t="shared" si="190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88"/>
        <v>-30857406358656.195</v>
      </c>
      <c r="J4581" s="455">
        <f t="array" ref="J4581">IFERROR(INDEX('Retirement Calculator'!J:J,MATCH('Isaac 401k'!N4581,'Retirement Calculator'!A:A,0),0),0)</f>
        <v>0</v>
      </c>
      <c r="K4581" s="455">
        <f t="shared" ca="1" si="186"/>
        <v>-128572526494.40082</v>
      </c>
      <c r="L4581" s="455">
        <f t="shared" ca="1" si="187"/>
        <v>-30985978885150.598</v>
      </c>
      <c r="M4581" s="471">
        <f t="shared" si="189"/>
        <v>0.05</v>
      </c>
      <c r="N4581" s="475">
        <f t="shared" si="190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88"/>
        <v>-30985978885150.598</v>
      </c>
      <c r="J4582" s="455">
        <f t="array" ref="J4582">IFERROR(INDEX('Retirement Calculator'!J:J,MATCH('Isaac 401k'!N4582,'Retirement Calculator'!A:A,0),0),0)</f>
        <v>0</v>
      </c>
      <c r="K4582" s="455">
        <f t="shared" ca="1" si="186"/>
        <v>-129108245354.79416</v>
      </c>
      <c r="L4582" s="455">
        <f t="shared" ca="1" si="187"/>
        <v>-31115087130505.391</v>
      </c>
      <c r="M4582" s="471">
        <f t="shared" si="189"/>
        <v>0.05</v>
      </c>
      <c r="N4582" s="475">
        <f t="shared" si="190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88"/>
        <v>-31115087130505.391</v>
      </c>
      <c r="J4583" s="455">
        <f t="array" ref="J4583">IFERROR(INDEX('Retirement Calculator'!J:J,MATCH('Isaac 401k'!N4583,'Retirement Calculator'!A:A,0),0),0)</f>
        <v>0</v>
      </c>
      <c r="K4583" s="455">
        <f t="shared" ca="1" si="186"/>
        <v>-129646196377.10579</v>
      </c>
      <c r="L4583" s="455">
        <f t="shared" ca="1" si="187"/>
        <v>-31244733326882.496</v>
      </c>
      <c r="M4583" s="471">
        <f t="shared" si="189"/>
        <v>0.05</v>
      </c>
      <c r="N4583" s="475">
        <f t="shared" si="190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88"/>
        <v>-31244733326882.496</v>
      </c>
      <c r="J4584" s="455">
        <f t="array" ref="J4584">IFERROR(INDEX('Retirement Calculator'!J:J,MATCH('Isaac 401k'!N4584,'Retirement Calculator'!A:A,0),0),0)</f>
        <v>0</v>
      </c>
      <c r="K4584" s="455">
        <f t="shared" ca="1" si="186"/>
        <v>-130186388862.01039</v>
      </c>
      <c r="L4584" s="455">
        <f t="shared" ca="1" si="187"/>
        <v>-31374919715744.508</v>
      </c>
      <c r="M4584" s="471">
        <f t="shared" si="189"/>
        <v>0.05</v>
      </c>
      <c r="N4584" s="475">
        <f t="shared" si="190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88"/>
        <v>-31374919715744.508</v>
      </c>
      <c r="J4585" s="455">
        <f t="array" ref="J4585">IFERROR(INDEX('Retirement Calculator'!J:J,MATCH('Isaac 401k'!N4585,'Retirement Calculator'!A:A,0),0),0)</f>
        <v>0</v>
      </c>
      <c r="K4585" s="455">
        <f t="shared" ca="1" si="186"/>
        <v>-130728832148.93544</v>
      </c>
      <c r="L4585" s="455">
        <f t="shared" ca="1" si="187"/>
        <v>-31505648547893.441</v>
      </c>
      <c r="M4585" s="471">
        <f t="shared" si="189"/>
        <v>0.05</v>
      </c>
      <c r="N4585" s="475">
        <f t="shared" si="190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88"/>
        <v>-31505648547893.441</v>
      </c>
      <c r="J4586" s="455">
        <f t="array" ref="J4586">IFERROR(INDEX('Retirement Calculator'!J:J,MATCH('Isaac 401k'!N4586,'Retirement Calculator'!A:A,0),0),0)</f>
        <v>0</v>
      </c>
      <c r="K4586" s="455">
        <f t="shared" ca="1" si="186"/>
        <v>-131273535616.22269</v>
      </c>
      <c r="L4586" s="455">
        <f t="shared" ca="1" si="187"/>
        <v>-31636922083509.664</v>
      </c>
      <c r="M4586" s="471">
        <f t="shared" si="189"/>
        <v>0.05</v>
      </c>
      <c r="N4586" s="475">
        <f t="shared" si="190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88"/>
        <v>-31636922083509.664</v>
      </c>
      <c r="J4587" s="455">
        <f t="array" ref="J4587">IFERROR(INDEX('Retirement Calculator'!J:J,MATCH('Isaac 401k'!N4587,'Retirement Calculator'!A:A,0),0),0)</f>
        <v>0</v>
      </c>
      <c r="K4587" s="455">
        <f t="shared" ca="1" si="186"/>
        <v>-131820508681.29028</v>
      </c>
      <c r="L4587" s="455">
        <f t="shared" ca="1" si="187"/>
        <v>-31768742592190.953</v>
      </c>
      <c r="M4587" s="471">
        <f t="shared" si="189"/>
        <v>0.05</v>
      </c>
      <c r="N4587" s="475">
        <f t="shared" si="190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88"/>
        <v>-31768742592190.953</v>
      </c>
      <c r="J4588" s="455">
        <f t="array" ref="J4588">IFERROR(INDEX('Retirement Calculator'!J:J,MATCH('Isaac 401k'!N4588,'Retirement Calculator'!A:A,0),0),0)</f>
        <v>0</v>
      </c>
      <c r="K4588" s="455">
        <f t="shared" ca="1" si="186"/>
        <v>-132369760800.79564</v>
      </c>
      <c r="L4588" s="455">
        <f t="shared" ca="1" si="187"/>
        <v>-31901112352991.75</v>
      </c>
      <c r="M4588" s="471">
        <f t="shared" si="189"/>
        <v>0.05</v>
      </c>
      <c r="N4588" s="475">
        <f t="shared" si="190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88"/>
        <v>-31901112352991.75</v>
      </c>
      <c r="J4589" s="455">
        <f t="array" ref="J4589">IFERROR(INDEX('Retirement Calculator'!J:J,MATCH('Isaac 401k'!N4589,'Retirement Calculator'!A:A,0),0),0)</f>
        <v>0</v>
      </c>
      <c r="K4589" s="455">
        <f t="shared" ca="1" si="186"/>
        <v>-132921301470.79895</v>
      </c>
      <c r="L4589" s="455">
        <f t="shared" ca="1" si="187"/>
        <v>-32034033654462.551</v>
      </c>
      <c r="M4589" s="471">
        <f t="shared" si="189"/>
        <v>0.05</v>
      </c>
      <c r="N4589" s="475">
        <f t="shared" si="190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88"/>
        <v>-32034033654462.551</v>
      </c>
      <c r="J4590" s="455">
        <f t="array" ref="J4590">IFERROR(INDEX('Retirement Calculator'!J:J,MATCH('Isaac 401k'!N4590,'Retirement Calculator'!A:A,0),0),0)</f>
        <v>0</v>
      </c>
      <c r="K4590" s="455">
        <f t="shared" ca="1" si="186"/>
        <v>-133475140226.92729</v>
      </c>
      <c r="L4590" s="455">
        <f t="shared" ca="1" si="187"/>
        <v>-32167508794689.477</v>
      </c>
      <c r="M4590" s="471">
        <f t="shared" si="189"/>
        <v>0.05</v>
      </c>
      <c r="N4590" s="475">
        <f t="shared" si="190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88"/>
        <v>-32167508794689.477</v>
      </c>
      <c r="J4591" s="455">
        <f t="array" ref="J4591">IFERROR(INDEX('Retirement Calculator'!J:J,MATCH('Isaac 401k'!N4591,'Retirement Calculator'!A:A,0),0),0)</f>
        <v>0</v>
      </c>
      <c r="K4591" s="455">
        <f t="shared" ca="1" si="186"/>
        <v>-134031286644.53947</v>
      </c>
      <c r="L4591" s="455">
        <f t="shared" ca="1" si="187"/>
        <v>-32301540081334.016</v>
      </c>
      <c r="M4591" s="471">
        <f t="shared" si="189"/>
        <v>0.05</v>
      </c>
      <c r="N4591" s="475">
        <f t="shared" si="190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88"/>
        <v>-32301540081334.016</v>
      </c>
      <c r="J4592" s="455">
        <f t="array" ref="J4592">IFERROR(INDEX('Retirement Calculator'!J:J,MATCH('Isaac 401k'!N4592,'Retirement Calculator'!A:A,0),0),0)</f>
        <v>0</v>
      </c>
      <c r="K4592" s="455">
        <f t="shared" ca="1" si="186"/>
        <v>-134589750338.89172</v>
      </c>
      <c r="L4592" s="455">
        <f t="shared" ca="1" si="187"/>
        <v>-32436129831672.906</v>
      </c>
      <c r="M4592" s="471">
        <f t="shared" si="189"/>
        <v>0.05</v>
      </c>
      <c r="N4592" s="475">
        <f t="shared" si="190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88"/>
        <v>-32436129831672.906</v>
      </c>
      <c r="J4593" s="455">
        <f t="array" ref="J4593">IFERROR(INDEX('Retirement Calculator'!J:J,MATCH('Isaac 401k'!N4593,'Retirement Calculator'!A:A,0),0),0)</f>
        <v>0</v>
      </c>
      <c r="K4593" s="455">
        <f t="shared" ca="1" si="186"/>
        <v>-135150540965.30377</v>
      </c>
      <c r="L4593" s="455">
        <f t="shared" ca="1" si="187"/>
        <v>-32571280372638.211</v>
      </c>
      <c r="M4593" s="471">
        <f t="shared" si="189"/>
        <v>0.05</v>
      </c>
      <c r="N4593" s="475">
        <f t="shared" si="190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88"/>
        <v>-32571280372638.211</v>
      </c>
      <c r="J4594" s="455">
        <f t="array" ref="J4594">IFERROR(INDEX('Retirement Calculator'!J:J,MATCH('Isaac 401k'!N4594,'Retirement Calculator'!A:A,0),0),0)</f>
        <v>0</v>
      </c>
      <c r="K4594" s="455">
        <f t="shared" ca="1" si="186"/>
        <v>-135713668219.32587</v>
      </c>
      <c r="L4594" s="455">
        <f t="shared" ca="1" si="187"/>
        <v>-32706994040857.535</v>
      </c>
      <c r="M4594" s="471">
        <f t="shared" si="189"/>
        <v>0.05</v>
      </c>
      <c r="N4594" s="475">
        <f t="shared" si="190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88"/>
        <v>-32706994040857.535</v>
      </c>
      <c r="J4595" s="455">
        <f t="array" ref="J4595">IFERROR(INDEX('Retirement Calculator'!J:J,MATCH('Isaac 401k'!N4595,'Retirement Calculator'!A:A,0),0),0)</f>
        <v>0</v>
      </c>
      <c r="K4595" s="455">
        <f t="shared" ca="1" si="186"/>
        <v>-136279141836.90642</v>
      </c>
      <c r="L4595" s="455">
        <f t="shared" ca="1" si="187"/>
        <v>-32843273182694.441</v>
      </c>
      <c r="M4595" s="471">
        <f t="shared" si="189"/>
        <v>0.05</v>
      </c>
      <c r="N4595" s="475">
        <f t="shared" si="190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88"/>
        <v>-32843273182694.441</v>
      </c>
      <c r="J4596" s="455">
        <f t="array" ref="J4596">IFERROR(INDEX('Retirement Calculator'!J:J,MATCH('Isaac 401k'!N4596,'Retirement Calculator'!A:A,0),0),0)</f>
        <v>0</v>
      </c>
      <c r="K4596" s="455">
        <f t="shared" ca="1" si="186"/>
        <v>-136846971594.56017</v>
      </c>
      <c r="L4596" s="455">
        <f t="shared" ca="1" si="187"/>
        <v>-32980120154289</v>
      </c>
      <c r="M4596" s="471">
        <f t="shared" si="189"/>
        <v>0.05</v>
      </c>
      <c r="N4596" s="475">
        <f t="shared" si="190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88"/>
        <v>-32980120154289</v>
      </c>
      <c r="J4597" s="455">
        <f t="array" ref="J4597">IFERROR(INDEX('Retirement Calculator'!J:J,MATCH('Isaac 401k'!N4597,'Retirement Calculator'!A:A,0),0),0)</f>
        <v>0</v>
      </c>
      <c r="K4597" s="455">
        <f t="shared" ca="1" si="186"/>
        <v>-137417167309.53748</v>
      </c>
      <c r="L4597" s="455">
        <f t="shared" ca="1" si="187"/>
        <v>-33117537321598.539</v>
      </c>
      <c r="M4597" s="471">
        <f t="shared" si="189"/>
        <v>0.05</v>
      </c>
      <c r="N4597" s="475">
        <f t="shared" si="190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88"/>
        <v>-33117537321598.539</v>
      </c>
      <c r="J4598" s="455">
        <f t="array" ref="J4598">IFERROR(INDEX('Retirement Calculator'!J:J,MATCH('Isaac 401k'!N4598,'Retirement Calculator'!A:A,0),0),0)</f>
        <v>0</v>
      </c>
      <c r="K4598" s="455">
        <f t="shared" ref="K4598:K4852" ca="1" si="191">IPMT(M4598/12,1,12,-I4598+J4598,,0)</f>
        <v>-137989738839.99393</v>
      </c>
      <c r="L4598" s="455">
        <f t="shared" ref="L4598:L4852" ca="1" si="192">I4598-J4598+K4598</f>
        <v>-33255527060438.531</v>
      </c>
      <c r="M4598" s="471">
        <f t="shared" si="189"/>
        <v>0.05</v>
      </c>
      <c r="N4598" s="475">
        <f t="shared" si="190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93">L4598</f>
        <v>-33255527060438.531</v>
      </c>
      <c r="J4599" s="455">
        <f t="array" ref="J4599">IFERROR(INDEX('Retirement Calculator'!J:J,MATCH('Isaac 401k'!N4599,'Retirement Calculator'!A:A,0),0),0)</f>
        <v>0</v>
      </c>
      <c r="K4599" s="455">
        <f t="shared" ca="1" si="191"/>
        <v>-138564696085.16052</v>
      </c>
      <c r="L4599" s="455">
        <f t="shared" ca="1" si="192"/>
        <v>-33394091756523.691</v>
      </c>
      <c r="M4599" s="471">
        <f t="shared" ref="M4599:M4853" si="194">M4598</f>
        <v>0.05</v>
      </c>
      <c r="N4599" s="475">
        <f t="shared" ref="N4599:N4853" si="195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93"/>
        <v>-33394091756523.691</v>
      </c>
      <c r="J4600" s="455">
        <f t="array" ref="J4600">IFERROR(INDEX('Retirement Calculator'!J:J,MATCH('Isaac 401k'!N4600,'Retirement Calculator'!A:A,0),0),0)</f>
        <v>0</v>
      </c>
      <c r="K4600" s="455">
        <f t="shared" ca="1" si="191"/>
        <v>-139142048985.51538</v>
      </c>
      <c r="L4600" s="455">
        <f t="shared" ca="1" si="192"/>
        <v>-33533233805509.207</v>
      </c>
      <c r="M4600" s="471">
        <f t="shared" si="194"/>
        <v>0.05</v>
      </c>
      <c r="N4600" s="475">
        <f t="shared" si="195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93"/>
        <v>-33533233805509.207</v>
      </c>
      <c r="J4601" s="455">
        <f t="array" ref="J4601">IFERROR(INDEX('Retirement Calculator'!J:J,MATCH('Isaac 401k'!N4601,'Retirement Calculator'!A:A,0),0),0)</f>
        <v>0</v>
      </c>
      <c r="K4601" s="455">
        <f t="shared" ca="1" si="191"/>
        <v>-139721807522.95502</v>
      </c>
      <c r="L4601" s="455">
        <f t="shared" ca="1" si="192"/>
        <v>-33672955613032.16</v>
      </c>
      <c r="M4601" s="471">
        <f t="shared" si="194"/>
        <v>0.05</v>
      </c>
      <c r="N4601" s="475">
        <f t="shared" si="195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93"/>
        <v>-33672955613032.16</v>
      </c>
      <c r="J4602" s="455">
        <f t="array" ref="J4602">IFERROR(INDEX('Retirement Calculator'!J:J,MATCH('Isaac 401k'!N4602,'Retirement Calculator'!A:A,0),0),0)</f>
        <v>0</v>
      </c>
      <c r="K4602" s="455">
        <f t="shared" ca="1" si="191"/>
        <v>-140303981720.96735</v>
      </c>
      <c r="L4602" s="455">
        <f t="shared" ca="1" si="192"/>
        <v>-33813259594753.129</v>
      </c>
      <c r="M4602" s="471">
        <f t="shared" si="194"/>
        <v>0.05</v>
      </c>
      <c r="N4602" s="475">
        <f t="shared" si="195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93"/>
        <v>-33813259594753.129</v>
      </c>
      <c r="J4603" s="455">
        <f t="array" ref="J4603">IFERROR(INDEX('Retirement Calculator'!J:J,MATCH('Isaac 401k'!N4603,'Retirement Calculator'!A:A,0),0),0)</f>
        <v>0</v>
      </c>
      <c r="K4603" s="455">
        <f t="shared" ca="1" si="191"/>
        <v>-140888581644.80472</v>
      </c>
      <c r="L4603" s="455">
        <f t="shared" ca="1" si="192"/>
        <v>-33954148176397.934</v>
      </c>
      <c r="M4603" s="471">
        <f t="shared" si="194"/>
        <v>0.05</v>
      </c>
      <c r="N4603" s="475">
        <f t="shared" si="195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93"/>
        <v>-33954148176397.934</v>
      </c>
      <c r="J4604" s="455">
        <f t="array" ref="J4604">IFERROR(INDEX('Retirement Calculator'!J:J,MATCH('Isaac 401k'!N4604,'Retirement Calculator'!A:A,0),0),0)</f>
        <v>0</v>
      </c>
      <c r="K4604" s="455">
        <f t="shared" ca="1" si="191"/>
        <v>-141475617401.65805</v>
      </c>
      <c r="L4604" s="455">
        <f t="shared" ca="1" si="192"/>
        <v>-34095623793799.59</v>
      </c>
      <c r="M4604" s="471">
        <f t="shared" si="194"/>
        <v>0.05</v>
      </c>
      <c r="N4604" s="475">
        <f t="shared" si="195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93"/>
        <v>-34095623793799.59</v>
      </c>
      <c r="J4605" s="455">
        <f t="array" ref="J4605">IFERROR(INDEX('Retirement Calculator'!J:J,MATCH('Isaac 401k'!N4605,'Retirement Calculator'!A:A,0),0),0)</f>
        <v>0</v>
      </c>
      <c r="K4605" s="455">
        <f t="shared" ca="1" si="191"/>
        <v>-142065099140.83163</v>
      </c>
      <c r="L4605" s="455">
        <f t="shared" ca="1" si="192"/>
        <v>-34237688892940.422</v>
      </c>
      <c r="M4605" s="471">
        <f t="shared" si="194"/>
        <v>0.05</v>
      </c>
      <c r="N4605" s="475">
        <f t="shared" si="195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93"/>
        <v>-34237688892940.422</v>
      </c>
      <c r="J4606" s="455">
        <f t="array" ref="J4606">IFERROR(INDEX('Retirement Calculator'!J:J,MATCH('Isaac 401k'!N4606,'Retirement Calculator'!A:A,0),0),0)</f>
        <v>0</v>
      </c>
      <c r="K4606" s="455">
        <f t="shared" ca="1" si="191"/>
        <v>-142657037053.91843</v>
      </c>
      <c r="L4606" s="455">
        <f t="shared" ca="1" si="192"/>
        <v>-34380345929994.34</v>
      </c>
      <c r="M4606" s="471">
        <f t="shared" si="194"/>
        <v>0.05</v>
      </c>
      <c r="N4606" s="475">
        <f t="shared" si="195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93"/>
        <v>-34380345929994.34</v>
      </c>
      <c r="J4607" s="455">
        <f t="array" ref="J4607">IFERROR(INDEX('Retirement Calculator'!J:J,MATCH('Isaac 401k'!N4607,'Retirement Calculator'!A:A,0),0),0)</f>
        <v>0</v>
      </c>
      <c r="K4607" s="455">
        <f t="shared" ca="1" si="191"/>
        <v>-143251441374.97644</v>
      </c>
      <c r="L4607" s="455">
        <f t="shared" ca="1" si="192"/>
        <v>-34523597371369.316</v>
      </c>
      <c r="M4607" s="471">
        <f t="shared" si="194"/>
        <v>0.05</v>
      </c>
      <c r="N4607" s="475">
        <f t="shared" si="195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93"/>
        <v>-34523597371369.316</v>
      </c>
      <c r="J4608" s="455">
        <f t="array" ref="J4608">IFERROR(INDEX('Retirement Calculator'!J:J,MATCH('Isaac 401k'!N4608,'Retirement Calculator'!A:A,0),0),0)</f>
        <v>0</v>
      </c>
      <c r="K4608" s="455">
        <f t="shared" ca="1" si="191"/>
        <v>-143848322380.70547</v>
      </c>
      <c r="L4608" s="455">
        <f t="shared" ca="1" si="192"/>
        <v>-34667445693750.023</v>
      </c>
      <c r="M4608" s="471">
        <f t="shared" si="194"/>
        <v>0.05</v>
      </c>
      <c r="N4608" s="475">
        <f t="shared" si="195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93"/>
        <v>-34667445693750.023</v>
      </c>
      <c r="J4609" s="455">
        <f t="array" ref="J4609">IFERROR(INDEX('Retirement Calculator'!J:J,MATCH('Isaac 401k'!N4609,'Retirement Calculator'!A:A,0),0),0)</f>
        <v>0</v>
      </c>
      <c r="K4609" s="455">
        <f t="shared" ca="1" si="191"/>
        <v>-144447690390.62509</v>
      </c>
      <c r="L4609" s="455">
        <f t="shared" ca="1" si="192"/>
        <v>-34811893384140.648</v>
      </c>
      <c r="M4609" s="471">
        <f t="shared" si="194"/>
        <v>0.05</v>
      </c>
      <c r="N4609" s="475">
        <f t="shared" si="195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93"/>
        <v>-34811893384140.648</v>
      </c>
      <c r="J4610" s="455">
        <f t="array" ref="J4610">IFERROR(INDEX('Retirement Calculator'!J:J,MATCH('Isaac 401k'!N4610,'Retirement Calculator'!A:A,0),0),0)</f>
        <v>0</v>
      </c>
      <c r="K4610" s="455">
        <f t="shared" ca="1" si="191"/>
        <v>-145049555767.25269</v>
      </c>
      <c r="L4610" s="455">
        <f t="shared" ca="1" si="192"/>
        <v>-34956942939907.902</v>
      </c>
      <c r="M4610" s="471">
        <f t="shared" si="194"/>
        <v>0.05</v>
      </c>
      <c r="N4610" s="475">
        <f t="shared" si="195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93"/>
        <v>-34956942939907.902</v>
      </c>
      <c r="J4611" s="455">
        <f t="array" ref="J4611">IFERROR(INDEX('Retirement Calculator'!J:J,MATCH('Isaac 401k'!N4611,'Retirement Calculator'!A:A,0),0),0)</f>
        <v>0</v>
      </c>
      <c r="K4611" s="455">
        <f t="shared" ca="1" si="191"/>
        <v>-145653928916.28293</v>
      </c>
      <c r="L4611" s="455">
        <f t="shared" ca="1" si="192"/>
        <v>-35102596868824.184</v>
      </c>
      <c r="M4611" s="471">
        <f t="shared" si="194"/>
        <v>0.05</v>
      </c>
      <c r="N4611" s="475">
        <f t="shared" si="195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93"/>
        <v>-35102596868824.184</v>
      </c>
      <c r="J4612" s="455">
        <f t="array" ref="J4612">IFERROR(INDEX('Retirement Calculator'!J:J,MATCH('Isaac 401k'!N4612,'Retirement Calculator'!A:A,0),0),0)</f>
        <v>0</v>
      </c>
      <c r="K4612" s="455">
        <f t="shared" ca="1" si="191"/>
        <v>-146260820286.76746</v>
      </c>
      <c r="L4612" s="455">
        <f t="shared" ca="1" si="192"/>
        <v>-35248857689110.953</v>
      </c>
      <c r="M4612" s="471">
        <f t="shared" si="194"/>
        <v>0.05</v>
      </c>
      <c r="N4612" s="475">
        <f t="shared" si="195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93"/>
        <v>-35248857689110.953</v>
      </c>
      <c r="J4613" s="455">
        <f t="array" ref="J4613">IFERROR(INDEX('Retirement Calculator'!J:J,MATCH('Isaac 401k'!N4613,'Retirement Calculator'!A:A,0),0),0)</f>
        <v>0</v>
      </c>
      <c r="K4613" s="455">
        <f t="shared" ca="1" si="191"/>
        <v>-146870240371.29562</v>
      </c>
      <c r="L4613" s="455">
        <f t="shared" ca="1" si="192"/>
        <v>-35395727929482.25</v>
      </c>
      <c r="M4613" s="471">
        <f t="shared" si="194"/>
        <v>0.05</v>
      </c>
      <c r="N4613" s="475">
        <f t="shared" si="195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93"/>
        <v>-35395727929482.25</v>
      </c>
      <c r="J4614" s="455">
        <f t="array" ref="J4614">IFERROR(INDEX('Retirement Calculator'!J:J,MATCH('Isaac 401k'!N4614,'Retirement Calculator'!A:A,0),0),0)</f>
        <v>0</v>
      </c>
      <c r="K4614" s="455">
        <f t="shared" ca="1" si="191"/>
        <v>-147482199706.17603</v>
      </c>
      <c r="L4614" s="455">
        <f t="shared" ca="1" si="192"/>
        <v>-35543210129188.43</v>
      </c>
      <c r="M4614" s="471">
        <f t="shared" si="194"/>
        <v>0.05</v>
      </c>
      <c r="N4614" s="475">
        <f t="shared" si="195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93"/>
        <v>-35543210129188.43</v>
      </c>
      <c r="J4615" s="455">
        <f t="array" ref="J4615">IFERROR(INDEX('Retirement Calculator'!J:J,MATCH('Isaac 401k'!N4615,'Retirement Calculator'!A:A,0),0),0)</f>
        <v>0</v>
      </c>
      <c r="K4615" s="455">
        <f t="shared" ca="1" si="191"/>
        <v>-148096708871.61847</v>
      </c>
      <c r="L4615" s="455">
        <f t="shared" ca="1" si="192"/>
        <v>-35691306838060.047</v>
      </c>
      <c r="M4615" s="471">
        <f t="shared" si="194"/>
        <v>0.05</v>
      </c>
      <c r="N4615" s="475">
        <f t="shared" si="195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93"/>
        <v>-35691306838060.047</v>
      </c>
      <c r="J4616" s="455">
        <f t="array" ref="J4616">IFERROR(INDEX('Retirement Calculator'!J:J,MATCH('Isaac 401k'!N4616,'Retirement Calculator'!A:A,0),0),0)</f>
        <v>0</v>
      </c>
      <c r="K4616" s="455">
        <f t="shared" ca="1" si="191"/>
        <v>-148713778491.91687</v>
      </c>
      <c r="L4616" s="455">
        <f t="shared" ca="1" si="192"/>
        <v>-35840020616551.961</v>
      </c>
      <c r="M4616" s="471">
        <f t="shared" si="194"/>
        <v>0.05</v>
      </c>
      <c r="N4616" s="475">
        <f t="shared" si="195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93"/>
        <v>-35840020616551.961</v>
      </c>
      <c r="J4617" s="455">
        <f t="array" ref="J4617">IFERROR(INDEX('Retirement Calculator'!J:J,MATCH('Isaac 401k'!N4617,'Retirement Calculator'!A:A,0),0),0)</f>
        <v>0</v>
      </c>
      <c r="K4617" s="455">
        <f t="shared" ca="1" si="191"/>
        <v>-149333419235.63318</v>
      </c>
      <c r="L4617" s="455">
        <f t="shared" ca="1" si="192"/>
        <v>-35989354035787.594</v>
      </c>
      <c r="M4617" s="471">
        <f t="shared" si="194"/>
        <v>0.05</v>
      </c>
      <c r="N4617" s="475">
        <f t="shared" si="195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93"/>
        <v>-35989354035787.594</v>
      </c>
      <c r="J4618" s="455">
        <f t="array" ref="J4618">IFERROR(INDEX('Retirement Calculator'!J:J,MATCH('Isaac 401k'!N4618,'Retirement Calculator'!A:A,0),0),0)</f>
        <v>0</v>
      </c>
      <c r="K4618" s="455">
        <f t="shared" ca="1" si="191"/>
        <v>-149955641815.78165</v>
      </c>
      <c r="L4618" s="455">
        <f t="shared" ca="1" si="192"/>
        <v>-36139309677603.375</v>
      </c>
      <c r="M4618" s="471">
        <f t="shared" si="194"/>
        <v>0.05</v>
      </c>
      <c r="N4618" s="475">
        <f t="shared" si="195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93"/>
        <v>-36139309677603.375</v>
      </c>
      <c r="J4619" s="455">
        <f t="array" ref="J4619">IFERROR(INDEX('Retirement Calculator'!J:J,MATCH('Isaac 401k'!N4619,'Retirement Calculator'!A:A,0),0),0)</f>
        <v>0</v>
      </c>
      <c r="K4619" s="455">
        <f t="shared" ca="1" si="191"/>
        <v>-150580456990.01407</v>
      </c>
      <c r="L4619" s="455">
        <f t="shared" ca="1" si="192"/>
        <v>-36289890134593.391</v>
      </c>
      <c r="M4619" s="471">
        <f t="shared" si="194"/>
        <v>0.05</v>
      </c>
      <c r="N4619" s="475">
        <f t="shared" si="195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93"/>
        <v>-36289890134593.391</v>
      </c>
      <c r="J4620" s="455">
        <f t="array" ref="J4620">IFERROR(INDEX('Retirement Calculator'!J:J,MATCH('Isaac 401k'!N4620,'Retirement Calculator'!A:A,0),0),0)</f>
        <v>0</v>
      </c>
      <c r="K4620" s="455">
        <f t="shared" ca="1" si="191"/>
        <v>-151207875560.80579</v>
      </c>
      <c r="L4620" s="455">
        <f t="shared" ca="1" si="192"/>
        <v>-36441098010154.195</v>
      </c>
      <c r="M4620" s="471">
        <f t="shared" si="194"/>
        <v>0.05</v>
      </c>
      <c r="N4620" s="475">
        <f t="shared" si="195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93"/>
        <v>-36441098010154.195</v>
      </c>
      <c r="J4621" s="455">
        <f t="array" ref="J4621">IFERROR(INDEX('Retirement Calculator'!J:J,MATCH('Isaac 401k'!N4621,'Retirement Calculator'!A:A,0),0),0)</f>
        <v>0</v>
      </c>
      <c r="K4621" s="455">
        <f t="shared" ca="1" si="191"/>
        <v>-151837908375.64249</v>
      </c>
      <c r="L4621" s="455">
        <f t="shared" ca="1" si="192"/>
        <v>-36592935918529.836</v>
      </c>
      <c r="M4621" s="471">
        <f t="shared" si="194"/>
        <v>0.05</v>
      </c>
      <c r="N4621" s="475">
        <f t="shared" si="195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93"/>
        <v>-36592935918529.836</v>
      </c>
      <c r="J4622" s="455">
        <f t="array" ref="J4622">IFERROR(INDEX('Retirement Calculator'!J:J,MATCH('Isaac 401k'!N4622,'Retirement Calculator'!A:A,0),0),0)</f>
        <v>0</v>
      </c>
      <c r="K4622" s="455">
        <f t="shared" ca="1" si="191"/>
        <v>-152470566327.20764</v>
      </c>
      <c r="L4622" s="455">
        <f t="shared" ca="1" si="192"/>
        <v>-36745406484857.047</v>
      </c>
      <c r="M4622" s="471">
        <f t="shared" si="194"/>
        <v>0.05</v>
      </c>
      <c r="N4622" s="475">
        <f t="shared" si="195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93"/>
        <v>-36745406484857.047</v>
      </c>
      <c r="J4623" s="455">
        <f t="array" ref="J4623">IFERROR(INDEX('Retirement Calculator'!J:J,MATCH('Isaac 401k'!N4623,'Retirement Calculator'!A:A,0),0),0)</f>
        <v>0</v>
      </c>
      <c r="K4623" s="455">
        <f t="shared" ca="1" si="191"/>
        <v>-153105860353.57101</v>
      </c>
      <c r="L4623" s="455">
        <f t="shared" ca="1" si="192"/>
        <v>-36898512345210.617</v>
      </c>
      <c r="M4623" s="471">
        <f t="shared" si="194"/>
        <v>0.05</v>
      </c>
      <c r="N4623" s="475">
        <f t="shared" si="195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93"/>
        <v>-36898512345210.617</v>
      </c>
      <c r="J4624" s="455">
        <f t="array" ref="J4624">IFERROR(INDEX('Retirement Calculator'!J:J,MATCH('Isaac 401k'!N4624,'Retirement Calculator'!A:A,0),0),0)</f>
        <v>0</v>
      </c>
      <c r="K4624" s="455">
        <f t="shared" ca="1" si="191"/>
        <v>-153743801438.37756</v>
      </c>
      <c r="L4624" s="455">
        <f t="shared" ca="1" si="192"/>
        <v>-37052256146648.992</v>
      </c>
      <c r="M4624" s="471">
        <f t="shared" si="194"/>
        <v>0.05</v>
      </c>
      <c r="N4624" s="475">
        <f t="shared" si="195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93"/>
        <v>-37052256146648.992</v>
      </c>
      <c r="J4625" s="455">
        <f t="array" ref="J4625">IFERROR(INDEX('Retirement Calculator'!J:J,MATCH('Isaac 401k'!N4625,'Retirement Calculator'!A:A,0),0),0)</f>
        <v>0</v>
      </c>
      <c r="K4625" s="455">
        <f t="shared" ca="1" si="191"/>
        <v>-154384400611.03748</v>
      </c>
      <c r="L4625" s="455">
        <f t="shared" ca="1" si="192"/>
        <v>-37206640547260.031</v>
      </c>
      <c r="M4625" s="471">
        <f t="shared" si="194"/>
        <v>0.05</v>
      </c>
      <c r="N4625" s="475">
        <f t="shared" si="195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93"/>
        <v>-37206640547260.031</v>
      </c>
      <c r="J4626" s="455">
        <f t="array" ref="J4626">IFERROR(INDEX('Retirement Calculator'!J:J,MATCH('Isaac 401k'!N4626,'Retirement Calculator'!A:A,0),0),0)</f>
        <v>0</v>
      </c>
      <c r="K4626" s="455">
        <f t="shared" ca="1" si="191"/>
        <v>-155027668946.91681</v>
      </c>
      <c r="L4626" s="455">
        <f t="shared" ca="1" si="192"/>
        <v>-37361668216206.945</v>
      </c>
      <c r="M4626" s="471">
        <f t="shared" si="194"/>
        <v>0.05</v>
      </c>
      <c r="N4626" s="475">
        <f t="shared" si="195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93"/>
        <v>-37361668216206.945</v>
      </c>
      <c r="J4627" s="455">
        <f t="array" ref="J4627">IFERROR(INDEX('Retirement Calculator'!J:J,MATCH('Isaac 401k'!N4627,'Retirement Calculator'!A:A,0),0),0)</f>
        <v>0</v>
      </c>
      <c r="K4627" s="455">
        <f t="shared" ca="1" si="191"/>
        <v>-155673617567.52893</v>
      </c>
      <c r="L4627" s="455">
        <f t="shared" ca="1" si="192"/>
        <v>-37517341833774.477</v>
      </c>
      <c r="M4627" s="471">
        <f t="shared" si="194"/>
        <v>0.05</v>
      </c>
      <c r="N4627" s="475">
        <f t="shared" si="195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93"/>
        <v>-37517341833774.477</v>
      </c>
      <c r="J4628" s="455">
        <f t="array" ref="J4628">IFERROR(INDEX('Retirement Calculator'!J:J,MATCH('Isaac 401k'!N4628,'Retirement Calculator'!A:A,0),0),0)</f>
        <v>0</v>
      </c>
      <c r="K4628" s="455">
        <f t="shared" ca="1" si="191"/>
        <v>-156322257640.72699</v>
      </c>
      <c r="L4628" s="455">
        <f t="shared" ca="1" si="192"/>
        <v>-37673664091415.203</v>
      </c>
      <c r="M4628" s="471">
        <f t="shared" si="194"/>
        <v>0.05</v>
      </c>
      <c r="N4628" s="475">
        <f t="shared" si="195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93"/>
        <v>-37673664091415.203</v>
      </c>
      <c r="J4629" s="455">
        <f t="array" ref="J4629">IFERROR(INDEX('Retirement Calculator'!J:J,MATCH('Isaac 401k'!N4629,'Retirement Calculator'!A:A,0),0),0)</f>
        <v>0</v>
      </c>
      <c r="K4629" s="455">
        <f t="shared" ca="1" si="191"/>
        <v>-156973600380.89667</v>
      </c>
      <c r="L4629" s="455">
        <f t="shared" ca="1" si="192"/>
        <v>-37830637691796.102</v>
      </c>
      <c r="M4629" s="471">
        <f t="shared" si="194"/>
        <v>0.05</v>
      </c>
      <c r="N4629" s="475">
        <f t="shared" si="195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93"/>
        <v>-37830637691796.102</v>
      </c>
      <c r="J4630" s="455">
        <f t="array" ref="J4630">IFERROR(INDEX('Retirement Calculator'!J:J,MATCH('Isaac 401k'!N4630,'Retirement Calculator'!A:A,0),0),0)</f>
        <v>0</v>
      </c>
      <c r="K4630" s="455">
        <f t="shared" ca="1" si="191"/>
        <v>-157627657049.15042</v>
      </c>
      <c r="L4630" s="455">
        <f t="shared" ca="1" si="192"/>
        <v>-37988265348845.25</v>
      </c>
      <c r="M4630" s="471">
        <f t="shared" si="194"/>
        <v>0.05</v>
      </c>
      <c r="N4630" s="475">
        <f t="shared" si="195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93"/>
        <v>-37988265348845.25</v>
      </c>
      <c r="J4631" s="455">
        <f t="array" ref="J4631">IFERROR(INDEX('Retirement Calculator'!J:J,MATCH('Isaac 401k'!N4631,'Retirement Calculator'!A:A,0),0),0)</f>
        <v>0</v>
      </c>
      <c r="K4631" s="455">
        <f t="shared" ca="1" si="191"/>
        <v>-158284438953.52188</v>
      </c>
      <c r="L4631" s="455">
        <f t="shared" ca="1" si="192"/>
        <v>-38146549787798.773</v>
      </c>
      <c r="M4631" s="471">
        <f t="shared" si="194"/>
        <v>0.05</v>
      </c>
      <c r="N4631" s="475">
        <f t="shared" si="195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93"/>
        <v>-38146549787798.773</v>
      </c>
      <c r="J4632" s="455">
        <f t="array" ref="J4632">IFERROR(INDEX('Retirement Calculator'!J:J,MATCH('Isaac 401k'!N4632,'Retirement Calculator'!A:A,0),0),0)</f>
        <v>0</v>
      </c>
      <c r="K4632" s="455">
        <f t="shared" ca="1" si="191"/>
        <v>-158943957449.16156</v>
      </c>
      <c r="L4632" s="455">
        <f t="shared" ca="1" si="192"/>
        <v>-38305493745247.938</v>
      </c>
      <c r="M4632" s="471">
        <f t="shared" si="194"/>
        <v>0.05</v>
      </c>
      <c r="N4632" s="475">
        <f t="shared" si="195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93"/>
        <v>-38305493745247.938</v>
      </c>
      <c r="J4633" s="455">
        <f t="array" ref="J4633">IFERROR(INDEX('Retirement Calculator'!J:J,MATCH('Isaac 401k'!N4633,'Retirement Calculator'!A:A,0),0),0)</f>
        <v>0</v>
      </c>
      <c r="K4633" s="455">
        <f t="shared" ca="1" si="191"/>
        <v>-159606223938.53308</v>
      </c>
      <c r="L4633" s="455">
        <f t="shared" ca="1" si="192"/>
        <v>-38465099969186.469</v>
      </c>
      <c r="M4633" s="471">
        <f t="shared" si="194"/>
        <v>0.05</v>
      </c>
      <c r="N4633" s="475">
        <f t="shared" si="195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93"/>
        <v>-38465099969186.469</v>
      </c>
      <c r="J4634" s="455">
        <f t="array" ref="J4634">IFERROR(INDEX('Retirement Calculator'!J:J,MATCH('Isaac 401k'!N4634,'Retirement Calculator'!A:A,0),0),0)</f>
        <v>0</v>
      </c>
      <c r="K4634" s="455">
        <f t="shared" ca="1" si="191"/>
        <v>-160271249871.61029</v>
      </c>
      <c r="L4634" s="455">
        <f t="shared" ca="1" si="192"/>
        <v>-38625371219058.078</v>
      </c>
      <c r="M4634" s="471">
        <f t="shared" si="194"/>
        <v>0.05</v>
      </c>
      <c r="N4634" s="475">
        <f t="shared" si="195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93"/>
        <v>-38625371219058.078</v>
      </c>
      <c r="J4635" s="455">
        <f t="array" ref="J4635">IFERROR(INDEX('Retirement Calculator'!J:J,MATCH('Isaac 401k'!N4635,'Retirement Calculator'!A:A,0),0),0)</f>
        <v>0</v>
      </c>
      <c r="K4635" s="455">
        <f t="shared" ca="1" si="191"/>
        <v>-160939046746.07532</v>
      </c>
      <c r="L4635" s="455">
        <f t="shared" ca="1" si="192"/>
        <v>-38786310265804.156</v>
      </c>
      <c r="M4635" s="471">
        <f t="shared" si="194"/>
        <v>0.05</v>
      </c>
      <c r="N4635" s="475">
        <f t="shared" si="195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93"/>
        <v>-38786310265804.156</v>
      </c>
      <c r="J4636" s="455">
        <f t="array" ref="J4636">IFERROR(INDEX('Retirement Calculator'!J:J,MATCH('Isaac 401k'!N4636,'Retirement Calculator'!A:A,0),0),0)</f>
        <v>0</v>
      </c>
      <c r="K4636" s="455">
        <f t="shared" ca="1" si="191"/>
        <v>-161609626107.5173</v>
      </c>
      <c r="L4636" s="455">
        <f t="shared" ca="1" si="192"/>
        <v>-38947919891911.672</v>
      </c>
      <c r="M4636" s="471">
        <f t="shared" si="194"/>
        <v>0.05</v>
      </c>
      <c r="N4636" s="475">
        <f t="shared" si="195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93"/>
        <v>-38947919891911.672</v>
      </c>
      <c r="J4637" s="455">
        <f t="array" ref="J4637">IFERROR(INDEX('Retirement Calculator'!J:J,MATCH('Isaac 401k'!N4637,'Retirement Calculator'!A:A,0),0),0)</f>
        <v>0</v>
      </c>
      <c r="K4637" s="455">
        <f t="shared" ca="1" si="191"/>
        <v>-162282999549.63196</v>
      </c>
      <c r="L4637" s="455">
        <f t="shared" ca="1" si="192"/>
        <v>-39110202891461.305</v>
      </c>
      <c r="M4637" s="471">
        <f t="shared" si="194"/>
        <v>0.05</v>
      </c>
      <c r="N4637" s="475">
        <f t="shared" si="195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93"/>
        <v>-39110202891461.305</v>
      </c>
      <c r="J4638" s="455">
        <f t="array" ref="J4638">IFERROR(INDEX('Retirement Calculator'!J:J,MATCH('Isaac 401k'!N4638,'Retirement Calculator'!A:A,0),0),0)</f>
        <v>0</v>
      </c>
      <c r="K4638" s="455">
        <f t="shared" ca="1" si="191"/>
        <v>-162959178714.42209</v>
      </c>
      <c r="L4638" s="455">
        <f t="shared" ca="1" si="192"/>
        <v>-39273162070175.727</v>
      </c>
      <c r="M4638" s="471">
        <f t="shared" si="194"/>
        <v>0.05</v>
      </c>
      <c r="N4638" s="475">
        <f t="shared" si="195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93"/>
        <v>-39273162070175.727</v>
      </c>
      <c r="J4639" s="455">
        <f t="array" ref="J4639">IFERROR(INDEX('Retirement Calculator'!J:J,MATCH('Isaac 401k'!N4639,'Retirement Calculator'!A:A,0),0),0)</f>
        <v>0</v>
      </c>
      <c r="K4639" s="455">
        <f t="shared" ca="1" si="191"/>
        <v>-163638175292.39886</v>
      </c>
      <c r="L4639" s="455">
        <f t="shared" ca="1" si="192"/>
        <v>-39436800245468.125</v>
      </c>
      <c r="M4639" s="471">
        <f t="shared" si="194"/>
        <v>0.05</v>
      </c>
      <c r="N4639" s="475">
        <f t="shared" si="195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93"/>
        <v>-39436800245468.125</v>
      </c>
      <c r="J4640" s="455">
        <f t="array" ref="J4640">IFERROR(INDEX('Retirement Calculator'!J:J,MATCH('Isaac 401k'!N4640,'Retirement Calculator'!A:A,0),0),0)</f>
        <v>0</v>
      </c>
      <c r="K4640" s="455">
        <f t="shared" ca="1" si="191"/>
        <v>-164320001022.78384</v>
      </c>
      <c r="L4640" s="455">
        <f t="shared" ca="1" si="192"/>
        <v>-39601120246490.906</v>
      </c>
      <c r="M4640" s="471">
        <f t="shared" si="194"/>
        <v>0.05</v>
      </c>
      <c r="N4640" s="475">
        <f t="shared" si="195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93"/>
        <v>-39601120246490.906</v>
      </c>
      <c r="J4641" s="455">
        <f t="array" ref="J4641">IFERROR(INDEX('Retirement Calculator'!J:J,MATCH('Isaac 401k'!N4641,'Retirement Calculator'!A:A,0),0),0)</f>
        <v>0</v>
      </c>
      <c r="K4641" s="455">
        <f t="shared" ca="1" si="191"/>
        <v>-165004667693.7121</v>
      </c>
      <c r="L4641" s="455">
        <f t="shared" ca="1" si="192"/>
        <v>-39766124914184.617</v>
      </c>
      <c r="M4641" s="471">
        <f t="shared" si="194"/>
        <v>0.05</v>
      </c>
      <c r="N4641" s="475">
        <f t="shared" si="195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93"/>
        <v>-39766124914184.617</v>
      </c>
      <c r="J4642" s="455">
        <f t="array" ref="J4642">IFERROR(INDEX('Retirement Calculator'!J:J,MATCH('Isaac 401k'!N4642,'Retirement Calculator'!A:A,0),0),0)</f>
        <v>0</v>
      </c>
      <c r="K4642" s="455">
        <f t="shared" ca="1" si="191"/>
        <v>-165692187142.43591</v>
      </c>
      <c r="L4642" s="455">
        <f t="shared" ca="1" si="192"/>
        <v>-39931817101327.055</v>
      </c>
      <c r="M4642" s="471">
        <f t="shared" si="194"/>
        <v>0.05</v>
      </c>
      <c r="N4642" s="475">
        <f t="shared" si="195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93"/>
        <v>-39931817101327.055</v>
      </c>
      <c r="J4643" s="455">
        <f t="array" ref="J4643">IFERROR(INDEX('Retirement Calculator'!J:J,MATCH('Isaac 401k'!N4643,'Retirement Calculator'!A:A,0),0),0)</f>
        <v>0</v>
      </c>
      <c r="K4643" s="455">
        <f t="shared" ca="1" si="191"/>
        <v>-166382571255.52939</v>
      </c>
      <c r="L4643" s="455">
        <f t="shared" ca="1" si="192"/>
        <v>-40098199672582.586</v>
      </c>
      <c r="M4643" s="471">
        <f t="shared" si="194"/>
        <v>0.05</v>
      </c>
      <c r="N4643" s="475">
        <f t="shared" si="195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93"/>
        <v>-40098199672582.586</v>
      </c>
      <c r="J4644" s="455">
        <f t="array" ref="J4644">IFERROR(INDEX('Retirement Calculator'!J:J,MATCH('Isaac 401k'!N4644,'Retirement Calculator'!A:A,0),0),0)</f>
        <v>0</v>
      </c>
      <c r="K4644" s="455">
        <f t="shared" ca="1" si="191"/>
        <v>-167075831969.09412</v>
      </c>
      <c r="L4644" s="455">
        <f t="shared" ca="1" si="192"/>
        <v>-40265275504551.68</v>
      </c>
      <c r="M4644" s="471">
        <f t="shared" si="194"/>
        <v>0.05</v>
      </c>
      <c r="N4644" s="475">
        <f t="shared" si="195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93"/>
        <v>-40265275504551.68</v>
      </c>
      <c r="J4645" s="455">
        <f t="array" ref="J4645">IFERROR(INDEX('Retirement Calculator'!J:J,MATCH('Isaac 401k'!N4645,'Retirement Calculator'!A:A,0),0),0)</f>
        <v>0</v>
      </c>
      <c r="K4645" s="455">
        <f t="shared" ca="1" si="191"/>
        <v>-167771981268.96533</v>
      </c>
      <c r="L4645" s="455">
        <f t="shared" ca="1" si="192"/>
        <v>-40433047485820.648</v>
      </c>
      <c r="M4645" s="471">
        <f t="shared" si="194"/>
        <v>0.05</v>
      </c>
      <c r="N4645" s="475">
        <f t="shared" si="195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93"/>
        <v>-40433047485820.648</v>
      </c>
      <c r="J4646" s="455">
        <f t="array" ref="J4646">IFERROR(INDEX('Retirement Calculator'!J:J,MATCH('Isaac 401k'!N4646,'Retirement Calculator'!A:A,0),0),0)</f>
        <v>0</v>
      </c>
      <c r="K4646" s="455">
        <f t="shared" ca="1" si="191"/>
        <v>-168471031190.91937</v>
      </c>
      <c r="L4646" s="455">
        <f t="shared" ca="1" si="192"/>
        <v>-40601518517011.57</v>
      </c>
      <c r="M4646" s="471">
        <f t="shared" si="194"/>
        <v>0.05</v>
      </c>
      <c r="N4646" s="475">
        <f t="shared" si="195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93"/>
        <v>-40601518517011.57</v>
      </c>
      <c r="J4647" s="455">
        <f t="array" ref="J4647">IFERROR(INDEX('Retirement Calculator'!J:J,MATCH('Isaac 401k'!N4647,'Retirement Calculator'!A:A,0),0),0)</f>
        <v>0</v>
      </c>
      <c r="K4647" s="455">
        <f t="shared" ca="1" si="191"/>
        <v>-169172993820.88153</v>
      </c>
      <c r="L4647" s="455">
        <f t="shared" ca="1" si="192"/>
        <v>-40770691510832.453</v>
      </c>
      <c r="M4647" s="471">
        <f t="shared" si="194"/>
        <v>0.05</v>
      </c>
      <c r="N4647" s="475">
        <f t="shared" si="195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93"/>
        <v>-40770691510832.453</v>
      </c>
      <c r="J4648" s="455">
        <f t="array" ref="J4648">IFERROR(INDEX('Retirement Calculator'!J:J,MATCH('Isaac 401k'!N4648,'Retirement Calculator'!A:A,0),0),0)</f>
        <v>0</v>
      </c>
      <c r="K4648" s="455">
        <f t="shared" ca="1" si="191"/>
        <v>-169877881295.13522</v>
      </c>
      <c r="L4648" s="455">
        <f t="shared" ca="1" si="192"/>
        <v>-40940569392127.586</v>
      </c>
      <c r="M4648" s="471">
        <f t="shared" si="194"/>
        <v>0.05</v>
      </c>
      <c r="N4648" s="475">
        <f t="shared" si="195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93"/>
        <v>-40940569392127.586</v>
      </c>
      <c r="J4649" s="455">
        <f t="array" ref="J4649">IFERROR(INDEX('Retirement Calculator'!J:J,MATCH('Isaac 401k'!N4649,'Retirement Calculator'!A:A,0),0),0)</f>
        <v>0</v>
      </c>
      <c r="K4649" s="455">
        <f t="shared" ca="1" si="191"/>
        <v>-170585705800.53162</v>
      </c>
      <c r="L4649" s="455">
        <f t="shared" ca="1" si="192"/>
        <v>-41111155097928.117</v>
      </c>
      <c r="M4649" s="471">
        <f t="shared" si="194"/>
        <v>0.05</v>
      </c>
      <c r="N4649" s="475">
        <f t="shared" si="195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93"/>
        <v>-41111155097928.117</v>
      </c>
      <c r="J4650" s="455">
        <f t="array" ref="J4650">IFERROR(INDEX('Retirement Calculator'!J:J,MATCH('Isaac 401k'!N4650,'Retirement Calculator'!A:A,0),0),0)</f>
        <v>0</v>
      </c>
      <c r="K4650" s="455">
        <f t="shared" ca="1" si="191"/>
        <v>-171296479574.7005</v>
      </c>
      <c r="L4650" s="455">
        <f t="shared" ca="1" si="192"/>
        <v>-41282451577502.82</v>
      </c>
      <c r="M4650" s="471">
        <f t="shared" si="194"/>
        <v>0.05</v>
      </c>
      <c r="N4650" s="475">
        <f t="shared" si="195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93"/>
        <v>-41282451577502.82</v>
      </c>
      <c r="J4651" s="455">
        <f t="array" ref="J4651">IFERROR(INDEX('Retirement Calculator'!J:J,MATCH('Isaac 401k'!N4651,'Retirement Calculator'!A:A,0),0),0)</f>
        <v>0</v>
      </c>
      <c r="K4651" s="455">
        <f t="shared" ca="1" si="191"/>
        <v>-172010214906.26175</v>
      </c>
      <c r="L4651" s="455">
        <f t="shared" ca="1" si="192"/>
        <v>-41454461792409.086</v>
      </c>
      <c r="M4651" s="471">
        <f t="shared" si="194"/>
        <v>0.05</v>
      </c>
      <c r="N4651" s="475">
        <f t="shared" si="195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93"/>
        <v>-41454461792409.086</v>
      </c>
      <c r="J4652" s="455">
        <f t="array" ref="J4652">IFERROR(INDEX('Retirement Calculator'!J:J,MATCH('Isaac 401k'!N4652,'Retirement Calculator'!A:A,0),0),0)</f>
        <v>0</v>
      </c>
      <c r="K4652" s="455">
        <f t="shared" ca="1" si="191"/>
        <v>-172726924135.03784</v>
      </c>
      <c r="L4652" s="455">
        <f t="shared" ca="1" si="192"/>
        <v>-41627188716544.125</v>
      </c>
      <c r="M4652" s="471">
        <f t="shared" si="194"/>
        <v>0.05</v>
      </c>
      <c r="N4652" s="475">
        <f t="shared" si="195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93"/>
        <v>-41627188716544.125</v>
      </c>
      <c r="J4653" s="455">
        <f t="array" ref="J4653">IFERROR(INDEX('Retirement Calculator'!J:J,MATCH('Isaac 401k'!N4653,'Retirement Calculator'!A:A,0),0),0)</f>
        <v>0</v>
      </c>
      <c r="K4653" s="455">
        <f t="shared" ca="1" si="191"/>
        <v>-173446619652.26718</v>
      </c>
      <c r="L4653" s="455">
        <f t="shared" ca="1" si="192"/>
        <v>-41800635336196.391</v>
      </c>
      <c r="M4653" s="471">
        <f t="shared" si="194"/>
        <v>0.05</v>
      </c>
      <c r="N4653" s="475">
        <f t="shared" si="195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93"/>
        <v>-41800635336196.391</v>
      </c>
      <c r="J4654" s="455">
        <f t="array" ref="J4654">IFERROR(INDEX('Retirement Calculator'!J:J,MATCH('Isaac 401k'!N4654,'Retirement Calculator'!A:A,0),0),0)</f>
        <v>0</v>
      </c>
      <c r="K4654" s="455">
        <f t="shared" ca="1" si="191"/>
        <v>-174169313900.8183</v>
      </c>
      <c r="L4654" s="455">
        <f t="shared" ca="1" si="192"/>
        <v>-41974804650097.211</v>
      </c>
      <c r="M4654" s="471">
        <f t="shared" si="194"/>
        <v>0.05</v>
      </c>
      <c r="N4654" s="475">
        <f t="shared" si="195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93"/>
        <v>-41974804650097.211</v>
      </c>
      <c r="J4655" s="455">
        <f t="array" ref="J4655">IFERROR(INDEX('Retirement Calculator'!J:J,MATCH('Isaac 401k'!N4655,'Retirement Calculator'!A:A,0),0),0)</f>
        <v>0</v>
      </c>
      <c r="K4655" s="455">
        <f t="shared" ca="1" si="191"/>
        <v>-174895019375.40503</v>
      </c>
      <c r="L4655" s="455">
        <f t="shared" ca="1" si="192"/>
        <v>-42149699669472.617</v>
      </c>
      <c r="M4655" s="471">
        <f t="shared" si="194"/>
        <v>0.05</v>
      </c>
      <c r="N4655" s="475">
        <f t="shared" si="195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93"/>
        <v>-42149699669472.617</v>
      </c>
      <c r="J4656" s="455">
        <f t="array" ref="J4656">IFERROR(INDEX('Retirement Calculator'!J:J,MATCH('Isaac 401k'!N4656,'Retirement Calculator'!A:A,0),0),0)</f>
        <v>0</v>
      </c>
      <c r="K4656" s="455">
        <f t="shared" ca="1" si="191"/>
        <v>-175623748622.80258</v>
      </c>
      <c r="L4656" s="455">
        <f t="shared" ca="1" si="192"/>
        <v>-42325323418095.422</v>
      </c>
      <c r="M4656" s="471">
        <f t="shared" si="194"/>
        <v>0.05</v>
      </c>
      <c r="N4656" s="475">
        <f t="shared" si="195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93"/>
        <v>-42325323418095.422</v>
      </c>
      <c r="J4657" s="455">
        <f t="array" ref="J4657">IFERROR(INDEX('Retirement Calculator'!J:J,MATCH('Isaac 401k'!N4657,'Retirement Calculator'!A:A,0),0),0)</f>
        <v>0</v>
      </c>
      <c r="K4657" s="455">
        <f t="shared" ca="1" si="191"/>
        <v>-176355514242.06427</v>
      </c>
      <c r="L4657" s="455">
        <f t="shared" ca="1" si="192"/>
        <v>-42501678932337.484</v>
      </c>
      <c r="M4657" s="471">
        <f t="shared" si="194"/>
        <v>0.05</v>
      </c>
      <c r="N4657" s="475">
        <f t="shared" si="195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93"/>
        <v>-42501678932337.484</v>
      </c>
      <c r="J4658" s="455">
        <f t="array" ref="J4658">IFERROR(INDEX('Retirement Calculator'!J:J,MATCH('Isaac 401k'!N4658,'Retirement Calculator'!A:A,0),0),0)</f>
        <v>0</v>
      </c>
      <c r="K4658" s="455">
        <f t="shared" ca="1" si="191"/>
        <v>-177090328884.7395</v>
      </c>
      <c r="L4658" s="455">
        <f t="shared" ca="1" si="192"/>
        <v>-42678769261222.227</v>
      </c>
      <c r="M4658" s="471">
        <f t="shared" si="194"/>
        <v>0.05</v>
      </c>
      <c r="N4658" s="475">
        <f t="shared" si="195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93"/>
        <v>-42678769261222.227</v>
      </c>
      <c r="J4659" s="455">
        <f t="array" ref="J4659">IFERROR(INDEX('Retirement Calculator'!J:J,MATCH('Isaac 401k'!N4659,'Retirement Calculator'!A:A,0),0),0)</f>
        <v>0</v>
      </c>
      <c r="K4659" s="455">
        <f t="shared" ca="1" si="191"/>
        <v>-177828205255.09262</v>
      </c>
      <c r="L4659" s="455">
        <f t="shared" ca="1" si="192"/>
        <v>-42856597466477.32</v>
      </c>
      <c r="M4659" s="471">
        <f t="shared" si="194"/>
        <v>0.05</v>
      </c>
      <c r="N4659" s="475">
        <f t="shared" si="195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93"/>
        <v>-42856597466477.32</v>
      </c>
      <c r="J4660" s="455">
        <f t="array" ref="J4660">IFERROR(INDEX('Retirement Calculator'!J:J,MATCH('Isaac 401k'!N4660,'Retirement Calculator'!A:A,0),0),0)</f>
        <v>0</v>
      </c>
      <c r="K4660" s="455">
        <f t="shared" ca="1" si="191"/>
        <v>-178569156110.32217</v>
      </c>
      <c r="L4660" s="455">
        <f t="shared" ca="1" si="192"/>
        <v>-43035166622587.641</v>
      </c>
      <c r="M4660" s="471">
        <f t="shared" si="194"/>
        <v>0.05</v>
      </c>
      <c r="N4660" s="475">
        <f t="shared" si="195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93"/>
        <v>-43035166622587.641</v>
      </c>
      <c r="J4661" s="455">
        <f t="array" ref="J4661">IFERROR(INDEX('Retirement Calculator'!J:J,MATCH('Isaac 401k'!N4661,'Retirement Calculator'!A:A,0),0),0)</f>
        <v>0</v>
      </c>
      <c r="K4661" s="455">
        <f t="shared" ca="1" si="191"/>
        <v>-179313194260.78183</v>
      </c>
      <c r="L4661" s="455">
        <f t="shared" ca="1" si="192"/>
        <v>-43214479816848.422</v>
      </c>
      <c r="M4661" s="471">
        <f t="shared" si="194"/>
        <v>0.05</v>
      </c>
      <c r="N4661" s="475">
        <f t="shared" si="195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93"/>
        <v>-43214479816848.422</v>
      </c>
      <c r="J4662" s="455">
        <f t="array" ref="J4662">IFERROR(INDEX('Retirement Calculator'!J:J,MATCH('Isaac 401k'!N4662,'Retirement Calculator'!A:A,0),0),0)</f>
        <v>0</v>
      </c>
      <c r="K4662" s="455">
        <f t="shared" ca="1" si="191"/>
        <v>-180060332570.20175</v>
      </c>
      <c r="L4662" s="455">
        <f t="shared" ca="1" si="192"/>
        <v>-43394540149418.625</v>
      </c>
      <c r="M4662" s="471">
        <f t="shared" si="194"/>
        <v>0.05</v>
      </c>
      <c r="N4662" s="475">
        <f t="shared" si="195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93"/>
        <v>-43394540149418.625</v>
      </c>
      <c r="J4663" s="455">
        <f t="array" ref="J4663">IFERROR(INDEX('Retirement Calculator'!J:J,MATCH('Isaac 401k'!N4663,'Retirement Calculator'!A:A,0),0),0)</f>
        <v>0</v>
      </c>
      <c r="K4663" s="455">
        <f t="shared" ca="1" si="191"/>
        <v>-180810583955.91095</v>
      </c>
      <c r="L4663" s="455">
        <f t="shared" ca="1" si="192"/>
        <v>-43575350733374.539</v>
      </c>
      <c r="M4663" s="471">
        <f t="shared" si="194"/>
        <v>0.05</v>
      </c>
      <c r="N4663" s="475">
        <f t="shared" si="195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93"/>
        <v>-43575350733374.539</v>
      </c>
      <c r="J4664" s="455">
        <f t="array" ref="J4664">IFERROR(INDEX('Retirement Calculator'!J:J,MATCH('Isaac 401k'!N4664,'Retirement Calculator'!A:A,0),0),0)</f>
        <v>0</v>
      </c>
      <c r="K4664" s="455">
        <f t="shared" ca="1" si="191"/>
        <v>-181563961389.06058</v>
      </c>
      <c r="L4664" s="455">
        <f t="shared" ca="1" si="192"/>
        <v>-43756914694763.602</v>
      </c>
      <c r="M4664" s="471">
        <f t="shared" si="194"/>
        <v>0.05</v>
      </c>
      <c r="N4664" s="475">
        <f t="shared" si="195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93"/>
        <v>-43756914694763.602</v>
      </c>
      <c r="J4665" s="455">
        <f t="array" ref="J4665">IFERROR(INDEX('Retirement Calculator'!J:J,MATCH('Isaac 401k'!N4665,'Retirement Calculator'!A:A,0),0),0)</f>
        <v>0</v>
      </c>
      <c r="K4665" s="455">
        <f t="shared" ca="1" si="191"/>
        <v>-182320477894.84833</v>
      </c>
      <c r="L4665" s="455">
        <f t="shared" ca="1" si="192"/>
        <v>-43939235172658.453</v>
      </c>
      <c r="M4665" s="471">
        <f t="shared" si="194"/>
        <v>0.05</v>
      </c>
      <c r="N4665" s="475">
        <f t="shared" si="195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93"/>
        <v>-43939235172658.453</v>
      </c>
      <c r="J4666" s="455">
        <f t="array" ref="J4666">IFERROR(INDEX('Retirement Calculator'!J:J,MATCH('Isaac 401k'!N4666,'Retirement Calculator'!A:A,0),0),0)</f>
        <v>0</v>
      </c>
      <c r="K4666" s="455">
        <f t="shared" ca="1" si="191"/>
        <v>-183080146552.74356</v>
      </c>
      <c r="L4666" s="455">
        <f t="shared" ca="1" si="192"/>
        <v>-44122315319211.195</v>
      </c>
      <c r="M4666" s="471">
        <f t="shared" si="194"/>
        <v>0.05</v>
      </c>
      <c r="N4666" s="475">
        <f t="shared" si="195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93"/>
        <v>-44122315319211.195</v>
      </c>
      <c r="J4667" s="455">
        <f t="array" ref="J4667">IFERROR(INDEX('Retirement Calculator'!J:J,MATCH('Isaac 401k'!N4667,'Retirement Calculator'!A:A,0),0),0)</f>
        <v>0</v>
      </c>
      <c r="K4667" s="455">
        <f t="shared" ca="1" si="191"/>
        <v>-183842980496.71332</v>
      </c>
      <c r="L4667" s="455">
        <f t="shared" ca="1" si="192"/>
        <v>-44306158299707.906</v>
      </c>
      <c r="M4667" s="471">
        <f t="shared" si="194"/>
        <v>0.05</v>
      </c>
      <c r="N4667" s="475">
        <f t="shared" si="195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93"/>
        <v>-44306158299707.906</v>
      </c>
      <c r="J4668" s="455">
        <f t="array" ref="J4668">IFERROR(INDEX('Retirement Calculator'!J:J,MATCH('Isaac 401k'!N4668,'Retirement Calculator'!A:A,0),0),0)</f>
        <v>0</v>
      </c>
      <c r="K4668" s="455">
        <f t="shared" ca="1" si="191"/>
        <v>-184608992915.44962</v>
      </c>
      <c r="L4668" s="455">
        <f t="shared" ca="1" si="192"/>
        <v>-44490767292623.359</v>
      </c>
      <c r="M4668" s="471">
        <f t="shared" si="194"/>
        <v>0.05</v>
      </c>
      <c r="N4668" s="475">
        <f t="shared" si="195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93"/>
        <v>-44490767292623.359</v>
      </c>
      <c r="J4669" s="455">
        <f t="array" ref="J4669">IFERROR(INDEX('Retirement Calculator'!J:J,MATCH('Isaac 401k'!N4669,'Retirement Calculator'!A:A,0),0),0)</f>
        <v>0</v>
      </c>
      <c r="K4669" s="455">
        <f t="shared" ca="1" si="191"/>
        <v>-185378197052.59732</v>
      </c>
      <c r="L4669" s="455">
        <f t="shared" ca="1" si="192"/>
        <v>-44676145489675.953</v>
      </c>
      <c r="M4669" s="471">
        <f t="shared" si="194"/>
        <v>0.05</v>
      </c>
      <c r="N4669" s="475">
        <f t="shared" si="195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93"/>
        <v>-44676145489675.953</v>
      </c>
      <c r="J4670" s="455">
        <f t="array" ref="J4670">IFERROR(INDEX('Retirement Calculator'!J:J,MATCH('Isaac 401k'!N4670,'Retirement Calculator'!A:A,0),0),0)</f>
        <v>0</v>
      </c>
      <c r="K4670" s="455">
        <f t="shared" ca="1" si="191"/>
        <v>-186150606206.98312</v>
      </c>
      <c r="L4670" s="455">
        <f t="shared" ca="1" si="192"/>
        <v>-44862296095882.938</v>
      </c>
      <c r="M4670" s="471">
        <f t="shared" si="194"/>
        <v>0.05</v>
      </c>
      <c r="N4670" s="475">
        <f t="shared" si="195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93"/>
        <v>-44862296095882.938</v>
      </c>
      <c r="J4671" s="455">
        <f t="array" ref="J4671">IFERROR(INDEX('Retirement Calculator'!J:J,MATCH('Isaac 401k'!N4671,'Retirement Calculator'!A:A,0),0),0)</f>
        <v>0</v>
      </c>
      <c r="K4671" s="455">
        <f t="shared" ca="1" si="191"/>
        <v>-186926233732.84558</v>
      </c>
      <c r="L4671" s="455">
        <f t="shared" ca="1" si="192"/>
        <v>-45049222329615.781</v>
      </c>
      <c r="M4671" s="471">
        <f t="shared" si="194"/>
        <v>0.05</v>
      </c>
      <c r="N4671" s="475">
        <f t="shared" si="195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93"/>
        <v>-45049222329615.781</v>
      </c>
      <c r="J4672" s="455">
        <f t="array" ref="J4672">IFERROR(INDEX('Retirement Calculator'!J:J,MATCH('Isaac 401k'!N4672,'Retirement Calculator'!A:A,0),0),0)</f>
        <v>0</v>
      </c>
      <c r="K4672" s="455">
        <f t="shared" ca="1" si="191"/>
        <v>-187705093040.06577</v>
      </c>
      <c r="L4672" s="455">
        <f t="shared" ca="1" si="192"/>
        <v>-45236927422655.844</v>
      </c>
      <c r="M4672" s="471">
        <f t="shared" si="194"/>
        <v>0.05</v>
      </c>
      <c r="N4672" s="475">
        <f t="shared" si="195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93"/>
        <v>-45236927422655.844</v>
      </c>
      <c r="J4673" s="455">
        <f t="array" ref="J4673">IFERROR(INDEX('Retirement Calculator'!J:J,MATCH('Isaac 401k'!N4673,'Retirement Calculator'!A:A,0),0),0)</f>
        <v>0</v>
      </c>
      <c r="K4673" s="455">
        <f t="shared" ca="1" si="191"/>
        <v>-188487197594.39935</v>
      </c>
      <c r="L4673" s="455">
        <f t="shared" ca="1" si="192"/>
        <v>-45425414620250.242</v>
      </c>
      <c r="M4673" s="471">
        <f t="shared" si="194"/>
        <v>0.05</v>
      </c>
      <c r="N4673" s="475">
        <f t="shared" si="195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93"/>
        <v>-45425414620250.242</v>
      </c>
      <c r="J4674" s="455">
        <f t="array" ref="J4674">IFERROR(INDEX('Retirement Calculator'!J:J,MATCH('Isaac 401k'!N4674,'Retirement Calculator'!A:A,0),0),0)</f>
        <v>0</v>
      </c>
      <c r="K4674" s="455">
        <f t="shared" ca="1" si="191"/>
        <v>-189272560917.70935</v>
      </c>
      <c r="L4674" s="455">
        <f t="shared" ca="1" si="192"/>
        <v>-45614687181167.953</v>
      </c>
      <c r="M4674" s="471">
        <f t="shared" si="194"/>
        <v>0.05</v>
      </c>
      <c r="N4674" s="475">
        <f t="shared" si="195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93"/>
        <v>-45614687181167.953</v>
      </c>
      <c r="J4675" s="455">
        <f t="array" ref="J4675">IFERROR(INDEX('Retirement Calculator'!J:J,MATCH('Isaac 401k'!N4675,'Retirement Calculator'!A:A,0),0),0)</f>
        <v>0</v>
      </c>
      <c r="K4675" s="455">
        <f t="shared" ca="1" si="191"/>
        <v>-190061196588.1998</v>
      </c>
      <c r="L4675" s="455">
        <f t="shared" ca="1" si="192"/>
        <v>-45804748377756.156</v>
      </c>
      <c r="M4675" s="471">
        <f t="shared" si="194"/>
        <v>0.05</v>
      </c>
      <c r="N4675" s="475">
        <f t="shared" si="195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93"/>
        <v>-45804748377756.156</v>
      </c>
      <c r="J4676" s="455">
        <f t="array" ref="J4676">IFERROR(INDEX('Retirement Calculator'!J:J,MATCH('Isaac 401k'!N4676,'Retirement Calculator'!A:A,0),0),0)</f>
        <v>0</v>
      </c>
      <c r="K4676" s="455">
        <f t="shared" ca="1" si="191"/>
        <v>-190853118240.65063</v>
      </c>
      <c r="L4676" s="455">
        <f t="shared" ca="1" si="192"/>
        <v>-45995601495996.805</v>
      </c>
      <c r="M4676" s="471">
        <f t="shared" si="194"/>
        <v>0.05</v>
      </c>
      <c r="N4676" s="475">
        <f t="shared" si="195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93"/>
        <v>-45995601495996.805</v>
      </c>
      <c r="J4677" s="455">
        <f t="array" ref="J4677">IFERROR(INDEX('Retirement Calculator'!J:J,MATCH('Isaac 401k'!N4677,'Retirement Calculator'!A:A,0),0),0)</f>
        <v>0</v>
      </c>
      <c r="K4677" s="455">
        <f t="shared" ca="1" si="191"/>
        <v>-191648339566.65335</v>
      </c>
      <c r="L4677" s="455">
        <f t="shared" ca="1" si="192"/>
        <v>-46187249835563.461</v>
      </c>
      <c r="M4677" s="471">
        <f t="shared" si="194"/>
        <v>0.05</v>
      </c>
      <c r="N4677" s="475">
        <f t="shared" si="195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93"/>
        <v>-46187249835563.461</v>
      </c>
      <c r="J4678" s="455">
        <f t="array" ref="J4678">IFERROR(INDEX('Retirement Calculator'!J:J,MATCH('Isaac 401k'!N4678,'Retirement Calculator'!A:A,0),0),0)</f>
        <v>0</v>
      </c>
      <c r="K4678" s="455">
        <f t="shared" ca="1" si="191"/>
        <v>-192446874314.84775</v>
      </c>
      <c r="L4678" s="455">
        <f t="shared" ca="1" si="192"/>
        <v>-46379696709878.313</v>
      </c>
      <c r="M4678" s="471">
        <f t="shared" si="194"/>
        <v>0.05</v>
      </c>
      <c r="N4678" s="475">
        <f t="shared" si="195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93"/>
        <v>-46379696709878.313</v>
      </c>
      <c r="J4679" s="455">
        <f t="array" ref="J4679">IFERROR(INDEX('Retirement Calculator'!J:J,MATCH('Isaac 401k'!N4679,'Retirement Calculator'!A:A,0),0),0)</f>
        <v>0</v>
      </c>
      <c r="K4679" s="455">
        <f t="shared" ca="1" si="191"/>
        <v>-193248736291.15964</v>
      </c>
      <c r="L4679" s="455">
        <f t="shared" ca="1" si="192"/>
        <v>-46572945446169.469</v>
      </c>
      <c r="M4679" s="471">
        <f t="shared" si="194"/>
        <v>0.05</v>
      </c>
      <c r="N4679" s="475">
        <f t="shared" si="195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93"/>
        <v>-46572945446169.469</v>
      </c>
      <c r="J4680" s="455">
        <f t="array" ref="J4680">IFERROR(INDEX('Retirement Calculator'!J:J,MATCH('Isaac 401k'!N4680,'Retirement Calculator'!A:A,0),0),0)</f>
        <v>0</v>
      </c>
      <c r="K4680" s="455">
        <f t="shared" ca="1" si="191"/>
        <v>-194053939359.03946</v>
      </c>
      <c r="L4680" s="455">
        <f t="shared" ca="1" si="192"/>
        <v>-46766999385528.508</v>
      </c>
      <c r="M4680" s="471">
        <f t="shared" si="194"/>
        <v>0.05</v>
      </c>
      <c r="N4680" s="475">
        <f t="shared" si="195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93"/>
        <v>-46766999385528.508</v>
      </c>
      <c r="J4681" s="455">
        <f t="array" ref="J4681">IFERROR(INDEX('Retirement Calculator'!J:J,MATCH('Isaac 401k'!N4681,'Retirement Calculator'!A:A,0),0),0)</f>
        <v>0</v>
      </c>
      <c r="K4681" s="455">
        <f t="shared" ca="1" si="191"/>
        <v>-194862497439.70212</v>
      </c>
      <c r="L4681" s="455">
        <f t="shared" ca="1" si="192"/>
        <v>-46961861882968.211</v>
      </c>
      <c r="M4681" s="471">
        <f t="shared" si="194"/>
        <v>0.05</v>
      </c>
      <c r="N4681" s="475">
        <f t="shared" si="195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93"/>
        <v>-46961861882968.211</v>
      </c>
      <c r="J4682" s="455">
        <f t="array" ref="J4682">IFERROR(INDEX('Retirement Calculator'!J:J,MATCH('Isaac 401k'!N4682,'Retirement Calculator'!A:A,0),0),0)</f>
        <v>0</v>
      </c>
      <c r="K4682" s="455">
        <f t="shared" ca="1" si="191"/>
        <v>-195674424512.36755</v>
      </c>
      <c r="L4682" s="455">
        <f t="shared" ca="1" si="192"/>
        <v>-47157536307480.578</v>
      </c>
      <c r="M4682" s="471">
        <f t="shared" si="194"/>
        <v>0.05</v>
      </c>
      <c r="N4682" s="475">
        <f t="shared" si="195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93"/>
        <v>-47157536307480.578</v>
      </c>
      <c r="J4683" s="455">
        <f t="array" ref="J4683">IFERROR(INDEX('Retirement Calculator'!J:J,MATCH('Isaac 401k'!N4683,'Retirement Calculator'!A:A,0),0),0)</f>
        <v>0</v>
      </c>
      <c r="K4683" s="455">
        <f t="shared" ca="1" si="191"/>
        <v>-196489734614.50241</v>
      </c>
      <c r="L4683" s="455">
        <f t="shared" ca="1" si="192"/>
        <v>-47354026042095.078</v>
      </c>
      <c r="M4683" s="471">
        <f t="shared" si="194"/>
        <v>0.05</v>
      </c>
      <c r="N4683" s="475">
        <f t="shared" si="195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93"/>
        <v>-47354026042095.078</v>
      </c>
      <c r="J4684" s="455">
        <f t="array" ref="J4684">IFERROR(INDEX('Retirement Calculator'!J:J,MATCH('Isaac 401k'!N4684,'Retirement Calculator'!A:A,0),0),0)</f>
        <v>0</v>
      </c>
      <c r="K4684" s="455">
        <f t="shared" ca="1" si="191"/>
        <v>-197308441842.06284</v>
      </c>
      <c r="L4684" s="455">
        <f t="shared" ca="1" si="192"/>
        <v>-47551334483937.141</v>
      </c>
      <c r="M4684" s="471">
        <f t="shared" si="194"/>
        <v>0.05</v>
      </c>
      <c r="N4684" s="475">
        <f t="shared" si="195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93"/>
        <v>-47551334483937.141</v>
      </c>
      <c r="J4685" s="455">
        <f t="array" ref="J4685">IFERROR(INDEX('Retirement Calculator'!J:J,MATCH('Isaac 401k'!N4685,'Retirement Calculator'!A:A,0),0),0)</f>
        <v>0</v>
      </c>
      <c r="K4685" s="455">
        <f t="shared" ca="1" si="191"/>
        <v>-198130560349.7381</v>
      </c>
      <c r="L4685" s="455">
        <f t="shared" ca="1" si="192"/>
        <v>-47749465044286.875</v>
      </c>
      <c r="M4685" s="471">
        <f t="shared" si="194"/>
        <v>0.05</v>
      </c>
      <c r="N4685" s="475">
        <f t="shared" si="195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93"/>
        <v>-47749465044286.875</v>
      </c>
      <c r="J4686" s="455">
        <f t="array" ref="J4686">IFERROR(INDEX('Retirement Calculator'!J:J,MATCH('Isaac 401k'!N4686,'Retirement Calculator'!A:A,0),0),0)</f>
        <v>0</v>
      </c>
      <c r="K4686" s="455">
        <f t="shared" ca="1" si="191"/>
        <v>-198956104351.19531</v>
      </c>
      <c r="L4686" s="455">
        <f t="shared" ca="1" si="192"/>
        <v>-47948421148638.07</v>
      </c>
      <c r="M4686" s="471">
        <f t="shared" si="194"/>
        <v>0.05</v>
      </c>
      <c r="N4686" s="475">
        <f t="shared" si="195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93"/>
        <v>-47948421148638.07</v>
      </c>
      <c r="J4687" s="455">
        <f t="array" ref="J4687">IFERROR(INDEX('Retirement Calculator'!J:J,MATCH('Isaac 401k'!N4687,'Retirement Calculator'!A:A,0),0),0)</f>
        <v>0</v>
      </c>
      <c r="K4687" s="455">
        <f t="shared" ca="1" si="191"/>
        <v>-199785088119.32529</v>
      </c>
      <c r="L4687" s="455">
        <f t="shared" ca="1" si="192"/>
        <v>-48148206236757.398</v>
      </c>
      <c r="M4687" s="471">
        <f t="shared" si="194"/>
        <v>0.05</v>
      </c>
      <c r="N4687" s="475">
        <f t="shared" si="195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93"/>
        <v>-48148206236757.398</v>
      </c>
      <c r="J4688" s="455">
        <f t="array" ref="J4688">IFERROR(INDEX('Retirement Calculator'!J:J,MATCH('Isaac 401k'!N4688,'Retirement Calculator'!A:A,0),0),0)</f>
        <v>0</v>
      </c>
      <c r="K4688" s="455">
        <f t="shared" ca="1" si="191"/>
        <v>-200617525986.48917</v>
      </c>
      <c r="L4688" s="455">
        <f t="shared" ca="1" si="192"/>
        <v>-48348823762743.891</v>
      </c>
      <c r="M4688" s="471">
        <f t="shared" si="194"/>
        <v>0.05</v>
      </c>
      <c r="N4688" s="475">
        <f t="shared" si="195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93"/>
        <v>-48348823762743.891</v>
      </c>
      <c r="J4689" s="455">
        <f t="array" ref="J4689">IFERROR(INDEX('Retirement Calculator'!J:J,MATCH('Isaac 401k'!N4689,'Retirement Calculator'!A:A,0),0),0)</f>
        <v>0</v>
      </c>
      <c r="K4689" s="455">
        <f t="shared" ca="1" si="191"/>
        <v>-201453432344.7662</v>
      </c>
      <c r="L4689" s="455">
        <f t="shared" ca="1" si="192"/>
        <v>-48550277195088.656</v>
      </c>
      <c r="M4689" s="471">
        <f t="shared" si="194"/>
        <v>0.05</v>
      </c>
      <c r="N4689" s="475">
        <f t="shared" si="195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93"/>
        <v>-48550277195088.656</v>
      </c>
      <c r="J4690" s="455">
        <f t="array" ref="J4690">IFERROR(INDEX('Retirement Calculator'!J:J,MATCH('Isaac 401k'!N4690,'Retirement Calculator'!A:A,0),0),0)</f>
        <v>0</v>
      </c>
      <c r="K4690" s="455">
        <f t="shared" ca="1" si="191"/>
        <v>-202292821646.20273</v>
      </c>
      <c r="L4690" s="455">
        <f t="shared" ca="1" si="192"/>
        <v>-48752570016734.859</v>
      </c>
      <c r="M4690" s="471">
        <f t="shared" si="194"/>
        <v>0.05</v>
      </c>
      <c r="N4690" s="475">
        <f t="shared" si="195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93"/>
        <v>-48752570016734.859</v>
      </c>
      <c r="J4691" s="455">
        <f t="array" ref="J4691">IFERROR(INDEX('Retirement Calculator'!J:J,MATCH('Isaac 401k'!N4691,'Retirement Calculator'!A:A,0),0),0)</f>
        <v>0</v>
      </c>
      <c r="K4691" s="455">
        <f t="shared" ca="1" si="191"/>
        <v>-203135708403.06192</v>
      </c>
      <c r="L4691" s="455">
        <f t="shared" ca="1" si="192"/>
        <v>-48955705725137.922</v>
      </c>
      <c r="M4691" s="471">
        <f t="shared" si="194"/>
        <v>0.05</v>
      </c>
      <c r="N4691" s="475">
        <f t="shared" si="195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93"/>
        <v>-48955705725137.922</v>
      </c>
      <c r="J4692" s="455">
        <f t="array" ref="J4692">IFERROR(INDEX('Retirement Calculator'!J:J,MATCH('Isaac 401k'!N4692,'Retirement Calculator'!A:A,0),0),0)</f>
        <v>0</v>
      </c>
      <c r="K4692" s="455">
        <f t="shared" ca="1" si="191"/>
        <v>-203982107188.07468</v>
      </c>
      <c r="L4692" s="455">
        <f t="shared" ca="1" si="192"/>
        <v>-49159687832326</v>
      </c>
      <c r="M4692" s="471">
        <f t="shared" si="194"/>
        <v>0.05</v>
      </c>
      <c r="N4692" s="475">
        <f t="shared" si="195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93"/>
        <v>-49159687832326</v>
      </c>
      <c r="J4693" s="455">
        <f t="array" ref="J4693">IFERROR(INDEX('Retirement Calculator'!J:J,MATCH('Isaac 401k'!N4693,'Retirement Calculator'!A:A,0),0),0)</f>
        <v>0</v>
      </c>
      <c r="K4693" s="455">
        <f t="shared" ca="1" si="191"/>
        <v>-204832032634.69165</v>
      </c>
      <c r="L4693" s="455">
        <f t="shared" ca="1" si="192"/>
        <v>-49364519864960.695</v>
      </c>
      <c r="M4693" s="471">
        <f t="shared" si="194"/>
        <v>0.05</v>
      </c>
      <c r="N4693" s="475">
        <f t="shared" si="195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93"/>
        <v>-49364519864960.695</v>
      </c>
      <c r="J4694" s="455">
        <f t="array" ref="J4694">IFERROR(INDEX('Retirement Calculator'!J:J,MATCH('Isaac 401k'!N4694,'Retirement Calculator'!A:A,0),0),0)</f>
        <v>0</v>
      </c>
      <c r="K4694" s="455">
        <f t="shared" ca="1" si="191"/>
        <v>-205685499437.33624</v>
      </c>
      <c r="L4694" s="455">
        <f t="shared" ca="1" si="192"/>
        <v>-49570205364398.031</v>
      </c>
      <c r="M4694" s="471">
        <f t="shared" si="194"/>
        <v>0.05</v>
      </c>
      <c r="N4694" s="475">
        <f t="shared" si="195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93"/>
        <v>-49570205364398.031</v>
      </c>
      <c r="J4695" s="455">
        <f t="array" ref="J4695">IFERROR(INDEX('Retirement Calculator'!J:J,MATCH('Isaac 401k'!N4695,'Retirement Calculator'!A:A,0),0),0)</f>
        <v>0</v>
      </c>
      <c r="K4695" s="455">
        <f t="shared" ca="1" si="191"/>
        <v>-206542522351.65845</v>
      </c>
      <c r="L4695" s="455">
        <f t="shared" ca="1" si="192"/>
        <v>-49776747886749.688</v>
      </c>
      <c r="M4695" s="471">
        <f t="shared" si="194"/>
        <v>0.05</v>
      </c>
      <c r="N4695" s="475">
        <f t="shared" si="195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93"/>
        <v>-49776747886749.688</v>
      </c>
      <c r="J4696" s="455">
        <f t="array" ref="J4696">IFERROR(INDEX('Retirement Calculator'!J:J,MATCH('Isaac 401k'!N4696,'Retirement Calculator'!A:A,0),0),0)</f>
        <v>0</v>
      </c>
      <c r="K4696" s="455">
        <f t="shared" ca="1" si="191"/>
        <v>-207403116194.79037</v>
      </c>
      <c r="L4696" s="455">
        <f t="shared" ca="1" si="192"/>
        <v>-49984151002944.477</v>
      </c>
      <c r="M4696" s="471">
        <f t="shared" si="194"/>
        <v>0.05</v>
      </c>
      <c r="N4696" s="475">
        <f t="shared" si="195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93"/>
        <v>-49984151002944.477</v>
      </c>
      <c r="J4697" s="455">
        <f t="array" ref="J4697">IFERROR(INDEX('Retirement Calculator'!J:J,MATCH('Isaac 401k'!N4697,'Retirement Calculator'!A:A,0),0),0)</f>
        <v>0</v>
      </c>
      <c r="K4697" s="455">
        <f t="shared" ca="1" si="191"/>
        <v>-208267295845.60199</v>
      </c>
      <c r="L4697" s="455">
        <f t="shared" ca="1" si="192"/>
        <v>-50192418298790.078</v>
      </c>
      <c r="M4697" s="471">
        <f t="shared" si="194"/>
        <v>0.05</v>
      </c>
      <c r="N4697" s="475">
        <f t="shared" si="195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93"/>
        <v>-50192418298790.078</v>
      </c>
      <c r="J4698" s="455">
        <f t="array" ref="J4698">IFERROR(INDEX('Retirement Calculator'!J:J,MATCH('Isaac 401k'!N4698,'Retirement Calculator'!A:A,0),0),0)</f>
        <v>0</v>
      </c>
      <c r="K4698" s="455">
        <f t="shared" ca="1" si="191"/>
        <v>-209135076244.95865</v>
      </c>
      <c r="L4698" s="455">
        <f t="shared" ca="1" si="192"/>
        <v>-50401553375035.039</v>
      </c>
      <c r="M4698" s="471">
        <f t="shared" si="194"/>
        <v>0.05</v>
      </c>
      <c r="N4698" s="475">
        <f t="shared" si="195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93"/>
        <v>-50401553375035.039</v>
      </c>
      <c r="J4699" s="455">
        <f t="array" ref="J4699">IFERROR(INDEX('Retirement Calculator'!J:J,MATCH('Isaac 401k'!N4699,'Retirement Calculator'!A:A,0),0),0)</f>
        <v>0</v>
      </c>
      <c r="K4699" s="455">
        <f t="shared" ca="1" si="191"/>
        <v>-210006472395.97934</v>
      </c>
      <c r="L4699" s="455">
        <f t="shared" ca="1" si="192"/>
        <v>-50611559847431.016</v>
      </c>
      <c r="M4699" s="471">
        <f t="shared" si="194"/>
        <v>0.05</v>
      </c>
      <c r="N4699" s="475">
        <f t="shared" si="195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93"/>
        <v>-50611559847431.016</v>
      </c>
      <c r="J4700" s="455">
        <f t="array" ref="J4700">IFERROR(INDEX('Retirement Calculator'!J:J,MATCH('Isaac 401k'!N4700,'Retirement Calculator'!A:A,0),0),0)</f>
        <v>0</v>
      </c>
      <c r="K4700" s="455">
        <f t="shared" ca="1" si="191"/>
        <v>-210881499364.2959</v>
      </c>
      <c r="L4700" s="455">
        <f t="shared" ca="1" si="192"/>
        <v>-50822441346795.313</v>
      </c>
      <c r="M4700" s="471">
        <f t="shared" si="194"/>
        <v>0.05</v>
      </c>
      <c r="N4700" s="475">
        <f t="shared" si="195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93"/>
        <v>-50822441346795.313</v>
      </c>
      <c r="J4701" s="455">
        <f t="array" ref="J4701">IFERROR(INDEX('Retirement Calculator'!J:J,MATCH('Isaac 401k'!N4701,'Retirement Calculator'!A:A,0),0),0)</f>
        <v>0</v>
      </c>
      <c r="K4701" s="455">
        <f t="shared" ca="1" si="191"/>
        <v>-211760172278.31381</v>
      </c>
      <c r="L4701" s="455">
        <f t="shared" ca="1" si="192"/>
        <v>-51034201519073.625</v>
      </c>
      <c r="M4701" s="471">
        <f t="shared" si="194"/>
        <v>0.05</v>
      </c>
      <c r="N4701" s="475">
        <f t="shared" si="195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93"/>
        <v>-51034201519073.625</v>
      </c>
      <c r="J4702" s="455">
        <f t="array" ref="J4702">IFERROR(INDEX('Retirement Calculator'!J:J,MATCH('Isaac 401k'!N4702,'Retirement Calculator'!A:A,0),0),0)</f>
        <v>0</v>
      </c>
      <c r="K4702" s="455">
        <f t="shared" ca="1" si="191"/>
        <v>-212642506329.47345</v>
      </c>
      <c r="L4702" s="455">
        <f t="shared" ca="1" si="192"/>
        <v>-51246844025403.102</v>
      </c>
      <c r="M4702" s="471">
        <f t="shared" si="194"/>
        <v>0.05</v>
      </c>
      <c r="N4702" s="475">
        <f t="shared" si="195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93"/>
        <v>-51246844025403.102</v>
      </c>
      <c r="J4703" s="455">
        <f t="array" ref="J4703">IFERROR(INDEX('Retirement Calculator'!J:J,MATCH('Isaac 401k'!N4703,'Retirement Calculator'!A:A,0),0),0)</f>
        <v>0</v>
      </c>
      <c r="K4703" s="455">
        <f t="shared" ca="1" si="191"/>
        <v>-213528516772.51291</v>
      </c>
      <c r="L4703" s="455">
        <f t="shared" ca="1" si="192"/>
        <v>-51460372542175.617</v>
      </c>
      <c r="M4703" s="471">
        <f t="shared" si="194"/>
        <v>0.05</v>
      </c>
      <c r="N4703" s="475">
        <f t="shared" si="195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93"/>
        <v>-51460372542175.617</v>
      </c>
      <c r="J4704" s="455">
        <f t="array" ref="J4704">IFERROR(INDEX('Retirement Calculator'!J:J,MATCH('Isaac 401k'!N4704,'Retirement Calculator'!A:A,0),0),0)</f>
        <v>0</v>
      </c>
      <c r="K4704" s="455">
        <f t="shared" ca="1" si="191"/>
        <v>-214418218925.73175</v>
      </c>
      <c r="L4704" s="455">
        <f t="shared" ca="1" si="192"/>
        <v>-51674790761101.352</v>
      </c>
      <c r="M4704" s="471">
        <f t="shared" si="194"/>
        <v>0.05</v>
      </c>
      <c r="N4704" s="475">
        <f t="shared" si="195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93"/>
        <v>-51674790761101.352</v>
      </c>
      <c r="J4705" s="455">
        <f t="array" ref="J4705">IFERROR(INDEX('Retirement Calculator'!J:J,MATCH('Isaac 401k'!N4705,'Retirement Calculator'!A:A,0),0),0)</f>
        <v>0</v>
      </c>
      <c r="K4705" s="455">
        <f t="shared" ca="1" si="191"/>
        <v>-215311628171.25562</v>
      </c>
      <c r="L4705" s="455">
        <f t="shared" ca="1" si="192"/>
        <v>-51890102389272.609</v>
      </c>
      <c r="M4705" s="471">
        <f t="shared" si="194"/>
        <v>0.05</v>
      </c>
      <c r="N4705" s="475">
        <f t="shared" si="195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93"/>
        <v>-51890102389272.609</v>
      </c>
      <c r="J4706" s="455">
        <f t="array" ref="J4706">IFERROR(INDEX('Retirement Calculator'!J:J,MATCH('Isaac 401k'!N4706,'Retirement Calculator'!A:A,0),0),0)</f>
        <v>0</v>
      </c>
      <c r="K4706" s="455">
        <f t="shared" ca="1" si="191"/>
        <v>-216208759955.30255</v>
      </c>
      <c r="L4706" s="455">
        <f t="shared" ca="1" si="192"/>
        <v>-52106311149227.914</v>
      </c>
      <c r="M4706" s="471">
        <f t="shared" si="194"/>
        <v>0.05</v>
      </c>
      <c r="N4706" s="475">
        <f t="shared" si="195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93"/>
        <v>-52106311149227.914</v>
      </c>
      <c r="J4707" s="455">
        <f t="array" ref="J4707">IFERROR(INDEX('Retirement Calculator'!J:J,MATCH('Isaac 401k'!N4707,'Retirement Calculator'!A:A,0),0),0)</f>
        <v>0</v>
      </c>
      <c r="K4707" s="455">
        <f t="shared" ca="1" si="191"/>
        <v>-217109629788.44965</v>
      </c>
      <c r="L4707" s="455">
        <f t="shared" ca="1" si="192"/>
        <v>-52323420779016.367</v>
      </c>
      <c r="M4707" s="471">
        <f t="shared" si="194"/>
        <v>0.05</v>
      </c>
      <c r="N4707" s="475">
        <f t="shared" si="195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93"/>
        <v>-52323420779016.367</v>
      </c>
      <c r="J4708" s="455">
        <f t="array" ref="J4708">IFERROR(INDEX('Retirement Calculator'!J:J,MATCH('Isaac 401k'!N4708,'Retirement Calculator'!A:A,0),0),0)</f>
        <v>0</v>
      </c>
      <c r="K4708" s="455">
        <f t="shared" ca="1" si="191"/>
        <v>-218014253245.90152</v>
      </c>
      <c r="L4708" s="455">
        <f t="shared" ca="1" si="192"/>
        <v>-52541435032262.266</v>
      </c>
      <c r="M4708" s="471">
        <f t="shared" si="194"/>
        <v>0.05</v>
      </c>
      <c r="N4708" s="475">
        <f t="shared" si="195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93"/>
        <v>-52541435032262.266</v>
      </c>
      <c r="J4709" s="455">
        <f t="array" ref="J4709">IFERROR(INDEX('Retirement Calculator'!J:J,MATCH('Isaac 401k'!N4709,'Retirement Calculator'!A:A,0),0),0)</f>
        <v>0</v>
      </c>
      <c r="K4709" s="455">
        <f t="shared" ca="1" si="191"/>
        <v>-218922645967.75943</v>
      </c>
      <c r="L4709" s="455">
        <f t="shared" ca="1" si="192"/>
        <v>-52760357678230.023</v>
      </c>
      <c r="M4709" s="471">
        <f t="shared" si="194"/>
        <v>0.05</v>
      </c>
      <c r="N4709" s="475">
        <f t="shared" si="195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93"/>
        <v>-52760357678230.023</v>
      </c>
      <c r="J4710" s="455">
        <f t="array" ref="J4710">IFERROR(INDEX('Retirement Calculator'!J:J,MATCH('Isaac 401k'!N4710,'Retirement Calculator'!A:A,0),0),0)</f>
        <v>0</v>
      </c>
      <c r="K4710" s="455">
        <f t="shared" ca="1" si="191"/>
        <v>-219834823659.29175</v>
      </c>
      <c r="L4710" s="455">
        <f t="shared" ca="1" si="192"/>
        <v>-52980192501889.313</v>
      </c>
      <c r="M4710" s="471">
        <f t="shared" si="194"/>
        <v>0.05</v>
      </c>
      <c r="N4710" s="475">
        <f t="shared" si="195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93"/>
        <v>-52980192501889.313</v>
      </c>
      <c r="J4711" s="455">
        <f t="array" ref="J4711">IFERROR(INDEX('Retirement Calculator'!J:J,MATCH('Isaac 401k'!N4711,'Retirement Calculator'!A:A,0),0),0)</f>
        <v>0</v>
      </c>
      <c r="K4711" s="455">
        <f t="shared" ca="1" si="191"/>
        <v>-220750802091.20547</v>
      </c>
      <c r="L4711" s="455">
        <f t="shared" ca="1" si="192"/>
        <v>-53200943303980.516</v>
      </c>
      <c r="M4711" s="471">
        <f t="shared" si="194"/>
        <v>0.05</v>
      </c>
      <c r="N4711" s="475">
        <f t="shared" si="195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93"/>
        <v>-53200943303980.516</v>
      </c>
      <c r="J4712" s="455">
        <f t="array" ref="J4712">IFERROR(INDEX('Retirement Calculator'!J:J,MATCH('Isaac 401k'!N4712,'Retirement Calculator'!A:A,0),0),0)</f>
        <v>0</v>
      </c>
      <c r="K4712" s="455">
        <f t="shared" ca="1" si="191"/>
        <v>-221670597099.91882</v>
      </c>
      <c r="L4712" s="455">
        <f t="shared" ca="1" si="192"/>
        <v>-53422613901080.438</v>
      </c>
      <c r="M4712" s="471">
        <f t="shared" si="194"/>
        <v>0.05</v>
      </c>
      <c r="N4712" s="475">
        <f t="shared" si="195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93"/>
        <v>-53422613901080.438</v>
      </c>
      <c r="J4713" s="455">
        <f t="array" ref="J4713">IFERROR(INDEX('Retirement Calculator'!J:J,MATCH('Isaac 401k'!N4713,'Retirement Calculator'!A:A,0),0),0)</f>
        <v>0</v>
      </c>
      <c r="K4713" s="455">
        <f t="shared" ca="1" si="191"/>
        <v>-222594224587.83514</v>
      </c>
      <c r="L4713" s="455">
        <f t="shared" ca="1" si="192"/>
        <v>-53645208125668.273</v>
      </c>
      <c r="M4713" s="471">
        <f t="shared" si="194"/>
        <v>0.05</v>
      </c>
      <c r="N4713" s="475">
        <f t="shared" si="195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93"/>
        <v>-53645208125668.273</v>
      </c>
      <c r="J4714" s="455">
        <f t="array" ref="J4714">IFERROR(INDEX('Retirement Calculator'!J:J,MATCH('Isaac 401k'!N4714,'Retirement Calculator'!A:A,0),0),0)</f>
        <v>0</v>
      </c>
      <c r="K4714" s="455">
        <f t="shared" ca="1" si="191"/>
        <v>-223521700523.6178</v>
      </c>
      <c r="L4714" s="455">
        <f t="shared" ca="1" si="192"/>
        <v>-53868729826191.891</v>
      </c>
      <c r="M4714" s="471">
        <f t="shared" si="194"/>
        <v>0.05</v>
      </c>
      <c r="N4714" s="475">
        <f t="shared" si="195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93"/>
        <v>-53868729826191.891</v>
      </c>
      <c r="J4715" s="455">
        <f t="array" ref="J4715">IFERROR(INDEX('Retirement Calculator'!J:J,MATCH('Isaac 401k'!N4715,'Retirement Calculator'!A:A,0),0),0)</f>
        <v>0</v>
      </c>
      <c r="K4715" s="455">
        <f t="shared" ca="1" si="191"/>
        <v>-224453040942.46622</v>
      </c>
      <c r="L4715" s="455">
        <f t="shared" ca="1" si="192"/>
        <v>-54093182867134.359</v>
      </c>
      <c r="M4715" s="471">
        <f t="shared" si="194"/>
        <v>0.05</v>
      </c>
      <c r="N4715" s="475">
        <f t="shared" si="195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93"/>
        <v>-54093182867134.359</v>
      </c>
      <c r="J4716" s="455">
        <f t="array" ref="J4716">IFERROR(INDEX('Retirement Calculator'!J:J,MATCH('Isaac 401k'!N4716,'Retirement Calculator'!A:A,0),0),0)</f>
        <v>0</v>
      </c>
      <c r="K4716" s="455">
        <f t="shared" ca="1" si="191"/>
        <v>-225388261946.39316</v>
      </c>
      <c r="L4716" s="455">
        <f t="shared" ca="1" si="192"/>
        <v>-54318571129080.75</v>
      </c>
      <c r="M4716" s="471">
        <f t="shared" si="194"/>
        <v>0.05</v>
      </c>
      <c r="N4716" s="475">
        <f t="shared" si="195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93"/>
        <v>-54318571129080.75</v>
      </c>
      <c r="J4717" s="455">
        <f t="array" ref="J4717">IFERROR(INDEX('Retirement Calculator'!J:J,MATCH('Isaac 401k'!N4717,'Retirement Calculator'!A:A,0),0),0)</f>
        <v>0</v>
      </c>
      <c r="K4717" s="455">
        <f t="shared" ca="1" si="191"/>
        <v>-226327379704.50311</v>
      </c>
      <c r="L4717" s="455">
        <f t="shared" ca="1" si="192"/>
        <v>-54544898508785.25</v>
      </c>
      <c r="M4717" s="471">
        <f t="shared" si="194"/>
        <v>0.05</v>
      </c>
      <c r="N4717" s="475">
        <f t="shared" si="195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93"/>
        <v>-54544898508785.25</v>
      </c>
      <c r="J4718" s="455">
        <f t="array" ref="J4718">IFERROR(INDEX('Retirement Calculator'!J:J,MATCH('Isaac 401k'!N4718,'Retirement Calculator'!A:A,0),0),0)</f>
        <v>0</v>
      </c>
      <c r="K4718" s="455">
        <f t="shared" ca="1" si="191"/>
        <v>-227270410453.27188</v>
      </c>
      <c r="L4718" s="455">
        <f t="shared" ca="1" si="192"/>
        <v>-54772168919238.523</v>
      </c>
      <c r="M4718" s="471">
        <f t="shared" si="194"/>
        <v>0.05</v>
      </c>
      <c r="N4718" s="475">
        <f t="shared" si="195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93"/>
        <v>-54772168919238.523</v>
      </c>
      <c r="J4719" s="455">
        <f t="array" ref="J4719">IFERROR(INDEX('Retirement Calculator'!J:J,MATCH('Isaac 401k'!N4719,'Retirement Calculator'!A:A,0),0),0)</f>
        <v>0</v>
      </c>
      <c r="K4719" s="455">
        <f t="shared" ca="1" si="191"/>
        <v>-228217370496.82718</v>
      </c>
      <c r="L4719" s="455">
        <f t="shared" ca="1" si="192"/>
        <v>-55000386289735.352</v>
      </c>
      <c r="M4719" s="471">
        <f t="shared" si="194"/>
        <v>0.05</v>
      </c>
      <c r="N4719" s="475">
        <f t="shared" si="195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93"/>
        <v>-55000386289735.352</v>
      </c>
      <c r="J4720" s="455">
        <f t="array" ref="J4720">IFERROR(INDEX('Retirement Calculator'!J:J,MATCH('Isaac 401k'!N4720,'Retirement Calculator'!A:A,0),0),0)</f>
        <v>0</v>
      </c>
      <c r="K4720" s="455">
        <f t="shared" ca="1" si="191"/>
        <v>-229168276207.23062</v>
      </c>
      <c r="L4720" s="455">
        <f t="shared" ca="1" si="192"/>
        <v>-55229554565942.586</v>
      </c>
      <c r="M4720" s="471">
        <f t="shared" si="194"/>
        <v>0.05</v>
      </c>
      <c r="N4720" s="475">
        <f t="shared" si="195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93"/>
        <v>-55229554565942.586</v>
      </c>
      <c r="J4721" s="455">
        <f t="array" ref="J4721">IFERROR(INDEX('Retirement Calculator'!J:J,MATCH('Isaac 401k'!N4721,'Retirement Calculator'!A:A,0),0),0)</f>
        <v>0</v>
      </c>
      <c r="K4721" s="455">
        <f t="shared" ca="1" si="191"/>
        <v>-230123144024.76077</v>
      </c>
      <c r="L4721" s="455">
        <f t="shared" ca="1" si="192"/>
        <v>-55459677709967.344</v>
      </c>
      <c r="M4721" s="471">
        <f t="shared" si="194"/>
        <v>0.05</v>
      </c>
      <c r="N4721" s="475">
        <f t="shared" si="195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93"/>
        <v>-55459677709967.344</v>
      </c>
      <c r="J4722" s="455">
        <f t="array" ref="J4722">IFERROR(INDEX('Retirement Calculator'!J:J,MATCH('Isaac 401k'!N4722,'Retirement Calculator'!A:A,0),0),0)</f>
        <v>0</v>
      </c>
      <c r="K4722" s="455">
        <f t="shared" ca="1" si="191"/>
        <v>-231081990458.19724</v>
      </c>
      <c r="L4722" s="455">
        <f t="shared" ca="1" si="192"/>
        <v>-55690759700425.539</v>
      </c>
      <c r="M4722" s="471">
        <f t="shared" si="194"/>
        <v>0.05</v>
      </c>
      <c r="N4722" s="475">
        <f t="shared" si="195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93"/>
        <v>-55690759700425.539</v>
      </c>
      <c r="J4723" s="455">
        <f t="array" ref="J4723">IFERROR(INDEX('Retirement Calculator'!J:J,MATCH('Isaac 401k'!N4723,'Retirement Calculator'!A:A,0),0),0)</f>
        <v>0</v>
      </c>
      <c r="K4723" s="455">
        <f t="shared" ca="1" si="191"/>
        <v>-232044832085.10638</v>
      </c>
      <c r="L4723" s="455">
        <f t="shared" ca="1" si="192"/>
        <v>-55922804532510.648</v>
      </c>
      <c r="M4723" s="471">
        <f t="shared" si="194"/>
        <v>0.05</v>
      </c>
      <c r="N4723" s="475">
        <f t="shared" si="195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93"/>
        <v>-55922804532510.648</v>
      </c>
      <c r="J4724" s="455">
        <f t="array" ref="J4724">IFERROR(INDEX('Retirement Calculator'!J:J,MATCH('Isaac 401k'!N4724,'Retirement Calculator'!A:A,0),0),0)</f>
        <v>0</v>
      </c>
      <c r="K4724" s="455">
        <f t="shared" ca="1" si="191"/>
        <v>-233011685552.12769</v>
      </c>
      <c r="L4724" s="455">
        <f t="shared" ca="1" si="192"/>
        <v>-56155816218062.773</v>
      </c>
      <c r="M4724" s="471">
        <f t="shared" si="194"/>
        <v>0.05</v>
      </c>
      <c r="N4724" s="475">
        <f t="shared" si="195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93"/>
        <v>-56155816218062.773</v>
      </c>
      <c r="J4725" s="455">
        <f t="array" ref="J4725">IFERROR(INDEX('Retirement Calculator'!J:J,MATCH('Isaac 401k'!N4725,'Retirement Calculator'!A:A,0),0),0)</f>
        <v>0</v>
      </c>
      <c r="K4725" s="455">
        <f t="shared" ca="1" si="191"/>
        <v>-233982567575.26157</v>
      </c>
      <c r="L4725" s="455">
        <f t="shared" ca="1" si="192"/>
        <v>-56389798785638.031</v>
      </c>
      <c r="M4725" s="471">
        <f t="shared" si="194"/>
        <v>0.05</v>
      </c>
      <c r="N4725" s="475">
        <f t="shared" si="195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93"/>
        <v>-56389798785638.031</v>
      </c>
      <c r="J4726" s="455">
        <f t="array" ref="J4726">IFERROR(INDEX('Retirement Calculator'!J:J,MATCH('Isaac 401k'!N4726,'Retirement Calculator'!A:A,0),0),0)</f>
        <v>0</v>
      </c>
      <c r="K4726" s="455">
        <f t="shared" ca="1" si="191"/>
        <v>-234957494940.15845</v>
      </c>
      <c r="L4726" s="455">
        <f t="shared" ca="1" si="192"/>
        <v>-56624756280578.188</v>
      </c>
      <c r="M4726" s="471">
        <f t="shared" si="194"/>
        <v>0.05</v>
      </c>
      <c r="N4726" s="475">
        <f t="shared" si="195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93"/>
        <v>-56624756280578.188</v>
      </c>
      <c r="J4727" s="455">
        <f t="array" ref="J4727">IFERROR(INDEX('Retirement Calculator'!J:J,MATCH('Isaac 401k'!N4727,'Retirement Calculator'!A:A,0),0),0)</f>
        <v>0</v>
      </c>
      <c r="K4727" s="455">
        <f t="shared" ca="1" si="191"/>
        <v>-235936484502.40909</v>
      </c>
      <c r="L4727" s="455">
        <f t="shared" ca="1" si="192"/>
        <v>-56860692765080.594</v>
      </c>
      <c r="M4727" s="471">
        <f t="shared" si="194"/>
        <v>0.05</v>
      </c>
      <c r="N4727" s="475">
        <f t="shared" si="195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93"/>
        <v>-56860692765080.594</v>
      </c>
      <c r="J4728" s="455">
        <f t="array" ref="J4728">IFERROR(INDEX('Retirement Calculator'!J:J,MATCH('Isaac 401k'!N4728,'Retirement Calculator'!A:A,0),0),0)</f>
        <v>0</v>
      </c>
      <c r="K4728" s="455">
        <f t="shared" ca="1" si="191"/>
        <v>-236919553187.83582</v>
      </c>
      <c r="L4728" s="455">
        <f t="shared" ca="1" si="192"/>
        <v>-57097612318268.43</v>
      </c>
      <c r="M4728" s="471">
        <f t="shared" si="194"/>
        <v>0.05</v>
      </c>
      <c r="N4728" s="475">
        <f t="shared" si="195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93"/>
        <v>-57097612318268.43</v>
      </c>
      <c r="J4729" s="455">
        <f t="array" ref="J4729">IFERROR(INDEX('Retirement Calculator'!J:J,MATCH('Isaac 401k'!N4729,'Retirement Calculator'!A:A,0),0),0)</f>
        <v>0</v>
      </c>
      <c r="K4729" s="455">
        <f t="shared" ca="1" si="191"/>
        <v>-237906717992.78513</v>
      </c>
      <c r="L4729" s="455">
        <f t="shared" ca="1" si="192"/>
        <v>-57335519036261.211</v>
      </c>
      <c r="M4729" s="471">
        <f t="shared" si="194"/>
        <v>0.05</v>
      </c>
      <c r="N4729" s="475">
        <f t="shared" si="195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93"/>
        <v>-57335519036261.211</v>
      </c>
      <c r="J4730" s="455">
        <f t="array" ref="J4730">IFERROR(INDEX('Retirement Calculator'!J:J,MATCH('Isaac 401k'!N4730,'Retirement Calculator'!A:A,0),0),0)</f>
        <v>0</v>
      </c>
      <c r="K4730" s="455">
        <f t="shared" ca="1" si="191"/>
        <v>-238897995984.42166</v>
      </c>
      <c r="L4730" s="455">
        <f t="shared" ca="1" si="192"/>
        <v>-57574417032245.633</v>
      </c>
      <c r="M4730" s="471">
        <f t="shared" si="194"/>
        <v>0.05</v>
      </c>
      <c r="N4730" s="475">
        <f t="shared" si="195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93"/>
        <v>-57574417032245.633</v>
      </c>
      <c r="J4731" s="455">
        <f t="array" ref="J4731">IFERROR(INDEX('Retirement Calculator'!J:J,MATCH('Isaac 401k'!N4731,'Retirement Calculator'!A:A,0),0),0)</f>
        <v>0</v>
      </c>
      <c r="K4731" s="455">
        <f t="shared" ca="1" si="191"/>
        <v>-239893404301.0235</v>
      </c>
      <c r="L4731" s="455">
        <f t="shared" ca="1" si="192"/>
        <v>-57814310436546.656</v>
      </c>
      <c r="M4731" s="471">
        <f t="shared" si="194"/>
        <v>0.05</v>
      </c>
      <c r="N4731" s="475">
        <f t="shared" si="195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93"/>
        <v>-57814310436546.656</v>
      </c>
      <c r="J4732" s="455">
        <f t="array" ref="J4732">IFERROR(INDEX('Retirement Calculator'!J:J,MATCH('Isaac 401k'!N4732,'Retirement Calculator'!A:A,0),0),0)</f>
        <v>0</v>
      </c>
      <c r="K4732" s="455">
        <f t="shared" ca="1" si="191"/>
        <v>-240892960152.27774</v>
      </c>
      <c r="L4732" s="455">
        <f t="shared" ca="1" si="192"/>
        <v>-58055203396698.938</v>
      </c>
      <c r="M4732" s="471">
        <f t="shared" si="194"/>
        <v>0.05</v>
      </c>
      <c r="N4732" s="475">
        <f t="shared" si="195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93"/>
        <v>-58055203396698.938</v>
      </c>
      <c r="J4733" s="455">
        <f t="array" ref="J4733">IFERROR(INDEX('Retirement Calculator'!J:J,MATCH('Isaac 401k'!N4733,'Retirement Calculator'!A:A,0),0),0)</f>
        <v>0</v>
      </c>
      <c r="K4733" s="455">
        <f t="shared" ca="1" si="191"/>
        <v>-241896680819.57889</v>
      </c>
      <c r="L4733" s="455">
        <f t="shared" ca="1" si="192"/>
        <v>-58297100077518.516</v>
      </c>
      <c r="M4733" s="471">
        <f t="shared" si="194"/>
        <v>0.05</v>
      </c>
      <c r="N4733" s="475">
        <f t="shared" si="195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93"/>
        <v>-58297100077518.516</v>
      </c>
      <c r="J4734" s="455">
        <f t="array" ref="J4734">IFERROR(INDEX('Retirement Calculator'!J:J,MATCH('Isaac 401k'!N4734,'Retirement Calculator'!A:A,0),0),0)</f>
        <v>0</v>
      </c>
      <c r="K4734" s="455">
        <f t="shared" ca="1" si="191"/>
        <v>-242904583656.32718</v>
      </c>
      <c r="L4734" s="455">
        <f t="shared" ca="1" si="192"/>
        <v>-58540004661174.844</v>
      </c>
      <c r="M4734" s="471">
        <f t="shared" si="194"/>
        <v>0.05</v>
      </c>
      <c r="N4734" s="475">
        <f t="shared" si="195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93"/>
        <v>-58540004661174.844</v>
      </c>
      <c r="J4735" s="455">
        <f t="array" ref="J4735">IFERROR(INDEX('Retirement Calculator'!J:J,MATCH('Isaac 401k'!N4735,'Retirement Calculator'!A:A,0),0),0)</f>
        <v>0</v>
      </c>
      <c r="K4735" s="455">
        <f t="shared" ca="1" si="191"/>
        <v>-243916686088.22852</v>
      </c>
      <c r="L4735" s="455">
        <f t="shared" ca="1" si="192"/>
        <v>-58783921347263.07</v>
      </c>
      <c r="M4735" s="471">
        <f t="shared" si="194"/>
        <v>0.05</v>
      </c>
      <c r="N4735" s="475">
        <f t="shared" si="195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93"/>
        <v>-58783921347263.07</v>
      </c>
      <c r="J4736" s="455">
        <f t="array" ref="J4736">IFERROR(INDEX('Retirement Calculator'!J:J,MATCH('Isaac 401k'!N4736,'Retirement Calculator'!A:A,0),0),0)</f>
        <v>0</v>
      </c>
      <c r="K4736" s="455">
        <f t="shared" ca="1" si="191"/>
        <v>-244933005613.59613</v>
      </c>
      <c r="L4736" s="455">
        <f t="shared" ca="1" si="192"/>
        <v>-59028854352876.664</v>
      </c>
      <c r="M4736" s="471">
        <f t="shared" si="194"/>
        <v>0.05</v>
      </c>
      <c r="N4736" s="475">
        <f t="shared" si="195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93"/>
        <v>-59028854352876.664</v>
      </c>
      <c r="J4737" s="455">
        <f t="array" ref="J4737">IFERROR(INDEX('Retirement Calculator'!J:J,MATCH('Isaac 401k'!N4737,'Retirement Calculator'!A:A,0),0),0)</f>
        <v>0</v>
      </c>
      <c r="K4737" s="455">
        <f t="shared" ca="1" si="191"/>
        <v>-245953559803.65277</v>
      </c>
      <c r="L4737" s="455">
        <f t="shared" ca="1" si="192"/>
        <v>-59274807912680.32</v>
      </c>
      <c r="M4737" s="471">
        <f t="shared" si="194"/>
        <v>0.05</v>
      </c>
      <c r="N4737" s="475">
        <f t="shared" si="195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93"/>
        <v>-59274807912680.32</v>
      </c>
      <c r="J4738" s="455">
        <f t="array" ref="J4738">IFERROR(INDEX('Retirement Calculator'!J:J,MATCH('Isaac 401k'!N4738,'Retirement Calculator'!A:A,0),0),0)</f>
        <v>0</v>
      </c>
      <c r="K4738" s="455">
        <f t="shared" ca="1" si="191"/>
        <v>-246978366302.83466</v>
      </c>
      <c r="L4738" s="455">
        <f t="shared" ca="1" si="192"/>
        <v>-59521786278983.156</v>
      </c>
      <c r="M4738" s="471">
        <f t="shared" si="194"/>
        <v>0.05</v>
      </c>
      <c r="N4738" s="475">
        <f t="shared" si="195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93"/>
        <v>-59521786278983.156</v>
      </c>
      <c r="J4739" s="455">
        <f t="array" ref="J4739">IFERROR(INDEX('Retirement Calculator'!J:J,MATCH('Isaac 401k'!N4739,'Retirement Calculator'!A:A,0),0),0)</f>
        <v>0</v>
      </c>
      <c r="K4739" s="455">
        <f t="shared" ca="1" si="191"/>
        <v>-248007442829.09647</v>
      </c>
      <c r="L4739" s="455">
        <f t="shared" ca="1" si="192"/>
        <v>-59769793721812.25</v>
      </c>
      <c r="M4739" s="471">
        <f t="shared" si="194"/>
        <v>0.05</v>
      </c>
      <c r="N4739" s="475">
        <f t="shared" si="195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93"/>
        <v>-59769793721812.25</v>
      </c>
      <c r="J4740" s="455">
        <f t="array" ref="J4740">IFERROR(INDEX('Retirement Calculator'!J:J,MATCH('Isaac 401k'!N4740,'Retirement Calculator'!A:A,0),0),0)</f>
        <v>0</v>
      </c>
      <c r="K4740" s="455">
        <f t="shared" ca="1" si="191"/>
        <v>-249040807174.21771</v>
      </c>
      <c r="L4740" s="455">
        <f t="shared" ca="1" si="192"/>
        <v>-60018834528986.469</v>
      </c>
      <c r="M4740" s="471">
        <f t="shared" si="194"/>
        <v>0.05</v>
      </c>
      <c r="N4740" s="475">
        <f t="shared" si="195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93"/>
        <v>-60018834528986.469</v>
      </c>
      <c r="J4741" s="455">
        <f t="array" ref="J4741">IFERROR(INDEX('Retirement Calculator'!J:J,MATCH('Isaac 401k'!N4741,'Retirement Calculator'!A:A,0),0),0)</f>
        <v>0</v>
      </c>
      <c r="K4741" s="455">
        <f t="shared" ca="1" si="191"/>
        <v>-250078477204.11029</v>
      </c>
      <c r="L4741" s="455">
        <f t="shared" ca="1" si="192"/>
        <v>-60268913006190.578</v>
      </c>
      <c r="M4741" s="471">
        <f t="shared" si="194"/>
        <v>0.05</v>
      </c>
      <c r="N4741" s="475">
        <f t="shared" si="195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93"/>
        <v>-60268913006190.578</v>
      </c>
      <c r="J4742" s="455">
        <f t="array" ref="J4742">IFERROR(INDEX('Retirement Calculator'!J:J,MATCH('Isaac 401k'!N4742,'Retirement Calculator'!A:A,0),0),0)</f>
        <v>0</v>
      </c>
      <c r="K4742" s="455">
        <f t="shared" ca="1" si="191"/>
        <v>-251120470859.12741</v>
      </c>
      <c r="L4742" s="455">
        <f t="shared" ca="1" si="192"/>
        <v>-60520033477049.703</v>
      </c>
      <c r="M4742" s="471">
        <f t="shared" si="194"/>
        <v>0.05</v>
      </c>
      <c r="N4742" s="475">
        <f t="shared" si="195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93"/>
        <v>-60520033477049.703</v>
      </c>
      <c r="J4743" s="455">
        <f t="array" ref="J4743">IFERROR(INDEX('Retirement Calculator'!J:J,MATCH('Isaac 401k'!N4743,'Retirement Calculator'!A:A,0),0),0)</f>
        <v>0</v>
      </c>
      <c r="K4743" s="455">
        <f t="shared" ca="1" si="191"/>
        <v>-252166806154.37372</v>
      </c>
      <c r="L4743" s="455">
        <f t="shared" ca="1" si="192"/>
        <v>-60772200283204.078</v>
      </c>
      <c r="M4743" s="471">
        <f t="shared" si="194"/>
        <v>0.05</v>
      </c>
      <c r="N4743" s="475">
        <f t="shared" si="195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93"/>
        <v>-60772200283204.078</v>
      </c>
      <c r="J4744" s="455">
        <f t="array" ref="J4744">IFERROR(INDEX('Retirement Calculator'!J:J,MATCH('Isaac 401k'!N4744,'Retirement Calculator'!A:A,0),0),0)</f>
        <v>0</v>
      </c>
      <c r="K4744" s="455">
        <f t="shared" ca="1" si="191"/>
        <v>-253217501180.017</v>
      </c>
      <c r="L4744" s="455">
        <f t="shared" ca="1" si="192"/>
        <v>-61025417784384.094</v>
      </c>
      <c r="M4744" s="471">
        <f t="shared" si="194"/>
        <v>0.05</v>
      </c>
      <c r="N4744" s="475">
        <f t="shared" si="195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93"/>
        <v>-61025417784384.094</v>
      </c>
      <c r="J4745" s="455">
        <f t="array" ref="J4745">IFERROR(INDEX('Retirement Calculator'!J:J,MATCH('Isaac 401k'!N4745,'Retirement Calculator'!A:A,0),0),0)</f>
        <v>0</v>
      </c>
      <c r="K4745" s="455">
        <f t="shared" ca="1" si="191"/>
        <v>-254272574101.60037</v>
      </c>
      <c r="L4745" s="455">
        <f t="shared" ca="1" si="192"/>
        <v>-61279690358485.695</v>
      </c>
      <c r="M4745" s="471">
        <f t="shared" si="194"/>
        <v>0.05</v>
      </c>
      <c r="N4745" s="475">
        <f t="shared" si="195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93"/>
        <v>-61279690358485.695</v>
      </c>
      <c r="J4746" s="455">
        <f t="array" ref="J4746">IFERROR(INDEX('Retirement Calculator'!J:J,MATCH('Isaac 401k'!N4746,'Retirement Calculator'!A:A,0),0),0)</f>
        <v>0</v>
      </c>
      <c r="K4746" s="455">
        <f t="shared" ca="1" si="191"/>
        <v>-255332043160.35706</v>
      </c>
      <c r="L4746" s="455">
        <f t="shared" ca="1" si="192"/>
        <v>-61535022401646.055</v>
      </c>
      <c r="M4746" s="471">
        <f t="shared" si="194"/>
        <v>0.05</v>
      </c>
      <c r="N4746" s="475">
        <f t="shared" si="195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93"/>
        <v>-61535022401646.055</v>
      </c>
      <c r="J4747" s="455">
        <f t="array" ref="J4747">IFERROR(INDEX('Retirement Calculator'!J:J,MATCH('Isaac 401k'!N4747,'Retirement Calculator'!A:A,0),0),0)</f>
        <v>0</v>
      </c>
      <c r="K4747" s="455">
        <f t="shared" ca="1" si="191"/>
        <v>-256395926673.52524</v>
      </c>
      <c r="L4747" s="455">
        <f t="shared" ca="1" si="192"/>
        <v>-61791418328319.578</v>
      </c>
      <c r="M4747" s="471">
        <f t="shared" si="194"/>
        <v>0.05</v>
      </c>
      <c r="N4747" s="475">
        <f t="shared" si="195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93"/>
        <v>-61791418328319.578</v>
      </c>
      <c r="J4748" s="455">
        <f t="array" ref="J4748">IFERROR(INDEX('Retirement Calculator'!J:J,MATCH('Isaac 401k'!N4748,'Retirement Calculator'!A:A,0),0),0)</f>
        <v>0</v>
      </c>
      <c r="K4748" s="455">
        <f t="shared" ca="1" si="191"/>
        <v>-257464243034.66489</v>
      </c>
      <c r="L4748" s="455">
        <f t="shared" ca="1" si="192"/>
        <v>-62048882571354.242</v>
      </c>
      <c r="M4748" s="471">
        <f t="shared" si="194"/>
        <v>0.05</v>
      </c>
      <c r="N4748" s="475">
        <f t="shared" si="195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93"/>
        <v>-62048882571354.242</v>
      </c>
      <c r="J4749" s="455">
        <f t="array" ref="J4749">IFERROR(INDEX('Retirement Calculator'!J:J,MATCH('Isaac 401k'!N4749,'Retirement Calculator'!A:A,0),0),0)</f>
        <v>0</v>
      </c>
      <c r="K4749" s="455">
        <f t="shared" ca="1" si="191"/>
        <v>-258537010713.97601</v>
      </c>
      <c r="L4749" s="455">
        <f t="shared" ca="1" si="192"/>
        <v>-62307419582068.219</v>
      </c>
      <c r="M4749" s="471">
        <f t="shared" si="194"/>
        <v>0.05</v>
      </c>
      <c r="N4749" s="475">
        <f t="shared" si="195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93"/>
        <v>-62307419582068.219</v>
      </c>
      <c r="J4750" s="455">
        <f t="array" ref="J4750">IFERROR(INDEX('Retirement Calculator'!J:J,MATCH('Isaac 401k'!N4750,'Retirement Calculator'!A:A,0),0),0)</f>
        <v>0</v>
      </c>
      <c r="K4750" s="455">
        <f t="shared" ca="1" si="191"/>
        <v>-259614248258.61758</v>
      </c>
      <c r="L4750" s="455">
        <f t="shared" ca="1" si="192"/>
        <v>-62567033830326.836</v>
      </c>
      <c r="M4750" s="471">
        <f t="shared" si="194"/>
        <v>0.05</v>
      </c>
      <c r="N4750" s="475">
        <f t="shared" si="195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93"/>
        <v>-62567033830326.836</v>
      </c>
      <c r="J4751" s="455">
        <f t="array" ref="J4751">IFERROR(INDEX('Retirement Calculator'!J:J,MATCH('Isaac 401k'!N4751,'Retirement Calculator'!A:A,0),0),0)</f>
        <v>0</v>
      </c>
      <c r="K4751" s="455">
        <f t="shared" ca="1" si="191"/>
        <v>-260695974293.02847</v>
      </c>
      <c r="L4751" s="455">
        <f t="shared" ca="1" si="192"/>
        <v>-62827729804619.867</v>
      </c>
      <c r="M4751" s="471">
        <f t="shared" si="194"/>
        <v>0.05</v>
      </c>
      <c r="N4751" s="475">
        <f t="shared" si="195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93"/>
        <v>-62827729804619.867</v>
      </c>
      <c r="J4752" s="455">
        <f t="array" ref="J4752">IFERROR(INDEX('Retirement Calculator'!J:J,MATCH('Isaac 401k'!N4752,'Retirement Calculator'!A:A,0),0),0)</f>
        <v>0</v>
      </c>
      <c r="K4752" s="455">
        <f t="shared" ca="1" si="191"/>
        <v>-261782207519.24948</v>
      </c>
      <c r="L4752" s="455">
        <f t="shared" ca="1" si="192"/>
        <v>-63089512012139.117</v>
      </c>
      <c r="M4752" s="471">
        <f t="shared" si="194"/>
        <v>0.05</v>
      </c>
      <c r="N4752" s="475">
        <f t="shared" si="195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93"/>
        <v>-63089512012139.117</v>
      </c>
      <c r="J4753" s="455">
        <f t="array" ref="J4753">IFERROR(INDEX('Retirement Calculator'!J:J,MATCH('Isaac 401k'!N4753,'Retirement Calculator'!A:A,0),0),0)</f>
        <v>0</v>
      </c>
      <c r="K4753" s="455">
        <f t="shared" ca="1" si="191"/>
        <v>-262872966717.24634</v>
      </c>
      <c r="L4753" s="455">
        <f t="shared" ca="1" si="192"/>
        <v>-63352384978856.367</v>
      </c>
      <c r="M4753" s="471">
        <f t="shared" si="194"/>
        <v>0.05</v>
      </c>
      <c r="N4753" s="475">
        <f t="shared" si="195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93"/>
        <v>-63352384978856.367</v>
      </c>
      <c r="J4754" s="455">
        <f t="array" ref="J4754">IFERROR(INDEX('Retirement Calculator'!J:J,MATCH('Isaac 401k'!N4754,'Retirement Calculator'!A:A,0),0),0)</f>
        <v>0</v>
      </c>
      <c r="K4754" s="455">
        <f t="shared" ca="1" si="191"/>
        <v>-263968270745.23486</v>
      </c>
      <c r="L4754" s="455">
        <f t="shared" ca="1" si="192"/>
        <v>-63616353249601.602</v>
      </c>
      <c r="M4754" s="471">
        <f t="shared" si="194"/>
        <v>0.05</v>
      </c>
      <c r="N4754" s="475">
        <f t="shared" si="195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93"/>
        <v>-63616353249601.602</v>
      </c>
      <c r="J4755" s="455">
        <f t="array" ref="J4755">IFERROR(INDEX('Retirement Calculator'!J:J,MATCH('Isaac 401k'!N4755,'Retirement Calculator'!A:A,0),0),0)</f>
        <v>0</v>
      </c>
      <c r="K4755" s="455">
        <f t="shared" ca="1" si="191"/>
        <v>-265068138540.00662</v>
      </c>
      <c r="L4755" s="455">
        <f t="shared" ca="1" si="192"/>
        <v>-63881421388141.609</v>
      </c>
      <c r="M4755" s="471">
        <f t="shared" si="194"/>
        <v>0.05</v>
      </c>
      <c r="N4755" s="475">
        <f t="shared" si="195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93"/>
        <v>-63881421388141.609</v>
      </c>
      <c r="J4756" s="455">
        <f t="array" ref="J4756">IFERROR(INDEX('Retirement Calculator'!J:J,MATCH('Isaac 401k'!N4756,'Retirement Calculator'!A:A,0),0),0)</f>
        <v>0</v>
      </c>
      <c r="K4756" s="455">
        <f t="shared" ca="1" si="191"/>
        <v>-266172589117.25671</v>
      </c>
      <c r="L4756" s="455">
        <f t="shared" ca="1" si="192"/>
        <v>-64147593977258.867</v>
      </c>
      <c r="M4756" s="471">
        <f t="shared" si="194"/>
        <v>0.05</v>
      </c>
      <c r="N4756" s="475">
        <f t="shared" si="195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93"/>
        <v>-64147593977258.867</v>
      </c>
      <c r="J4757" s="455">
        <f t="array" ref="J4757">IFERROR(INDEX('Retirement Calculator'!J:J,MATCH('Isaac 401k'!N4757,'Retirement Calculator'!A:A,0),0),0)</f>
        <v>0</v>
      </c>
      <c r="K4757" s="455">
        <f t="shared" ca="1" si="191"/>
        <v>-267281641571.91196</v>
      </c>
      <c r="L4757" s="455">
        <f t="shared" ca="1" si="192"/>
        <v>-64414875618830.781</v>
      </c>
      <c r="M4757" s="471">
        <f t="shared" si="194"/>
        <v>0.05</v>
      </c>
      <c r="N4757" s="475">
        <f t="shared" si="195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93"/>
        <v>-64414875618830.781</v>
      </c>
      <c r="J4758" s="455">
        <f t="array" ref="J4758">IFERROR(INDEX('Retirement Calculator'!J:J,MATCH('Isaac 401k'!N4758,'Retirement Calculator'!A:A,0),0),0)</f>
        <v>0</v>
      </c>
      <c r="K4758" s="455">
        <f t="shared" ca="1" si="191"/>
        <v>-268395315078.46158</v>
      </c>
      <c r="L4758" s="455">
        <f t="shared" ca="1" si="192"/>
        <v>-64683270933909.242</v>
      </c>
      <c r="M4758" s="471">
        <f t="shared" si="194"/>
        <v>0.05</v>
      </c>
      <c r="N4758" s="475">
        <f t="shared" si="195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93"/>
        <v>-64683270933909.242</v>
      </c>
      <c r="J4759" s="455">
        <f t="array" ref="J4759">IFERROR(INDEX('Retirement Calculator'!J:J,MATCH('Isaac 401k'!N4759,'Retirement Calculator'!A:A,0),0),0)</f>
        <v>0</v>
      </c>
      <c r="K4759" s="455">
        <f t="shared" ca="1" si="191"/>
        <v>-269513628891.28851</v>
      </c>
      <c r="L4759" s="455">
        <f t="shared" ca="1" si="192"/>
        <v>-64952784562800.531</v>
      </c>
      <c r="M4759" s="471">
        <f t="shared" si="194"/>
        <v>0.05</v>
      </c>
      <c r="N4759" s="475">
        <f t="shared" si="195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93"/>
        <v>-64952784562800.531</v>
      </c>
      <c r="J4760" s="455">
        <f t="array" ref="J4760">IFERROR(INDEX('Retirement Calculator'!J:J,MATCH('Isaac 401k'!N4760,'Retirement Calculator'!A:A,0),0),0)</f>
        <v>0</v>
      </c>
      <c r="K4760" s="455">
        <f t="shared" ca="1" si="191"/>
        <v>-270636602345.00217</v>
      </c>
      <c r="L4760" s="455">
        <f t="shared" ca="1" si="192"/>
        <v>-65223421165145.531</v>
      </c>
      <c r="M4760" s="471">
        <f t="shared" si="194"/>
        <v>0.05</v>
      </c>
      <c r="N4760" s="475">
        <f t="shared" si="195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93"/>
        <v>-65223421165145.531</v>
      </c>
      <c r="J4761" s="455">
        <f t="array" ref="J4761">IFERROR(INDEX('Retirement Calculator'!J:J,MATCH('Isaac 401k'!N4761,'Retirement Calculator'!A:A,0),0),0)</f>
        <v>0</v>
      </c>
      <c r="K4761" s="455">
        <f t="shared" ca="1" si="191"/>
        <v>-271764254854.77304</v>
      </c>
      <c r="L4761" s="455">
        <f t="shared" ca="1" si="192"/>
        <v>-65495185420000.305</v>
      </c>
      <c r="M4761" s="471">
        <f t="shared" si="194"/>
        <v>0.05</v>
      </c>
      <c r="N4761" s="475">
        <f t="shared" si="195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93"/>
        <v>-65495185420000.305</v>
      </c>
      <c r="J4762" s="455">
        <f t="array" ref="J4762">IFERROR(INDEX('Retirement Calculator'!J:J,MATCH('Isaac 401k'!N4762,'Retirement Calculator'!A:A,0),0),0)</f>
        <v>0</v>
      </c>
      <c r="K4762" s="455">
        <f t="shared" ca="1" si="191"/>
        <v>-272896605916.66794</v>
      </c>
      <c r="L4762" s="455">
        <f t="shared" ca="1" si="192"/>
        <v>-65768082025916.969</v>
      </c>
      <c r="M4762" s="471">
        <f t="shared" si="194"/>
        <v>0.05</v>
      </c>
      <c r="N4762" s="475">
        <f t="shared" si="195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93"/>
        <v>-65768082025916.969</v>
      </c>
      <c r="J4763" s="455">
        <f t="array" ref="J4763">IFERROR(INDEX('Retirement Calculator'!J:J,MATCH('Isaac 401k'!N4763,'Retirement Calculator'!A:A,0),0),0)</f>
        <v>0</v>
      </c>
      <c r="K4763" s="455">
        <f t="shared" ca="1" si="191"/>
        <v>-274033675107.98737</v>
      </c>
      <c r="L4763" s="455">
        <f t="shared" ca="1" si="192"/>
        <v>-66042115701024.953</v>
      </c>
      <c r="M4763" s="471">
        <f t="shared" si="194"/>
        <v>0.05</v>
      </c>
      <c r="N4763" s="475">
        <f t="shared" si="195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93"/>
        <v>-66042115701024.953</v>
      </c>
      <c r="J4764" s="455">
        <f t="array" ref="J4764">IFERROR(INDEX('Retirement Calculator'!J:J,MATCH('Isaac 401k'!N4764,'Retirement Calculator'!A:A,0),0),0)</f>
        <v>0</v>
      </c>
      <c r="K4764" s="455">
        <f t="shared" ca="1" si="191"/>
        <v>-275175482087.60394</v>
      </c>
      <c r="L4764" s="455">
        <f t="shared" ca="1" si="192"/>
        <v>-66317291183112.555</v>
      </c>
      <c r="M4764" s="471">
        <f t="shared" si="194"/>
        <v>0.05</v>
      </c>
      <c r="N4764" s="475">
        <f t="shared" si="195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93"/>
        <v>-66317291183112.555</v>
      </c>
      <c r="J4765" s="455">
        <f t="array" ref="J4765">IFERROR(INDEX('Retirement Calculator'!J:J,MATCH('Isaac 401k'!N4765,'Retirement Calculator'!A:A,0),0),0)</f>
        <v>0</v>
      </c>
      <c r="K4765" s="455">
        <f t="shared" ca="1" si="191"/>
        <v>-276322046596.30237</v>
      </c>
      <c r="L4765" s="455">
        <f t="shared" ca="1" si="192"/>
        <v>-66593613229708.859</v>
      </c>
      <c r="M4765" s="471">
        <f t="shared" si="194"/>
        <v>0.05</v>
      </c>
      <c r="N4765" s="475">
        <f t="shared" si="195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93"/>
        <v>-66593613229708.859</v>
      </c>
      <c r="J4766" s="455">
        <f t="array" ref="J4766">IFERROR(INDEX('Retirement Calculator'!J:J,MATCH('Isaac 401k'!N4766,'Retirement Calculator'!A:A,0),0),0)</f>
        <v>0</v>
      </c>
      <c r="K4766" s="455">
        <f t="shared" ca="1" si="191"/>
        <v>-277473388457.12024</v>
      </c>
      <c r="L4766" s="455">
        <f t="shared" ca="1" si="192"/>
        <v>-66871086618165.977</v>
      </c>
      <c r="M4766" s="471">
        <f t="shared" si="194"/>
        <v>0.05</v>
      </c>
      <c r="N4766" s="475">
        <f t="shared" si="195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93"/>
        <v>-66871086618165.977</v>
      </c>
      <c r="J4767" s="455">
        <f t="array" ref="J4767">IFERROR(INDEX('Retirement Calculator'!J:J,MATCH('Isaac 401k'!N4767,'Retirement Calculator'!A:A,0),0),0)</f>
        <v>0</v>
      </c>
      <c r="K4767" s="455">
        <f t="shared" ca="1" si="191"/>
        <v>-278629527575.69159</v>
      </c>
      <c r="L4767" s="455">
        <f t="shared" ca="1" si="192"/>
        <v>-67149716145741.672</v>
      </c>
      <c r="M4767" s="471">
        <f t="shared" si="194"/>
        <v>0.05</v>
      </c>
      <c r="N4767" s="475">
        <f t="shared" si="195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93"/>
        <v>-67149716145741.672</v>
      </c>
      <c r="J4768" s="455">
        <f t="array" ref="J4768">IFERROR(INDEX('Retirement Calculator'!J:J,MATCH('Isaac 401k'!N4768,'Retirement Calculator'!A:A,0),0),0)</f>
        <v>0</v>
      </c>
      <c r="K4768" s="455">
        <f t="shared" ca="1" si="191"/>
        <v>-279790483940.59033</v>
      </c>
      <c r="L4768" s="455">
        <f t="shared" ca="1" si="192"/>
        <v>-67429506629682.266</v>
      </c>
      <c r="M4768" s="471">
        <f t="shared" si="194"/>
        <v>0.05</v>
      </c>
      <c r="N4768" s="475">
        <f t="shared" si="195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93"/>
        <v>-67429506629682.266</v>
      </c>
      <c r="J4769" s="455">
        <f t="array" ref="J4769">IFERROR(INDEX('Retirement Calculator'!J:J,MATCH('Isaac 401k'!N4769,'Retirement Calculator'!A:A,0),0),0)</f>
        <v>0</v>
      </c>
      <c r="K4769" s="455">
        <f t="shared" ca="1" si="191"/>
        <v>-280956277623.67609</v>
      </c>
      <c r="L4769" s="455">
        <f t="shared" ca="1" si="192"/>
        <v>-67710462907305.945</v>
      </c>
      <c r="M4769" s="471">
        <f t="shared" si="194"/>
        <v>0.05</v>
      </c>
      <c r="N4769" s="475">
        <f t="shared" si="195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93"/>
        <v>-67710462907305.945</v>
      </c>
      <c r="J4770" s="455">
        <f t="array" ref="J4770">IFERROR(INDEX('Retirement Calculator'!J:J,MATCH('Isaac 401k'!N4770,'Retirement Calculator'!A:A,0),0),0)</f>
        <v>0</v>
      </c>
      <c r="K4770" s="455">
        <f t="shared" ca="1" si="191"/>
        <v>-282126928780.44141</v>
      </c>
      <c r="L4770" s="455">
        <f t="shared" ca="1" si="192"/>
        <v>-67992589836086.391</v>
      </c>
      <c r="M4770" s="471">
        <f t="shared" si="194"/>
        <v>0.05</v>
      </c>
      <c r="N4770" s="475">
        <f t="shared" si="195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93"/>
        <v>-67992589836086.391</v>
      </c>
      <c r="J4771" s="455">
        <f t="array" ref="J4771">IFERROR(INDEX('Retirement Calculator'!J:J,MATCH('Isaac 401k'!N4771,'Retirement Calculator'!A:A,0),0),0)</f>
        <v>0</v>
      </c>
      <c r="K4771" s="455">
        <f t="shared" ca="1" si="191"/>
        <v>-283302457650.35999</v>
      </c>
      <c r="L4771" s="455">
        <f t="shared" ca="1" si="192"/>
        <v>-68275892293736.75</v>
      </c>
      <c r="M4771" s="471">
        <f t="shared" si="194"/>
        <v>0.05</v>
      </c>
      <c r="N4771" s="475">
        <f t="shared" si="195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93"/>
        <v>-68275892293736.75</v>
      </c>
      <c r="J4772" s="455">
        <f t="array" ref="J4772">IFERROR(INDEX('Retirement Calculator'!J:J,MATCH('Isaac 401k'!N4772,'Retirement Calculator'!A:A,0),0),0)</f>
        <v>0</v>
      </c>
      <c r="K4772" s="455">
        <f t="shared" ca="1" si="191"/>
        <v>-284482884557.23651</v>
      </c>
      <c r="L4772" s="455">
        <f t="shared" ca="1" si="192"/>
        <v>-68560375178293.984</v>
      </c>
      <c r="M4772" s="471">
        <f t="shared" si="194"/>
        <v>0.05</v>
      </c>
      <c r="N4772" s="475">
        <f t="shared" si="195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93"/>
        <v>-68560375178293.984</v>
      </c>
      <c r="J4773" s="455">
        <f t="array" ref="J4773">IFERROR(INDEX('Retirement Calculator'!J:J,MATCH('Isaac 401k'!N4773,'Retirement Calculator'!A:A,0),0),0)</f>
        <v>0</v>
      </c>
      <c r="K4773" s="455">
        <f t="shared" ca="1" si="191"/>
        <v>-285668229909.55829</v>
      </c>
      <c r="L4773" s="455">
        <f t="shared" ca="1" si="192"/>
        <v>-68846043408203.539</v>
      </c>
      <c r="M4773" s="471">
        <f t="shared" si="194"/>
        <v>0.05</v>
      </c>
      <c r="N4773" s="475">
        <f t="shared" si="195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93"/>
        <v>-68846043408203.539</v>
      </c>
      <c r="J4774" s="455">
        <f t="array" ref="J4774">IFERROR(INDEX('Retirement Calculator'!J:J,MATCH('Isaac 401k'!N4774,'Retirement Calculator'!A:A,0),0),0)</f>
        <v>0</v>
      </c>
      <c r="K4774" s="455">
        <f t="shared" ca="1" si="191"/>
        <v>-286858514200.84808</v>
      </c>
      <c r="L4774" s="455">
        <f t="shared" ca="1" si="192"/>
        <v>-69132901922404.391</v>
      </c>
      <c r="M4774" s="471">
        <f t="shared" si="194"/>
        <v>0.05</v>
      </c>
      <c r="N4774" s="475">
        <f t="shared" si="195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93"/>
        <v>-69132901922404.391</v>
      </c>
      <c r="J4775" s="455">
        <f t="array" ref="J4775">IFERROR(INDEX('Retirement Calculator'!J:J,MATCH('Isaac 401k'!N4775,'Retirement Calculator'!A:A,0),0),0)</f>
        <v>0</v>
      </c>
      <c r="K4775" s="455">
        <f t="shared" ca="1" si="191"/>
        <v>-288053758010.01825</v>
      </c>
      <c r="L4775" s="455">
        <f t="shared" ca="1" si="192"/>
        <v>-69420955680414.406</v>
      </c>
      <c r="M4775" s="471">
        <f t="shared" si="194"/>
        <v>0.05</v>
      </c>
      <c r="N4775" s="475">
        <f t="shared" si="195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93"/>
        <v>-69420955680414.406</v>
      </c>
      <c r="J4776" s="455">
        <f t="array" ref="J4776">IFERROR(INDEX('Retirement Calculator'!J:J,MATCH('Isaac 401k'!N4776,'Retirement Calculator'!A:A,0),0),0)</f>
        <v>0</v>
      </c>
      <c r="K4776" s="455">
        <f t="shared" ca="1" si="191"/>
        <v>-289253982001.72675</v>
      </c>
      <c r="L4776" s="455">
        <f t="shared" ca="1" si="192"/>
        <v>-69710209662416.133</v>
      </c>
      <c r="M4776" s="471">
        <f t="shared" si="194"/>
        <v>0.05</v>
      </c>
      <c r="N4776" s="475">
        <f t="shared" si="195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93"/>
        <v>-69710209662416.133</v>
      </c>
      <c r="J4777" s="455">
        <f t="array" ref="J4777">IFERROR(INDEX('Retirement Calculator'!J:J,MATCH('Isaac 401k'!N4777,'Retirement Calculator'!A:A,0),0),0)</f>
        <v>0</v>
      </c>
      <c r="K4777" s="455">
        <f t="shared" ca="1" si="191"/>
        <v>-290459206926.73389</v>
      </c>
      <c r="L4777" s="455">
        <f t="shared" ca="1" si="192"/>
        <v>-70000668869342.867</v>
      </c>
      <c r="M4777" s="471">
        <f t="shared" si="194"/>
        <v>0.05</v>
      </c>
      <c r="N4777" s="475">
        <f t="shared" si="195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93"/>
        <v>-70000668869342.867</v>
      </c>
      <c r="J4778" s="455">
        <f t="array" ref="J4778">IFERROR(INDEX('Retirement Calculator'!J:J,MATCH('Isaac 401k'!N4778,'Retirement Calculator'!A:A,0),0),0)</f>
        <v>0</v>
      </c>
      <c r="K4778" s="455">
        <f t="shared" ca="1" si="191"/>
        <v>-291669453622.26196</v>
      </c>
      <c r="L4778" s="455">
        <f t="shared" ca="1" si="192"/>
        <v>-70292338322965.133</v>
      </c>
      <c r="M4778" s="471">
        <f t="shared" si="194"/>
        <v>0.05</v>
      </c>
      <c r="N4778" s="475">
        <f t="shared" si="195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93"/>
        <v>-70292338322965.133</v>
      </c>
      <c r="J4779" s="455">
        <f t="array" ref="J4779">IFERROR(INDEX('Retirement Calculator'!J:J,MATCH('Isaac 401k'!N4779,'Retirement Calculator'!A:A,0),0),0)</f>
        <v>0</v>
      </c>
      <c r="K4779" s="455">
        <f t="shared" ca="1" si="191"/>
        <v>-292884743012.35468</v>
      </c>
      <c r="L4779" s="455">
        <f t="shared" ca="1" si="192"/>
        <v>-70585223065977.484</v>
      </c>
      <c r="M4779" s="471">
        <f t="shared" si="194"/>
        <v>0.05</v>
      </c>
      <c r="N4779" s="475">
        <f t="shared" si="195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93"/>
        <v>-70585223065977.484</v>
      </c>
      <c r="J4780" s="455">
        <f t="array" ref="J4780">IFERROR(INDEX('Retirement Calculator'!J:J,MATCH('Isaac 401k'!N4780,'Retirement Calculator'!A:A,0),0),0)</f>
        <v>0</v>
      </c>
      <c r="K4780" s="455">
        <f t="shared" ca="1" si="191"/>
        <v>-294105096108.2395</v>
      </c>
      <c r="L4780" s="455">
        <f t="shared" ca="1" si="192"/>
        <v>-70879328162085.719</v>
      </c>
      <c r="M4780" s="471">
        <f t="shared" si="194"/>
        <v>0.05</v>
      </c>
      <c r="N4780" s="475">
        <f t="shared" si="195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93"/>
        <v>-70879328162085.719</v>
      </c>
      <c r="J4781" s="455">
        <f t="array" ref="J4781">IFERROR(INDEX('Retirement Calculator'!J:J,MATCH('Isaac 401k'!N4781,'Retirement Calculator'!A:A,0),0),0)</f>
        <v>0</v>
      </c>
      <c r="K4781" s="455">
        <f t="shared" ca="1" si="191"/>
        <v>-295330534008.69049</v>
      </c>
      <c r="L4781" s="455">
        <f t="shared" ca="1" si="192"/>
        <v>-71174658696094.406</v>
      </c>
      <c r="M4781" s="471">
        <f t="shared" si="194"/>
        <v>0.05</v>
      </c>
      <c r="N4781" s="475">
        <f t="shared" si="195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93"/>
        <v>-71174658696094.406</v>
      </c>
      <c r="J4782" s="455">
        <f t="array" ref="J4782">IFERROR(INDEX('Retirement Calculator'!J:J,MATCH('Isaac 401k'!N4782,'Retirement Calculator'!A:A,0),0),0)</f>
        <v>0</v>
      </c>
      <c r="K4782" s="455">
        <f t="shared" ca="1" si="191"/>
        <v>-296561077900.39337</v>
      </c>
      <c r="L4782" s="455">
        <f t="shared" ca="1" si="192"/>
        <v>-71471219773994.797</v>
      </c>
      <c r="M4782" s="471">
        <f t="shared" si="194"/>
        <v>0.05</v>
      </c>
      <c r="N4782" s="475">
        <f t="shared" si="195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93"/>
        <v>-71471219773994.797</v>
      </c>
      <c r="J4783" s="455">
        <f t="array" ref="J4783">IFERROR(INDEX('Retirement Calculator'!J:J,MATCH('Isaac 401k'!N4783,'Retirement Calculator'!A:A,0),0),0)</f>
        <v>0</v>
      </c>
      <c r="K4783" s="455">
        <f t="shared" ca="1" si="191"/>
        <v>-297796749058.31165</v>
      </c>
      <c r="L4783" s="455">
        <f t="shared" ca="1" si="192"/>
        <v>-71769016523053.109</v>
      </c>
      <c r="M4783" s="471">
        <f t="shared" si="194"/>
        <v>0.05</v>
      </c>
      <c r="N4783" s="475">
        <f t="shared" si="195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93"/>
        <v>-71769016523053.109</v>
      </c>
      <c r="J4784" s="455">
        <f t="array" ref="J4784">IFERROR(INDEX('Retirement Calculator'!J:J,MATCH('Isaac 401k'!N4784,'Retirement Calculator'!A:A,0),0),0)</f>
        <v>0</v>
      </c>
      <c r="K4784" s="455">
        <f t="shared" ca="1" si="191"/>
        <v>-299037568846.05463</v>
      </c>
      <c r="L4784" s="455">
        <f t="shared" ca="1" si="192"/>
        <v>-72068054091899.156</v>
      </c>
      <c r="M4784" s="471">
        <f t="shared" si="194"/>
        <v>0.05</v>
      </c>
      <c r="N4784" s="475">
        <f t="shared" si="195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93"/>
        <v>-72068054091899.156</v>
      </c>
      <c r="J4785" s="455">
        <f t="array" ref="J4785">IFERROR(INDEX('Retirement Calculator'!J:J,MATCH('Isaac 401k'!N4785,'Retirement Calculator'!A:A,0),0),0)</f>
        <v>0</v>
      </c>
      <c r="K4785" s="455">
        <f t="shared" ca="1" si="191"/>
        <v>-300283558716.24646</v>
      </c>
      <c r="L4785" s="455">
        <f t="shared" ca="1" si="192"/>
        <v>-72368337650615.406</v>
      </c>
      <c r="M4785" s="471">
        <f t="shared" si="194"/>
        <v>0.05</v>
      </c>
      <c r="N4785" s="475">
        <f t="shared" si="195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93"/>
        <v>-72368337650615.406</v>
      </c>
      <c r="J4786" s="455">
        <f t="array" ref="J4786">IFERROR(INDEX('Retirement Calculator'!J:J,MATCH('Isaac 401k'!N4786,'Retirement Calculator'!A:A,0),0),0)</f>
        <v>0</v>
      </c>
      <c r="K4786" s="455">
        <f t="shared" ca="1" si="191"/>
        <v>-301534740210.89752</v>
      </c>
      <c r="L4786" s="455">
        <f t="shared" ca="1" si="192"/>
        <v>-72669872390826.297</v>
      </c>
      <c r="M4786" s="471">
        <f t="shared" si="194"/>
        <v>0.05</v>
      </c>
      <c r="N4786" s="475">
        <f t="shared" si="195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93"/>
        <v>-72669872390826.297</v>
      </c>
      <c r="J4787" s="455">
        <f t="array" ref="J4787">IFERROR(INDEX('Retirement Calculator'!J:J,MATCH('Isaac 401k'!N4787,'Retirement Calculator'!A:A,0),0),0)</f>
        <v>0</v>
      </c>
      <c r="K4787" s="455">
        <f t="shared" ca="1" si="191"/>
        <v>-302791134961.77625</v>
      </c>
      <c r="L4787" s="455">
        <f t="shared" ca="1" si="192"/>
        <v>-72972663525788.078</v>
      </c>
      <c r="M4787" s="471">
        <f t="shared" si="194"/>
        <v>0.05</v>
      </c>
      <c r="N4787" s="475">
        <f t="shared" si="195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93"/>
        <v>-72972663525788.078</v>
      </c>
      <c r="J4788" s="455">
        <f t="array" ref="J4788">IFERROR(INDEX('Retirement Calculator'!J:J,MATCH('Isaac 401k'!N4788,'Retirement Calculator'!A:A,0),0),0)</f>
        <v>0</v>
      </c>
      <c r="K4788" s="455">
        <f t="shared" ca="1" si="191"/>
        <v>-304052764690.78363</v>
      </c>
      <c r="L4788" s="455">
        <f t="shared" ca="1" si="192"/>
        <v>-73276716290478.859</v>
      </c>
      <c r="M4788" s="471">
        <f t="shared" si="194"/>
        <v>0.05</v>
      </c>
      <c r="N4788" s="475">
        <f t="shared" si="195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93"/>
        <v>-73276716290478.859</v>
      </c>
      <c r="J4789" s="455">
        <f t="array" ref="J4789">IFERROR(INDEX('Retirement Calculator'!J:J,MATCH('Isaac 401k'!N4789,'Retirement Calculator'!A:A,0),0),0)</f>
        <v>0</v>
      </c>
      <c r="K4789" s="455">
        <f t="shared" ca="1" si="191"/>
        <v>-305319651210.32855</v>
      </c>
      <c r="L4789" s="455">
        <f t="shared" ca="1" si="192"/>
        <v>-73582035941689.188</v>
      </c>
      <c r="M4789" s="471">
        <f t="shared" si="194"/>
        <v>0.05</v>
      </c>
      <c r="N4789" s="475">
        <f t="shared" si="195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93"/>
        <v>-73582035941689.188</v>
      </c>
      <c r="J4790" s="455">
        <f t="array" ref="J4790">IFERROR(INDEX('Retirement Calculator'!J:J,MATCH('Isaac 401k'!N4790,'Retirement Calculator'!A:A,0),0),0)</f>
        <v>0</v>
      </c>
      <c r="K4790" s="455">
        <f t="shared" ca="1" si="191"/>
        <v>-306591816423.70496</v>
      </c>
      <c r="L4790" s="455">
        <f t="shared" ca="1" si="192"/>
        <v>-73888627758112.891</v>
      </c>
      <c r="M4790" s="471">
        <f t="shared" si="194"/>
        <v>0.05</v>
      </c>
      <c r="N4790" s="475">
        <f t="shared" si="195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93"/>
        <v>-73888627758112.891</v>
      </c>
      <c r="J4791" s="455">
        <f t="array" ref="J4791">IFERROR(INDEX('Retirement Calculator'!J:J,MATCH('Isaac 401k'!N4791,'Retirement Calculator'!A:A,0),0),0)</f>
        <v>0</v>
      </c>
      <c r="K4791" s="455">
        <f t="shared" ca="1" si="191"/>
        <v>-307869282325.4704</v>
      </c>
      <c r="L4791" s="455">
        <f t="shared" ca="1" si="192"/>
        <v>-74196497040438.359</v>
      </c>
      <c r="M4791" s="471">
        <f t="shared" si="194"/>
        <v>0.05</v>
      </c>
      <c r="N4791" s="475">
        <f t="shared" si="195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93"/>
        <v>-74196497040438.359</v>
      </c>
      <c r="J4792" s="455">
        <f t="array" ref="J4792">IFERROR(INDEX('Retirement Calculator'!J:J,MATCH('Isaac 401k'!N4792,'Retirement Calculator'!A:A,0),0),0)</f>
        <v>0</v>
      </c>
      <c r="K4792" s="455">
        <f t="shared" ca="1" si="191"/>
        <v>-309152071001.82648</v>
      </c>
      <c r="L4792" s="455">
        <f t="shared" ca="1" si="192"/>
        <v>-74505649111440.188</v>
      </c>
      <c r="M4792" s="471">
        <f t="shared" si="194"/>
        <v>0.05</v>
      </c>
      <c r="N4792" s="475">
        <f t="shared" si="195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93"/>
        <v>-74505649111440.188</v>
      </c>
      <c r="J4793" s="455">
        <f t="array" ref="J4793">IFERROR(INDEX('Retirement Calculator'!J:J,MATCH('Isaac 401k'!N4793,'Retirement Calculator'!A:A,0),0),0)</f>
        <v>0</v>
      </c>
      <c r="K4793" s="455">
        <f t="shared" ca="1" si="191"/>
        <v>-310440204631.00079</v>
      </c>
      <c r="L4793" s="455">
        <f t="shared" ca="1" si="192"/>
        <v>-74816089316071.188</v>
      </c>
      <c r="M4793" s="471">
        <f t="shared" si="194"/>
        <v>0.05</v>
      </c>
      <c r="N4793" s="475">
        <f t="shared" si="195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93"/>
        <v>-74816089316071.188</v>
      </c>
      <c r="J4794" s="455">
        <f t="array" ref="J4794">IFERROR(INDEX('Retirement Calculator'!J:J,MATCH('Isaac 401k'!N4794,'Retirement Calculator'!A:A,0),0),0)</f>
        <v>0</v>
      </c>
      <c r="K4794" s="455">
        <f t="shared" ca="1" si="191"/>
        <v>-311733705483.62994</v>
      </c>
      <c r="L4794" s="455">
        <f t="shared" ca="1" si="192"/>
        <v>-75127823021554.813</v>
      </c>
      <c r="M4794" s="471">
        <f t="shared" si="194"/>
        <v>0.05</v>
      </c>
      <c r="N4794" s="475">
        <f t="shared" si="195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93"/>
        <v>-75127823021554.813</v>
      </c>
      <c r="J4795" s="455">
        <f t="array" ref="J4795">IFERROR(INDEX('Retirement Calculator'!J:J,MATCH('Isaac 401k'!N4795,'Retirement Calculator'!A:A,0),0),0)</f>
        <v>0</v>
      </c>
      <c r="K4795" s="455">
        <f t="shared" ca="1" si="191"/>
        <v>-313032595923.14502</v>
      </c>
      <c r="L4795" s="455">
        <f t="shared" ca="1" si="192"/>
        <v>-75440855617477.953</v>
      </c>
      <c r="M4795" s="471">
        <f t="shared" si="194"/>
        <v>0.05</v>
      </c>
      <c r="N4795" s="475">
        <f t="shared" si="195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93"/>
        <v>-75440855617477.953</v>
      </c>
      <c r="J4796" s="455">
        <f t="array" ref="J4796">IFERROR(INDEX('Retirement Calculator'!J:J,MATCH('Isaac 401k'!N4796,'Retirement Calculator'!A:A,0),0),0)</f>
        <v>0</v>
      </c>
      <c r="K4796" s="455">
        <f t="shared" ca="1" si="191"/>
        <v>-314336898406.15814</v>
      </c>
      <c r="L4796" s="455">
        <f t="shared" ca="1" si="192"/>
        <v>-75755192515884.109</v>
      </c>
      <c r="M4796" s="471">
        <f t="shared" si="194"/>
        <v>0.05</v>
      </c>
      <c r="N4796" s="475">
        <f t="shared" si="195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93"/>
        <v>-75755192515884.109</v>
      </c>
      <c r="J4797" s="455">
        <f t="array" ref="J4797">IFERROR(INDEX('Retirement Calculator'!J:J,MATCH('Isaac 401k'!N4797,'Retirement Calculator'!A:A,0),0),0)</f>
        <v>0</v>
      </c>
      <c r="K4797" s="455">
        <f t="shared" ca="1" si="191"/>
        <v>-315646635482.85046</v>
      </c>
      <c r="L4797" s="455">
        <f t="shared" ca="1" si="192"/>
        <v>-76070839151366.953</v>
      </c>
      <c r="M4797" s="471">
        <f t="shared" si="194"/>
        <v>0.05</v>
      </c>
      <c r="N4797" s="475">
        <f t="shared" si="195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93"/>
        <v>-76070839151366.953</v>
      </c>
      <c r="J4798" s="455">
        <f t="array" ref="J4798">IFERROR(INDEX('Retirement Calculator'!J:J,MATCH('Isaac 401k'!N4798,'Retirement Calculator'!A:A,0),0),0)</f>
        <v>0</v>
      </c>
      <c r="K4798" s="455">
        <f t="shared" ca="1" si="191"/>
        <v>-316961829797.3623</v>
      </c>
      <c r="L4798" s="455">
        <f t="shared" ca="1" si="192"/>
        <v>-76387800981164.313</v>
      </c>
      <c r="M4798" s="471">
        <f t="shared" si="194"/>
        <v>0.05</v>
      </c>
      <c r="N4798" s="475">
        <f t="shared" si="195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93"/>
        <v>-76387800981164.313</v>
      </c>
      <c r="J4799" s="455">
        <f t="array" ref="J4799">IFERROR(INDEX('Retirement Calculator'!J:J,MATCH('Isaac 401k'!N4799,'Retirement Calculator'!A:A,0),0),0)</f>
        <v>0</v>
      </c>
      <c r="K4799" s="455">
        <f t="shared" ca="1" si="191"/>
        <v>-318282504088.18463</v>
      </c>
      <c r="L4799" s="455">
        <f t="shared" ca="1" si="192"/>
        <v>-76706083485252.5</v>
      </c>
      <c r="M4799" s="471">
        <f t="shared" si="194"/>
        <v>0.05</v>
      </c>
      <c r="N4799" s="475">
        <f t="shared" si="195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93"/>
        <v>-76706083485252.5</v>
      </c>
      <c r="J4800" s="455">
        <f t="array" ref="J4800">IFERROR(INDEX('Retirement Calculator'!J:J,MATCH('Isaac 401k'!N4800,'Retirement Calculator'!A:A,0),0),0)</f>
        <v>0</v>
      </c>
      <c r="K4800" s="455">
        <f t="shared" ca="1" si="191"/>
        <v>-319608681188.55206</v>
      </c>
      <c r="L4800" s="455">
        <f t="shared" ca="1" si="192"/>
        <v>-77025692166441.047</v>
      </c>
      <c r="M4800" s="471">
        <f t="shared" si="194"/>
        <v>0.05</v>
      </c>
      <c r="N4800" s="475">
        <f t="shared" si="195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93"/>
        <v>-77025692166441.047</v>
      </c>
      <c r="J4801" s="455">
        <f t="array" ref="J4801">IFERROR(INDEX('Retirement Calculator'!J:J,MATCH('Isaac 401k'!N4801,'Retirement Calculator'!A:A,0),0),0)</f>
        <v>0</v>
      </c>
      <c r="K4801" s="455">
        <f t="shared" ca="1" si="191"/>
        <v>-320940384026.83771</v>
      </c>
      <c r="L4801" s="455">
        <f t="shared" ca="1" si="192"/>
        <v>-77346632550467.891</v>
      </c>
      <c r="M4801" s="471">
        <f t="shared" si="194"/>
        <v>0.05</v>
      </c>
      <c r="N4801" s="475">
        <f t="shared" si="195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93"/>
        <v>-77346632550467.891</v>
      </c>
      <c r="J4802" s="455">
        <f t="array" ref="J4802">IFERROR(INDEX('Retirement Calculator'!J:J,MATCH('Isaac 401k'!N4802,'Retirement Calculator'!A:A,0),0),0)</f>
        <v>0</v>
      </c>
      <c r="K4802" s="455">
        <f t="shared" ca="1" si="191"/>
        <v>-322277635626.94952</v>
      </c>
      <c r="L4802" s="455">
        <f t="shared" ca="1" si="192"/>
        <v>-77668910186094.844</v>
      </c>
      <c r="M4802" s="471">
        <f t="shared" si="194"/>
        <v>0.05</v>
      </c>
      <c r="N4802" s="475">
        <f t="shared" si="195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93"/>
        <v>-77668910186094.844</v>
      </c>
      <c r="J4803" s="455">
        <f t="array" ref="J4803">IFERROR(INDEX('Retirement Calculator'!J:J,MATCH('Isaac 401k'!N4803,'Retirement Calculator'!A:A,0),0),0)</f>
        <v>0</v>
      </c>
      <c r="K4803" s="455">
        <f t="shared" ca="1" si="191"/>
        <v>-323620459108.72852</v>
      </c>
      <c r="L4803" s="455">
        <f t="shared" ca="1" si="192"/>
        <v>-77992530645203.578</v>
      </c>
      <c r="M4803" s="471">
        <f t="shared" si="194"/>
        <v>0.05</v>
      </c>
      <c r="N4803" s="475">
        <f t="shared" si="195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93"/>
        <v>-77992530645203.578</v>
      </c>
      <c r="J4804" s="455">
        <f t="array" ref="J4804">IFERROR(INDEX('Retirement Calculator'!J:J,MATCH('Isaac 401k'!N4804,'Retirement Calculator'!A:A,0),0),0)</f>
        <v>0</v>
      </c>
      <c r="K4804" s="455">
        <f t="shared" ca="1" si="191"/>
        <v>-324968877688.34827</v>
      </c>
      <c r="L4804" s="455">
        <f t="shared" ca="1" si="192"/>
        <v>-78317499522891.922</v>
      </c>
      <c r="M4804" s="471">
        <f t="shared" si="194"/>
        <v>0.05</v>
      </c>
      <c r="N4804" s="475">
        <f t="shared" si="195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93"/>
        <v>-78317499522891.922</v>
      </c>
      <c r="J4805" s="455">
        <f t="array" ref="J4805">IFERROR(INDEX('Retirement Calculator'!J:J,MATCH('Isaac 401k'!N4805,'Retirement Calculator'!A:A,0),0),0)</f>
        <v>0</v>
      </c>
      <c r="K4805" s="455">
        <f t="shared" ca="1" si="191"/>
        <v>-326322914678.71631</v>
      </c>
      <c r="L4805" s="455">
        <f t="shared" ca="1" si="192"/>
        <v>-78643822437570.641</v>
      </c>
      <c r="M4805" s="471">
        <f t="shared" si="194"/>
        <v>0.05</v>
      </c>
      <c r="N4805" s="475">
        <f t="shared" si="195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93"/>
        <v>-78643822437570.641</v>
      </c>
      <c r="J4806" s="455">
        <f t="array" ref="J4806">IFERROR(INDEX('Retirement Calculator'!J:J,MATCH('Isaac 401k'!N4806,'Retirement Calculator'!A:A,0),0),0)</f>
        <v>0</v>
      </c>
      <c r="K4806" s="455">
        <f t="shared" ca="1" si="191"/>
        <v>-327682593489.87769</v>
      </c>
      <c r="L4806" s="455">
        <f t="shared" ca="1" si="192"/>
        <v>-78971505031060.516</v>
      </c>
      <c r="M4806" s="471">
        <f t="shared" si="194"/>
        <v>0.05</v>
      </c>
      <c r="N4806" s="475">
        <f t="shared" si="195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93"/>
        <v>-78971505031060.516</v>
      </c>
      <c r="J4807" s="455">
        <f t="array" ref="J4807">IFERROR(INDEX('Retirement Calculator'!J:J,MATCH('Isaac 401k'!N4807,'Retirement Calculator'!A:A,0),0),0)</f>
        <v>0</v>
      </c>
      <c r="K4807" s="455">
        <f t="shared" ca="1" si="191"/>
        <v>-329047937629.41882</v>
      </c>
      <c r="L4807" s="455">
        <f t="shared" ca="1" si="192"/>
        <v>-79300552968689.938</v>
      </c>
      <c r="M4807" s="471">
        <f t="shared" si="194"/>
        <v>0.05</v>
      </c>
      <c r="N4807" s="475">
        <f t="shared" si="195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93"/>
        <v>-79300552968689.938</v>
      </c>
      <c r="J4808" s="455">
        <f t="array" ref="J4808">IFERROR(INDEX('Retirement Calculator'!J:J,MATCH('Isaac 401k'!N4808,'Retirement Calculator'!A:A,0),0),0)</f>
        <v>0</v>
      </c>
      <c r="K4808" s="455">
        <f t="shared" ca="1" si="191"/>
        <v>-330418970702.87476</v>
      </c>
      <c r="L4808" s="455">
        <f t="shared" ca="1" si="192"/>
        <v>-79630971939392.813</v>
      </c>
      <c r="M4808" s="471">
        <f t="shared" si="194"/>
        <v>0.05</v>
      </c>
      <c r="N4808" s="475">
        <f t="shared" si="195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93"/>
        <v>-79630971939392.813</v>
      </c>
      <c r="J4809" s="455">
        <f t="array" ref="J4809">IFERROR(INDEX('Retirement Calculator'!J:J,MATCH('Isaac 401k'!N4809,'Retirement Calculator'!A:A,0),0),0)</f>
        <v>0</v>
      </c>
      <c r="K4809" s="455">
        <f t="shared" ca="1" si="191"/>
        <v>-331795716414.13672</v>
      </c>
      <c r="L4809" s="455">
        <f t="shared" ca="1" si="192"/>
        <v>-79962767655806.953</v>
      </c>
      <c r="M4809" s="471">
        <f t="shared" si="194"/>
        <v>0.05</v>
      </c>
      <c r="N4809" s="475">
        <f t="shared" si="195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93"/>
        <v>-79962767655806.953</v>
      </c>
      <c r="J4810" s="455">
        <f t="array" ref="J4810">IFERROR(INDEX('Retirement Calculator'!J:J,MATCH('Isaac 401k'!N4810,'Retirement Calculator'!A:A,0),0),0)</f>
        <v>0</v>
      </c>
      <c r="K4810" s="455">
        <f t="shared" ca="1" si="191"/>
        <v>-333178198565.8623</v>
      </c>
      <c r="L4810" s="455">
        <f t="shared" ca="1" si="192"/>
        <v>-80295945854372.813</v>
      </c>
      <c r="M4810" s="471">
        <f t="shared" si="194"/>
        <v>0.05</v>
      </c>
      <c r="N4810" s="475">
        <f t="shared" si="195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93"/>
        <v>-80295945854372.813</v>
      </c>
      <c r="J4811" s="455">
        <f t="array" ref="J4811">IFERROR(INDEX('Retirement Calculator'!J:J,MATCH('Isaac 401k'!N4811,'Retirement Calculator'!A:A,0),0),0)</f>
        <v>0</v>
      </c>
      <c r="K4811" s="455">
        <f t="shared" ca="1" si="191"/>
        <v>-334566441059.88672</v>
      </c>
      <c r="L4811" s="455">
        <f t="shared" ca="1" si="192"/>
        <v>-80630512295432.703</v>
      </c>
      <c r="M4811" s="471">
        <f t="shared" si="194"/>
        <v>0.05</v>
      </c>
      <c r="N4811" s="475">
        <f t="shared" si="195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93"/>
        <v>-80630512295432.703</v>
      </c>
      <c r="J4812" s="455">
        <f t="array" ref="J4812">IFERROR(INDEX('Retirement Calculator'!J:J,MATCH('Isaac 401k'!N4812,'Retirement Calculator'!A:A,0),0),0)</f>
        <v>0</v>
      </c>
      <c r="K4812" s="455">
        <f t="shared" ca="1" si="191"/>
        <v>-335960467897.63623</v>
      </c>
      <c r="L4812" s="455">
        <f t="shared" ca="1" si="192"/>
        <v>-80966472763330.344</v>
      </c>
      <c r="M4812" s="471">
        <f t="shared" si="194"/>
        <v>0.05</v>
      </c>
      <c r="N4812" s="475">
        <f t="shared" si="195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93"/>
        <v>-80966472763330.344</v>
      </c>
      <c r="J4813" s="455">
        <f t="array" ref="J4813">IFERROR(INDEX('Retirement Calculator'!J:J,MATCH('Isaac 401k'!N4813,'Retirement Calculator'!A:A,0),0),0)</f>
        <v>0</v>
      </c>
      <c r="K4813" s="455">
        <f t="shared" ca="1" si="191"/>
        <v>-337360303180.54309</v>
      </c>
      <c r="L4813" s="455">
        <f t="shared" ca="1" si="192"/>
        <v>-81303833066510.891</v>
      </c>
      <c r="M4813" s="471">
        <f t="shared" si="194"/>
        <v>0.05</v>
      </c>
      <c r="N4813" s="475">
        <f t="shared" si="195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93"/>
        <v>-81303833066510.891</v>
      </c>
      <c r="J4814" s="455">
        <f t="array" ref="J4814">IFERROR(INDEX('Retirement Calculator'!J:J,MATCH('Isaac 401k'!N4814,'Retirement Calculator'!A:A,0),0),0)</f>
        <v>0</v>
      </c>
      <c r="K4814" s="455">
        <f t="shared" ca="1" si="191"/>
        <v>-338765971110.46204</v>
      </c>
      <c r="L4814" s="455">
        <f t="shared" ca="1" si="192"/>
        <v>-81642599037621.359</v>
      </c>
      <c r="M4814" s="471">
        <f t="shared" si="194"/>
        <v>0.05</v>
      </c>
      <c r="N4814" s="475">
        <f t="shared" si="195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93"/>
        <v>-81642599037621.359</v>
      </c>
      <c r="J4815" s="455">
        <f t="array" ref="J4815">IFERROR(INDEX('Retirement Calculator'!J:J,MATCH('Isaac 401k'!N4815,'Retirement Calculator'!A:A,0),0),0)</f>
        <v>0</v>
      </c>
      <c r="K4815" s="455">
        <f t="shared" ca="1" si="191"/>
        <v>-340177495990.08899</v>
      </c>
      <c r="L4815" s="455">
        <f t="shared" ca="1" si="192"/>
        <v>-81982776533611.453</v>
      </c>
      <c r="M4815" s="471">
        <f t="shared" si="194"/>
        <v>0.05</v>
      </c>
      <c r="N4815" s="475">
        <f t="shared" si="195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93"/>
        <v>-81982776533611.453</v>
      </c>
      <c r="J4816" s="455">
        <f t="array" ref="J4816">IFERROR(INDEX('Retirement Calculator'!J:J,MATCH('Isaac 401k'!N4816,'Retirement Calculator'!A:A,0),0),0)</f>
        <v>0</v>
      </c>
      <c r="K4816" s="455">
        <f t="shared" ca="1" si="191"/>
        <v>-341594902223.38104</v>
      </c>
      <c r="L4816" s="455">
        <f t="shared" ca="1" si="192"/>
        <v>-82324371435834.828</v>
      </c>
      <c r="M4816" s="471">
        <f t="shared" si="194"/>
        <v>0.05</v>
      </c>
      <c r="N4816" s="475">
        <f t="shared" si="195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93"/>
        <v>-82324371435834.828</v>
      </c>
      <c r="J4817" s="455">
        <f t="array" ref="J4817">IFERROR(INDEX('Retirement Calculator'!J:J,MATCH('Isaac 401k'!N4817,'Retirement Calculator'!A:A,0),0),0)</f>
        <v>0</v>
      </c>
      <c r="K4817" s="455">
        <f t="shared" ca="1" si="191"/>
        <v>-343018214315.97845</v>
      </c>
      <c r="L4817" s="455">
        <f t="shared" ca="1" si="192"/>
        <v>-82667389650150.813</v>
      </c>
      <c r="M4817" s="471">
        <f t="shared" si="194"/>
        <v>0.05</v>
      </c>
      <c r="N4817" s="475">
        <f t="shared" si="195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93"/>
        <v>-82667389650150.813</v>
      </c>
      <c r="J4818" s="455">
        <f t="array" ref="J4818">IFERROR(INDEX('Retirement Calculator'!J:J,MATCH('Isaac 401k'!N4818,'Retirement Calculator'!A:A,0),0),0)</f>
        <v>0</v>
      </c>
      <c r="K4818" s="455">
        <f t="shared" ca="1" si="191"/>
        <v>-344447456875.62836</v>
      </c>
      <c r="L4818" s="455">
        <f t="shared" ca="1" si="192"/>
        <v>-83011837107026.438</v>
      </c>
      <c r="M4818" s="471">
        <f t="shared" si="194"/>
        <v>0.05</v>
      </c>
      <c r="N4818" s="475">
        <f t="shared" si="195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93"/>
        <v>-83011837107026.438</v>
      </c>
      <c r="J4819" s="455">
        <f t="array" ref="J4819">IFERROR(INDEX('Retirement Calculator'!J:J,MATCH('Isaac 401k'!N4819,'Retirement Calculator'!A:A,0),0),0)</f>
        <v>0</v>
      </c>
      <c r="K4819" s="455">
        <f t="shared" ca="1" si="191"/>
        <v>-345882654612.61017</v>
      </c>
      <c r="L4819" s="455">
        <f t="shared" ca="1" si="192"/>
        <v>-83357719761639.047</v>
      </c>
      <c r="M4819" s="471">
        <f t="shared" si="194"/>
        <v>0.05</v>
      </c>
      <c r="N4819" s="475">
        <f t="shared" si="195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93"/>
        <v>-83357719761639.047</v>
      </c>
      <c r="J4820" s="455">
        <f t="array" ref="J4820">IFERROR(INDEX('Retirement Calculator'!J:J,MATCH('Isaac 401k'!N4820,'Retirement Calculator'!A:A,0),0),0)</f>
        <v>0</v>
      </c>
      <c r="K4820" s="455">
        <f t="shared" ca="1" si="191"/>
        <v>-347323832340.16272</v>
      </c>
      <c r="L4820" s="455">
        <f t="shared" ca="1" si="192"/>
        <v>-83705043593979.203</v>
      </c>
      <c r="M4820" s="471">
        <f t="shared" si="194"/>
        <v>0.05</v>
      </c>
      <c r="N4820" s="475">
        <f t="shared" si="195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93"/>
        <v>-83705043593979.203</v>
      </c>
      <c r="J4821" s="455">
        <f t="array" ref="J4821">IFERROR(INDEX('Retirement Calculator'!J:J,MATCH('Isaac 401k'!N4821,'Retirement Calculator'!A:A,0),0),0)</f>
        <v>0</v>
      </c>
      <c r="K4821" s="455">
        <f t="shared" ca="1" si="191"/>
        <v>-348771014974.91333</v>
      </c>
      <c r="L4821" s="455">
        <f t="shared" ca="1" si="192"/>
        <v>-84053814608954.109</v>
      </c>
      <c r="M4821" s="471">
        <f t="shared" si="194"/>
        <v>0.05</v>
      </c>
      <c r="N4821" s="475">
        <f t="shared" si="195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93"/>
        <v>-84053814608954.109</v>
      </c>
      <c r="J4822" s="455">
        <f t="array" ref="J4822">IFERROR(INDEX('Retirement Calculator'!J:J,MATCH('Isaac 401k'!N4822,'Retirement Calculator'!A:A,0),0),0)</f>
        <v>0</v>
      </c>
      <c r="K4822" s="455">
        <f t="shared" ca="1" si="191"/>
        <v>-350224227537.30878</v>
      </c>
      <c r="L4822" s="455">
        <f t="shared" ca="1" si="192"/>
        <v>-84404038836491.422</v>
      </c>
      <c r="M4822" s="471">
        <f t="shared" si="194"/>
        <v>0.05</v>
      </c>
      <c r="N4822" s="475">
        <f t="shared" si="195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93"/>
        <v>-84404038836491.422</v>
      </c>
      <c r="J4823" s="455">
        <f t="array" ref="J4823">IFERROR(INDEX('Retirement Calculator'!J:J,MATCH('Isaac 401k'!N4823,'Retirement Calculator'!A:A,0),0),0)</f>
        <v>0</v>
      </c>
      <c r="K4823" s="455">
        <f t="shared" ca="1" si="191"/>
        <v>-351683495152.04761</v>
      </c>
      <c r="L4823" s="455">
        <f t="shared" ca="1" si="192"/>
        <v>-84755722331643.469</v>
      </c>
      <c r="M4823" s="471">
        <f t="shared" si="194"/>
        <v>0.05</v>
      </c>
      <c r="N4823" s="475">
        <f t="shared" si="195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93"/>
        <v>-84755722331643.469</v>
      </c>
      <c r="J4824" s="455">
        <f t="array" ref="J4824">IFERROR(INDEX('Retirement Calculator'!J:J,MATCH('Isaac 401k'!N4824,'Retirement Calculator'!A:A,0),0),0)</f>
        <v>0</v>
      </c>
      <c r="K4824" s="455">
        <f t="shared" ca="1" si="191"/>
        <v>-353148843048.51447</v>
      </c>
      <c r="L4824" s="455">
        <f t="shared" ca="1" si="192"/>
        <v>-85108871174691.984</v>
      </c>
      <c r="M4824" s="471">
        <f t="shared" si="194"/>
        <v>0.05</v>
      </c>
      <c r="N4824" s="475">
        <f t="shared" si="195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93"/>
        <v>-85108871174691.984</v>
      </c>
      <c r="J4825" s="455">
        <f t="array" ref="J4825">IFERROR(INDEX('Retirement Calculator'!J:J,MATCH('Isaac 401k'!N4825,'Retirement Calculator'!A:A,0),0),0)</f>
        <v>0</v>
      </c>
      <c r="K4825" s="455">
        <f t="shared" ca="1" si="191"/>
        <v>-354620296561.21661</v>
      </c>
      <c r="L4825" s="455">
        <f t="shared" ca="1" si="192"/>
        <v>-85463491471253.203</v>
      </c>
      <c r="M4825" s="471">
        <f t="shared" si="194"/>
        <v>0.05</v>
      </c>
      <c r="N4825" s="475">
        <f t="shared" si="195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93"/>
        <v>-85463491471253.203</v>
      </c>
      <c r="J4826" s="455">
        <f t="array" ref="J4826">IFERROR(INDEX('Retirement Calculator'!J:J,MATCH('Isaac 401k'!N4826,'Retirement Calculator'!A:A,0),0),0)</f>
        <v>0</v>
      </c>
      <c r="K4826" s="455">
        <f t="shared" ca="1" si="191"/>
        <v>-356097881130.22168</v>
      </c>
      <c r="L4826" s="455">
        <f t="shared" ca="1" si="192"/>
        <v>-85819589352383.422</v>
      </c>
      <c r="M4826" s="471">
        <f t="shared" si="194"/>
        <v>0.05</v>
      </c>
      <c r="N4826" s="475">
        <f t="shared" si="195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93"/>
        <v>-85819589352383.422</v>
      </c>
      <c r="J4827" s="455">
        <f t="array" ref="J4827">IFERROR(INDEX('Retirement Calculator'!J:J,MATCH('Isaac 401k'!N4827,'Retirement Calculator'!A:A,0),0),0)</f>
        <v>0</v>
      </c>
      <c r="K4827" s="455">
        <f t="shared" ca="1" si="191"/>
        <v>-357581622301.5976</v>
      </c>
      <c r="L4827" s="455">
        <f t="shared" ca="1" si="192"/>
        <v>-86177170974685.016</v>
      </c>
      <c r="M4827" s="471">
        <f t="shared" si="194"/>
        <v>0.05</v>
      </c>
      <c r="N4827" s="475">
        <f t="shared" si="195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93"/>
        <v>-86177170974685.016</v>
      </c>
      <c r="J4828" s="455">
        <f t="array" ref="J4828">IFERROR(INDEX('Retirement Calculator'!J:J,MATCH('Isaac 401k'!N4828,'Retirement Calculator'!A:A,0),0),0)</f>
        <v>0</v>
      </c>
      <c r="K4828" s="455">
        <f t="shared" ca="1" si="191"/>
        <v>-359071545727.85425</v>
      </c>
      <c r="L4828" s="455">
        <f t="shared" ca="1" si="192"/>
        <v>-86536242520412.875</v>
      </c>
      <c r="M4828" s="471">
        <f t="shared" si="194"/>
        <v>0.05</v>
      </c>
      <c r="N4828" s="475">
        <f t="shared" si="195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93"/>
        <v>-86536242520412.875</v>
      </c>
      <c r="J4829" s="455">
        <f t="array" ref="J4829">IFERROR(INDEX('Retirement Calculator'!J:J,MATCH('Isaac 401k'!N4829,'Retirement Calculator'!A:A,0),0),0)</f>
        <v>0</v>
      </c>
      <c r="K4829" s="455">
        <f t="shared" ca="1" si="191"/>
        <v>-360567677168.38696</v>
      </c>
      <c r="L4829" s="455">
        <f t="shared" ca="1" si="192"/>
        <v>-86896810197581.266</v>
      </c>
      <c r="M4829" s="471">
        <f t="shared" si="194"/>
        <v>0.05</v>
      </c>
      <c r="N4829" s="475">
        <f t="shared" si="195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93"/>
        <v>-86896810197581.266</v>
      </c>
      <c r="J4830" s="455">
        <f t="array" ref="J4830">IFERROR(INDEX('Retirement Calculator'!J:J,MATCH('Isaac 401k'!N4830,'Retirement Calculator'!A:A,0),0),0)</f>
        <v>0</v>
      </c>
      <c r="K4830" s="455">
        <f t="shared" ca="1" si="191"/>
        <v>-362070042489.92194</v>
      </c>
      <c r="L4830" s="455">
        <f t="shared" ca="1" si="192"/>
        <v>-87258880240071.188</v>
      </c>
      <c r="M4830" s="471">
        <f t="shared" si="194"/>
        <v>0.05</v>
      </c>
      <c r="N4830" s="475">
        <f t="shared" si="195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93"/>
        <v>-87258880240071.188</v>
      </c>
      <c r="J4831" s="455">
        <f t="array" ref="J4831">IFERROR(INDEX('Retirement Calculator'!J:J,MATCH('Isaac 401k'!N4831,'Retirement Calculator'!A:A,0),0),0)</f>
        <v>0</v>
      </c>
      <c r="K4831" s="455">
        <f t="shared" ca="1" si="191"/>
        <v>-363578667666.96326</v>
      </c>
      <c r="L4831" s="455">
        <f t="shared" ca="1" si="192"/>
        <v>-87622458907738.156</v>
      </c>
      <c r="M4831" s="471">
        <f t="shared" si="194"/>
        <v>0.05</v>
      </c>
      <c r="N4831" s="475">
        <f t="shared" si="195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93"/>
        <v>-87622458907738.156</v>
      </c>
      <c r="J4832" s="455">
        <f t="array" ref="J4832">IFERROR(INDEX('Retirement Calculator'!J:J,MATCH('Isaac 401k'!N4832,'Retirement Calculator'!A:A,0),0),0)</f>
        <v>0</v>
      </c>
      <c r="K4832" s="455">
        <f t="shared" ca="1" si="191"/>
        <v>-365093578782.24231</v>
      </c>
      <c r="L4832" s="455">
        <f t="shared" ca="1" si="192"/>
        <v>-87987552486520.406</v>
      </c>
      <c r="M4832" s="471">
        <f t="shared" si="194"/>
        <v>0.05</v>
      </c>
      <c r="N4832" s="475">
        <f t="shared" si="195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93"/>
        <v>-87987552486520.406</v>
      </c>
      <c r="J4833" s="455">
        <f t="array" ref="J4833">IFERROR(INDEX('Retirement Calculator'!J:J,MATCH('Isaac 401k'!N4833,'Retirement Calculator'!A:A,0),0),0)</f>
        <v>0</v>
      </c>
      <c r="K4833" s="455">
        <f t="shared" ca="1" si="191"/>
        <v>-366614802027.16833</v>
      </c>
      <c r="L4833" s="455">
        <f t="shared" ca="1" si="192"/>
        <v>-88354167288547.578</v>
      </c>
      <c r="M4833" s="471">
        <f t="shared" si="194"/>
        <v>0.05</v>
      </c>
      <c r="N4833" s="475">
        <f t="shared" si="195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93"/>
        <v>-88354167288547.578</v>
      </c>
      <c r="J4834" s="455">
        <f t="array" ref="J4834">IFERROR(INDEX('Retirement Calculator'!J:J,MATCH('Isaac 401k'!N4834,'Retirement Calculator'!A:A,0),0),0)</f>
        <v>0</v>
      </c>
      <c r="K4834" s="455">
        <f t="shared" ca="1" si="191"/>
        <v>-368142363702.28156</v>
      </c>
      <c r="L4834" s="455">
        <f t="shared" ca="1" si="192"/>
        <v>-88722309652249.859</v>
      </c>
      <c r="M4834" s="471">
        <f t="shared" si="194"/>
        <v>0.05</v>
      </c>
      <c r="N4834" s="475">
        <f t="shared" si="195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93"/>
        <v>-88722309652249.859</v>
      </c>
      <c r="J4835" s="455">
        <f t="array" ref="J4835">IFERROR(INDEX('Retirement Calculator'!J:J,MATCH('Isaac 401k'!N4835,'Retirement Calculator'!A:A,0),0),0)</f>
        <v>0</v>
      </c>
      <c r="K4835" s="455">
        <f t="shared" ca="1" si="191"/>
        <v>-369676290217.70776</v>
      </c>
      <c r="L4835" s="455">
        <f t="shared" ca="1" si="192"/>
        <v>-89091985942467.563</v>
      </c>
      <c r="M4835" s="471">
        <f t="shared" si="194"/>
        <v>0.05</v>
      </c>
      <c r="N4835" s="475">
        <f t="shared" si="195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93"/>
        <v>-89091985942467.563</v>
      </c>
      <c r="J4836" s="455">
        <f t="array" ref="J4836">IFERROR(INDEX('Retirement Calculator'!J:J,MATCH('Isaac 401k'!N4836,'Retirement Calculator'!A:A,0),0),0)</f>
        <v>0</v>
      </c>
      <c r="K4836" s="455">
        <f t="shared" ca="1" si="191"/>
        <v>-371216608093.61487</v>
      </c>
      <c r="L4836" s="455">
        <f t="shared" ca="1" si="192"/>
        <v>-89463202550561.172</v>
      </c>
      <c r="M4836" s="471">
        <f t="shared" si="194"/>
        <v>0.05</v>
      </c>
      <c r="N4836" s="475">
        <f t="shared" si="195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93"/>
        <v>-89463202550561.172</v>
      </c>
      <c r="J4837" s="455">
        <f t="array" ref="J4837">IFERROR(INDEX('Retirement Calculator'!J:J,MATCH('Isaac 401k'!N4837,'Retirement Calculator'!A:A,0),0),0)</f>
        <v>0</v>
      </c>
      <c r="K4837" s="455">
        <f t="shared" ca="1" si="191"/>
        <v>-372763343960.67157</v>
      </c>
      <c r="L4837" s="455">
        <f t="shared" ca="1" si="192"/>
        <v>-89835965894521.844</v>
      </c>
      <c r="M4837" s="471">
        <f t="shared" si="194"/>
        <v>0.05</v>
      </c>
      <c r="N4837" s="475">
        <f t="shared" si="195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93"/>
        <v>-89835965894521.844</v>
      </c>
      <c r="J4838" s="455">
        <f t="array" ref="J4838">IFERROR(INDEX('Retirement Calculator'!J:J,MATCH('Isaac 401k'!N4838,'Retirement Calculator'!A:A,0),0),0)</f>
        <v>0</v>
      </c>
      <c r="K4838" s="455">
        <f t="shared" ca="1" si="191"/>
        <v>-374316524560.50769</v>
      </c>
      <c r="L4838" s="455">
        <f t="shared" ca="1" si="192"/>
        <v>-90210282419082.344</v>
      </c>
      <c r="M4838" s="471">
        <f t="shared" si="194"/>
        <v>0.05</v>
      </c>
      <c r="N4838" s="475">
        <f t="shared" si="195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93"/>
        <v>-90210282419082.344</v>
      </c>
      <c r="J4839" s="455">
        <f t="array" ref="J4839">IFERROR(INDEX('Retirement Calculator'!J:J,MATCH('Isaac 401k'!N4839,'Retirement Calculator'!A:A,0),0),0)</f>
        <v>0</v>
      </c>
      <c r="K4839" s="455">
        <f t="shared" ca="1" si="191"/>
        <v>-375876176746.17645</v>
      </c>
      <c r="L4839" s="455">
        <f t="shared" ca="1" si="192"/>
        <v>-90586158595828.516</v>
      </c>
      <c r="M4839" s="471">
        <f t="shared" si="194"/>
        <v>0.05</v>
      </c>
      <c r="N4839" s="475">
        <f t="shared" si="195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93"/>
        <v>-90586158595828.516</v>
      </c>
      <c r="J4840" s="455">
        <f t="array" ref="J4840">IFERROR(INDEX('Retirement Calculator'!J:J,MATCH('Isaac 401k'!N4840,'Retirement Calculator'!A:A,0),0),0)</f>
        <v>0</v>
      </c>
      <c r="K4840" s="455">
        <f t="shared" ca="1" si="191"/>
        <v>-377442327482.61884</v>
      </c>
      <c r="L4840" s="455">
        <f t="shared" ca="1" si="192"/>
        <v>-90963600923311.141</v>
      </c>
      <c r="M4840" s="471">
        <f t="shared" si="194"/>
        <v>0.05</v>
      </c>
      <c r="N4840" s="475">
        <f t="shared" si="195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93"/>
        <v>-90963600923311.141</v>
      </c>
      <c r="J4841" s="455">
        <f t="array" ref="J4841">IFERROR(INDEX('Retirement Calculator'!J:J,MATCH('Isaac 401k'!N4841,'Retirement Calculator'!A:A,0),0),0)</f>
        <v>0</v>
      </c>
      <c r="K4841" s="455">
        <f t="shared" ca="1" si="191"/>
        <v>-379015003847.12976</v>
      </c>
      <c r="L4841" s="455">
        <f t="shared" ca="1" si="192"/>
        <v>-91342615927158.266</v>
      </c>
      <c r="M4841" s="471">
        <f t="shared" si="194"/>
        <v>0.05</v>
      </c>
      <c r="N4841" s="475">
        <f t="shared" si="195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93"/>
        <v>-91342615927158.266</v>
      </c>
      <c r="J4842" s="455">
        <f t="array" ref="J4842">IFERROR(INDEX('Retirement Calculator'!J:J,MATCH('Isaac 401k'!N4842,'Retirement Calculator'!A:A,0),0),0)</f>
        <v>0</v>
      </c>
      <c r="K4842" s="455">
        <f t="shared" ca="1" si="191"/>
        <v>-380594233029.82611</v>
      </c>
      <c r="L4842" s="455">
        <f t="shared" ca="1" si="192"/>
        <v>-91723210160188.094</v>
      </c>
      <c r="M4842" s="471">
        <f t="shared" si="194"/>
        <v>0.05</v>
      </c>
      <c r="N4842" s="475">
        <f t="shared" si="195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93"/>
        <v>-91723210160188.094</v>
      </c>
      <c r="J4843" s="455">
        <f t="array" ref="J4843">IFERROR(INDEX('Retirement Calculator'!J:J,MATCH('Isaac 401k'!N4843,'Retirement Calculator'!A:A,0),0),0)</f>
        <v>0</v>
      </c>
      <c r="K4843" s="455">
        <f t="shared" ca="1" si="191"/>
        <v>-382180042334.11707</v>
      </c>
      <c r="L4843" s="455">
        <f t="shared" ca="1" si="192"/>
        <v>-92105390202522.203</v>
      </c>
      <c r="M4843" s="471">
        <f t="shared" si="194"/>
        <v>0.05</v>
      </c>
      <c r="N4843" s="475">
        <f t="shared" si="195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93"/>
        <v>-92105390202522.203</v>
      </c>
      <c r="J4844" s="455">
        <f t="array" ref="J4844">IFERROR(INDEX('Retirement Calculator'!J:J,MATCH('Isaac 401k'!N4844,'Retirement Calculator'!A:A,0),0),0)</f>
        <v>0</v>
      </c>
      <c r="K4844" s="455">
        <f t="shared" ca="1" si="191"/>
        <v>-383772459177.17584</v>
      </c>
      <c r="L4844" s="455">
        <f t="shared" ca="1" si="192"/>
        <v>-92489162661699.375</v>
      </c>
      <c r="M4844" s="471">
        <f t="shared" si="194"/>
        <v>0.05</v>
      </c>
      <c r="N4844" s="475">
        <f t="shared" si="195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93"/>
        <v>-92489162661699.375</v>
      </c>
      <c r="J4845" s="455">
        <f t="array" ref="J4845">IFERROR(INDEX('Retirement Calculator'!J:J,MATCH('Isaac 401k'!N4845,'Retirement Calculator'!A:A,0),0),0)</f>
        <v>0</v>
      </c>
      <c r="K4845" s="455">
        <f t="shared" ca="1" si="191"/>
        <v>-385371511090.41406</v>
      </c>
      <c r="L4845" s="455">
        <f t="shared" ca="1" si="192"/>
        <v>-92874534172789.781</v>
      </c>
      <c r="M4845" s="471">
        <f t="shared" si="194"/>
        <v>0.05</v>
      </c>
      <c r="N4845" s="475">
        <f t="shared" si="195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93"/>
        <v>-92874534172789.781</v>
      </c>
      <c r="J4846" s="455">
        <f t="array" ref="J4846">IFERROR(INDEX('Retirement Calculator'!J:J,MATCH('Isaac 401k'!N4846,'Retirement Calculator'!A:A,0),0),0)</f>
        <v>0</v>
      </c>
      <c r="K4846" s="455">
        <f t="shared" ca="1" si="191"/>
        <v>-386977225719.9574</v>
      </c>
      <c r="L4846" s="455">
        <f t="shared" ca="1" si="192"/>
        <v>-93261511398509.734</v>
      </c>
      <c r="M4846" s="471">
        <f t="shared" si="194"/>
        <v>0.05</v>
      </c>
      <c r="N4846" s="475">
        <f t="shared" si="195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93"/>
        <v>-93261511398509.734</v>
      </c>
      <c r="J4847" s="455">
        <f t="array" ref="J4847">IFERROR(INDEX('Retirement Calculator'!J:J,MATCH('Isaac 401k'!N4847,'Retirement Calculator'!A:A,0),0),0)</f>
        <v>0</v>
      </c>
      <c r="K4847" s="455">
        <f t="shared" ca="1" si="191"/>
        <v>-388589630827.1239</v>
      </c>
      <c r="L4847" s="455">
        <f t="shared" ca="1" si="192"/>
        <v>-93650101029336.859</v>
      </c>
      <c r="M4847" s="471">
        <f t="shared" si="194"/>
        <v>0.05</v>
      </c>
      <c r="N4847" s="475">
        <f t="shared" si="195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93"/>
        <v>-93650101029336.859</v>
      </c>
      <c r="J4848" s="455">
        <f t="array" ref="J4848">IFERROR(INDEX('Retirement Calculator'!J:J,MATCH('Isaac 401k'!N4848,'Retirement Calculator'!A:A,0),0),0)</f>
        <v>0</v>
      </c>
      <c r="K4848" s="455">
        <f t="shared" ca="1" si="191"/>
        <v>-390208754288.90356</v>
      </c>
      <c r="L4848" s="455">
        <f t="shared" ca="1" si="192"/>
        <v>-94040309783625.766</v>
      </c>
      <c r="M4848" s="471">
        <f t="shared" si="194"/>
        <v>0.05</v>
      </c>
      <c r="N4848" s="475">
        <f t="shared" si="195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93"/>
        <v>-94040309783625.766</v>
      </c>
      <c r="J4849" s="455">
        <f t="array" ref="J4849">IFERROR(INDEX('Retirement Calculator'!J:J,MATCH('Isaac 401k'!N4849,'Retirement Calculator'!A:A,0),0),0)</f>
        <v>0</v>
      </c>
      <c r="K4849" s="455">
        <f t="shared" ca="1" si="191"/>
        <v>-391834624098.44067</v>
      </c>
      <c r="L4849" s="455">
        <f t="shared" ca="1" si="192"/>
        <v>-94432144407724.203</v>
      </c>
      <c r="M4849" s="471">
        <f t="shared" si="194"/>
        <v>0.05</v>
      </c>
      <c r="N4849" s="475">
        <f t="shared" si="195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93"/>
        <v>-94432144407724.203</v>
      </c>
      <c r="J4850" s="455">
        <f t="array" ref="J4850">IFERROR(INDEX('Retirement Calculator'!J:J,MATCH('Isaac 401k'!N4850,'Retirement Calculator'!A:A,0),0),0)</f>
        <v>0</v>
      </c>
      <c r="K4850" s="455">
        <f t="shared" ca="1" si="191"/>
        <v>-393467268365.51752</v>
      </c>
      <c r="L4850" s="455">
        <f t="shared" ca="1" si="192"/>
        <v>-94825611676089.719</v>
      </c>
      <c r="M4850" s="471">
        <f t="shared" si="194"/>
        <v>0.05</v>
      </c>
      <c r="N4850" s="475">
        <f t="shared" si="195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93"/>
        <v>-94825611676089.719</v>
      </c>
      <c r="J4851" s="455">
        <f t="array" ref="J4851">IFERROR(INDEX('Retirement Calculator'!J:J,MATCH('Isaac 401k'!N4851,'Retirement Calculator'!A:A,0),0),0)</f>
        <v>0</v>
      </c>
      <c r="K4851" s="455">
        <f t="shared" ca="1" si="191"/>
        <v>-395106715317.04047</v>
      </c>
      <c r="L4851" s="455">
        <f t="shared" ca="1" si="192"/>
        <v>-95220718391406.766</v>
      </c>
      <c r="M4851" s="471">
        <f t="shared" si="194"/>
        <v>0.05</v>
      </c>
      <c r="N4851" s="475">
        <f t="shared" si="195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93"/>
        <v>-95220718391406.766</v>
      </c>
      <c r="J4852" s="455">
        <f t="array" ref="J4852">IFERROR(INDEX('Retirement Calculator'!J:J,MATCH('Isaac 401k'!N4852,'Retirement Calculator'!A:A,0),0),0)</f>
        <v>0</v>
      </c>
      <c r="K4852" s="455">
        <f t="shared" ca="1" si="191"/>
        <v>-396752993297.5282</v>
      </c>
      <c r="L4852" s="455">
        <f t="shared" ca="1" si="192"/>
        <v>-95617471384704.297</v>
      </c>
      <c r="M4852" s="471">
        <f t="shared" si="194"/>
        <v>0.05</v>
      </c>
      <c r="N4852" s="475">
        <f t="shared" si="195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93"/>
        <v>-95617471384704.297</v>
      </c>
      <c r="J4853" s="455">
        <f t="array" ref="J4853">IFERROR(INDEX('Retirement Calculator'!J:J,MATCH('Isaac 401k'!N4853,'Retirement Calculator'!A:A,0),0),0)</f>
        <v>0</v>
      </c>
      <c r="K4853" s="455">
        <f t="shared" ref="K4853:K5107" ca="1" si="196">IPMT(M4853/12,1,12,-I4853+J4853,,0)</f>
        <v>-398406130769.60126</v>
      </c>
      <c r="L4853" s="455">
        <f t="shared" ref="L4853:L5107" ca="1" si="197">I4853-J4853+K4853</f>
        <v>-96015877515473.891</v>
      </c>
      <c r="M4853" s="471">
        <f t="shared" si="194"/>
        <v>0.05</v>
      </c>
      <c r="N4853" s="475">
        <f t="shared" si="195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98">L4853</f>
        <v>-96015877515473.891</v>
      </c>
      <c r="J4854" s="455">
        <f t="array" ref="J4854">IFERROR(INDEX('Retirement Calculator'!J:J,MATCH('Isaac 401k'!N4854,'Retirement Calculator'!A:A,0),0),0)</f>
        <v>0</v>
      </c>
      <c r="K4854" s="455">
        <f t="shared" ca="1" si="196"/>
        <v>-400066156314.47455</v>
      </c>
      <c r="L4854" s="455">
        <f t="shared" ca="1" si="197"/>
        <v>-96415943671788.359</v>
      </c>
      <c r="M4854" s="471">
        <f t="shared" ref="M4854:M5108" si="199">M4853</f>
        <v>0.05</v>
      </c>
      <c r="N4854" s="475">
        <f t="shared" ref="N4854:N5108" si="200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98"/>
        <v>-96415943671788.359</v>
      </c>
      <c r="J4855" s="455">
        <f t="array" ref="J4855">IFERROR(INDEX('Retirement Calculator'!J:J,MATCH('Isaac 401k'!N4855,'Retirement Calculator'!A:A,0),0),0)</f>
        <v>0</v>
      </c>
      <c r="K4855" s="455">
        <f t="shared" ca="1" si="196"/>
        <v>-401733098632.45148</v>
      </c>
      <c r="L4855" s="455">
        <f t="shared" ca="1" si="197"/>
        <v>-96817676770420.813</v>
      </c>
      <c r="M4855" s="471">
        <f t="shared" si="199"/>
        <v>0.05</v>
      </c>
      <c r="N4855" s="475">
        <f t="shared" si="200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98"/>
        <v>-96817676770420.813</v>
      </c>
      <c r="J4856" s="455">
        <f t="array" ref="J4856">IFERROR(INDEX('Retirement Calculator'!J:J,MATCH('Isaac 401k'!N4856,'Retirement Calculator'!A:A,0),0),0)</f>
        <v>0</v>
      </c>
      <c r="K4856" s="455">
        <f t="shared" ca="1" si="196"/>
        <v>-403406986543.42004</v>
      </c>
      <c r="L4856" s="455">
        <f t="shared" ca="1" si="197"/>
        <v>-97221083756964.234</v>
      </c>
      <c r="M4856" s="471">
        <f t="shared" si="199"/>
        <v>0.05</v>
      </c>
      <c r="N4856" s="475">
        <f t="shared" si="200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98"/>
        <v>-97221083756964.234</v>
      </c>
      <c r="J4857" s="455">
        <f t="array" ref="J4857">IFERROR(INDEX('Retirement Calculator'!J:J,MATCH('Isaac 401k'!N4857,'Retirement Calculator'!A:A,0),0),0)</f>
        <v>0</v>
      </c>
      <c r="K4857" s="455">
        <f t="shared" ca="1" si="196"/>
        <v>-405087848987.35095</v>
      </c>
      <c r="L4857" s="455">
        <f t="shared" ca="1" si="197"/>
        <v>-97626171605951.578</v>
      </c>
      <c r="M4857" s="471">
        <f t="shared" si="199"/>
        <v>0.05</v>
      </c>
      <c r="N4857" s="475">
        <f t="shared" si="200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98"/>
        <v>-97626171605951.578</v>
      </c>
      <c r="J4858" s="455">
        <f t="array" ref="J4858">IFERROR(INDEX('Retirement Calculator'!J:J,MATCH('Isaac 401k'!N4858,'Retirement Calculator'!A:A,0),0),0)</f>
        <v>0</v>
      </c>
      <c r="K4858" s="455">
        <f t="shared" ca="1" si="196"/>
        <v>-406775715024.79822</v>
      </c>
      <c r="L4858" s="455">
        <f t="shared" ca="1" si="197"/>
        <v>-98032947320976.375</v>
      </c>
      <c r="M4858" s="471">
        <f t="shared" si="199"/>
        <v>0.05</v>
      </c>
      <c r="N4858" s="475">
        <f t="shared" si="200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98"/>
        <v>-98032947320976.375</v>
      </c>
      <c r="J4859" s="455">
        <f t="array" ref="J4859">IFERROR(INDEX('Retirement Calculator'!J:J,MATCH('Isaac 401k'!N4859,'Retirement Calculator'!A:A,0),0),0)</f>
        <v>0</v>
      </c>
      <c r="K4859" s="455">
        <f t="shared" ca="1" si="196"/>
        <v>-408470613837.40155</v>
      </c>
      <c r="L4859" s="455">
        <f t="shared" ca="1" si="197"/>
        <v>-98441417934813.781</v>
      </c>
      <c r="M4859" s="471">
        <f t="shared" si="199"/>
        <v>0.05</v>
      </c>
      <c r="N4859" s="475">
        <f t="shared" si="200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98"/>
        <v>-98441417934813.781</v>
      </c>
      <c r="J4860" s="455">
        <f t="array" ref="J4860">IFERROR(INDEX('Retirement Calculator'!J:J,MATCH('Isaac 401k'!N4860,'Retirement Calculator'!A:A,0),0),0)</f>
        <v>0</v>
      </c>
      <c r="K4860" s="455">
        <f t="shared" ca="1" si="196"/>
        <v>-410172574728.39075</v>
      </c>
      <c r="L4860" s="455">
        <f t="shared" ca="1" si="197"/>
        <v>-98851590509542.172</v>
      </c>
      <c r="M4860" s="471">
        <f t="shared" si="199"/>
        <v>0.05</v>
      </c>
      <c r="N4860" s="475">
        <f t="shared" si="200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98"/>
        <v>-98851590509542.172</v>
      </c>
      <c r="J4861" s="455">
        <f t="array" ref="J4861">IFERROR(INDEX('Retirement Calculator'!J:J,MATCH('Isaac 401k'!N4861,'Retirement Calculator'!A:A,0),0),0)</f>
        <v>0</v>
      </c>
      <c r="K4861" s="455">
        <f t="shared" ca="1" si="196"/>
        <v>-411881627123.09241</v>
      </c>
      <c r="L4861" s="455">
        <f t="shared" ca="1" si="197"/>
        <v>-99263472136665.266</v>
      </c>
      <c r="M4861" s="471">
        <f t="shared" si="199"/>
        <v>0.05</v>
      </c>
      <c r="N4861" s="475">
        <f t="shared" si="200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98"/>
        <v>-99263472136665.266</v>
      </c>
      <c r="J4862" s="455">
        <f t="array" ref="J4862">IFERROR(INDEX('Retirement Calculator'!J:J,MATCH('Isaac 401k'!N4862,'Retirement Calculator'!A:A,0),0),0)</f>
        <v>0</v>
      </c>
      <c r="K4862" s="455">
        <f t="shared" ca="1" si="196"/>
        <v>-413597800569.4386</v>
      </c>
      <c r="L4862" s="455">
        <f t="shared" ca="1" si="197"/>
        <v>-99677069937234.703</v>
      </c>
      <c r="M4862" s="471">
        <f t="shared" si="199"/>
        <v>0.05</v>
      </c>
      <c r="N4862" s="475">
        <f t="shared" si="200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98"/>
        <v>-99677069937234.703</v>
      </c>
      <c r="J4863" s="455">
        <f t="array" ref="J4863">IFERROR(INDEX('Retirement Calculator'!J:J,MATCH('Isaac 401k'!N4863,'Retirement Calculator'!A:A,0),0),0)</f>
        <v>0</v>
      </c>
      <c r="K4863" s="455">
        <f t="shared" ca="1" si="196"/>
        <v>-415321124738.47791</v>
      </c>
      <c r="L4863" s="455">
        <f t="shared" ca="1" si="197"/>
        <v>-100092391061973.19</v>
      </c>
      <c r="M4863" s="471">
        <f t="shared" si="199"/>
        <v>0.05</v>
      </c>
      <c r="N4863" s="475">
        <f t="shared" si="200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98"/>
        <v>-100092391061973.19</v>
      </c>
      <c r="J4864" s="455">
        <f t="array" ref="J4864">IFERROR(INDEX('Retirement Calculator'!J:J,MATCH('Isaac 401k'!N4864,'Retirement Calculator'!A:A,0),0),0)</f>
        <v>0</v>
      </c>
      <c r="K4864" s="455">
        <f t="shared" ca="1" si="196"/>
        <v>-417051629424.88831</v>
      </c>
      <c r="L4864" s="455">
        <f t="shared" ca="1" si="197"/>
        <v>-100509442691398.08</v>
      </c>
      <c r="M4864" s="471">
        <f t="shared" si="199"/>
        <v>0.05</v>
      </c>
      <c r="N4864" s="475">
        <f t="shared" si="200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98"/>
        <v>-100509442691398.08</v>
      </c>
      <c r="J4865" s="455">
        <f t="array" ref="J4865">IFERROR(INDEX('Retirement Calculator'!J:J,MATCH('Isaac 401k'!N4865,'Retirement Calculator'!A:A,0),0),0)</f>
        <v>0</v>
      </c>
      <c r="K4865" s="455">
        <f t="shared" ca="1" si="196"/>
        <v>-418789344547.492</v>
      </c>
      <c r="L4865" s="455">
        <f t="shared" ca="1" si="197"/>
        <v>-100928232035945.56</v>
      </c>
      <c r="M4865" s="471">
        <f t="shared" si="199"/>
        <v>0.05</v>
      </c>
      <c r="N4865" s="475">
        <f t="shared" si="200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98"/>
        <v>-100928232035945.56</v>
      </c>
      <c r="J4866" s="455">
        <f t="array" ref="J4866">IFERROR(INDEX('Retirement Calculator'!J:J,MATCH('Isaac 401k'!N4866,'Retirement Calculator'!A:A,0),0),0)</f>
        <v>0</v>
      </c>
      <c r="K4866" s="455">
        <f t="shared" ca="1" si="196"/>
        <v>-420534300149.77319</v>
      </c>
      <c r="L4866" s="455">
        <f t="shared" ca="1" si="197"/>
        <v>-101348766336095.33</v>
      </c>
      <c r="M4866" s="471">
        <f t="shared" si="199"/>
        <v>0.05</v>
      </c>
      <c r="N4866" s="475">
        <f t="shared" si="200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98"/>
        <v>-101348766336095.33</v>
      </c>
      <c r="J4867" s="455">
        <f t="array" ref="J4867">IFERROR(INDEX('Retirement Calculator'!J:J,MATCH('Isaac 401k'!N4867,'Retirement Calculator'!A:A,0),0),0)</f>
        <v>0</v>
      </c>
      <c r="K4867" s="455">
        <f t="shared" ca="1" si="196"/>
        <v>-422286526400.39722</v>
      </c>
      <c r="L4867" s="455">
        <f t="shared" ca="1" si="197"/>
        <v>-101771052862495.72</v>
      </c>
      <c r="M4867" s="471">
        <f t="shared" si="199"/>
        <v>0.05</v>
      </c>
      <c r="N4867" s="475">
        <f t="shared" si="200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98"/>
        <v>-101771052862495.72</v>
      </c>
      <c r="J4868" s="455">
        <f t="array" ref="J4868">IFERROR(INDEX('Retirement Calculator'!J:J,MATCH('Isaac 401k'!N4868,'Retirement Calculator'!A:A,0),0),0)</f>
        <v>0</v>
      </c>
      <c r="K4868" s="455">
        <f t="shared" ca="1" si="196"/>
        <v>-424046053593.73218</v>
      </c>
      <c r="L4868" s="455">
        <f t="shared" ca="1" si="197"/>
        <v>-102195098916089.45</v>
      </c>
      <c r="M4868" s="471">
        <f t="shared" si="199"/>
        <v>0.05</v>
      </c>
      <c r="N4868" s="475">
        <f t="shared" si="200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98"/>
        <v>-102195098916089.45</v>
      </c>
      <c r="J4869" s="455">
        <f t="array" ref="J4869">IFERROR(INDEX('Retirement Calculator'!J:J,MATCH('Isaac 401k'!N4869,'Retirement Calculator'!A:A,0),0),0)</f>
        <v>0</v>
      </c>
      <c r="K4869" s="455">
        <f t="shared" ca="1" si="196"/>
        <v>-425812912150.37274</v>
      </c>
      <c r="L4869" s="455">
        <f t="shared" ca="1" si="197"/>
        <v>-102620911828239.83</v>
      </c>
      <c r="M4869" s="471">
        <f t="shared" si="199"/>
        <v>0.05</v>
      </c>
      <c r="N4869" s="475">
        <f t="shared" si="200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98"/>
        <v>-102620911828239.83</v>
      </c>
      <c r="J4870" s="455">
        <f t="array" ref="J4870">IFERROR(INDEX('Retirement Calculator'!J:J,MATCH('Isaac 401k'!N4870,'Retirement Calculator'!A:A,0),0),0)</f>
        <v>0</v>
      </c>
      <c r="K4870" s="455">
        <f t="shared" ca="1" si="196"/>
        <v>-427587132617.66595</v>
      </c>
      <c r="L4870" s="455">
        <f t="shared" ca="1" si="197"/>
        <v>-103048498960857.5</v>
      </c>
      <c r="M4870" s="471">
        <f t="shared" si="199"/>
        <v>0.05</v>
      </c>
      <c r="N4870" s="475">
        <f t="shared" si="200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98"/>
        <v>-103048498960857.5</v>
      </c>
      <c r="J4871" s="455">
        <f t="array" ref="J4871">IFERROR(INDEX('Retirement Calculator'!J:J,MATCH('Isaac 401k'!N4871,'Retirement Calculator'!A:A,0),0),0)</f>
        <v>0</v>
      </c>
      <c r="K4871" s="455">
        <f t="shared" ca="1" si="196"/>
        <v>-429368745670.23956</v>
      </c>
      <c r="L4871" s="455">
        <f t="shared" ca="1" si="197"/>
        <v>-103477867706527.73</v>
      </c>
      <c r="M4871" s="471">
        <f t="shared" si="199"/>
        <v>0.05</v>
      </c>
      <c r="N4871" s="475">
        <f t="shared" si="200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98"/>
        <v>-103477867706527.73</v>
      </c>
      <c r="J4872" s="455">
        <f t="array" ref="J4872">IFERROR(INDEX('Retirement Calculator'!J:J,MATCH('Isaac 401k'!N4872,'Retirement Calculator'!A:A,0),0),0)</f>
        <v>0</v>
      </c>
      <c r="K4872" s="455">
        <f t="shared" ca="1" si="196"/>
        <v>-431157782110.53223</v>
      </c>
      <c r="L4872" s="455">
        <f t="shared" ca="1" si="197"/>
        <v>-103909025488638.27</v>
      </c>
      <c r="M4872" s="471">
        <f t="shared" si="199"/>
        <v>0.05</v>
      </c>
      <c r="N4872" s="475">
        <f t="shared" si="200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98"/>
        <v>-103909025488638.27</v>
      </c>
      <c r="J4873" s="455">
        <f t="array" ref="J4873">IFERROR(INDEX('Retirement Calculator'!J:J,MATCH('Isaac 401k'!N4873,'Retirement Calculator'!A:A,0),0),0)</f>
        <v>0</v>
      </c>
      <c r="K4873" s="455">
        <f t="shared" ca="1" si="196"/>
        <v>-432954272869.32611</v>
      </c>
      <c r="L4873" s="455">
        <f t="shared" ca="1" si="197"/>
        <v>-104341979761507.59</v>
      </c>
      <c r="M4873" s="471">
        <f t="shared" si="199"/>
        <v>0.05</v>
      </c>
      <c r="N4873" s="475">
        <f t="shared" si="200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98"/>
        <v>-104341979761507.59</v>
      </c>
      <c r="J4874" s="455">
        <f t="array" ref="J4874">IFERROR(INDEX('Retirement Calculator'!J:J,MATCH('Isaac 401k'!N4874,'Retirement Calculator'!A:A,0),0),0)</f>
        <v>0</v>
      </c>
      <c r="K4874" s="455">
        <f t="shared" ca="1" si="196"/>
        <v>-434758249006.28162</v>
      </c>
      <c r="L4874" s="455">
        <f t="shared" ca="1" si="197"/>
        <v>-104776738010513.88</v>
      </c>
      <c r="M4874" s="471">
        <f t="shared" si="199"/>
        <v>0.05</v>
      </c>
      <c r="N4874" s="475">
        <f t="shared" si="200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98"/>
        <v>-104776738010513.88</v>
      </c>
      <c r="J4875" s="455">
        <f t="array" ref="J4875">IFERROR(INDEX('Retirement Calculator'!J:J,MATCH('Isaac 401k'!N4875,'Retirement Calculator'!A:A,0),0),0)</f>
        <v>0</v>
      </c>
      <c r="K4875" s="455">
        <f t="shared" ca="1" si="196"/>
        <v>-436569741710.47449</v>
      </c>
      <c r="L4875" s="455">
        <f t="shared" ca="1" si="197"/>
        <v>-105213307752224.34</v>
      </c>
      <c r="M4875" s="471">
        <f t="shared" si="199"/>
        <v>0.05</v>
      </c>
      <c r="N4875" s="475">
        <f t="shared" si="200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98"/>
        <v>-105213307752224.34</v>
      </c>
      <c r="J4876" s="455">
        <f t="array" ref="J4876">IFERROR(INDEX('Retirement Calculator'!J:J,MATCH('Isaac 401k'!N4876,'Retirement Calculator'!A:A,0),0),0)</f>
        <v>0</v>
      </c>
      <c r="K4876" s="455">
        <f t="shared" ca="1" si="196"/>
        <v>-438388782300.93475</v>
      </c>
      <c r="L4876" s="455">
        <f t="shared" ca="1" si="197"/>
        <v>-105651696534525.28</v>
      </c>
      <c r="M4876" s="471">
        <f t="shared" si="199"/>
        <v>0.05</v>
      </c>
      <c r="N4876" s="475">
        <f t="shared" si="200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98"/>
        <v>-105651696534525.28</v>
      </c>
      <c r="J4877" s="455">
        <f t="array" ref="J4877">IFERROR(INDEX('Retirement Calculator'!J:J,MATCH('Isaac 401k'!N4877,'Retirement Calculator'!A:A,0),0),0)</f>
        <v>0</v>
      </c>
      <c r="K4877" s="455">
        <f t="shared" ca="1" si="196"/>
        <v>-440215402227.18866</v>
      </c>
      <c r="L4877" s="455">
        <f t="shared" ca="1" si="197"/>
        <v>-106091911936752.47</v>
      </c>
      <c r="M4877" s="471">
        <f t="shared" si="199"/>
        <v>0.05</v>
      </c>
      <c r="N4877" s="475">
        <f t="shared" si="200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98"/>
        <v>-106091911936752.47</v>
      </c>
      <c r="J4878" s="455">
        <f t="array" ref="J4878">IFERROR(INDEX('Retirement Calculator'!J:J,MATCH('Isaac 401k'!N4878,'Retirement Calculator'!A:A,0),0),0)</f>
        <v>0</v>
      </c>
      <c r="K4878" s="455">
        <f t="shared" ca="1" si="196"/>
        <v>-442049633069.80194</v>
      </c>
      <c r="L4878" s="455">
        <f t="shared" ca="1" si="197"/>
        <v>-106533961569822.27</v>
      </c>
      <c r="M4878" s="471">
        <f t="shared" si="199"/>
        <v>0.05</v>
      </c>
      <c r="N4878" s="475">
        <f t="shared" si="200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98"/>
        <v>-106533961569822.27</v>
      </c>
      <c r="J4879" s="455">
        <f t="array" ref="J4879">IFERROR(INDEX('Retirement Calculator'!J:J,MATCH('Isaac 401k'!N4879,'Retirement Calculator'!A:A,0),0),0)</f>
        <v>0</v>
      </c>
      <c r="K4879" s="455">
        <f t="shared" ca="1" si="196"/>
        <v>-443891506540.92609</v>
      </c>
      <c r="L4879" s="455">
        <f t="shared" ca="1" si="197"/>
        <v>-106977853076363.19</v>
      </c>
      <c r="M4879" s="471">
        <f t="shared" si="199"/>
        <v>0.05</v>
      </c>
      <c r="N4879" s="475">
        <f t="shared" si="200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98"/>
        <v>-106977853076363.19</v>
      </c>
      <c r="J4880" s="455">
        <f t="array" ref="J4880">IFERROR(INDEX('Retirement Calculator'!J:J,MATCH('Isaac 401k'!N4880,'Retirement Calculator'!A:A,0),0),0)</f>
        <v>0</v>
      </c>
      <c r="K4880" s="455">
        <f t="shared" ca="1" si="196"/>
        <v>-445741054484.84662</v>
      </c>
      <c r="L4880" s="455">
        <f t="shared" ca="1" si="197"/>
        <v>-107423594130848.03</v>
      </c>
      <c r="M4880" s="471">
        <f t="shared" si="199"/>
        <v>0.05</v>
      </c>
      <c r="N4880" s="475">
        <f t="shared" si="200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98"/>
        <v>-107423594130848.03</v>
      </c>
      <c r="J4881" s="455">
        <f t="array" ref="J4881">IFERROR(INDEX('Retirement Calculator'!J:J,MATCH('Isaac 401k'!N4881,'Retirement Calculator'!A:A,0),0),0)</f>
        <v>0</v>
      </c>
      <c r="K4881" s="455">
        <f t="shared" ca="1" si="196"/>
        <v>-447598308878.53345</v>
      </c>
      <c r="L4881" s="455">
        <f t="shared" ca="1" si="197"/>
        <v>-107871192439726.56</v>
      </c>
      <c r="M4881" s="471">
        <f t="shared" si="199"/>
        <v>0.05</v>
      </c>
      <c r="N4881" s="475">
        <f t="shared" si="200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98"/>
        <v>-107871192439726.56</v>
      </c>
      <c r="J4882" s="455">
        <f t="array" ref="J4882">IFERROR(INDEX('Retirement Calculator'!J:J,MATCH('Isaac 401k'!N4882,'Retirement Calculator'!A:A,0),0),0)</f>
        <v>0</v>
      </c>
      <c r="K4882" s="455">
        <f t="shared" ca="1" si="196"/>
        <v>-449463301832.19403</v>
      </c>
      <c r="L4882" s="455">
        <f t="shared" ca="1" si="197"/>
        <v>-108320655741558.75</v>
      </c>
      <c r="M4882" s="471">
        <f t="shared" si="199"/>
        <v>0.05</v>
      </c>
      <c r="N4882" s="475">
        <f t="shared" si="200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98"/>
        <v>-108320655741558.75</v>
      </c>
      <c r="J4883" s="455">
        <f t="array" ref="J4883">IFERROR(INDEX('Retirement Calculator'!J:J,MATCH('Isaac 401k'!N4883,'Retirement Calculator'!A:A,0),0),0)</f>
        <v>0</v>
      </c>
      <c r="K4883" s="455">
        <f t="shared" ca="1" si="196"/>
        <v>-451336065589.82813</v>
      </c>
      <c r="L4883" s="455">
        <f t="shared" ca="1" si="197"/>
        <v>-108771991807148.58</v>
      </c>
      <c r="M4883" s="471">
        <f t="shared" si="199"/>
        <v>0.05</v>
      </c>
      <c r="N4883" s="475">
        <f t="shared" si="200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98"/>
        <v>-108771991807148.58</v>
      </c>
      <c r="J4884" s="455">
        <f t="array" ref="J4884">IFERROR(INDEX('Retirement Calculator'!J:J,MATCH('Isaac 401k'!N4884,'Retirement Calculator'!A:A,0),0),0)</f>
        <v>0</v>
      </c>
      <c r="K4884" s="455">
        <f t="shared" ca="1" si="196"/>
        <v>-453216632529.78571</v>
      </c>
      <c r="L4884" s="455">
        <f t="shared" ca="1" si="197"/>
        <v>-109225208439678.36</v>
      </c>
      <c r="M4884" s="471">
        <f t="shared" si="199"/>
        <v>0.05</v>
      </c>
      <c r="N4884" s="475">
        <f t="shared" si="200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98"/>
        <v>-109225208439678.36</v>
      </c>
      <c r="J4885" s="455">
        <f t="array" ref="J4885">IFERROR(INDEX('Retirement Calculator'!J:J,MATCH('Isaac 401k'!N4885,'Retirement Calculator'!A:A,0),0),0)</f>
        <v>0</v>
      </c>
      <c r="K4885" s="455">
        <f t="shared" ca="1" si="196"/>
        <v>-455105035165.32648</v>
      </c>
      <c r="L4885" s="455">
        <f t="shared" ca="1" si="197"/>
        <v>-109680313474843.69</v>
      </c>
      <c r="M4885" s="471">
        <f t="shared" si="199"/>
        <v>0.05</v>
      </c>
      <c r="N4885" s="475">
        <f t="shared" si="200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98"/>
        <v>-109680313474843.69</v>
      </c>
      <c r="J4886" s="455">
        <f t="array" ref="J4886">IFERROR(INDEX('Retirement Calculator'!J:J,MATCH('Isaac 401k'!N4886,'Retirement Calculator'!A:A,0),0),0)</f>
        <v>0</v>
      </c>
      <c r="K4886" s="455">
        <f t="shared" ca="1" si="196"/>
        <v>-457001306145.18207</v>
      </c>
      <c r="L4886" s="455">
        <f t="shared" ca="1" si="197"/>
        <v>-110137314780988.88</v>
      </c>
      <c r="M4886" s="471">
        <f t="shared" si="199"/>
        <v>0.05</v>
      </c>
      <c r="N4886" s="475">
        <f t="shared" si="200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98"/>
        <v>-110137314780988.88</v>
      </c>
      <c r="J4887" s="455">
        <f t="array" ref="J4887">IFERROR(INDEX('Retirement Calculator'!J:J,MATCH('Isaac 401k'!N4887,'Retirement Calculator'!A:A,0),0),0)</f>
        <v>0</v>
      </c>
      <c r="K4887" s="455">
        <f t="shared" ca="1" si="196"/>
        <v>-458905478254.1203</v>
      </c>
      <c r="L4887" s="455">
        <f t="shared" ca="1" si="197"/>
        <v>-110596220259243</v>
      </c>
      <c r="M4887" s="471">
        <f t="shared" si="199"/>
        <v>0.05</v>
      </c>
      <c r="N4887" s="475">
        <f t="shared" si="200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98"/>
        <v>-110596220259243</v>
      </c>
      <c r="J4888" s="455">
        <f t="array" ref="J4888">IFERROR(INDEX('Retirement Calculator'!J:J,MATCH('Isaac 401k'!N4888,'Retirement Calculator'!A:A,0),0),0)</f>
        <v>0</v>
      </c>
      <c r="K4888" s="455">
        <f t="shared" ca="1" si="196"/>
        <v>-460817584413.51245</v>
      </c>
      <c r="L4888" s="455">
        <f t="shared" ca="1" si="197"/>
        <v>-111057037843656.52</v>
      </c>
      <c r="M4888" s="471">
        <f t="shared" si="199"/>
        <v>0.05</v>
      </c>
      <c r="N4888" s="475">
        <f t="shared" si="200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98"/>
        <v>-111057037843656.52</v>
      </c>
      <c r="J4889" s="455">
        <f t="array" ref="J4889">IFERROR(INDEX('Retirement Calculator'!J:J,MATCH('Isaac 401k'!N4889,'Retirement Calculator'!A:A,0),0),0)</f>
        <v>0</v>
      </c>
      <c r="K4889" s="455">
        <f t="shared" ca="1" si="196"/>
        <v>-462737657681.9021</v>
      </c>
      <c r="L4889" s="455">
        <f t="shared" ca="1" si="197"/>
        <v>-111519775501338.42</v>
      </c>
      <c r="M4889" s="471">
        <f t="shared" si="199"/>
        <v>0.05</v>
      </c>
      <c r="N4889" s="475">
        <f t="shared" si="200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98"/>
        <v>-111519775501338.42</v>
      </c>
      <c r="J4890" s="455">
        <f t="array" ref="J4890">IFERROR(INDEX('Retirement Calculator'!J:J,MATCH('Isaac 401k'!N4890,'Retirement Calculator'!A:A,0),0),0)</f>
        <v>0</v>
      </c>
      <c r="K4890" s="455">
        <f t="shared" ca="1" si="196"/>
        <v>-464665731255.57666</v>
      </c>
      <c r="L4890" s="455">
        <f t="shared" ca="1" si="197"/>
        <v>-111984441232594</v>
      </c>
      <c r="M4890" s="471">
        <f t="shared" si="199"/>
        <v>0.05</v>
      </c>
      <c r="N4890" s="475">
        <f t="shared" si="200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98"/>
        <v>-111984441232594</v>
      </c>
      <c r="J4891" s="455">
        <f t="array" ref="J4891">IFERROR(INDEX('Retirement Calculator'!J:J,MATCH('Isaac 401k'!N4891,'Retirement Calculator'!A:A,0),0),0)</f>
        <v>0</v>
      </c>
      <c r="K4891" s="455">
        <f t="shared" ca="1" si="196"/>
        <v>-466601838469.14166</v>
      </c>
      <c r="L4891" s="455">
        <f t="shared" ca="1" si="197"/>
        <v>-112451043071063.14</v>
      </c>
      <c r="M4891" s="471">
        <f t="shared" si="199"/>
        <v>0.05</v>
      </c>
      <c r="N4891" s="475">
        <f t="shared" si="200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98"/>
        <v>-112451043071063.14</v>
      </c>
      <c r="J4892" s="455">
        <f t="array" ref="J4892">IFERROR(INDEX('Retirement Calculator'!J:J,MATCH('Isaac 401k'!N4892,'Retirement Calculator'!A:A,0),0),0)</f>
        <v>0</v>
      </c>
      <c r="K4892" s="455">
        <f t="shared" ca="1" si="196"/>
        <v>-468546012796.09644</v>
      </c>
      <c r="L4892" s="455">
        <f t="shared" ca="1" si="197"/>
        <v>-112919589083859.23</v>
      </c>
      <c r="M4892" s="471">
        <f t="shared" si="199"/>
        <v>0.05</v>
      </c>
      <c r="N4892" s="475">
        <f t="shared" si="200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98"/>
        <v>-112919589083859.23</v>
      </c>
      <c r="J4893" s="455">
        <f t="array" ref="J4893">IFERROR(INDEX('Retirement Calculator'!J:J,MATCH('Isaac 401k'!N4893,'Retirement Calculator'!A:A,0),0),0)</f>
        <v>0</v>
      </c>
      <c r="K4893" s="455">
        <f t="shared" ca="1" si="196"/>
        <v>-470498287849.41345</v>
      </c>
      <c r="L4893" s="455">
        <f t="shared" ca="1" si="197"/>
        <v>-113390087371708.64</v>
      </c>
      <c r="M4893" s="471">
        <f t="shared" si="199"/>
        <v>0.05</v>
      </c>
      <c r="N4893" s="475">
        <f t="shared" si="200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98"/>
        <v>-113390087371708.64</v>
      </c>
      <c r="J4894" s="455">
        <f t="array" ref="J4894">IFERROR(INDEX('Retirement Calculator'!J:J,MATCH('Isaac 401k'!N4894,'Retirement Calculator'!A:A,0),0),0)</f>
        <v>0</v>
      </c>
      <c r="K4894" s="455">
        <f t="shared" ca="1" si="196"/>
        <v>-472458697382.11932</v>
      </c>
      <c r="L4894" s="455">
        <f t="shared" ca="1" si="197"/>
        <v>-113862546069090.77</v>
      </c>
      <c r="M4894" s="471">
        <f t="shared" si="199"/>
        <v>0.05</v>
      </c>
      <c r="N4894" s="475">
        <f t="shared" si="200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98"/>
        <v>-113862546069090.77</v>
      </c>
      <c r="J4895" s="455">
        <f t="array" ref="J4895">IFERROR(INDEX('Retirement Calculator'!J:J,MATCH('Isaac 401k'!N4895,'Retirement Calculator'!A:A,0),0),0)</f>
        <v>0</v>
      </c>
      <c r="K4895" s="455">
        <f t="shared" ca="1" si="196"/>
        <v>-474427275287.87817</v>
      </c>
      <c r="L4895" s="455">
        <f t="shared" ca="1" si="197"/>
        <v>-114336973344378.64</v>
      </c>
      <c r="M4895" s="471">
        <f t="shared" si="199"/>
        <v>0.05</v>
      </c>
      <c r="N4895" s="475">
        <f t="shared" si="200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98"/>
        <v>-114336973344378.64</v>
      </c>
      <c r="J4896" s="455">
        <f t="array" ref="J4896">IFERROR(INDEX('Retirement Calculator'!J:J,MATCH('Isaac 401k'!N4896,'Retirement Calculator'!A:A,0),0),0)</f>
        <v>0</v>
      </c>
      <c r="K4896" s="455">
        <f t="shared" ca="1" si="196"/>
        <v>-476404055601.57764</v>
      </c>
      <c r="L4896" s="455">
        <f t="shared" ca="1" si="197"/>
        <v>-114813377399980.22</v>
      </c>
      <c r="M4896" s="471">
        <f t="shared" si="199"/>
        <v>0.05</v>
      </c>
      <c r="N4896" s="475">
        <f t="shared" si="200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98"/>
        <v>-114813377399980.22</v>
      </c>
      <c r="J4897" s="455">
        <f t="array" ref="J4897">IFERROR(INDEX('Retirement Calculator'!J:J,MATCH('Isaac 401k'!N4897,'Retirement Calculator'!A:A,0),0),0)</f>
        <v>0</v>
      </c>
      <c r="K4897" s="455">
        <f t="shared" ca="1" si="196"/>
        <v>-478389072499.91754</v>
      </c>
      <c r="L4897" s="455">
        <f t="shared" ca="1" si="197"/>
        <v>-115291766472480.14</v>
      </c>
      <c r="M4897" s="471">
        <f t="shared" si="199"/>
        <v>0.05</v>
      </c>
      <c r="N4897" s="475">
        <f t="shared" si="200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98"/>
        <v>-115291766472480.14</v>
      </c>
      <c r="J4898" s="455">
        <f t="array" ref="J4898">IFERROR(INDEX('Retirement Calculator'!J:J,MATCH('Isaac 401k'!N4898,'Retirement Calculator'!A:A,0),0),0)</f>
        <v>0</v>
      </c>
      <c r="K4898" s="455">
        <f t="shared" ca="1" si="196"/>
        <v>-480382360302.00049</v>
      </c>
      <c r="L4898" s="455">
        <f t="shared" ca="1" si="197"/>
        <v>-115772148832782.14</v>
      </c>
      <c r="M4898" s="471">
        <f t="shared" si="199"/>
        <v>0.05</v>
      </c>
      <c r="N4898" s="475">
        <f t="shared" si="200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98"/>
        <v>-115772148832782.14</v>
      </c>
      <c r="J4899" s="455">
        <f t="array" ref="J4899">IFERROR(INDEX('Retirement Calculator'!J:J,MATCH('Isaac 401k'!N4899,'Retirement Calculator'!A:A,0),0),0)</f>
        <v>0</v>
      </c>
      <c r="K4899" s="455">
        <f t="shared" ca="1" si="196"/>
        <v>-482383953469.92566</v>
      </c>
      <c r="L4899" s="455">
        <f t="shared" ca="1" si="197"/>
        <v>-116254532786252.06</v>
      </c>
      <c r="M4899" s="471">
        <f t="shared" si="199"/>
        <v>0.05</v>
      </c>
      <c r="N4899" s="475">
        <f t="shared" si="200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98"/>
        <v>-116254532786252.06</v>
      </c>
      <c r="J4900" s="455">
        <f t="array" ref="J4900">IFERROR(INDEX('Retirement Calculator'!J:J,MATCH('Isaac 401k'!N4900,'Retirement Calculator'!A:A,0),0),0)</f>
        <v>0</v>
      </c>
      <c r="K4900" s="455">
        <f t="shared" ca="1" si="196"/>
        <v>-484393886609.38367</v>
      </c>
      <c r="L4900" s="455">
        <f t="shared" ca="1" si="197"/>
        <v>-116738926672861.45</v>
      </c>
      <c r="M4900" s="471">
        <f t="shared" si="199"/>
        <v>0.05</v>
      </c>
      <c r="N4900" s="475">
        <f t="shared" si="200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98"/>
        <v>-116738926672861.45</v>
      </c>
      <c r="J4901" s="455">
        <f t="array" ref="J4901">IFERROR(INDEX('Retirement Calculator'!J:J,MATCH('Isaac 401k'!N4901,'Retirement Calculator'!A:A,0),0),0)</f>
        <v>0</v>
      </c>
      <c r="K4901" s="455">
        <f t="shared" ca="1" si="196"/>
        <v>-486412194470.2561</v>
      </c>
      <c r="L4901" s="455">
        <f t="shared" ca="1" si="197"/>
        <v>-117225338867331.7</v>
      </c>
      <c r="M4901" s="471">
        <f t="shared" si="199"/>
        <v>0.05</v>
      </c>
      <c r="N4901" s="475">
        <f t="shared" si="200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98"/>
        <v>-117225338867331.7</v>
      </c>
      <c r="J4902" s="455">
        <f t="array" ref="J4902">IFERROR(INDEX('Retirement Calculator'!J:J,MATCH('Isaac 401k'!N4902,'Retirement Calculator'!A:A,0),0),0)</f>
        <v>0</v>
      </c>
      <c r="K4902" s="455">
        <f t="shared" ca="1" si="196"/>
        <v>-488438911947.21552</v>
      </c>
      <c r="L4902" s="455">
        <f t="shared" ca="1" si="197"/>
        <v>-117713777779278.92</v>
      </c>
      <c r="M4902" s="471">
        <f t="shared" si="199"/>
        <v>0.05</v>
      </c>
      <c r="N4902" s="475">
        <f t="shared" si="200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98"/>
        <v>-117713777779278.92</v>
      </c>
      <c r="J4903" s="455">
        <f t="array" ref="J4903">IFERROR(INDEX('Retirement Calculator'!J:J,MATCH('Isaac 401k'!N4903,'Retirement Calculator'!A:A,0),0),0)</f>
        <v>0</v>
      </c>
      <c r="K4903" s="455">
        <f t="shared" ca="1" si="196"/>
        <v>-490474074080.32886</v>
      </c>
      <c r="L4903" s="455">
        <f t="shared" ca="1" si="197"/>
        <v>-118204251853359.25</v>
      </c>
      <c r="M4903" s="471">
        <f t="shared" si="199"/>
        <v>0.05</v>
      </c>
      <c r="N4903" s="475">
        <f t="shared" si="200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98"/>
        <v>-118204251853359.25</v>
      </c>
      <c r="J4904" s="455">
        <f t="array" ref="J4904">IFERROR(INDEX('Retirement Calculator'!J:J,MATCH('Isaac 401k'!N4904,'Retirement Calculator'!A:A,0),0),0)</f>
        <v>0</v>
      </c>
      <c r="K4904" s="455">
        <f t="shared" ca="1" si="196"/>
        <v>-492517716055.66351</v>
      </c>
      <c r="L4904" s="455">
        <f t="shared" ca="1" si="197"/>
        <v>-118696769569414.91</v>
      </c>
      <c r="M4904" s="471">
        <f t="shared" si="199"/>
        <v>0.05</v>
      </c>
      <c r="N4904" s="475">
        <f t="shared" si="200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98"/>
        <v>-118696769569414.91</v>
      </c>
      <c r="J4905" s="455">
        <f t="array" ref="J4905">IFERROR(INDEX('Retirement Calculator'!J:J,MATCH('Isaac 401k'!N4905,'Retirement Calculator'!A:A,0),0),0)</f>
        <v>0</v>
      </c>
      <c r="K4905" s="455">
        <f t="shared" ca="1" si="196"/>
        <v>-494569873205.89551</v>
      </c>
      <c r="L4905" s="455">
        <f t="shared" ca="1" si="197"/>
        <v>-119191339442620.8</v>
      </c>
      <c r="M4905" s="471">
        <f t="shared" si="199"/>
        <v>0.05</v>
      </c>
      <c r="N4905" s="475">
        <f t="shared" si="200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98"/>
        <v>-119191339442620.8</v>
      </c>
      <c r="J4906" s="455">
        <f t="array" ref="J4906">IFERROR(INDEX('Retirement Calculator'!J:J,MATCH('Isaac 401k'!N4906,'Retirement Calculator'!A:A,0),0),0)</f>
        <v>0</v>
      </c>
      <c r="K4906" s="455">
        <f t="shared" ca="1" si="196"/>
        <v>-496630581010.92004</v>
      </c>
      <c r="L4906" s="455">
        <f t="shared" ca="1" si="197"/>
        <v>-119687970023631.72</v>
      </c>
      <c r="M4906" s="471">
        <f t="shared" si="199"/>
        <v>0.05</v>
      </c>
      <c r="N4906" s="475">
        <f t="shared" si="200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98"/>
        <v>-119687970023631.72</v>
      </c>
      <c r="J4907" s="455">
        <f t="array" ref="J4907">IFERROR(INDEX('Retirement Calculator'!J:J,MATCH('Isaac 401k'!N4907,'Retirement Calculator'!A:A,0),0),0)</f>
        <v>0</v>
      </c>
      <c r="K4907" s="455">
        <f t="shared" ca="1" si="196"/>
        <v>-498699875098.46552</v>
      </c>
      <c r="L4907" s="455">
        <f t="shared" ca="1" si="197"/>
        <v>-120186669898730.19</v>
      </c>
      <c r="M4907" s="471">
        <f t="shared" si="199"/>
        <v>0.05</v>
      </c>
      <c r="N4907" s="475">
        <f t="shared" si="200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98"/>
        <v>-120186669898730.19</v>
      </c>
      <c r="J4908" s="455">
        <f t="array" ref="J4908">IFERROR(INDEX('Retirement Calculator'!J:J,MATCH('Isaac 401k'!N4908,'Retirement Calculator'!A:A,0),0),0)</f>
        <v>0</v>
      </c>
      <c r="K4908" s="455">
        <f t="shared" ca="1" si="196"/>
        <v>-500777791244.70905</v>
      </c>
      <c r="L4908" s="455">
        <f t="shared" ca="1" si="197"/>
        <v>-120687447689974.89</v>
      </c>
      <c r="M4908" s="471">
        <f t="shared" si="199"/>
        <v>0.05</v>
      </c>
      <c r="N4908" s="475">
        <f t="shared" si="200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98"/>
        <v>-120687447689974.89</v>
      </c>
      <c r="J4909" s="455">
        <f t="array" ref="J4909">IFERROR(INDEX('Retirement Calculator'!J:J,MATCH('Isaac 401k'!N4909,'Retirement Calculator'!A:A,0),0),0)</f>
        <v>0</v>
      </c>
      <c r="K4909" s="455">
        <f t="shared" ca="1" si="196"/>
        <v>-502864365374.89539</v>
      </c>
      <c r="L4909" s="455">
        <f t="shared" ca="1" si="197"/>
        <v>-121190312055349.78</v>
      </c>
      <c r="M4909" s="471">
        <f t="shared" si="199"/>
        <v>0.05</v>
      </c>
      <c r="N4909" s="475">
        <f t="shared" si="200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98"/>
        <v>-121190312055349.78</v>
      </c>
      <c r="J4910" s="455">
        <f t="array" ref="J4910">IFERROR(INDEX('Retirement Calculator'!J:J,MATCH('Isaac 401k'!N4910,'Retirement Calculator'!A:A,0),0),0)</f>
        <v>0</v>
      </c>
      <c r="K4910" s="455">
        <f t="shared" ca="1" si="196"/>
        <v>-504959633563.9574</v>
      </c>
      <c r="L4910" s="455">
        <f t="shared" ca="1" si="197"/>
        <v>-121695271688913.73</v>
      </c>
      <c r="M4910" s="471">
        <f t="shared" si="199"/>
        <v>0.05</v>
      </c>
      <c r="N4910" s="475">
        <f t="shared" si="200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98"/>
        <v>-121695271688913.73</v>
      </c>
      <c r="J4911" s="455">
        <f t="array" ref="J4911">IFERROR(INDEX('Retirement Calculator'!J:J,MATCH('Isaac 401k'!N4911,'Retirement Calculator'!A:A,0),0),0)</f>
        <v>0</v>
      </c>
      <c r="K4911" s="455">
        <f t="shared" ca="1" si="196"/>
        <v>-507063632037.14056</v>
      </c>
      <c r="L4911" s="455">
        <f t="shared" ca="1" si="197"/>
        <v>-122202335320950.88</v>
      </c>
      <c r="M4911" s="471">
        <f t="shared" si="199"/>
        <v>0.05</v>
      </c>
      <c r="N4911" s="475">
        <f t="shared" si="200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98"/>
        <v>-122202335320950.88</v>
      </c>
      <c r="J4912" s="455">
        <f t="array" ref="J4912">IFERROR(INDEX('Retirement Calculator'!J:J,MATCH('Isaac 401k'!N4912,'Retirement Calculator'!A:A,0),0),0)</f>
        <v>0</v>
      </c>
      <c r="K4912" s="455">
        <f t="shared" ca="1" si="196"/>
        <v>-509176397170.62872</v>
      </c>
      <c r="L4912" s="455">
        <f t="shared" ca="1" si="197"/>
        <v>-122711511718121.5</v>
      </c>
      <c r="M4912" s="471">
        <f t="shared" si="199"/>
        <v>0.05</v>
      </c>
      <c r="N4912" s="475">
        <f t="shared" si="200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98"/>
        <v>-122711511718121.5</v>
      </c>
      <c r="J4913" s="455">
        <f t="array" ref="J4913">IFERROR(INDEX('Retirement Calculator'!J:J,MATCH('Isaac 401k'!N4913,'Retirement Calculator'!A:A,0),0),0)</f>
        <v>0</v>
      </c>
      <c r="K4913" s="455">
        <f t="shared" ca="1" si="196"/>
        <v>-511297965492.17285</v>
      </c>
      <c r="L4913" s="455">
        <f t="shared" ca="1" si="197"/>
        <v>-123222809683613.67</v>
      </c>
      <c r="M4913" s="471">
        <f t="shared" si="199"/>
        <v>0.05</v>
      </c>
      <c r="N4913" s="475">
        <f t="shared" si="200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98"/>
        <v>-123222809683613.67</v>
      </c>
      <c r="J4914" s="455">
        <f t="array" ref="J4914">IFERROR(INDEX('Retirement Calculator'!J:J,MATCH('Isaac 401k'!N4914,'Retirement Calculator'!A:A,0),0),0)</f>
        <v>0</v>
      </c>
      <c r="K4914" s="455">
        <f t="shared" ca="1" si="196"/>
        <v>-513428373681.72363</v>
      </c>
      <c r="L4914" s="455">
        <f t="shared" ca="1" si="197"/>
        <v>-123736238057295.39</v>
      </c>
      <c r="M4914" s="471">
        <f t="shared" si="199"/>
        <v>0.05</v>
      </c>
      <c r="N4914" s="475">
        <f t="shared" si="200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98"/>
        <v>-123736238057295.39</v>
      </c>
      <c r="J4915" s="455">
        <f t="array" ref="J4915">IFERROR(INDEX('Retirement Calculator'!J:J,MATCH('Isaac 401k'!N4915,'Retirement Calculator'!A:A,0),0),0)</f>
        <v>0</v>
      </c>
      <c r="K4915" s="455">
        <f t="shared" ca="1" si="196"/>
        <v>-515567658572.06415</v>
      </c>
      <c r="L4915" s="455">
        <f t="shared" ca="1" si="197"/>
        <v>-124251805715867.45</v>
      </c>
      <c r="M4915" s="471">
        <f t="shared" si="199"/>
        <v>0.05</v>
      </c>
      <c r="N4915" s="475">
        <f t="shared" si="200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98"/>
        <v>-124251805715867.45</v>
      </c>
      <c r="J4916" s="455">
        <f t="array" ref="J4916">IFERROR(INDEX('Retirement Calculator'!J:J,MATCH('Isaac 401k'!N4916,'Retirement Calculator'!A:A,0),0),0)</f>
        <v>0</v>
      </c>
      <c r="K4916" s="455">
        <f t="shared" ca="1" si="196"/>
        <v>-517715857149.44769</v>
      </c>
      <c r="L4916" s="455">
        <f t="shared" ca="1" si="197"/>
        <v>-124769521573016.91</v>
      </c>
      <c r="M4916" s="471">
        <f t="shared" si="199"/>
        <v>0.05</v>
      </c>
      <c r="N4916" s="475">
        <f t="shared" si="200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98"/>
        <v>-124769521573016.91</v>
      </c>
      <c r="J4917" s="455">
        <f t="array" ref="J4917">IFERROR(INDEX('Retirement Calculator'!J:J,MATCH('Isaac 401k'!N4917,'Retirement Calculator'!A:A,0),0),0)</f>
        <v>0</v>
      </c>
      <c r="K4917" s="455">
        <f t="shared" ca="1" si="196"/>
        <v>-519873006554.23712</v>
      </c>
      <c r="L4917" s="455">
        <f t="shared" ca="1" si="197"/>
        <v>-125289394579571.14</v>
      </c>
      <c r="M4917" s="471">
        <f t="shared" si="199"/>
        <v>0.05</v>
      </c>
      <c r="N4917" s="475">
        <f t="shared" si="200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98"/>
        <v>-125289394579571.14</v>
      </c>
      <c r="J4918" s="455">
        <f t="array" ref="J4918">IFERROR(INDEX('Retirement Calculator'!J:J,MATCH('Isaac 401k'!N4918,'Retirement Calculator'!A:A,0),0),0)</f>
        <v>0</v>
      </c>
      <c r="K4918" s="455">
        <f t="shared" ca="1" si="196"/>
        <v>-522039144081.54639</v>
      </c>
      <c r="L4918" s="455">
        <f t="shared" ca="1" si="197"/>
        <v>-125811433723652.69</v>
      </c>
      <c r="M4918" s="471">
        <f t="shared" si="199"/>
        <v>0.05</v>
      </c>
      <c r="N4918" s="475">
        <f t="shared" si="200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98"/>
        <v>-125811433723652.69</v>
      </c>
      <c r="J4919" s="455">
        <f t="array" ref="J4919">IFERROR(INDEX('Retirement Calculator'!J:J,MATCH('Isaac 401k'!N4919,'Retirement Calculator'!A:A,0),0),0)</f>
        <v>0</v>
      </c>
      <c r="K4919" s="455">
        <f t="shared" ca="1" si="196"/>
        <v>-524214307181.88623</v>
      </c>
      <c r="L4919" s="455">
        <f t="shared" ca="1" si="197"/>
        <v>-126335648030834.58</v>
      </c>
      <c r="M4919" s="471">
        <f t="shared" si="199"/>
        <v>0.05</v>
      </c>
      <c r="N4919" s="475">
        <f t="shared" si="200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98"/>
        <v>-126335648030834.58</v>
      </c>
      <c r="J4920" s="455">
        <f t="array" ref="J4920">IFERROR(INDEX('Retirement Calculator'!J:J,MATCH('Isaac 401k'!N4920,'Retirement Calculator'!A:A,0),0),0)</f>
        <v>0</v>
      </c>
      <c r="K4920" s="455">
        <f t="shared" ca="1" si="196"/>
        <v>-526398533461.81073</v>
      </c>
      <c r="L4920" s="455">
        <f t="shared" ca="1" si="197"/>
        <v>-126862046564296.39</v>
      </c>
      <c r="M4920" s="471">
        <f t="shared" si="199"/>
        <v>0.05</v>
      </c>
      <c r="N4920" s="475">
        <f t="shared" si="200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98"/>
        <v>-126862046564296.39</v>
      </c>
      <c r="J4921" s="455">
        <f t="array" ref="J4921">IFERROR(INDEX('Retirement Calculator'!J:J,MATCH('Isaac 401k'!N4921,'Retirement Calculator'!A:A,0),0),0)</f>
        <v>0</v>
      </c>
      <c r="K4921" s="455">
        <f t="shared" ca="1" si="196"/>
        <v>-528591860684.56836</v>
      </c>
      <c r="L4921" s="455">
        <f t="shared" ca="1" si="197"/>
        <v>-127390638424980.95</v>
      </c>
      <c r="M4921" s="471">
        <f t="shared" si="199"/>
        <v>0.05</v>
      </c>
      <c r="N4921" s="475">
        <f t="shared" si="200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98"/>
        <v>-127390638424980.95</v>
      </c>
      <c r="J4922" s="455">
        <f t="array" ref="J4922">IFERROR(INDEX('Retirement Calculator'!J:J,MATCH('Isaac 401k'!N4922,'Retirement Calculator'!A:A,0),0),0)</f>
        <v>0</v>
      </c>
      <c r="K4922" s="455">
        <f t="shared" ca="1" si="196"/>
        <v>-530794326770.75397</v>
      </c>
      <c r="L4922" s="455">
        <f t="shared" ca="1" si="197"/>
        <v>-127921432751751.7</v>
      </c>
      <c r="M4922" s="471">
        <f t="shared" si="199"/>
        <v>0.05</v>
      </c>
      <c r="N4922" s="475">
        <f t="shared" si="200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98"/>
        <v>-127921432751751.7</v>
      </c>
      <c r="J4923" s="455">
        <f t="array" ref="J4923">IFERROR(INDEX('Retirement Calculator'!J:J,MATCH('Isaac 401k'!N4923,'Retirement Calculator'!A:A,0),0),0)</f>
        <v>0</v>
      </c>
      <c r="K4923" s="455">
        <f t="shared" ca="1" si="196"/>
        <v>-533005969798.96539</v>
      </c>
      <c r="L4923" s="455">
        <f t="shared" ca="1" si="197"/>
        <v>-128454438721550.67</v>
      </c>
      <c r="M4923" s="471">
        <f t="shared" si="199"/>
        <v>0.05</v>
      </c>
      <c r="N4923" s="475">
        <f t="shared" si="200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98"/>
        <v>-128454438721550.67</v>
      </c>
      <c r="J4924" s="455">
        <f t="array" ref="J4924">IFERROR(INDEX('Retirement Calculator'!J:J,MATCH('Isaac 401k'!N4924,'Retirement Calculator'!A:A,0),0),0)</f>
        <v>0</v>
      </c>
      <c r="K4924" s="455">
        <f t="shared" ca="1" si="196"/>
        <v>-535226828006.46118</v>
      </c>
      <c r="L4924" s="455">
        <f t="shared" ca="1" si="197"/>
        <v>-128989665549557.14</v>
      </c>
      <c r="M4924" s="471">
        <f t="shared" si="199"/>
        <v>0.05</v>
      </c>
      <c r="N4924" s="475">
        <f t="shared" si="200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98"/>
        <v>-128989665549557.14</v>
      </c>
      <c r="J4925" s="455">
        <f t="array" ref="J4925">IFERROR(INDEX('Retirement Calculator'!J:J,MATCH('Isaac 401k'!N4925,'Retirement Calculator'!A:A,0),0),0)</f>
        <v>0</v>
      </c>
      <c r="K4925" s="455">
        <f t="shared" ca="1" si="196"/>
        <v>-537456939789.82141</v>
      </c>
      <c r="L4925" s="455">
        <f t="shared" ca="1" si="197"/>
        <v>-129527122489346.97</v>
      </c>
      <c r="M4925" s="471">
        <f t="shared" si="199"/>
        <v>0.05</v>
      </c>
      <c r="N4925" s="475">
        <f t="shared" si="200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98"/>
        <v>-129527122489346.97</v>
      </c>
      <c r="J4926" s="455">
        <f t="array" ref="J4926">IFERROR(INDEX('Retirement Calculator'!J:J,MATCH('Isaac 401k'!N4926,'Retirement Calculator'!A:A,0),0),0)</f>
        <v>0</v>
      </c>
      <c r="K4926" s="455">
        <f t="shared" ca="1" si="196"/>
        <v>-539696343705.6123</v>
      </c>
      <c r="L4926" s="455">
        <f t="shared" ca="1" si="197"/>
        <v>-130066818833052.58</v>
      </c>
      <c r="M4926" s="471">
        <f t="shared" si="199"/>
        <v>0.05</v>
      </c>
      <c r="N4926" s="475">
        <f t="shared" si="200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98"/>
        <v>-130066818833052.58</v>
      </c>
      <c r="J4927" s="455">
        <f t="array" ref="J4927">IFERROR(INDEX('Retirement Calculator'!J:J,MATCH('Isaac 401k'!N4927,'Retirement Calculator'!A:A,0),0),0)</f>
        <v>0</v>
      </c>
      <c r="K4927" s="455">
        <f t="shared" ca="1" si="196"/>
        <v>-541945078471.05243</v>
      </c>
      <c r="L4927" s="455">
        <f t="shared" ca="1" si="197"/>
        <v>-130608763911523.63</v>
      </c>
      <c r="M4927" s="471">
        <f t="shared" si="199"/>
        <v>0.05</v>
      </c>
      <c r="N4927" s="475">
        <f t="shared" si="200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98"/>
        <v>-130608763911523.63</v>
      </c>
      <c r="J4928" s="455">
        <f t="array" ref="J4928">IFERROR(INDEX('Retirement Calculator'!J:J,MATCH('Isaac 401k'!N4928,'Retirement Calculator'!A:A,0),0),0)</f>
        <v>0</v>
      </c>
      <c r="K4928" s="455">
        <f t="shared" ca="1" si="196"/>
        <v>-544203182964.68182</v>
      </c>
      <c r="L4928" s="455">
        <f t="shared" ca="1" si="197"/>
        <v>-131152967094488.31</v>
      </c>
      <c r="M4928" s="471">
        <f t="shared" si="199"/>
        <v>0.05</v>
      </c>
      <c r="N4928" s="475">
        <f t="shared" si="200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98"/>
        <v>-131152967094488.31</v>
      </c>
      <c r="J4929" s="455">
        <f t="array" ref="J4929">IFERROR(INDEX('Retirement Calculator'!J:J,MATCH('Isaac 401k'!N4929,'Retirement Calculator'!A:A,0),0),0)</f>
        <v>0</v>
      </c>
      <c r="K4929" s="455">
        <f t="shared" ca="1" si="196"/>
        <v>-546470696227.03461</v>
      </c>
      <c r="L4929" s="455">
        <f t="shared" ca="1" si="197"/>
        <v>-131699437790715.34</v>
      </c>
      <c r="M4929" s="471">
        <f t="shared" si="199"/>
        <v>0.05</v>
      </c>
      <c r="N4929" s="475">
        <f t="shared" si="200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98"/>
        <v>-131699437790715.34</v>
      </c>
      <c r="J4930" s="455">
        <f t="array" ref="J4930">IFERROR(INDEX('Retirement Calculator'!J:J,MATCH('Isaac 401k'!N4930,'Retirement Calculator'!A:A,0),0),0)</f>
        <v>0</v>
      </c>
      <c r="K4930" s="455">
        <f t="shared" ca="1" si="196"/>
        <v>-548747657461.3139</v>
      </c>
      <c r="L4930" s="455">
        <f t="shared" ca="1" si="197"/>
        <v>-132248185448176.66</v>
      </c>
      <c r="M4930" s="471">
        <f t="shared" si="199"/>
        <v>0.05</v>
      </c>
      <c r="N4930" s="475">
        <f t="shared" si="200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98"/>
        <v>-132248185448176.66</v>
      </c>
      <c r="J4931" s="455">
        <f t="array" ref="J4931">IFERROR(INDEX('Retirement Calculator'!J:J,MATCH('Isaac 401k'!N4931,'Retirement Calculator'!A:A,0),0),0)</f>
        <v>0</v>
      </c>
      <c r="K4931" s="455">
        <f t="shared" ca="1" si="196"/>
        <v>-551034106034.06934</v>
      </c>
      <c r="L4931" s="455">
        <f t="shared" ca="1" si="197"/>
        <v>-132799219554210.72</v>
      </c>
      <c r="M4931" s="471">
        <f t="shared" si="199"/>
        <v>0.05</v>
      </c>
      <c r="N4931" s="475">
        <f t="shared" si="200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98"/>
        <v>-132799219554210.72</v>
      </c>
      <c r="J4932" s="455">
        <f t="array" ref="J4932">IFERROR(INDEX('Retirement Calculator'!J:J,MATCH('Isaac 401k'!N4932,'Retirement Calculator'!A:A,0),0),0)</f>
        <v>0</v>
      </c>
      <c r="K4932" s="455">
        <f t="shared" ca="1" si="196"/>
        <v>-553330081475.87793</v>
      </c>
      <c r="L4932" s="455">
        <f t="shared" ca="1" si="197"/>
        <v>-133352549635686.59</v>
      </c>
      <c r="M4932" s="471">
        <f t="shared" si="199"/>
        <v>0.05</v>
      </c>
      <c r="N4932" s="475">
        <f t="shared" si="200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98"/>
        <v>-133352549635686.59</v>
      </c>
      <c r="J4933" s="455">
        <f t="array" ref="J4933">IFERROR(INDEX('Retirement Calculator'!J:J,MATCH('Isaac 401k'!N4933,'Retirement Calculator'!A:A,0),0),0)</f>
        <v>0</v>
      </c>
      <c r="K4933" s="455">
        <f t="shared" ca="1" si="196"/>
        <v>-555635623482.02759</v>
      </c>
      <c r="L4933" s="455">
        <f t="shared" ca="1" si="197"/>
        <v>-133908185259168.63</v>
      </c>
      <c r="M4933" s="471">
        <f t="shared" si="199"/>
        <v>0.05</v>
      </c>
      <c r="N4933" s="475">
        <f t="shared" si="200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98"/>
        <v>-133908185259168.63</v>
      </c>
      <c r="J4934" s="455">
        <f t="array" ref="J4934">IFERROR(INDEX('Retirement Calculator'!J:J,MATCH('Isaac 401k'!N4934,'Retirement Calculator'!A:A,0),0),0)</f>
        <v>0</v>
      </c>
      <c r="K4934" s="455">
        <f t="shared" ca="1" si="196"/>
        <v>-557950771913.20264</v>
      </c>
      <c r="L4934" s="455">
        <f t="shared" ca="1" si="197"/>
        <v>-134466136031081.83</v>
      </c>
      <c r="M4934" s="471">
        <f t="shared" si="199"/>
        <v>0.05</v>
      </c>
      <c r="N4934" s="475">
        <f t="shared" si="200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98"/>
        <v>-134466136031081.83</v>
      </c>
      <c r="J4935" s="455">
        <f t="array" ref="J4935">IFERROR(INDEX('Retirement Calculator'!J:J,MATCH('Isaac 401k'!N4935,'Retirement Calculator'!A:A,0),0),0)</f>
        <v>0</v>
      </c>
      <c r="K4935" s="455">
        <f t="shared" ca="1" si="196"/>
        <v>-560275566796.17432</v>
      </c>
      <c r="L4935" s="455">
        <f t="shared" ca="1" si="197"/>
        <v>-135026411597878</v>
      </c>
      <c r="M4935" s="471">
        <f t="shared" si="199"/>
        <v>0.05</v>
      </c>
      <c r="N4935" s="475">
        <f t="shared" si="200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98"/>
        <v>-135026411597878</v>
      </c>
      <c r="J4936" s="455">
        <f t="array" ref="J4936">IFERROR(INDEX('Retirement Calculator'!J:J,MATCH('Isaac 401k'!N4936,'Retirement Calculator'!A:A,0),0),0)</f>
        <v>0</v>
      </c>
      <c r="K4936" s="455">
        <f t="shared" ca="1" si="196"/>
        <v>-562610048324.4917</v>
      </c>
      <c r="L4936" s="455">
        <f t="shared" ca="1" si="197"/>
        <v>-135589021646202.48</v>
      </c>
      <c r="M4936" s="471">
        <f t="shared" si="199"/>
        <v>0.05</v>
      </c>
      <c r="N4936" s="475">
        <f t="shared" si="200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98"/>
        <v>-135589021646202.48</v>
      </c>
      <c r="J4937" s="455">
        <f t="array" ref="J4937">IFERROR(INDEX('Retirement Calculator'!J:J,MATCH('Isaac 401k'!N4937,'Retirement Calculator'!A:A,0),0),0)</f>
        <v>0</v>
      </c>
      <c r="K4937" s="455">
        <f t="shared" ca="1" si="196"/>
        <v>-564954256859.177</v>
      </c>
      <c r="L4937" s="455">
        <f t="shared" ca="1" si="197"/>
        <v>-136153975903061.66</v>
      </c>
      <c r="M4937" s="471">
        <f t="shared" si="199"/>
        <v>0.05</v>
      </c>
      <c r="N4937" s="475">
        <f t="shared" si="200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98"/>
        <v>-136153975903061.66</v>
      </c>
      <c r="J4938" s="455">
        <f t="array" ref="J4938">IFERROR(INDEX('Retirement Calculator'!J:J,MATCH('Isaac 401k'!N4938,'Retirement Calculator'!A:A,0),0),0)</f>
        <v>0</v>
      </c>
      <c r="K4938" s="455">
        <f t="shared" ca="1" si="196"/>
        <v>-567308232929.42358</v>
      </c>
      <c r="L4938" s="455">
        <f t="shared" ca="1" si="197"/>
        <v>-136721284135991.08</v>
      </c>
      <c r="M4938" s="471">
        <f t="shared" si="199"/>
        <v>0.05</v>
      </c>
      <c r="N4938" s="475">
        <f t="shared" si="200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98"/>
        <v>-136721284135991.08</v>
      </c>
      <c r="J4939" s="455">
        <f t="array" ref="J4939">IFERROR(INDEX('Retirement Calculator'!J:J,MATCH('Isaac 401k'!N4939,'Retirement Calculator'!A:A,0),0),0)</f>
        <v>0</v>
      </c>
      <c r="K4939" s="455">
        <f t="shared" ca="1" si="196"/>
        <v>-569672017233.29614</v>
      </c>
      <c r="L4939" s="455">
        <f t="shared" ca="1" si="197"/>
        <v>-137290956153224.38</v>
      </c>
      <c r="M4939" s="471">
        <f t="shared" si="199"/>
        <v>0.05</v>
      </c>
      <c r="N4939" s="475">
        <f t="shared" si="200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98"/>
        <v>-137290956153224.38</v>
      </c>
      <c r="J4940" s="455">
        <f t="array" ref="J4940">IFERROR(INDEX('Retirement Calculator'!J:J,MATCH('Isaac 401k'!N4940,'Retirement Calculator'!A:A,0),0),0)</f>
        <v>0</v>
      </c>
      <c r="K4940" s="455">
        <f t="shared" ca="1" si="196"/>
        <v>-572045650638.43494</v>
      </c>
      <c r="L4940" s="455">
        <f t="shared" ca="1" si="197"/>
        <v>-137863001803862.81</v>
      </c>
      <c r="M4940" s="471">
        <f t="shared" si="199"/>
        <v>0.05</v>
      </c>
      <c r="N4940" s="475">
        <f t="shared" si="200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98"/>
        <v>-137863001803862.81</v>
      </c>
      <c r="J4941" s="455">
        <f t="array" ref="J4941">IFERROR(INDEX('Retirement Calculator'!J:J,MATCH('Isaac 401k'!N4941,'Retirement Calculator'!A:A,0),0),0)</f>
        <v>0</v>
      </c>
      <c r="K4941" s="455">
        <f t="shared" ca="1" si="196"/>
        <v>-574429174182.7616</v>
      </c>
      <c r="L4941" s="455">
        <f t="shared" ca="1" si="197"/>
        <v>-138437430978045.58</v>
      </c>
      <c r="M4941" s="471">
        <f t="shared" si="199"/>
        <v>0.05</v>
      </c>
      <c r="N4941" s="475">
        <f t="shared" si="200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98"/>
        <v>-138437430978045.58</v>
      </c>
      <c r="J4942" s="455">
        <f t="array" ref="J4942">IFERROR(INDEX('Retirement Calculator'!J:J,MATCH('Isaac 401k'!N4942,'Retirement Calculator'!A:A,0),0),0)</f>
        <v>0</v>
      </c>
      <c r="K4942" s="455">
        <f t="shared" ca="1" si="196"/>
        <v>-576822629075.18994</v>
      </c>
      <c r="L4942" s="455">
        <f t="shared" ca="1" si="197"/>
        <v>-139014253607120.77</v>
      </c>
      <c r="M4942" s="471">
        <f t="shared" si="199"/>
        <v>0.05</v>
      </c>
      <c r="N4942" s="475">
        <f t="shared" si="200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98"/>
        <v>-139014253607120.77</v>
      </c>
      <c r="J4943" s="455">
        <f t="array" ref="J4943">IFERROR(INDEX('Retirement Calculator'!J:J,MATCH('Isaac 401k'!N4943,'Retirement Calculator'!A:A,0),0),0)</f>
        <v>0</v>
      </c>
      <c r="K4943" s="455">
        <f t="shared" ca="1" si="196"/>
        <v>-579226056696.33655</v>
      </c>
      <c r="L4943" s="455">
        <f t="shared" ca="1" si="197"/>
        <v>-139593479663817.11</v>
      </c>
      <c r="M4943" s="471">
        <f t="shared" si="199"/>
        <v>0.05</v>
      </c>
      <c r="N4943" s="475">
        <f t="shared" si="200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98"/>
        <v>-139593479663817.11</v>
      </c>
      <c r="J4944" s="455">
        <f t="array" ref="J4944">IFERROR(INDEX('Retirement Calculator'!J:J,MATCH('Isaac 401k'!N4944,'Retirement Calculator'!A:A,0),0),0)</f>
        <v>0</v>
      </c>
      <c r="K4944" s="455">
        <f t="shared" ca="1" si="196"/>
        <v>-581639498599.23792</v>
      </c>
      <c r="L4944" s="455">
        <f t="shared" ca="1" si="197"/>
        <v>-140175119162416.34</v>
      </c>
      <c r="M4944" s="471">
        <f t="shared" si="199"/>
        <v>0.05</v>
      </c>
      <c r="N4944" s="475">
        <f t="shared" si="200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98"/>
        <v>-140175119162416.34</v>
      </c>
      <c r="J4945" s="455">
        <f t="array" ref="J4945">IFERROR(INDEX('Retirement Calculator'!J:J,MATCH('Isaac 401k'!N4945,'Retirement Calculator'!A:A,0),0),0)</f>
        <v>0</v>
      </c>
      <c r="K4945" s="455">
        <f t="shared" ca="1" si="196"/>
        <v>-584062996510.06812</v>
      </c>
      <c r="L4945" s="455">
        <f t="shared" ca="1" si="197"/>
        <v>-140759182158926.41</v>
      </c>
      <c r="M4945" s="471">
        <f t="shared" si="199"/>
        <v>0.05</v>
      </c>
      <c r="N4945" s="475">
        <f t="shared" si="200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98"/>
        <v>-140759182158926.41</v>
      </c>
      <c r="J4946" s="455">
        <f t="array" ref="J4946">IFERROR(INDEX('Retirement Calculator'!J:J,MATCH('Isaac 401k'!N4946,'Retirement Calculator'!A:A,0),0),0)</f>
        <v>0</v>
      </c>
      <c r="K4946" s="455">
        <f t="shared" ca="1" si="196"/>
        <v>-586496592328.85999</v>
      </c>
      <c r="L4946" s="455">
        <f t="shared" ca="1" si="197"/>
        <v>-141345678751255.28</v>
      </c>
      <c r="M4946" s="471">
        <f t="shared" si="199"/>
        <v>0.05</v>
      </c>
      <c r="N4946" s="475">
        <f t="shared" si="200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98"/>
        <v>-141345678751255.28</v>
      </c>
      <c r="J4947" s="455">
        <f t="array" ref="J4947">IFERROR(INDEX('Retirement Calculator'!J:J,MATCH('Isaac 401k'!N4947,'Retirement Calculator'!A:A,0),0),0)</f>
        <v>0</v>
      </c>
      <c r="K4947" s="455">
        <f t="shared" ca="1" si="196"/>
        <v>-588940328130.23035</v>
      </c>
      <c r="L4947" s="455">
        <f t="shared" ca="1" si="197"/>
        <v>-141934619079385.5</v>
      </c>
      <c r="M4947" s="471">
        <f t="shared" si="199"/>
        <v>0.05</v>
      </c>
      <c r="N4947" s="475">
        <f t="shared" si="200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98"/>
        <v>-141934619079385.5</v>
      </c>
      <c r="J4948" s="455">
        <f t="array" ref="J4948">IFERROR(INDEX('Retirement Calculator'!J:J,MATCH('Isaac 401k'!N4948,'Retirement Calculator'!A:A,0),0),0)</f>
        <v>0</v>
      </c>
      <c r="K4948" s="455">
        <f t="shared" ca="1" si="196"/>
        <v>-591394246164.1062</v>
      </c>
      <c r="L4948" s="455">
        <f t="shared" ca="1" si="197"/>
        <v>-142526013325549.59</v>
      </c>
      <c r="M4948" s="471">
        <f t="shared" si="199"/>
        <v>0.05</v>
      </c>
      <c r="N4948" s="475">
        <f t="shared" si="200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98"/>
        <v>-142526013325549.59</v>
      </c>
      <c r="J4949" s="455">
        <f t="array" ref="J4949">IFERROR(INDEX('Retirement Calculator'!J:J,MATCH('Isaac 401k'!N4949,'Retirement Calculator'!A:A,0),0),0)</f>
        <v>0</v>
      </c>
      <c r="K4949" s="455">
        <f t="shared" ca="1" si="196"/>
        <v>-593858388856.45667</v>
      </c>
      <c r="L4949" s="455">
        <f t="shared" ca="1" si="197"/>
        <v>-143119871714406.06</v>
      </c>
      <c r="M4949" s="471">
        <f t="shared" si="199"/>
        <v>0.05</v>
      </c>
      <c r="N4949" s="475">
        <f t="shared" si="200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98"/>
        <v>-143119871714406.06</v>
      </c>
      <c r="J4950" s="455">
        <f t="array" ref="J4950">IFERROR(INDEX('Retirement Calculator'!J:J,MATCH('Isaac 401k'!N4950,'Retirement Calculator'!A:A,0),0),0)</f>
        <v>0</v>
      </c>
      <c r="K4950" s="455">
        <f t="shared" ca="1" si="196"/>
        <v>-596332798810.02527</v>
      </c>
      <c r="L4950" s="455">
        <f t="shared" ca="1" si="197"/>
        <v>-143716204513216.09</v>
      </c>
      <c r="M4950" s="471">
        <f t="shared" si="199"/>
        <v>0.05</v>
      </c>
      <c r="N4950" s="475">
        <f t="shared" si="200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98"/>
        <v>-143716204513216.09</v>
      </c>
      <c r="J4951" s="455">
        <f t="array" ref="J4951">IFERROR(INDEX('Retirement Calculator'!J:J,MATCH('Isaac 401k'!N4951,'Retirement Calculator'!A:A,0),0),0)</f>
        <v>0</v>
      </c>
      <c r="K4951" s="455">
        <f t="shared" ca="1" si="196"/>
        <v>-598817518805.06702</v>
      </c>
      <c r="L4951" s="455">
        <f t="shared" ca="1" si="197"/>
        <v>-144315022032021.16</v>
      </c>
      <c r="M4951" s="471">
        <f t="shared" si="199"/>
        <v>0.05</v>
      </c>
      <c r="N4951" s="475">
        <f t="shared" si="200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98"/>
        <v>-144315022032021.16</v>
      </c>
      <c r="J4952" s="455">
        <f t="array" ref="J4952">IFERROR(INDEX('Retirement Calculator'!J:J,MATCH('Isaac 401k'!N4952,'Retirement Calculator'!A:A,0),0),0)</f>
        <v>0</v>
      </c>
      <c r="K4952" s="455">
        <f t="shared" ca="1" si="196"/>
        <v>-601312591800.08813</v>
      </c>
      <c r="L4952" s="455">
        <f t="shared" ca="1" si="197"/>
        <v>-144916334623821.25</v>
      </c>
      <c r="M4952" s="471">
        <f t="shared" si="199"/>
        <v>0.05</v>
      </c>
      <c r="N4952" s="475">
        <f t="shared" si="200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98"/>
        <v>-144916334623821.25</v>
      </c>
      <c r="J4953" s="455">
        <f t="array" ref="J4953">IFERROR(INDEX('Retirement Calculator'!J:J,MATCH('Isaac 401k'!N4953,'Retirement Calculator'!A:A,0),0),0)</f>
        <v>0</v>
      </c>
      <c r="K4953" s="455">
        <f t="shared" ca="1" si="196"/>
        <v>-603818060932.5885</v>
      </c>
      <c r="L4953" s="455">
        <f t="shared" ca="1" si="197"/>
        <v>-145520152684753.84</v>
      </c>
      <c r="M4953" s="471">
        <f t="shared" si="199"/>
        <v>0.05</v>
      </c>
      <c r="N4953" s="475">
        <f t="shared" si="200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98"/>
        <v>-145520152684753.84</v>
      </c>
      <c r="J4954" s="455">
        <f t="array" ref="J4954">IFERROR(INDEX('Retirement Calculator'!J:J,MATCH('Isaac 401k'!N4954,'Retirement Calculator'!A:A,0),0),0)</f>
        <v>0</v>
      </c>
      <c r="K4954" s="455">
        <f t="shared" ca="1" si="196"/>
        <v>-606333969519.80762</v>
      </c>
      <c r="L4954" s="455">
        <f t="shared" ca="1" si="197"/>
        <v>-146126486654273.66</v>
      </c>
      <c r="M4954" s="471">
        <f t="shared" si="199"/>
        <v>0.05</v>
      </c>
      <c r="N4954" s="475">
        <f t="shared" si="200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98"/>
        <v>-146126486654273.66</v>
      </c>
      <c r="J4955" s="455">
        <f t="array" ref="J4955">IFERROR(INDEX('Retirement Calculator'!J:J,MATCH('Isaac 401k'!N4955,'Retirement Calculator'!A:A,0),0),0)</f>
        <v>0</v>
      </c>
      <c r="K4955" s="455">
        <f t="shared" ca="1" si="196"/>
        <v>-608860361059.47351</v>
      </c>
      <c r="L4955" s="455">
        <f t="shared" ca="1" si="197"/>
        <v>-146735347015333.13</v>
      </c>
      <c r="M4955" s="471">
        <f t="shared" si="199"/>
        <v>0.05</v>
      </c>
      <c r="N4955" s="475">
        <f t="shared" si="200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98"/>
        <v>-146735347015333.13</v>
      </c>
      <c r="J4956" s="455">
        <f t="array" ref="J4956">IFERROR(INDEX('Retirement Calculator'!J:J,MATCH('Isaac 401k'!N4956,'Retirement Calculator'!A:A,0),0),0)</f>
        <v>0</v>
      </c>
      <c r="K4956" s="455">
        <f t="shared" ca="1" si="196"/>
        <v>-611397279230.55469</v>
      </c>
      <c r="L4956" s="455">
        <f t="shared" ca="1" si="197"/>
        <v>-147346744294563.69</v>
      </c>
      <c r="M4956" s="471">
        <f t="shared" si="199"/>
        <v>0.05</v>
      </c>
      <c r="N4956" s="475">
        <f t="shared" si="200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98"/>
        <v>-147346744294563.69</v>
      </c>
      <c r="J4957" s="455">
        <f t="array" ref="J4957">IFERROR(INDEX('Retirement Calculator'!J:J,MATCH('Isaac 401k'!N4957,'Retirement Calculator'!A:A,0),0),0)</f>
        <v>0</v>
      </c>
      <c r="K4957" s="455">
        <f t="shared" ca="1" si="196"/>
        <v>-613944767894.01538</v>
      </c>
      <c r="L4957" s="455">
        <f t="shared" ca="1" si="197"/>
        <v>-147960689062457.69</v>
      </c>
      <c r="M4957" s="471">
        <f t="shared" si="199"/>
        <v>0.05</v>
      </c>
      <c r="N4957" s="475">
        <f t="shared" si="200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98"/>
        <v>-147960689062457.69</v>
      </c>
      <c r="J4958" s="455">
        <f t="array" ref="J4958">IFERROR(INDEX('Retirement Calculator'!J:J,MATCH('Isaac 401k'!N4958,'Retirement Calculator'!A:A,0),0),0)</f>
        <v>0</v>
      </c>
      <c r="K4958" s="455">
        <f t="shared" ca="1" si="196"/>
        <v>-616502871093.57373</v>
      </c>
      <c r="L4958" s="455">
        <f t="shared" ca="1" si="197"/>
        <v>-148577191933551.25</v>
      </c>
      <c r="M4958" s="471">
        <f t="shared" si="199"/>
        <v>0.05</v>
      </c>
      <c r="N4958" s="475">
        <f t="shared" si="200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98"/>
        <v>-148577191933551.25</v>
      </c>
      <c r="J4959" s="455">
        <f t="array" ref="J4959">IFERROR(INDEX('Retirement Calculator'!J:J,MATCH('Isaac 401k'!N4959,'Retirement Calculator'!A:A,0),0),0)</f>
        <v>0</v>
      </c>
      <c r="K4959" s="455">
        <f t="shared" ca="1" si="196"/>
        <v>-619071633056.4635</v>
      </c>
      <c r="L4959" s="455">
        <f t="shared" ca="1" si="197"/>
        <v>-149196263566607.72</v>
      </c>
      <c r="M4959" s="471">
        <f t="shared" si="199"/>
        <v>0.05</v>
      </c>
      <c r="N4959" s="475">
        <f t="shared" si="200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98"/>
        <v>-149196263566607.72</v>
      </c>
      <c r="J4960" s="455">
        <f t="array" ref="J4960">IFERROR(INDEX('Retirement Calculator'!J:J,MATCH('Isaac 401k'!N4960,'Retirement Calculator'!A:A,0),0),0)</f>
        <v>0</v>
      </c>
      <c r="K4960" s="455">
        <f t="shared" ca="1" si="196"/>
        <v>-621651098194.19885</v>
      </c>
      <c r="L4960" s="455">
        <f t="shared" ca="1" si="197"/>
        <v>-149817914664801.91</v>
      </c>
      <c r="M4960" s="471">
        <f t="shared" si="199"/>
        <v>0.05</v>
      </c>
      <c r="N4960" s="475">
        <f t="shared" si="200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98"/>
        <v>-149817914664801.91</v>
      </c>
      <c r="J4961" s="455">
        <f t="array" ref="J4961">IFERROR(INDEX('Retirement Calculator'!J:J,MATCH('Isaac 401k'!N4961,'Retirement Calculator'!A:A,0),0),0)</f>
        <v>0</v>
      </c>
      <c r="K4961" s="455">
        <f t="shared" ca="1" si="196"/>
        <v>-624241311103.34131</v>
      </c>
      <c r="L4961" s="455">
        <f t="shared" ca="1" si="197"/>
        <v>-150442155975905.25</v>
      </c>
      <c r="M4961" s="471">
        <f t="shared" si="199"/>
        <v>0.05</v>
      </c>
      <c r="N4961" s="475">
        <f t="shared" si="200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98"/>
        <v>-150442155975905.25</v>
      </c>
      <c r="J4962" s="455">
        <f t="array" ref="J4962">IFERROR(INDEX('Retirement Calculator'!J:J,MATCH('Isaac 401k'!N4962,'Retirement Calculator'!A:A,0),0),0)</f>
        <v>0</v>
      </c>
      <c r="K4962" s="455">
        <f t="shared" ca="1" si="196"/>
        <v>-626842316566.27185</v>
      </c>
      <c r="L4962" s="455">
        <f t="shared" ca="1" si="197"/>
        <v>-151068998292471.53</v>
      </c>
      <c r="M4962" s="471">
        <f t="shared" si="199"/>
        <v>0.05</v>
      </c>
      <c r="N4962" s="475">
        <f t="shared" si="200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98"/>
        <v>-151068998292471.53</v>
      </c>
      <c r="J4963" s="455">
        <f t="array" ref="J4963">IFERROR(INDEX('Retirement Calculator'!J:J,MATCH('Isaac 401k'!N4963,'Retirement Calculator'!A:A,0),0),0)</f>
        <v>0</v>
      </c>
      <c r="K4963" s="455">
        <f t="shared" ca="1" si="196"/>
        <v>-629454159551.96472</v>
      </c>
      <c r="L4963" s="455">
        <f t="shared" ca="1" si="197"/>
        <v>-151698452452023.5</v>
      </c>
      <c r="M4963" s="471">
        <f t="shared" si="199"/>
        <v>0.05</v>
      </c>
      <c r="N4963" s="475">
        <f t="shared" si="200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98"/>
        <v>-151698452452023.5</v>
      </c>
      <c r="J4964" s="455">
        <f t="array" ref="J4964">IFERROR(INDEX('Retirement Calculator'!J:J,MATCH('Isaac 401k'!N4964,'Retirement Calculator'!A:A,0),0),0)</f>
        <v>0</v>
      </c>
      <c r="K4964" s="455">
        <f t="shared" ca="1" si="196"/>
        <v>-632076885216.76453</v>
      </c>
      <c r="L4964" s="455">
        <f t="shared" ca="1" si="197"/>
        <v>-152330529337240.25</v>
      </c>
      <c r="M4964" s="471">
        <f t="shared" si="199"/>
        <v>0.05</v>
      </c>
      <c r="N4964" s="475">
        <f t="shared" si="200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98"/>
        <v>-152330529337240.25</v>
      </c>
      <c r="J4965" s="455">
        <f t="array" ref="J4965">IFERROR(INDEX('Retirement Calculator'!J:J,MATCH('Isaac 401k'!N4965,'Retirement Calculator'!A:A,0),0),0)</f>
        <v>0</v>
      </c>
      <c r="K4965" s="455">
        <f t="shared" ca="1" si="196"/>
        <v>-634710538905.16772</v>
      </c>
      <c r="L4965" s="455">
        <f t="shared" ca="1" si="197"/>
        <v>-152965239876145.41</v>
      </c>
      <c r="M4965" s="471">
        <f t="shared" si="199"/>
        <v>0.05</v>
      </c>
      <c r="N4965" s="475">
        <f t="shared" si="200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98"/>
        <v>-152965239876145.41</v>
      </c>
      <c r="J4966" s="455">
        <f t="array" ref="J4966">IFERROR(INDEX('Retirement Calculator'!J:J,MATCH('Isaac 401k'!N4966,'Retirement Calculator'!A:A,0),0),0)</f>
        <v>0</v>
      </c>
      <c r="K4966" s="455">
        <f t="shared" ca="1" si="196"/>
        <v>-637355166150.60583</v>
      </c>
      <c r="L4966" s="455">
        <f t="shared" ca="1" si="197"/>
        <v>-153602595042296</v>
      </c>
      <c r="M4966" s="471">
        <f t="shared" si="199"/>
        <v>0.05</v>
      </c>
      <c r="N4966" s="475">
        <f t="shared" si="200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98"/>
        <v>-153602595042296</v>
      </c>
      <c r="J4967" s="455">
        <f t="array" ref="J4967">IFERROR(INDEX('Retirement Calculator'!J:J,MATCH('Isaac 401k'!N4967,'Retirement Calculator'!A:A,0),0),0)</f>
        <v>0</v>
      </c>
      <c r="K4967" s="455">
        <f t="shared" ca="1" si="196"/>
        <v>-640010812676.23328</v>
      </c>
      <c r="L4967" s="455">
        <f t="shared" ca="1" si="197"/>
        <v>-154242605854972.22</v>
      </c>
      <c r="M4967" s="471">
        <f t="shared" si="199"/>
        <v>0.05</v>
      </c>
      <c r="N4967" s="475">
        <f t="shared" si="200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98"/>
        <v>-154242605854972.22</v>
      </c>
      <c r="J4968" s="455">
        <f t="array" ref="J4968">IFERROR(INDEX('Retirement Calculator'!J:J,MATCH('Isaac 401k'!N4968,'Retirement Calculator'!A:A,0),0),0)</f>
        <v>0</v>
      </c>
      <c r="K4968" s="455">
        <f t="shared" ca="1" si="196"/>
        <v>-642677524395.71753</v>
      </c>
      <c r="L4968" s="455">
        <f t="shared" ca="1" si="197"/>
        <v>-154885283379367.94</v>
      </c>
      <c r="M4968" s="471">
        <f t="shared" si="199"/>
        <v>0.05</v>
      </c>
      <c r="N4968" s="475">
        <f t="shared" si="200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98"/>
        <v>-154885283379367.94</v>
      </c>
      <c r="J4969" s="455">
        <f t="array" ref="J4969">IFERROR(INDEX('Retirement Calculator'!J:J,MATCH('Isaac 401k'!N4969,'Retirement Calculator'!A:A,0),0),0)</f>
        <v>0</v>
      </c>
      <c r="K4969" s="455">
        <f t="shared" ca="1" si="196"/>
        <v>-645355347414.03308</v>
      </c>
      <c r="L4969" s="455">
        <f t="shared" ca="1" si="197"/>
        <v>-155530638726781.97</v>
      </c>
      <c r="M4969" s="471">
        <f t="shared" si="199"/>
        <v>0.05</v>
      </c>
      <c r="N4969" s="475">
        <f t="shared" si="200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98"/>
        <v>-155530638726781.97</v>
      </c>
      <c r="J4970" s="455">
        <f t="array" ref="J4970">IFERROR(INDEX('Retirement Calculator'!J:J,MATCH('Isaac 401k'!N4970,'Retirement Calculator'!A:A,0),0),0)</f>
        <v>0</v>
      </c>
      <c r="K4970" s="455">
        <f t="shared" ca="1" si="196"/>
        <v>-648044328028.25818</v>
      </c>
      <c r="L4970" s="455">
        <f t="shared" ca="1" si="197"/>
        <v>-156178683054810.22</v>
      </c>
      <c r="M4970" s="471">
        <f t="shared" si="199"/>
        <v>0.05</v>
      </c>
      <c r="N4970" s="475">
        <f t="shared" si="200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98"/>
        <v>-156178683054810.22</v>
      </c>
      <c r="J4971" s="455">
        <f t="array" ref="J4971">IFERROR(INDEX('Retirement Calculator'!J:J,MATCH('Isaac 401k'!N4971,'Retirement Calculator'!A:A,0),0),0)</f>
        <v>0</v>
      </c>
      <c r="K4971" s="455">
        <f t="shared" ca="1" si="196"/>
        <v>-650744512728.37585</v>
      </c>
      <c r="L4971" s="455">
        <f t="shared" ca="1" si="197"/>
        <v>-156829427567538.59</v>
      </c>
      <c r="M4971" s="471">
        <f t="shared" si="199"/>
        <v>0.05</v>
      </c>
      <c r="N4971" s="475">
        <f t="shared" si="200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98"/>
        <v>-156829427567538.59</v>
      </c>
      <c r="J4972" s="455">
        <f t="array" ref="J4972">IFERROR(INDEX('Retirement Calculator'!J:J,MATCH('Isaac 401k'!N4972,'Retirement Calculator'!A:A,0),0),0)</f>
        <v>0</v>
      </c>
      <c r="K4972" s="455">
        <f t="shared" ca="1" si="196"/>
        <v>-653455948198.07751</v>
      </c>
      <c r="L4972" s="455">
        <f t="shared" ca="1" si="197"/>
        <v>-157482883515736.66</v>
      </c>
      <c r="M4972" s="471">
        <f t="shared" si="199"/>
        <v>0.05</v>
      </c>
      <c r="N4972" s="475">
        <f t="shared" si="200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98"/>
        <v>-157482883515736.66</v>
      </c>
      <c r="J4973" s="455">
        <f t="array" ref="J4973">IFERROR(INDEX('Retirement Calculator'!J:J,MATCH('Isaac 401k'!N4973,'Retirement Calculator'!A:A,0),0),0)</f>
        <v>0</v>
      </c>
      <c r="K4973" s="455">
        <f t="shared" ca="1" si="196"/>
        <v>-656178681315.56934</v>
      </c>
      <c r="L4973" s="455">
        <f t="shared" ca="1" si="197"/>
        <v>-158139062197052.22</v>
      </c>
      <c r="M4973" s="471">
        <f t="shared" si="199"/>
        <v>0.05</v>
      </c>
      <c r="N4973" s="475">
        <f t="shared" si="200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98"/>
        <v>-158139062197052.22</v>
      </c>
      <c r="J4974" s="455">
        <f t="array" ref="J4974">IFERROR(INDEX('Retirement Calculator'!J:J,MATCH('Isaac 401k'!N4974,'Retirement Calculator'!A:A,0),0),0)</f>
        <v>0</v>
      </c>
      <c r="K4974" s="455">
        <f t="shared" ca="1" si="196"/>
        <v>-658912759154.38428</v>
      </c>
      <c r="L4974" s="455">
        <f t="shared" ca="1" si="197"/>
        <v>-158797974956206.59</v>
      </c>
      <c r="M4974" s="471">
        <f t="shared" si="199"/>
        <v>0.05</v>
      </c>
      <c r="N4974" s="475">
        <f t="shared" si="200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98"/>
        <v>-158797974956206.59</v>
      </c>
      <c r="J4975" s="455">
        <f t="array" ref="J4975">IFERROR(INDEX('Retirement Calculator'!J:J,MATCH('Isaac 401k'!N4975,'Retirement Calculator'!A:A,0),0),0)</f>
        <v>0</v>
      </c>
      <c r="K4975" s="455">
        <f t="shared" ca="1" si="196"/>
        <v>-661658228984.19409</v>
      </c>
      <c r="L4975" s="455">
        <f t="shared" ca="1" si="197"/>
        <v>-159459633185190.78</v>
      </c>
      <c r="M4975" s="471">
        <f t="shared" si="199"/>
        <v>0.05</v>
      </c>
      <c r="N4975" s="475">
        <f t="shared" si="200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98"/>
        <v>-159459633185190.78</v>
      </c>
      <c r="J4976" s="455">
        <f t="array" ref="J4976">IFERROR(INDEX('Retirement Calculator'!J:J,MATCH('Isaac 401k'!N4976,'Retirement Calculator'!A:A,0),0),0)</f>
        <v>0</v>
      </c>
      <c r="K4976" s="455">
        <f t="shared" ca="1" si="196"/>
        <v>-664415138271.6283</v>
      </c>
      <c r="L4976" s="455">
        <f t="shared" ca="1" si="197"/>
        <v>-160124048323462.41</v>
      </c>
      <c r="M4976" s="471">
        <f t="shared" si="199"/>
        <v>0.05</v>
      </c>
      <c r="N4976" s="475">
        <f t="shared" si="200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98"/>
        <v>-160124048323462.41</v>
      </c>
      <c r="J4977" s="455">
        <f t="array" ref="J4977">IFERROR(INDEX('Retirement Calculator'!J:J,MATCH('Isaac 401k'!N4977,'Retirement Calculator'!A:A,0),0),0)</f>
        <v>0</v>
      </c>
      <c r="K4977" s="455">
        <f t="shared" ca="1" si="196"/>
        <v>-667183534681.09338</v>
      </c>
      <c r="L4977" s="455">
        <f t="shared" ca="1" si="197"/>
        <v>-160791231858143.5</v>
      </c>
      <c r="M4977" s="471">
        <f t="shared" si="199"/>
        <v>0.05</v>
      </c>
      <c r="N4977" s="475">
        <f t="shared" si="200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98"/>
        <v>-160791231858143.5</v>
      </c>
      <c r="J4978" s="455">
        <f t="array" ref="J4978">IFERROR(INDEX('Retirement Calculator'!J:J,MATCH('Isaac 401k'!N4978,'Retirement Calculator'!A:A,0),0),0)</f>
        <v>0</v>
      </c>
      <c r="K4978" s="455">
        <f t="shared" ca="1" si="196"/>
        <v>-669963466075.5979</v>
      </c>
      <c r="L4978" s="455">
        <f t="shared" ca="1" si="197"/>
        <v>-161461195324219.09</v>
      </c>
      <c r="M4978" s="471">
        <f t="shared" si="199"/>
        <v>0.05</v>
      </c>
      <c r="N4978" s="475">
        <f t="shared" si="200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98"/>
        <v>-161461195324219.09</v>
      </c>
      <c r="J4979" s="455">
        <f t="array" ref="J4979">IFERROR(INDEX('Retirement Calculator'!J:J,MATCH('Isaac 401k'!N4979,'Retirement Calculator'!A:A,0),0),0)</f>
        <v>0</v>
      </c>
      <c r="K4979" s="455">
        <f t="shared" ca="1" si="196"/>
        <v>-672754980517.57959</v>
      </c>
      <c r="L4979" s="455">
        <f t="shared" ca="1" si="197"/>
        <v>-162133950304736.69</v>
      </c>
      <c r="M4979" s="471">
        <f t="shared" si="199"/>
        <v>0.05</v>
      </c>
      <c r="N4979" s="475">
        <f t="shared" si="200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98"/>
        <v>-162133950304736.69</v>
      </c>
      <c r="J4980" s="455">
        <f t="array" ref="J4980">IFERROR(INDEX('Retirement Calculator'!J:J,MATCH('Isaac 401k'!N4980,'Retirement Calculator'!A:A,0),0),0)</f>
        <v>0</v>
      </c>
      <c r="K4980" s="455">
        <f t="shared" ca="1" si="196"/>
        <v>-675558126269.73621</v>
      </c>
      <c r="L4980" s="455">
        <f t="shared" ca="1" si="197"/>
        <v>-162809508431006.44</v>
      </c>
      <c r="M4980" s="471">
        <f t="shared" si="199"/>
        <v>0.05</v>
      </c>
      <c r="N4980" s="475">
        <f t="shared" si="200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98"/>
        <v>-162809508431006.44</v>
      </c>
      <c r="J4981" s="455">
        <f t="array" ref="J4981">IFERROR(INDEX('Retirement Calculator'!J:J,MATCH('Isaac 401k'!N4981,'Retirement Calculator'!A:A,0),0),0)</f>
        <v>0</v>
      </c>
      <c r="K4981" s="455">
        <f t="shared" ca="1" si="196"/>
        <v>-678372951795.86011</v>
      </c>
      <c r="L4981" s="455">
        <f t="shared" ca="1" si="197"/>
        <v>-163487881382802.31</v>
      </c>
      <c r="M4981" s="471">
        <f t="shared" si="199"/>
        <v>0.05</v>
      </c>
      <c r="N4981" s="475">
        <f t="shared" si="200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98"/>
        <v>-163487881382802.31</v>
      </c>
      <c r="J4982" s="455">
        <f t="array" ref="J4982">IFERROR(INDEX('Retirement Calculator'!J:J,MATCH('Isaac 401k'!N4982,'Retirement Calculator'!A:A,0),0),0)</f>
        <v>0</v>
      </c>
      <c r="K4982" s="455">
        <f t="shared" ca="1" si="196"/>
        <v>-681199505761.67627</v>
      </c>
      <c r="L4982" s="455">
        <f t="shared" ca="1" si="197"/>
        <v>-164169080888564</v>
      </c>
      <c r="M4982" s="471">
        <f t="shared" si="199"/>
        <v>0.05</v>
      </c>
      <c r="N4982" s="475">
        <f t="shared" si="200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98"/>
        <v>-164169080888564</v>
      </c>
      <c r="J4983" s="455">
        <f t="array" ref="J4983">IFERROR(INDEX('Retirement Calculator'!J:J,MATCH('Isaac 401k'!N4983,'Retirement Calculator'!A:A,0),0),0)</f>
        <v>0</v>
      </c>
      <c r="K4983" s="455">
        <f t="shared" ca="1" si="196"/>
        <v>-684037837035.68335</v>
      </c>
      <c r="L4983" s="455">
        <f t="shared" ca="1" si="197"/>
        <v>-164853118725599.69</v>
      </c>
      <c r="M4983" s="471">
        <f t="shared" si="199"/>
        <v>0.05</v>
      </c>
      <c r="N4983" s="475">
        <f t="shared" si="200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98"/>
        <v>-164853118725599.69</v>
      </c>
      <c r="J4984" s="455">
        <f t="array" ref="J4984">IFERROR(INDEX('Retirement Calculator'!J:J,MATCH('Isaac 401k'!N4984,'Retirement Calculator'!A:A,0),0),0)</f>
        <v>0</v>
      </c>
      <c r="K4984" s="455">
        <f t="shared" ca="1" si="196"/>
        <v>-686887994689.99866</v>
      </c>
      <c r="L4984" s="455">
        <f t="shared" ca="1" si="197"/>
        <v>-165540006720289.69</v>
      </c>
      <c r="M4984" s="471">
        <f t="shared" si="199"/>
        <v>0.05</v>
      </c>
      <c r="N4984" s="475">
        <f t="shared" si="200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98"/>
        <v>-165540006720289.69</v>
      </c>
      <c r="J4985" s="455">
        <f t="array" ref="J4985">IFERROR(INDEX('Retirement Calculator'!J:J,MATCH('Isaac 401k'!N4985,'Retirement Calculator'!A:A,0),0),0)</f>
        <v>0</v>
      </c>
      <c r="K4985" s="455">
        <f t="shared" ca="1" si="196"/>
        <v>-689750028001.20703</v>
      </c>
      <c r="L4985" s="455">
        <f t="shared" ca="1" si="197"/>
        <v>-166229756748290.91</v>
      </c>
      <c r="M4985" s="471">
        <f t="shared" si="199"/>
        <v>0.05</v>
      </c>
      <c r="N4985" s="475">
        <f t="shared" si="200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98"/>
        <v>-166229756748290.91</v>
      </c>
      <c r="J4986" s="455">
        <f t="array" ref="J4986">IFERROR(INDEX('Retirement Calculator'!J:J,MATCH('Isaac 401k'!N4986,'Retirement Calculator'!A:A,0),0),0)</f>
        <v>0</v>
      </c>
      <c r="K4986" s="455">
        <f t="shared" ca="1" si="196"/>
        <v>-692623986451.21216</v>
      </c>
      <c r="L4986" s="455">
        <f t="shared" ca="1" si="197"/>
        <v>-166922380734742.13</v>
      </c>
      <c r="M4986" s="471">
        <f t="shared" si="199"/>
        <v>0.05</v>
      </c>
      <c r="N4986" s="475">
        <f t="shared" si="200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98"/>
        <v>-166922380734742.13</v>
      </c>
      <c r="J4987" s="455">
        <f t="array" ref="J4987">IFERROR(INDEX('Retirement Calculator'!J:J,MATCH('Isaac 401k'!N4987,'Retirement Calculator'!A:A,0),0),0)</f>
        <v>0</v>
      </c>
      <c r="K4987" s="455">
        <f t="shared" ca="1" si="196"/>
        <v>-695509919728.09216</v>
      </c>
      <c r="L4987" s="455">
        <f t="shared" ca="1" si="197"/>
        <v>-167617890654470.22</v>
      </c>
      <c r="M4987" s="471">
        <f t="shared" si="199"/>
        <v>0.05</v>
      </c>
      <c r="N4987" s="475">
        <f t="shared" si="200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98"/>
        <v>-167617890654470.22</v>
      </c>
      <c r="J4988" s="455">
        <f t="array" ref="J4988">IFERROR(INDEX('Retirement Calculator'!J:J,MATCH('Isaac 401k'!N4988,'Retirement Calculator'!A:A,0),0),0)</f>
        <v>0</v>
      </c>
      <c r="K4988" s="455">
        <f t="shared" ca="1" si="196"/>
        <v>-698407877726.95923</v>
      </c>
      <c r="L4988" s="455">
        <f t="shared" ca="1" si="197"/>
        <v>-168316298532197.19</v>
      </c>
      <c r="M4988" s="471">
        <f t="shared" si="199"/>
        <v>0.05</v>
      </c>
      <c r="N4988" s="475">
        <f t="shared" si="200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98"/>
        <v>-168316298532197.19</v>
      </c>
      <c r="J4989" s="455">
        <f t="array" ref="J4989">IFERROR(INDEX('Retirement Calculator'!J:J,MATCH('Isaac 401k'!N4989,'Retirement Calculator'!A:A,0),0),0)</f>
        <v>0</v>
      </c>
      <c r="K4989" s="455">
        <f t="shared" ca="1" si="196"/>
        <v>-701317910550.82166</v>
      </c>
      <c r="L4989" s="455">
        <f t="shared" ca="1" si="197"/>
        <v>-169017616442748</v>
      </c>
      <c r="M4989" s="471">
        <f t="shared" si="199"/>
        <v>0.05</v>
      </c>
      <c r="N4989" s="475">
        <f t="shared" si="200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98"/>
        <v>-169017616442748</v>
      </c>
      <c r="J4990" s="455">
        <f t="array" ref="J4990">IFERROR(INDEX('Retirement Calculator'!J:J,MATCH('Isaac 401k'!N4990,'Retirement Calculator'!A:A,0),0),0)</f>
        <v>0</v>
      </c>
      <c r="K4990" s="455">
        <f t="shared" ca="1" si="196"/>
        <v>-704240068511.44995</v>
      </c>
      <c r="L4990" s="455">
        <f t="shared" ca="1" si="197"/>
        <v>-169721856511259.44</v>
      </c>
      <c r="M4990" s="471">
        <f t="shared" si="199"/>
        <v>0.05</v>
      </c>
      <c r="N4990" s="475">
        <f t="shared" si="200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98"/>
        <v>-169721856511259.44</v>
      </c>
      <c r="J4991" s="455">
        <f t="array" ref="J4991">IFERROR(INDEX('Retirement Calculator'!J:J,MATCH('Isaac 401k'!N4991,'Retirement Calculator'!A:A,0),0),0)</f>
        <v>0</v>
      </c>
      <c r="K4991" s="455">
        <f t="shared" ca="1" si="196"/>
        <v>-707174402130.24768</v>
      </c>
      <c r="L4991" s="455">
        <f t="shared" ca="1" si="197"/>
        <v>-170429030913389.69</v>
      </c>
      <c r="M4991" s="471">
        <f t="shared" si="199"/>
        <v>0.05</v>
      </c>
      <c r="N4991" s="475">
        <f t="shared" si="200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98"/>
        <v>-170429030913389.69</v>
      </c>
      <c r="J4992" s="455">
        <f t="array" ref="J4992">IFERROR(INDEX('Retirement Calculator'!J:J,MATCH('Isaac 401k'!N4992,'Retirement Calculator'!A:A,0),0),0)</f>
        <v>0</v>
      </c>
      <c r="K4992" s="455">
        <f t="shared" ca="1" si="196"/>
        <v>-710120962139.12366</v>
      </c>
      <c r="L4992" s="455">
        <f t="shared" ca="1" si="197"/>
        <v>-171139151875528.81</v>
      </c>
      <c r="M4992" s="471">
        <f t="shared" si="199"/>
        <v>0.05</v>
      </c>
      <c r="N4992" s="475">
        <f t="shared" si="200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98"/>
        <v>-171139151875528.81</v>
      </c>
      <c r="J4993" s="455">
        <f t="array" ref="J4993">IFERROR(INDEX('Retirement Calculator'!J:J,MATCH('Isaac 401k'!N4993,'Retirement Calculator'!A:A,0),0),0)</f>
        <v>0</v>
      </c>
      <c r="K4993" s="455">
        <f t="shared" ca="1" si="196"/>
        <v>-713079799481.37</v>
      </c>
      <c r="L4993" s="455">
        <f t="shared" ca="1" si="197"/>
        <v>-171852231675010.19</v>
      </c>
      <c r="M4993" s="471">
        <f t="shared" si="199"/>
        <v>0.05</v>
      </c>
      <c r="N4993" s="475">
        <f t="shared" si="200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98"/>
        <v>-171852231675010.19</v>
      </c>
      <c r="J4994" s="455">
        <f t="array" ref="J4994">IFERROR(INDEX('Retirement Calculator'!J:J,MATCH('Isaac 401k'!N4994,'Retirement Calculator'!A:A,0),0),0)</f>
        <v>0</v>
      </c>
      <c r="K4994" s="455">
        <f t="shared" ca="1" si="196"/>
        <v>-716050965312.54248</v>
      </c>
      <c r="L4994" s="455">
        <f t="shared" ca="1" si="197"/>
        <v>-172568282640322.72</v>
      </c>
      <c r="M4994" s="471">
        <f t="shared" si="199"/>
        <v>0.05</v>
      </c>
      <c r="N4994" s="475">
        <f t="shared" si="200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98"/>
        <v>-172568282640322.72</v>
      </c>
      <c r="J4995" s="455">
        <f t="array" ref="J4995">IFERROR(INDEX('Retirement Calculator'!J:J,MATCH('Isaac 401k'!N4995,'Retirement Calculator'!A:A,0),0),0)</f>
        <v>0</v>
      </c>
      <c r="K4995" s="455">
        <f t="shared" ca="1" si="196"/>
        <v>-719034511001.3446</v>
      </c>
      <c r="L4995" s="455">
        <f t="shared" ca="1" si="197"/>
        <v>-173287317151324.06</v>
      </c>
      <c r="M4995" s="471">
        <f t="shared" si="199"/>
        <v>0.05</v>
      </c>
      <c r="N4995" s="475">
        <f t="shared" si="200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98"/>
        <v>-173287317151324.06</v>
      </c>
      <c r="J4996" s="455">
        <f t="array" ref="J4996">IFERROR(INDEX('Retirement Calculator'!J:J,MATCH('Isaac 401k'!N4996,'Retirement Calculator'!A:A,0),0),0)</f>
        <v>0</v>
      </c>
      <c r="K4996" s="455">
        <f t="shared" ca="1" si="196"/>
        <v>-722030488130.51697</v>
      </c>
      <c r="L4996" s="455">
        <f t="shared" ca="1" si="197"/>
        <v>-174009347639454.59</v>
      </c>
      <c r="M4996" s="471">
        <f t="shared" si="199"/>
        <v>0.05</v>
      </c>
      <c r="N4996" s="475">
        <f t="shared" si="200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98"/>
        <v>-174009347639454.59</v>
      </c>
      <c r="J4997" s="455">
        <f t="array" ref="J4997">IFERROR(INDEX('Retirement Calculator'!J:J,MATCH('Isaac 401k'!N4997,'Retirement Calculator'!A:A,0),0),0)</f>
        <v>0</v>
      </c>
      <c r="K4997" s="455">
        <f t="shared" ca="1" si="196"/>
        <v>-725038948497.72742</v>
      </c>
      <c r="L4997" s="455">
        <f t="shared" ca="1" si="197"/>
        <v>-174734386587952.31</v>
      </c>
      <c r="M4997" s="471">
        <f t="shared" si="199"/>
        <v>0.05</v>
      </c>
      <c r="N4997" s="475">
        <f t="shared" si="200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98"/>
        <v>-174734386587952.31</v>
      </c>
      <c r="J4998" s="455">
        <f t="array" ref="J4998">IFERROR(INDEX('Retirement Calculator'!J:J,MATCH('Isaac 401k'!N4998,'Retirement Calculator'!A:A,0),0),0)</f>
        <v>0</v>
      </c>
      <c r="K4998" s="455">
        <f t="shared" ca="1" si="196"/>
        <v>-728059944116.46802</v>
      </c>
      <c r="L4998" s="455">
        <f t="shared" ca="1" si="197"/>
        <v>-175462446532068.78</v>
      </c>
      <c r="M4998" s="471">
        <f t="shared" si="199"/>
        <v>0.05</v>
      </c>
      <c r="N4998" s="475">
        <f t="shared" si="200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98"/>
        <v>-175462446532068.78</v>
      </c>
      <c r="J4999" s="455">
        <f t="array" ref="J4999">IFERROR(INDEX('Retirement Calculator'!J:J,MATCH('Isaac 401k'!N4999,'Retirement Calculator'!A:A,0),0),0)</f>
        <v>0</v>
      </c>
      <c r="K4999" s="455">
        <f t="shared" ca="1" si="196"/>
        <v>-731093527216.95325</v>
      </c>
      <c r="L4999" s="455">
        <f t="shared" ca="1" si="197"/>
        <v>-176193540059285.75</v>
      </c>
      <c r="M4999" s="471">
        <f t="shared" si="199"/>
        <v>0.05</v>
      </c>
      <c r="N4999" s="475">
        <f t="shared" si="200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98"/>
        <v>-176193540059285.75</v>
      </c>
      <c r="J5000" s="455">
        <f t="array" ref="J5000">IFERROR(INDEX('Retirement Calculator'!J:J,MATCH('Isaac 401k'!N5000,'Retirement Calculator'!A:A,0),0),0)</f>
        <v>0</v>
      </c>
      <c r="K5000" s="455">
        <f t="shared" ca="1" si="196"/>
        <v>-734139750247.02393</v>
      </c>
      <c r="L5000" s="455">
        <f t="shared" ca="1" si="197"/>
        <v>-176927679809532.78</v>
      </c>
      <c r="M5000" s="471">
        <f t="shared" si="199"/>
        <v>0.05</v>
      </c>
      <c r="N5000" s="475">
        <f t="shared" si="200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98"/>
        <v>-176927679809532.78</v>
      </c>
      <c r="J5001" s="455">
        <f t="array" ref="J5001">IFERROR(INDEX('Retirement Calculator'!J:J,MATCH('Isaac 401k'!N5001,'Retirement Calculator'!A:A,0),0),0)</f>
        <v>0</v>
      </c>
      <c r="K5001" s="455">
        <f t="shared" ca="1" si="196"/>
        <v>-737198665873.05322</v>
      </c>
      <c r="L5001" s="455">
        <f t="shared" ca="1" si="197"/>
        <v>-177664878475405.84</v>
      </c>
      <c r="M5001" s="471">
        <f t="shared" si="199"/>
        <v>0.05</v>
      </c>
      <c r="N5001" s="475">
        <f t="shared" si="200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98"/>
        <v>-177664878475405.84</v>
      </c>
      <c r="J5002" s="455">
        <f t="array" ref="J5002">IFERROR(INDEX('Retirement Calculator'!J:J,MATCH('Isaac 401k'!N5002,'Retirement Calculator'!A:A,0),0),0)</f>
        <v>0</v>
      </c>
      <c r="K5002" s="455">
        <f t="shared" ca="1" si="196"/>
        <v>-740270326980.85767</v>
      </c>
      <c r="L5002" s="455">
        <f t="shared" ca="1" si="197"/>
        <v>-178405148802386.69</v>
      </c>
      <c r="M5002" s="471">
        <f t="shared" si="199"/>
        <v>0.05</v>
      </c>
      <c r="N5002" s="475">
        <f t="shared" si="200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98"/>
        <v>-178405148802386.69</v>
      </c>
      <c r="J5003" s="455">
        <f t="array" ref="J5003">IFERROR(INDEX('Retirement Calculator'!J:J,MATCH('Isaac 401k'!N5003,'Retirement Calculator'!A:A,0),0),0)</f>
        <v>0</v>
      </c>
      <c r="K5003" s="455">
        <f t="shared" ca="1" si="196"/>
        <v>-743354786676.61121</v>
      </c>
      <c r="L5003" s="455">
        <f t="shared" ca="1" si="197"/>
        <v>-179148503589063.31</v>
      </c>
      <c r="M5003" s="471">
        <f t="shared" si="199"/>
        <v>0.05</v>
      </c>
      <c r="N5003" s="475">
        <f t="shared" si="200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98"/>
        <v>-179148503589063.31</v>
      </c>
      <c r="J5004" s="455">
        <f t="array" ref="J5004">IFERROR(INDEX('Retirement Calculator'!J:J,MATCH('Isaac 401k'!N5004,'Retirement Calculator'!A:A,0),0),0)</f>
        <v>0</v>
      </c>
      <c r="K5004" s="455">
        <f t="shared" ca="1" si="196"/>
        <v>-746452098287.76379</v>
      </c>
      <c r="L5004" s="455">
        <f t="shared" ca="1" si="197"/>
        <v>-179894955687351.06</v>
      </c>
      <c r="M5004" s="471">
        <f t="shared" si="199"/>
        <v>0.05</v>
      </c>
      <c r="N5004" s="475">
        <f t="shared" si="200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98"/>
        <v>-179894955687351.06</v>
      </c>
      <c r="J5005" s="455">
        <f t="array" ref="J5005">IFERROR(INDEX('Retirement Calculator'!J:J,MATCH('Isaac 401k'!N5005,'Retirement Calculator'!A:A,0),0),0)</f>
        <v>0</v>
      </c>
      <c r="K5005" s="455">
        <f t="shared" ca="1" si="196"/>
        <v>-749562315363.96277</v>
      </c>
      <c r="L5005" s="455">
        <f t="shared" ca="1" si="197"/>
        <v>-180644518002715.03</v>
      </c>
      <c r="M5005" s="471">
        <f t="shared" si="199"/>
        <v>0.05</v>
      </c>
      <c r="N5005" s="475">
        <f t="shared" si="200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98"/>
        <v>-180644518002715.03</v>
      </c>
      <c r="J5006" s="455">
        <f t="array" ref="J5006">IFERROR(INDEX('Retirement Calculator'!J:J,MATCH('Isaac 401k'!N5006,'Retirement Calculator'!A:A,0),0),0)</f>
        <v>0</v>
      </c>
      <c r="K5006" s="455">
        <f t="shared" ca="1" si="196"/>
        <v>-752685491677.97925</v>
      </c>
      <c r="L5006" s="455">
        <f t="shared" ca="1" si="197"/>
        <v>-181397203494393</v>
      </c>
      <c r="M5006" s="471">
        <f t="shared" si="199"/>
        <v>0.05</v>
      </c>
      <c r="N5006" s="475">
        <f t="shared" si="200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98"/>
        <v>-181397203494393</v>
      </c>
      <c r="J5007" s="455">
        <f t="array" ref="J5007">IFERROR(INDEX('Retirement Calculator'!J:J,MATCH('Isaac 401k'!N5007,'Retirement Calculator'!A:A,0),0),0)</f>
        <v>0</v>
      </c>
      <c r="K5007" s="455">
        <f t="shared" ca="1" si="196"/>
        <v>-755821681226.63745</v>
      </c>
      <c r="L5007" s="455">
        <f t="shared" ca="1" si="197"/>
        <v>-182153025175619.63</v>
      </c>
      <c r="M5007" s="471">
        <f t="shared" si="199"/>
        <v>0.05</v>
      </c>
      <c r="N5007" s="475">
        <f t="shared" si="200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98"/>
        <v>-182153025175619.63</v>
      </c>
      <c r="J5008" s="455">
        <f t="array" ref="J5008">IFERROR(INDEX('Retirement Calculator'!J:J,MATCH('Isaac 401k'!N5008,'Retirement Calculator'!A:A,0),0),0)</f>
        <v>0</v>
      </c>
      <c r="K5008" s="455">
        <f t="shared" ca="1" si="196"/>
        <v>-758970938231.74841</v>
      </c>
      <c r="L5008" s="455">
        <f t="shared" ca="1" si="197"/>
        <v>-182911996113851.38</v>
      </c>
      <c r="M5008" s="471">
        <f t="shared" si="199"/>
        <v>0.05</v>
      </c>
      <c r="N5008" s="475">
        <f t="shared" si="200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98"/>
        <v>-182911996113851.38</v>
      </c>
      <c r="J5009" s="455">
        <f t="array" ref="J5009">IFERROR(INDEX('Retirement Calculator'!J:J,MATCH('Isaac 401k'!N5009,'Retirement Calculator'!A:A,0),0),0)</f>
        <v>0</v>
      </c>
      <c r="K5009" s="455">
        <f t="shared" ca="1" si="196"/>
        <v>-762133317141.04736</v>
      </c>
      <c r="L5009" s="455">
        <f t="shared" ca="1" si="197"/>
        <v>-183674129430992.44</v>
      </c>
      <c r="M5009" s="471">
        <f t="shared" si="199"/>
        <v>0.05</v>
      </c>
      <c r="N5009" s="475">
        <f t="shared" si="200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98"/>
        <v>-183674129430992.44</v>
      </c>
      <c r="J5010" s="455">
        <f t="array" ref="J5010">IFERROR(INDEX('Retirement Calculator'!J:J,MATCH('Isaac 401k'!N5010,'Retirement Calculator'!A:A,0),0),0)</f>
        <v>0</v>
      </c>
      <c r="K5010" s="455">
        <f t="shared" ca="1" si="196"/>
        <v>-765308872629.13513</v>
      </c>
      <c r="L5010" s="455">
        <f t="shared" ca="1" si="197"/>
        <v>-184439438303621.56</v>
      </c>
      <c r="M5010" s="471">
        <f t="shared" si="199"/>
        <v>0.05</v>
      </c>
      <c r="N5010" s="475">
        <f t="shared" si="200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98"/>
        <v>-184439438303621.56</v>
      </c>
      <c r="J5011" s="455">
        <f t="array" ref="J5011">IFERROR(INDEX('Retirement Calculator'!J:J,MATCH('Isaac 401k'!N5011,'Retirement Calculator'!A:A,0),0),0)</f>
        <v>0</v>
      </c>
      <c r="K5011" s="455">
        <f t="shared" ca="1" si="196"/>
        <v>-768497659598.42322</v>
      </c>
      <c r="L5011" s="455">
        <f t="shared" ca="1" si="197"/>
        <v>-185207935963220</v>
      </c>
      <c r="M5011" s="471">
        <f t="shared" si="199"/>
        <v>0.05</v>
      </c>
      <c r="N5011" s="475">
        <f t="shared" si="200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98"/>
        <v>-185207935963220</v>
      </c>
      <c r="J5012" s="455">
        <f t="array" ref="J5012">IFERROR(INDEX('Retirement Calculator'!J:J,MATCH('Isaac 401k'!N5012,'Retirement Calculator'!A:A,0),0),0)</f>
        <v>0</v>
      </c>
      <c r="K5012" s="455">
        <f t="shared" ca="1" si="196"/>
        <v>-771699733180.08337</v>
      </c>
      <c r="L5012" s="455">
        <f t="shared" ca="1" si="197"/>
        <v>-185979635696400.09</v>
      </c>
      <c r="M5012" s="471">
        <f t="shared" si="199"/>
        <v>0.05</v>
      </c>
      <c r="N5012" s="475">
        <f t="shared" si="200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98"/>
        <v>-185979635696400.09</v>
      </c>
      <c r="J5013" s="455">
        <f t="array" ref="J5013">IFERROR(INDEX('Retirement Calculator'!J:J,MATCH('Isaac 401k'!N5013,'Retirement Calculator'!A:A,0),0),0)</f>
        <v>0</v>
      </c>
      <c r="K5013" s="455">
        <f t="shared" ca="1" si="196"/>
        <v>-774915148735.00037</v>
      </c>
      <c r="L5013" s="455">
        <f t="shared" ca="1" si="197"/>
        <v>-186754550845135.09</v>
      </c>
      <c r="M5013" s="471">
        <f t="shared" si="199"/>
        <v>0.05</v>
      </c>
      <c r="N5013" s="475">
        <f t="shared" si="200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98"/>
        <v>-186754550845135.09</v>
      </c>
      <c r="J5014" s="455">
        <f t="array" ref="J5014">IFERROR(INDEX('Retirement Calculator'!J:J,MATCH('Isaac 401k'!N5014,'Retirement Calculator'!A:A,0),0),0)</f>
        <v>0</v>
      </c>
      <c r="K5014" s="455">
        <f t="shared" ca="1" si="196"/>
        <v>-778143961854.72949</v>
      </c>
      <c r="L5014" s="455">
        <f t="shared" ca="1" si="197"/>
        <v>-187532694806989.81</v>
      </c>
      <c r="M5014" s="471">
        <f t="shared" si="199"/>
        <v>0.05</v>
      </c>
      <c r="N5014" s="475">
        <f t="shared" si="200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98"/>
        <v>-187532694806989.81</v>
      </c>
      <c r="J5015" s="455">
        <f t="array" ref="J5015">IFERROR(INDEX('Retirement Calculator'!J:J,MATCH('Isaac 401k'!N5015,'Retirement Calculator'!A:A,0),0),0)</f>
        <v>0</v>
      </c>
      <c r="K5015" s="455">
        <f t="shared" ca="1" si="196"/>
        <v>-781386228362.45752</v>
      </c>
      <c r="L5015" s="455">
        <f t="shared" ca="1" si="197"/>
        <v>-188314081035352.28</v>
      </c>
      <c r="M5015" s="471">
        <f t="shared" si="199"/>
        <v>0.05</v>
      </c>
      <c r="N5015" s="475">
        <f t="shared" si="200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98"/>
        <v>-188314081035352.28</v>
      </c>
      <c r="J5016" s="455">
        <f t="array" ref="J5016">IFERROR(INDEX('Retirement Calculator'!J:J,MATCH('Isaac 401k'!N5016,'Retirement Calculator'!A:A,0),0),0)</f>
        <v>0</v>
      </c>
      <c r="K5016" s="455">
        <f t="shared" ca="1" si="196"/>
        <v>-784642004313.96777</v>
      </c>
      <c r="L5016" s="455">
        <f t="shared" ca="1" si="197"/>
        <v>-189098723039666.25</v>
      </c>
      <c r="M5016" s="471">
        <f t="shared" si="199"/>
        <v>0.05</v>
      </c>
      <c r="N5016" s="475">
        <f t="shared" si="200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98"/>
        <v>-189098723039666.25</v>
      </c>
      <c r="J5017" s="455">
        <f t="array" ref="J5017">IFERROR(INDEX('Retirement Calculator'!J:J,MATCH('Isaac 401k'!N5017,'Retirement Calculator'!A:A,0),0),0)</f>
        <v>0</v>
      </c>
      <c r="K5017" s="455">
        <f t="shared" ca="1" si="196"/>
        <v>-787911345998.60938</v>
      </c>
      <c r="L5017" s="455">
        <f t="shared" ca="1" si="197"/>
        <v>-189886634385664.88</v>
      </c>
      <c r="M5017" s="471">
        <f t="shared" si="199"/>
        <v>0.05</v>
      </c>
      <c r="N5017" s="475">
        <f t="shared" si="200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98"/>
        <v>-189886634385664.88</v>
      </c>
      <c r="J5018" s="455">
        <f t="array" ref="J5018">IFERROR(INDEX('Retirement Calculator'!J:J,MATCH('Isaac 401k'!N5018,'Retirement Calculator'!A:A,0),0),0)</f>
        <v>0</v>
      </c>
      <c r="K5018" s="455">
        <f t="shared" ca="1" si="196"/>
        <v>-791194309940.27026</v>
      </c>
      <c r="L5018" s="455">
        <f t="shared" ca="1" si="197"/>
        <v>-190677828695605.16</v>
      </c>
      <c r="M5018" s="471">
        <f t="shared" si="199"/>
        <v>0.05</v>
      </c>
      <c r="N5018" s="475">
        <f t="shared" si="200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98"/>
        <v>-190677828695605.16</v>
      </c>
      <c r="J5019" s="455">
        <f t="array" ref="J5019">IFERROR(INDEX('Retirement Calculator'!J:J,MATCH('Isaac 401k'!N5019,'Retirement Calculator'!A:A,0),0),0)</f>
        <v>0</v>
      </c>
      <c r="K5019" s="455">
        <f t="shared" ca="1" si="196"/>
        <v>-794490952898.35486</v>
      </c>
      <c r="L5019" s="455">
        <f t="shared" ca="1" si="197"/>
        <v>-191472319648503.5</v>
      </c>
      <c r="M5019" s="471">
        <f t="shared" si="199"/>
        <v>0.05</v>
      </c>
      <c r="N5019" s="475">
        <f t="shared" si="200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98"/>
        <v>-191472319648503.5</v>
      </c>
      <c r="J5020" s="455">
        <f t="array" ref="J5020">IFERROR(INDEX('Retirement Calculator'!J:J,MATCH('Isaac 401k'!N5020,'Retirement Calculator'!A:A,0),0),0)</f>
        <v>0</v>
      </c>
      <c r="K5020" s="455">
        <f t="shared" ca="1" si="196"/>
        <v>-797801331868.76453</v>
      </c>
      <c r="L5020" s="455">
        <f t="shared" ca="1" si="197"/>
        <v>-192270120980372.25</v>
      </c>
      <c r="M5020" s="471">
        <f t="shared" si="199"/>
        <v>0.05</v>
      </c>
      <c r="N5020" s="475">
        <f t="shared" si="200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98"/>
        <v>-192270120980372.25</v>
      </c>
      <c r="J5021" s="455">
        <f t="array" ref="J5021">IFERROR(INDEX('Retirement Calculator'!J:J,MATCH('Isaac 401k'!N5021,'Retirement Calculator'!A:A,0),0),0)</f>
        <v>0</v>
      </c>
      <c r="K5021" s="455">
        <f t="shared" ca="1" si="196"/>
        <v>-801125504084.8844</v>
      </c>
      <c r="L5021" s="455">
        <f t="shared" ca="1" si="197"/>
        <v>-193071246484457.13</v>
      </c>
      <c r="M5021" s="471">
        <f t="shared" si="199"/>
        <v>0.05</v>
      </c>
      <c r="N5021" s="475">
        <f t="shared" si="200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98"/>
        <v>-193071246484457.13</v>
      </c>
      <c r="J5022" s="455">
        <f t="array" ref="J5022">IFERROR(INDEX('Retirement Calculator'!J:J,MATCH('Isaac 401k'!N5022,'Retirement Calculator'!A:A,0),0),0)</f>
        <v>0</v>
      </c>
      <c r="K5022" s="455">
        <f t="shared" ca="1" si="196"/>
        <v>-804463527018.57129</v>
      </c>
      <c r="L5022" s="455">
        <f t="shared" ca="1" si="197"/>
        <v>-193875710011475.69</v>
      </c>
      <c r="M5022" s="471">
        <f t="shared" si="199"/>
        <v>0.05</v>
      </c>
      <c r="N5022" s="475">
        <f t="shared" si="200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98"/>
        <v>-193875710011475.69</v>
      </c>
      <c r="J5023" s="455">
        <f t="array" ref="J5023">IFERROR(INDEX('Retirement Calculator'!J:J,MATCH('Isaac 401k'!N5023,'Retirement Calculator'!A:A,0),0),0)</f>
        <v>0</v>
      </c>
      <c r="K5023" s="455">
        <f t="shared" ca="1" si="196"/>
        <v>-807815458381.14868</v>
      </c>
      <c r="L5023" s="455">
        <f t="shared" ca="1" si="197"/>
        <v>-194683525469856.84</v>
      </c>
      <c r="M5023" s="471">
        <f t="shared" si="199"/>
        <v>0.05</v>
      </c>
      <c r="N5023" s="475">
        <f t="shared" si="200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98"/>
        <v>-194683525469856.84</v>
      </c>
      <c r="J5024" s="455">
        <f t="array" ref="J5024">IFERROR(INDEX('Retirement Calculator'!J:J,MATCH('Isaac 401k'!N5024,'Retirement Calculator'!A:A,0),0),0)</f>
        <v>0</v>
      </c>
      <c r="K5024" s="455">
        <f t="shared" ca="1" si="196"/>
        <v>-811181356124.40356</v>
      </c>
      <c r="L5024" s="455">
        <f t="shared" ca="1" si="197"/>
        <v>-195494706825981.25</v>
      </c>
      <c r="M5024" s="471">
        <f t="shared" si="199"/>
        <v>0.05</v>
      </c>
      <c r="N5024" s="475">
        <f t="shared" si="200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98"/>
        <v>-195494706825981.25</v>
      </c>
      <c r="J5025" s="455">
        <f t="array" ref="J5025">IFERROR(INDEX('Retirement Calculator'!J:J,MATCH('Isaac 401k'!N5025,'Retirement Calculator'!A:A,0),0),0)</f>
        <v>0</v>
      </c>
      <c r="K5025" s="455">
        <f t="shared" ca="1" si="196"/>
        <v>-814561278441.5885</v>
      </c>
      <c r="L5025" s="455">
        <f t="shared" ca="1" si="197"/>
        <v>-196309268104422.84</v>
      </c>
      <c r="M5025" s="471">
        <f t="shared" si="199"/>
        <v>0.05</v>
      </c>
      <c r="N5025" s="475">
        <f t="shared" si="200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98"/>
        <v>-196309268104422.84</v>
      </c>
      <c r="J5026" s="455">
        <f t="array" ref="J5026">IFERROR(INDEX('Retirement Calculator'!J:J,MATCH('Isaac 401k'!N5026,'Retirement Calculator'!A:A,0),0),0)</f>
        <v>0</v>
      </c>
      <c r="K5026" s="455">
        <f t="shared" ca="1" si="196"/>
        <v>-817955283768.42847</v>
      </c>
      <c r="L5026" s="455">
        <f t="shared" ca="1" si="197"/>
        <v>-197127223388191.28</v>
      </c>
      <c r="M5026" s="471">
        <f t="shared" si="199"/>
        <v>0.05</v>
      </c>
      <c r="N5026" s="475">
        <f t="shared" si="200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98"/>
        <v>-197127223388191.28</v>
      </c>
      <c r="J5027" s="455">
        <f t="array" ref="J5027">IFERROR(INDEX('Retirement Calculator'!J:J,MATCH('Isaac 401k'!N5027,'Retirement Calculator'!A:A,0),0),0)</f>
        <v>0</v>
      </c>
      <c r="K5027" s="455">
        <f t="shared" ca="1" si="196"/>
        <v>-821363430784.13037</v>
      </c>
      <c r="L5027" s="455">
        <f t="shared" ca="1" si="197"/>
        <v>-197948586818975.41</v>
      </c>
      <c r="M5027" s="471">
        <f t="shared" si="199"/>
        <v>0.05</v>
      </c>
      <c r="N5027" s="475">
        <f t="shared" si="200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98"/>
        <v>-197948586818975.41</v>
      </c>
      <c r="J5028" s="455">
        <f t="array" ref="J5028">IFERROR(INDEX('Retirement Calculator'!J:J,MATCH('Isaac 401k'!N5028,'Retirement Calculator'!A:A,0),0),0)</f>
        <v>0</v>
      </c>
      <c r="K5028" s="455">
        <f t="shared" ca="1" si="196"/>
        <v>-824785778412.39746</v>
      </c>
      <c r="L5028" s="455">
        <f t="shared" ca="1" si="197"/>
        <v>-198773372597387.81</v>
      </c>
      <c r="M5028" s="471">
        <f t="shared" si="199"/>
        <v>0.05</v>
      </c>
      <c r="N5028" s="475">
        <f t="shared" si="200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98"/>
        <v>-198773372597387.81</v>
      </c>
      <c r="J5029" s="455">
        <f t="array" ref="J5029">IFERROR(INDEX('Retirement Calculator'!J:J,MATCH('Isaac 401k'!N5029,'Retirement Calculator'!A:A,0),0),0)</f>
        <v>0</v>
      </c>
      <c r="K5029" s="455">
        <f t="shared" ca="1" si="196"/>
        <v>-828222385822.44922</v>
      </c>
      <c r="L5029" s="455">
        <f t="shared" ca="1" si="197"/>
        <v>-199601594983210.25</v>
      </c>
      <c r="M5029" s="471">
        <f t="shared" si="199"/>
        <v>0.05</v>
      </c>
      <c r="N5029" s="475">
        <f t="shared" si="200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98"/>
        <v>-199601594983210.25</v>
      </c>
      <c r="J5030" s="455">
        <f t="array" ref="J5030">IFERROR(INDEX('Retirement Calculator'!J:J,MATCH('Isaac 401k'!N5030,'Retirement Calculator'!A:A,0),0),0)</f>
        <v>0</v>
      </c>
      <c r="K5030" s="455">
        <f t="shared" ca="1" si="196"/>
        <v>-831673312430.04272</v>
      </c>
      <c r="L5030" s="455">
        <f t="shared" ca="1" si="197"/>
        <v>-200433268295640.28</v>
      </c>
      <c r="M5030" s="471">
        <f t="shared" si="199"/>
        <v>0.05</v>
      </c>
      <c r="N5030" s="475">
        <f t="shared" si="200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98"/>
        <v>-200433268295640.28</v>
      </c>
      <c r="J5031" s="455">
        <f t="array" ref="J5031">IFERROR(INDEX('Retirement Calculator'!J:J,MATCH('Isaac 401k'!N5031,'Retirement Calculator'!A:A,0),0),0)</f>
        <v>0</v>
      </c>
      <c r="K5031" s="455">
        <f t="shared" ca="1" si="196"/>
        <v>-835138617898.50122</v>
      </c>
      <c r="L5031" s="455">
        <f t="shared" ca="1" si="197"/>
        <v>-201268406913538.78</v>
      </c>
      <c r="M5031" s="471">
        <f t="shared" si="199"/>
        <v>0.05</v>
      </c>
      <c r="N5031" s="475">
        <f t="shared" si="200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98"/>
        <v>-201268406913538.78</v>
      </c>
      <c r="J5032" s="455">
        <f t="array" ref="J5032">IFERROR(INDEX('Retirement Calculator'!J:J,MATCH('Isaac 401k'!N5032,'Retirement Calculator'!A:A,0),0),0)</f>
        <v>0</v>
      </c>
      <c r="K5032" s="455">
        <f t="shared" ca="1" si="196"/>
        <v>-838618362139.74487</v>
      </c>
      <c r="L5032" s="455">
        <f t="shared" ca="1" si="197"/>
        <v>-202107025275678.53</v>
      </c>
      <c r="M5032" s="471">
        <f t="shared" si="199"/>
        <v>0.05</v>
      </c>
      <c r="N5032" s="475">
        <f t="shared" si="200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98"/>
        <v>-202107025275678.53</v>
      </c>
      <c r="J5033" s="455">
        <f t="array" ref="J5033">IFERROR(INDEX('Retirement Calculator'!J:J,MATCH('Isaac 401k'!N5033,'Retirement Calculator'!A:A,0),0),0)</f>
        <v>0</v>
      </c>
      <c r="K5033" s="455">
        <f t="shared" ca="1" si="196"/>
        <v>-842112605315.32715</v>
      </c>
      <c r="L5033" s="455">
        <f t="shared" ca="1" si="197"/>
        <v>-202949137880993.84</v>
      </c>
      <c r="M5033" s="471">
        <f t="shared" si="199"/>
        <v>0.05</v>
      </c>
      <c r="N5033" s="475">
        <f t="shared" si="200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98"/>
        <v>-202949137880993.84</v>
      </c>
      <c r="J5034" s="455">
        <f t="array" ref="J5034">IFERROR(INDEX('Retirement Calculator'!J:J,MATCH('Isaac 401k'!N5034,'Retirement Calculator'!A:A,0),0),0)</f>
        <v>0</v>
      </c>
      <c r="K5034" s="455">
        <f t="shared" ca="1" si="196"/>
        <v>-845621407837.47437</v>
      </c>
      <c r="L5034" s="455">
        <f t="shared" ca="1" si="197"/>
        <v>-203794759288831.31</v>
      </c>
      <c r="M5034" s="471">
        <f t="shared" si="199"/>
        <v>0.05</v>
      </c>
      <c r="N5034" s="475">
        <f t="shared" si="200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98"/>
        <v>-203794759288831.31</v>
      </c>
      <c r="J5035" s="455">
        <f t="array" ref="J5035">IFERROR(INDEX('Retirement Calculator'!J:J,MATCH('Isaac 401k'!N5035,'Retirement Calculator'!A:A,0),0),0)</f>
        <v>0</v>
      </c>
      <c r="K5035" s="455">
        <f t="shared" ca="1" si="196"/>
        <v>-849144830370.13049</v>
      </c>
      <c r="L5035" s="455">
        <f t="shared" ca="1" si="197"/>
        <v>-204643904119201.44</v>
      </c>
      <c r="M5035" s="471">
        <f t="shared" si="199"/>
        <v>0.05</v>
      </c>
      <c r="N5035" s="475">
        <f t="shared" si="200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98"/>
        <v>-204643904119201.44</v>
      </c>
      <c r="J5036" s="455">
        <f t="array" ref="J5036">IFERROR(INDEX('Retirement Calculator'!J:J,MATCH('Isaac 401k'!N5036,'Retirement Calculator'!A:A,0),0),0)</f>
        <v>0</v>
      </c>
      <c r="K5036" s="455">
        <f t="shared" ca="1" si="196"/>
        <v>-852682933830.00598</v>
      </c>
      <c r="L5036" s="455">
        <f t="shared" ca="1" si="197"/>
        <v>-205496587053031.44</v>
      </c>
      <c r="M5036" s="471">
        <f t="shared" si="199"/>
        <v>0.05</v>
      </c>
      <c r="N5036" s="475">
        <f t="shared" si="200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98"/>
        <v>-205496587053031.44</v>
      </c>
      <c r="J5037" s="455">
        <f t="array" ref="J5037">IFERROR(INDEX('Retirement Calculator'!J:J,MATCH('Isaac 401k'!N5037,'Retirement Calculator'!A:A,0),0),0)</f>
        <v>0</v>
      </c>
      <c r="K5037" s="455">
        <f t="shared" ca="1" si="196"/>
        <v>-856235779387.63098</v>
      </c>
      <c r="L5037" s="455">
        <f t="shared" ca="1" si="197"/>
        <v>-206352822832419.06</v>
      </c>
      <c r="M5037" s="471">
        <f t="shared" si="199"/>
        <v>0.05</v>
      </c>
      <c r="N5037" s="475">
        <f t="shared" si="200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98"/>
        <v>-206352822832419.06</v>
      </c>
      <c r="J5038" s="455">
        <f t="array" ref="J5038">IFERROR(INDEX('Retirement Calculator'!J:J,MATCH('Isaac 401k'!N5038,'Retirement Calculator'!A:A,0),0),0)</f>
        <v>0</v>
      </c>
      <c r="K5038" s="455">
        <f t="shared" ca="1" si="196"/>
        <v>-859803428468.41272</v>
      </c>
      <c r="L5038" s="455">
        <f t="shared" ca="1" si="197"/>
        <v>-207212626260887.47</v>
      </c>
      <c r="M5038" s="471">
        <f t="shared" si="199"/>
        <v>0.05</v>
      </c>
      <c r="N5038" s="475">
        <f t="shared" si="200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98"/>
        <v>-207212626260887.47</v>
      </c>
      <c r="J5039" s="455">
        <f t="array" ref="J5039">IFERROR(INDEX('Retirement Calculator'!J:J,MATCH('Isaac 401k'!N5039,'Retirement Calculator'!A:A,0),0),0)</f>
        <v>0</v>
      </c>
      <c r="K5039" s="455">
        <f t="shared" ca="1" si="196"/>
        <v>-863385942753.69775</v>
      </c>
      <c r="L5039" s="455">
        <f t="shared" ca="1" si="197"/>
        <v>-208076012203641.16</v>
      </c>
      <c r="M5039" s="471">
        <f t="shared" si="199"/>
        <v>0.05</v>
      </c>
      <c r="N5039" s="475">
        <f t="shared" si="200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98"/>
        <v>-208076012203641.16</v>
      </c>
      <c r="J5040" s="455">
        <f t="array" ref="J5040">IFERROR(INDEX('Retirement Calculator'!J:J,MATCH('Isaac 401k'!N5040,'Retirement Calculator'!A:A,0),0),0)</f>
        <v>0</v>
      </c>
      <c r="K5040" s="455">
        <f t="shared" ca="1" si="196"/>
        <v>-866983384181.83813</v>
      </c>
      <c r="L5040" s="455">
        <f t="shared" ca="1" si="197"/>
        <v>-208942995587823</v>
      </c>
      <c r="M5040" s="471">
        <f t="shared" si="199"/>
        <v>0.05</v>
      </c>
      <c r="N5040" s="475">
        <f t="shared" si="200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98"/>
        <v>-208942995587823</v>
      </c>
      <c r="J5041" s="455">
        <f t="array" ref="J5041">IFERROR(INDEX('Retirement Calculator'!J:J,MATCH('Isaac 401k'!N5041,'Retirement Calculator'!A:A,0),0),0)</f>
        <v>0</v>
      </c>
      <c r="K5041" s="455">
        <f t="shared" ca="1" si="196"/>
        <v>-870595814949.26245</v>
      </c>
      <c r="L5041" s="455">
        <f t="shared" ca="1" si="197"/>
        <v>-209813591402772.25</v>
      </c>
      <c r="M5041" s="471">
        <f t="shared" si="199"/>
        <v>0.05</v>
      </c>
      <c r="N5041" s="475">
        <f t="shared" si="200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98"/>
        <v>-209813591402772.25</v>
      </c>
      <c r="J5042" s="455">
        <f t="array" ref="J5042">IFERROR(INDEX('Retirement Calculator'!J:J,MATCH('Isaac 401k'!N5042,'Retirement Calculator'!A:A,0),0),0)</f>
        <v>0</v>
      </c>
      <c r="K5042" s="455">
        <f t="shared" ca="1" si="196"/>
        <v>-874223297511.55103</v>
      </c>
      <c r="L5042" s="455">
        <f t="shared" ca="1" si="197"/>
        <v>-210687814700283.81</v>
      </c>
      <c r="M5042" s="471">
        <f t="shared" si="199"/>
        <v>0.05</v>
      </c>
      <c r="N5042" s="475">
        <f t="shared" si="200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98"/>
        <v>-210687814700283.81</v>
      </c>
      <c r="J5043" s="455">
        <f t="array" ref="J5043">IFERROR(INDEX('Retirement Calculator'!J:J,MATCH('Isaac 401k'!N5043,'Retirement Calculator'!A:A,0),0),0)</f>
        <v>0</v>
      </c>
      <c r="K5043" s="455">
        <f t="shared" ca="1" si="196"/>
        <v>-877865894584.51587</v>
      </c>
      <c r="L5043" s="455">
        <f t="shared" ca="1" si="197"/>
        <v>-211565680594868.34</v>
      </c>
      <c r="M5043" s="471">
        <f t="shared" si="199"/>
        <v>0.05</v>
      </c>
      <c r="N5043" s="475">
        <f t="shared" si="200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98"/>
        <v>-211565680594868.34</v>
      </c>
      <c r="J5044" s="455">
        <f t="array" ref="J5044">IFERROR(INDEX('Retirement Calculator'!J:J,MATCH('Isaac 401k'!N5044,'Retirement Calculator'!A:A,0),0),0)</f>
        <v>0</v>
      </c>
      <c r="K5044" s="455">
        <f t="shared" ca="1" si="196"/>
        <v>-881523669145.28479</v>
      </c>
      <c r="L5044" s="455">
        <f t="shared" ca="1" si="197"/>
        <v>-212447204264013.63</v>
      </c>
      <c r="M5044" s="471">
        <f t="shared" si="199"/>
        <v>0.05</v>
      </c>
      <c r="N5044" s="475">
        <f t="shared" si="200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98"/>
        <v>-212447204264013.63</v>
      </c>
      <c r="J5045" s="455">
        <f t="array" ref="J5045">IFERROR(INDEX('Retirement Calculator'!J:J,MATCH('Isaac 401k'!N5045,'Retirement Calculator'!A:A,0),0),0)</f>
        <v>0</v>
      </c>
      <c r="K5045" s="455">
        <f t="shared" ca="1" si="196"/>
        <v>-885196684433.39014</v>
      </c>
      <c r="L5045" s="455">
        <f t="shared" ca="1" si="197"/>
        <v>-213332400948447</v>
      </c>
      <c r="M5045" s="471">
        <f t="shared" si="199"/>
        <v>0.05</v>
      </c>
      <c r="N5045" s="475">
        <f t="shared" si="200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98"/>
        <v>-213332400948447</v>
      </c>
      <c r="J5046" s="455">
        <f t="array" ref="J5046">IFERROR(INDEX('Retirement Calculator'!J:J,MATCH('Isaac 401k'!N5046,'Retirement Calculator'!A:A,0),0),0)</f>
        <v>0</v>
      </c>
      <c r="K5046" s="455">
        <f t="shared" ca="1" si="196"/>
        <v>-888885003951.86243</v>
      </c>
      <c r="L5046" s="455">
        <f t="shared" ca="1" si="197"/>
        <v>-214221285952398.88</v>
      </c>
      <c r="M5046" s="471">
        <f t="shared" si="199"/>
        <v>0.05</v>
      </c>
      <c r="N5046" s="475">
        <f t="shared" si="200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98"/>
        <v>-214221285952398.88</v>
      </c>
      <c r="J5047" s="455">
        <f t="array" ref="J5047">IFERROR(INDEX('Retirement Calculator'!J:J,MATCH('Isaac 401k'!N5047,'Retirement Calculator'!A:A,0),0),0)</f>
        <v>0</v>
      </c>
      <c r="K5047" s="455">
        <f t="shared" ca="1" si="196"/>
        <v>-892588691468.32861</v>
      </c>
      <c r="L5047" s="455">
        <f t="shared" ca="1" si="197"/>
        <v>-215113874643867.22</v>
      </c>
      <c r="M5047" s="471">
        <f t="shared" si="199"/>
        <v>0.05</v>
      </c>
      <c r="N5047" s="475">
        <f t="shared" si="200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98"/>
        <v>-215113874643867.22</v>
      </c>
      <c r="J5048" s="455">
        <f t="array" ref="J5048">IFERROR(INDEX('Retirement Calculator'!J:J,MATCH('Isaac 401k'!N5048,'Retirement Calculator'!A:A,0),0),0)</f>
        <v>0</v>
      </c>
      <c r="K5048" s="455">
        <f t="shared" ca="1" si="196"/>
        <v>-896307811016.1134</v>
      </c>
      <c r="L5048" s="455">
        <f t="shared" ca="1" si="197"/>
        <v>-216010182454883.34</v>
      </c>
      <c r="M5048" s="471">
        <f t="shared" si="199"/>
        <v>0.05</v>
      </c>
      <c r="N5048" s="475">
        <f t="shared" si="200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98"/>
        <v>-216010182454883.34</v>
      </c>
      <c r="J5049" s="455">
        <f t="array" ref="J5049">IFERROR(INDEX('Retirement Calculator'!J:J,MATCH('Isaac 401k'!N5049,'Retirement Calculator'!A:A,0),0),0)</f>
        <v>0</v>
      </c>
      <c r="K5049" s="455">
        <f t="shared" ca="1" si="196"/>
        <v>-900042426895.34729</v>
      </c>
      <c r="L5049" s="455">
        <f t="shared" ca="1" si="197"/>
        <v>-216910224881778.69</v>
      </c>
      <c r="M5049" s="471">
        <f t="shared" si="199"/>
        <v>0.05</v>
      </c>
      <c r="N5049" s="475">
        <f t="shared" si="200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98"/>
        <v>-216910224881778.69</v>
      </c>
      <c r="J5050" s="455">
        <f t="array" ref="J5050">IFERROR(INDEX('Retirement Calculator'!J:J,MATCH('Isaac 401k'!N5050,'Retirement Calculator'!A:A,0),0),0)</f>
        <v>0</v>
      </c>
      <c r="K5050" s="455">
        <f t="shared" ca="1" si="196"/>
        <v>-903792603674.07788</v>
      </c>
      <c r="L5050" s="455">
        <f t="shared" ca="1" si="197"/>
        <v>-217814017485452.75</v>
      </c>
      <c r="M5050" s="471">
        <f t="shared" si="199"/>
        <v>0.05</v>
      </c>
      <c r="N5050" s="475">
        <f t="shared" si="200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98"/>
        <v>-217814017485452.75</v>
      </c>
      <c r="J5051" s="455">
        <f t="array" ref="J5051">IFERROR(INDEX('Retirement Calculator'!J:J,MATCH('Isaac 401k'!N5051,'Retirement Calculator'!A:A,0),0),0)</f>
        <v>0</v>
      </c>
      <c r="K5051" s="455">
        <f t="shared" ca="1" si="196"/>
        <v>-907558406189.38647</v>
      </c>
      <c r="L5051" s="455">
        <f t="shared" ca="1" si="197"/>
        <v>-218721575891642.13</v>
      </c>
      <c r="M5051" s="471">
        <f t="shared" si="199"/>
        <v>0.05</v>
      </c>
      <c r="N5051" s="475">
        <f t="shared" si="200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98"/>
        <v>-218721575891642.13</v>
      </c>
      <c r="J5052" s="455">
        <f t="array" ref="J5052">IFERROR(INDEX('Retirement Calculator'!J:J,MATCH('Isaac 401k'!N5052,'Retirement Calculator'!A:A,0),0),0)</f>
        <v>0</v>
      </c>
      <c r="K5052" s="455">
        <f t="shared" ca="1" si="196"/>
        <v>-911339899548.50879</v>
      </c>
      <c r="L5052" s="455">
        <f t="shared" ca="1" si="197"/>
        <v>-219632915791190.63</v>
      </c>
      <c r="M5052" s="471">
        <f t="shared" si="199"/>
        <v>0.05</v>
      </c>
      <c r="N5052" s="475">
        <f t="shared" si="200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98"/>
        <v>-219632915791190.63</v>
      </c>
      <c r="J5053" s="455">
        <f t="array" ref="J5053">IFERROR(INDEX('Retirement Calculator'!J:J,MATCH('Isaac 401k'!N5053,'Retirement Calculator'!A:A,0),0),0)</f>
        <v>0</v>
      </c>
      <c r="K5053" s="455">
        <f t="shared" ca="1" si="196"/>
        <v>-915137149129.96106</v>
      </c>
      <c r="L5053" s="455">
        <f t="shared" ca="1" si="197"/>
        <v>-220548052940320.59</v>
      </c>
      <c r="M5053" s="471">
        <f t="shared" si="199"/>
        <v>0.05</v>
      </c>
      <c r="N5053" s="475">
        <f t="shared" si="200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98"/>
        <v>-220548052940320.59</v>
      </c>
      <c r="J5054" s="455">
        <f t="array" ref="J5054">IFERROR(INDEX('Retirement Calculator'!J:J,MATCH('Isaac 401k'!N5054,'Retirement Calculator'!A:A,0),0),0)</f>
        <v>0</v>
      </c>
      <c r="K5054" s="455">
        <f t="shared" ca="1" si="196"/>
        <v>-918950220584.66907</v>
      </c>
      <c r="L5054" s="455">
        <f t="shared" ca="1" si="197"/>
        <v>-221467003160905.25</v>
      </c>
      <c r="M5054" s="471">
        <f t="shared" si="199"/>
        <v>0.05</v>
      </c>
      <c r="N5054" s="475">
        <f t="shared" si="200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98"/>
        <v>-221467003160905.25</v>
      </c>
      <c r="J5055" s="455">
        <f t="array" ref="J5055">IFERROR(INDEX('Retirement Calculator'!J:J,MATCH('Isaac 401k'!N5055,'Retirement Calculator'!A:A,0),0),0)</f>
        <v>0</v>
      </c>
      <c r="K5055" s="455">
        <f t="shared" ca="1" si="196"/>
        <v>-922779179837.10522</v>
      </c>
      <c r="L5055" s="455">
        <f t="shared" ca="1" si="197"/>
        <v>-222389782340742.34</v>
      </c>
      <c r="M5055" s="471">
        <f t="shared" si="199"/>
        <v>0.05</v>
      </c>
      <c r="N5055" s="475">
        <f t="shared" si="200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98"/>
        <v>-222389782340742.34</v>
      </c>
      <c r="J5056" s="455">
        <f t="array" ref="J5056">IFERROR(INDEX('Retirement Calculator'!J:J,MATCH('Isaac 401k'!N5056,'Retirement Calculator'!A:A,0),0),0)</f>
        <v>0</v>
      </c>
      <c r="K5056" s="455">
        <f t="shared" ca="1" si="196"/>
        <v>-926624093086.42651</v>
      </c>
      <c r="L5056" s="455">
        <f t="shared" ca="1" si="197"/>
        <v>-223316406433828.78</v>
      </c>
      <c r="M5056" s="471">
        <f t="shared" si="199"/>
        <v>0.05</v>
      </c>
      <c r="N5056" s="475">
        <f t="shared" si="200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98"/>
        <v>-223316406433828.78</v>
      </c>
      <c r="J5057" s="455">
        <f t="array" ref="J5057">IFERROR(INDEX('Retirement Calculator'!J:J,MATCH('Isaac 401k'!N5057,'Retirement Calculator'!A:A,0),0),0)</f>
        <v>0</v>
      </c>
      <c r="K5057" s="455">
        <f t="shared" ca="1" si="196"/>
        <v>-930485026807.61987</v>
      </c>
      <c r="L5057" s="455">
        <f t="shared" ca="1" si="197"/>
        <v>-224246891460636.41</v>
      </c>
      <c r="M5057" s="471">
        <f t="shared" si="199"/>
        <v>0.05</v>
      </c>
      <c r="N5057" s="475">
        <f t="shared" si="200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98"/>
        <v>-224246891460636.41</v>
      </c>
      <c r="J5058" s="455">
        <f t="array" ref="J5058">IFERROR(INDEX('Retirement Calculator'!J:J,MATCH('Isaac 401k'!N5058,'Retirement Calculator'!A:A,0),0),0)</f>
        <v>0</v>
      </c>
      <c r="K5058" s="455">
        <f t="shared" ca="1" si="196"/>
        <v>-934362047752.65173</v>
      </c>
      <c r="L5058" s="455">
        <f t="shared" ca="1" si="197"/>
        <v>-225181253508389.06</v>
      </c>
      <c r="M5058" s="471">
        <f t="shared" si="199"/>
        <v>0.05</v>
      </c>
      <c r="N5058" s="475">
        <f t="shared" si="200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98"/>
        <v>-225181253508389.06</v>
      </c>
      <c r="J5059" s="455">
        <f t="array" ref="J5059">IFERROR(INDEX('Retirement Calculator'!J:J,MATCH('Isaac 401k'!N5059,'Retirement Calculator'!A:A,0),0),0)</f>
        <v>0</v>
      </c>
      <c r="K5059" s="455">
        <f t="shared" ca="1" si="196"/>
        <v>-938255222951.62109</v>
      </c>
      <c r="L5059" s="455">
        <f t="shared" ca="1" si="197"/>
        <v>-226119508731340.69</v>
      </c>
      <c r="M5059" s="471">
        <f t="shared" si="199"/>
        <v>0.05</v>
      </c>
      <c r="N5059" s="475">
        <f t="shared" si="200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98"/>
        <v>-226119508731340.69</v>
      </c>
      <c r="J5060" s="455">
        <f t="array" ref="J5060">IFERROR(INDEX('Retirement Calculator'!J:J,MATCH('Isaac 401k'!N5060,'Retirement Calculator'!A:A,0),0),0)</f>
        <v>0</v>
      </c>
      <c r="K5060" s="455">
        <f t="shared" ca="1" si="196"/>
        <v>-942164619713.91968</v>
      </c>
      <c r="L5060" s="455">
        <f t="shared" ca="1" si="197"/>
        <v>-227061673351054.59</v>
      </c>
      <c r="M5060" s="471">
        <f t="shared" si="199"/>
        <v>0.05</v>
      </c>
      <c r="N5060" s="475">
        <f t="shared" si="200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98"/>
        <v>-227061673351054.59</v>
      </c>
      <c r="J5061" s="455">
        <f t="array" ref="J5061">IFERROR(INDEX('Retirement Calculator'!J:J,MATCH('Isaac 401k'!N5061,'Retirement Calculator'!A:A,0),0),0)</f>
        <v>0</v>
      </c>
      <c r="K5061" s="455">
        <f t="shared" ca="1" si="196"/>
        <v>-946090305629.39417</v>
      </c>
      <c r="L5061" s="455">
        <f t="shared" ca="1" si="197"/>
        <v>-228007763656684</v>
      </c>
      <c r="M5061" s="471">
        <f t="shared" si="199"/>
        <v>0.05</v>
      </c>
      <c r="N5061" s="475">
        <f t="shared" si="200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98"/>
        <v>-228007763656684</v>
      </c>
      <c r="J5062" s="455">
        <f t="array" ref="J5062">IFERROR(INDEX('Retirement Calculator'!J:J,MATCH('Isaac 401k'!N5062,'Retirement Calculator'!A:A,0),0),0)</f>
        <v>0</v>
      </c>
      <c r="K5062" s="455">
        <f t="shared" ca="1" si="196"/>
        <v>-950032348569.5166</v>
      </c>
      <c r="L5062" s="455">
        <f t="shared" ca="1" si="197"/>
        <v>-228957796005253.53</v>
      </c>
      <c r="M5062" s="471">
        <f t="shared" si="199"/>
        <v>0.05</v>
      </c>
      <c r="N5062" s="475">
        <f t="shared" si="200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98"/>
        <v>-228957796005253.53</v>
      </c>
      <c r="J5063" s="455">
        <f t="array" ref="J5063">IFERROR(INDEX('Retirement Calculator'!J:J,MATCH('Isaac 401k'!N5063,'Retirement Calculator'!A:A,0),0),0)</f>
        <v>0</v>
      </c>
      <c r="K5063" s="455">
        <f t="shared" ca="1" si="196"/>
        <v>-953990816688.5564</v>
      </c>
      <c r="L5063" s="455">
        <f t="shared" ca="1" si="197"/>
        <v>-229911786821942.09</v>
      </c>
      <c r="M5063" s="471">
        <f t="shared" si="199"/>
        <v>0.05</v>
      </c>
      <c r="N5063" s="475">
        <f t="shared" si="200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98"/>
        <v>-229911786821942.09</v>
      </c>
      <c r="J5064" s="455">
        <f t="array" ref="J5064">IFERROR(INDEX('Retirement Calculator'!J:J,MATCH('Isaac 401k'!N5064,'Retirement Calculator'!A:A,0),0),0)</f>
        <v>0</v>
      </c>
      <c r="K5064" s="455">
        <f t="shared" ca="1" si="196"/>
        <v>-957965778424.75867</v>
      </c>
      <c r="L5064" s="455">
        <f t="shared" ca="1" si="197"/>
        <v>-230869752600366.84</v>
      </c>
      <c r="M5064" s="471">
        <f t="shared" si="199"/>
        <v>0.05</v>
      </c>
      <c r="N5064" s="475">
        <f t="shared" si="200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98"/>
        <v>-230869752600366.84</v>
      </c>
      <c r="J5065" s="455">
        <f t="array" ref="J5065">IFERROR(INDEX('Retirement Calculator'!J:J,MATCH('Isaac 401k'!N5065,'Retirement Calculator'!A:A,0),0),0)</f>
        <v>0</v>
      </c>
      <c r="K5065" s="455">
        <f t="shared" ca="1" si="196"/>
        <v>-961957302501.52844</v>
      </c>
      <c r="L5065" s="455">
        <f t="shared" ca="1" si="197"/>
        <v>-231831709902868.38</v>
      </c>
      <c r="M5065" s="471">
        <f t="shared" si="199"/>
        <v>0.05</v>
      </c>
      <c r="N5065" s="475">
        <f t="shared" si="200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98"/>
        <v>-231831709902868.38</v>
      </c>
      <c r="J5066" s="455">
        <f t="array" ref="J5066">IFERROR(INDEX('Retirement Calculator'!J:J,MATCH('Isaac 401k'!N5066,'Retirement Calculator'!A:A,0),0),0)</f>
        <v>0</v>
      </c>
      <c r="K5066" s="455">
        <f t="shared" ca="1" si="196"/>
        <v>-965965457928.61816</v>
      </c>
      <c r="L5066" s="455">
        <f t="shared" ca="1" si="197"/>
        <v>-232797675360797</v>
      </c>
      <c r="M5066" s="471">
        <f t="shared" si="199"/>
        <v>0.05</v>
      </c>
      <c r="N5066" s="475">
        <f t="shared" si="200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98"/>
        <v>-232797675360797</v>
      </c>
      <c r="J5067" s="455">
        <f t="array" ref="J5067">IFERROR(INDEX('Retirement Calculator'!J:J,MATCH('Isaac 401k'!N5067,'Retirement Calculator'!A:A,0),0),0)</f>
        <v>0</v>
      </c>
      <c r="K5067" s="455">
        <f t="shared" ca="1" si="196"/>
        <v>-969990314003.3208</v>
      </c>
      <c r="L5067" s="455">
        <f t="shared" ca="1" si="197"/>
        <v>-233767665674800.31</v>
      </c>
      <c r="M5067" s="471">
        <f t="shared" si="199"/>
        <v>0.05</v>
      </c>
      <c r="N5067" s="475">
        <f t="shared" si="200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98"/>
        <v>-233767665674800.31</v>
      </c>
      <c r="J5068" s="455">
        <f t="array" ref="J5068">IFERROR(INDEX('Retirement Calculator'!J:J,MATCH('Isaac 401k'!N5068,'Retirement Calculator'!A:A,0),0),0)</f>
        <v>0</v>
      </c>
      <c r="K5068" s="455">
        <f t="shared" ca="1" si="196"/>
        <v>-974031940311.66809</v>
      </c>
      <c r="L5068" s="455">
        <f t="shared" ca="1" si="197"/>
        <v>-234741697615111.97</v>
      </c>
      <c r="M5068" s="471">
        <f t="shared" si="199"/>
        <v>0.05</v>
      </c>
      <c r="N5068" s="475">
        <f t="shared" si="200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98"/>
        <v>-234741697615111.97</v>
      </c>
      <c r="J5069" s="455">
        <f t="array" ref="J5069">IFERROR(INDEX('Retirement Calculator'!J:J,MATCH('Isaac 401k'!N5069,'Retirement Calculator'!A:A,0),0),0)</f>
        <v>0</v>
      </c>
      <c r="K5069" s="455">
        <f t="shared" ca="1" si="196"/>
        <v>-978090406729.63306</v>
      </c>
      <c r="L5069" s="455">
        <f t="shared" ca="1" si="197"/>
        <v>-235719788021841.59</v>
      </c>
      <c r="M5069" s="471">
        <f t="shared" si="199"/>
        <v>0.05</v>
      </c>
      <c r="N5069" s="475">
        <f t="shared" si="200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98"/>
        <v>-235719788021841.59</v>
      </c>
      <c r="J5070" s="455">
        <f t="array" ref="J5070">IFERROR(INDEX('Retirement Calculator'!J:J,MATCH('Isaac 401k'!N5070,'Retirement Calculator'!A:A,0),0),0)</f>
        <v>0</v>
      </c>
      <c r="K5070" s="455">
        <f t="shared" ca="1" si="196"/>
        <v>-982165783424.33997</v>
      </c>
      <c r="L5070" s="455">
        <f t="shared" ca="1" si="197"/>
        <v>-236701953805265.94</v>
      </c>
      <c r="M5070" s="471">
        <f t="shared" si="199"/>
        <v>0.05</v>
      </c>
      <c r="N5070" s="475">
        <f t="shared" si="200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98"/>
        <v>-236701953805265.94</v>
      </c>
      <c r="J5071" s="455">
        <f t="array" ref="J5071">IFERROR(INDEX('Retirement Calculator'!J:J,MATCH('Isaac 401k'!N5071,'Retirement Calculator'!A:A,0),0),0)</f>
        <v>0</v>
      </c>
      <c r="K5071" s="455">
        <f t="shared" ca="1" si="196"/>
        <v>-986258140855.27478</v>
      </c>
      <c r="L5071" s="455">
        <f t="shared" ca="1" si="197"/>
        <v>-237688211946121.22</v>
      </c>
      <c r="M5071" s="471">
        <f t="shared" si="199"/>
        <v>0.05</v>
      </c>
      <c r="N5071" s="475">
        <f t="shared" si="200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98"/>
        <v>-237688211946121.22</v>
      </c>
      <c r="J5072" s="455">
        <f t="array" ref="J5072">IFERROR(INDEX('Retirement Calculator'!J:J,MATCH('Isaac 401k'!N5072,'Retirement Calculator'!A:A,0),0),0)</f>
        <v>0</v>
      </c>
      <c r="K5072" s="455">
        <f t="shared" ca="1" si="196"/>
        <v>-990367549775.505</v>
      </c>
      <c r="L5072" s="455">
        <f t="shared" ca="1" si="197"/>
        <v>-238678579495896.72</v>
      </c>
      <c r="M5072" s="471">
        <f t="shared" si="199"/>
        <v>0.05</v>
      </c>
      <c r="N5072" s="475">
        <f t="shared" si="200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98"/>
        <v>-238678579495896.72</v>
      </c>
      <c r="J5073" s="455">
        <f t="array" ref="J5073">IFERROR(INDEX('Retirement Calculator'!J:J,MATCH('Isaac 401k'!N5073,'Retirement Calculator'!A:A,0),0),0)</f>
        <v>0</v>
      </c>
      <c r="K5073" s="455">
        <f t="shared" ca="1" si="196"/>
        <v>-994494081232.90295</v>
      </c>
      <c r="L5073" s="455">
        <f t="shared" ca="1" si="197"/>
        <v>-239673073577129.63</v>
      </c>
      <c r="M5073" s="471">
        <f t="shared" si="199"/>
        <v>0.05</v>
      </c>
      <c r="N5073" s="475">
        <f t="shared" si="200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98"/>
        <v>-239673073577129.63</v>
      </c>
      <c r="J5074" s="455">
        <f t="array" ref="J5074">IFERROR(INDEX('Retirement Calculator'!J:J,MATCH('Isaac 401k'!N5074,'Retirement Calculator'!A:A,0),0),0)</f>
        <v>0</v>
      </c>
      <c r="K5074" s="455">
        <f t="shared" ca="1" si="196"/>
        <v>-998637806571.37341</v>
      </c>
      <c r="L5074" s="455">
        <f t="shared" ca="1" si="197"/>
        <v>-240671711383701</v>
      </c>
      <c r="M5074" s="471">
        <f t="shared" si="199"/>
        <v>0.05</v>
      </c>
      <c r="N5074" s="475">
        <f t="shared" si="200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98"/>
        <v>-240671711383701</v>
      </c>
      <c r="J5075" s="455">
        <f t="array" ref="J5075">IFERROR(INDEX('Retirement Calculator'!J:J,MATCH('Isaac 401k'!N5075,'Retirement Calculator'!A:A,0),0),0)</f>
        <v>0</v>
      </c>
      <c r="K5075" s="455">
        <f t="shared" ca="1" si="196"/>
        <v>-1002798797432.0875</v>
      </c>
      <c r="L5075" s="455">
        <f t="shared" ca="1" si="197"/>
        <v>-241674510181133.09</v>
      </c>
      <c r="M5075" s="471">
        <f t="shared" si="199"/>
        <v>0.05</v>
      </c>
      <c r="N5075" s="475">
        <f t="shared" si="200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98"/>
        <v>-241674510181133.09</v>
      </c>
      <c r="J5076" s="455">
        <f t="array" ref="J5076">IFERROR(INDEX('Retirement Calculator'!J:J,MATCH('Isaac 401k'!N5076,'Retirement Calculator'!A:A,0),0),0)</f>
        <v>0</v>
      </c>
      <c r="K5076" s="455">
        <f t="shared" ca="1" si="196"/>
        <v>-1006977125754.7213</v>
      </c>
      <c r="L5076" s="455">
        <f t="shared" ca="1" si="197"/>
        <v>-242681487306887.81</v>
      </c>
      <c r="M5076" s="471">
        <f t="shared" si="199"/>
        <v>0.05</v>
      </c>
      <c r="N5076" s="475">
        <f t="shared" si="200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98"/>
        <v>-242681487306887.81</v>
      </c>
      <c r="J5077" s="455">
        <f t="array" ref="J5077">IFERROR(INDEX('Retirement Calculator'!J:J,MATCH('Isaac 401k'!N5077,'Retirement Calculator'!A:A,0),0),0)</f>
        <v>0</v>
      </c>
      <c r="K5077" s="455">
        <f t="shared" ca="1" si="196"/>
        <v>-1011172863778.6993</v>
      </c>
      <c r="L5077" s="455">
        <f t="shared" ca="1" si="197"/>
        <v>-243692660170666.5</v>
      </c>
      <c r="M5077" s="471">
        <f t="shared" si="199"/>
        <v>0.05</v>
      </c>
      <c r="N5077" s="475">
        <f t="shared" si="200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98"/>
        <v>-243692660170666.5</v>
      </c>
      <c r="J5078" s="455">
        <f t="array" ref="J5078">IFERROR(INDEX('Retirement Calculator'!J:J,MATCH('Isaac 401k'!N5078,'Retirement Calculator'!A:A,0),0),0)</f>
        <v>0</v>
      </c>
      <c r="K5078" s="455">
        <f t="shared" ca="1" si="196"/>
        <v>-1015386084044.4437</v>
      </c>
      <c r="L5078" s="455">
        <f t="shared" ca="1" si="197"/>
        <v>-244708046254710.94</v>
      </c>
      <c r="M5078" s="471">
        <f t="shared" si="199"/>
        <v>0.05</v>
      </c>
      <c r="N5078" s="475">
        <f t="shared" si="200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98"/>
        <v>-244708046254710.94</v>
      </c>
      <c r="J5079" s="455">
        <f t="array" ref="J5079">IFERROR(INDEX('Retirement Calculator'!J:J,MATCH('Isaac 401k'!N5079,'Retirement Calculator'!A:A,0),0),0)</f>
        <v>0</v>
      </c>
      <c r="K5079" s="455">
        <f t="shared" ca="1" si="196"/>
        <v>-1019616859394.6289</v>
      </c>
      <c r="L5079" s="455">
        <f t="shared" ca="1" si="197"/>
        <v>-245727663114105.56</v>
      </c>
      <c r="M5079" s="471">
        <f t="shared" si="199"/>
        <v>0.05</v>
      </c>
      <c r="N5079" s="475">
        <f t="shared" si="200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98"/>
        <v>-245727663114105.56</v>
      </c>
      <c r="J5080" s="455">
        <f t="array" ref="J5080">IFERROR(INDEX('Retirement Calculator'!J:J,MATCH('Isaac 401k'!N5080,'Retirement Calculator'!A:A,0),0),0)</f>
        <v>0</v>
      </c>
      <c r="K5080" s="455">
        <f t="shared" ca="1" si="196"/>
        <v>-1023865262975.4398</v>
      </c>
      <c r="L5080" s="455">
        <f t="shared" ca="1" si="197"/>
        <v>-246751528377081</v>
      </c>
      <c r="M5080" s="471">
        <f t="shared" si="199"/>
        <v>0.05</v>
      </c>
      <c r="N5080" s="475">
        <f t="shared" si="200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98"/>
        <v>-246751528377081</v>
      </c>
      <c r="J5081" s="455">
        <f t="array" ref="J5081">IFERROR(INDEX('Retirement Calculator'!J:J,MATCH('Isaac 401k'!N5081,'Retirement Calculator'!A:A,0),0),0)</f>
        <v>0</v>
      </c>
      <c r="K5081" s="455">
        <f t="shared" ca="1" si="196"/>
        <v>-1028131368237.8375</v>
      </c>
      <c r="L5081" s="455">
        <f t="shared" ca="1" si="197"/>
        <v>-247779659745318.84</v>
      </c>
      <c r="M5081" s="471">
        <f t="shared" si="199"/>
        <v>0.05</v>
      </c>
      <c r="N5081" s="475">
        <f t="shared" si="200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98"/>
        <v>-247779659745318.84</v>
      </c>
      <c r="J5082" s="455">
        <f t="array" ref="J5082">IFERROR(INDEX('Retirement Calculator'!J:J,MATCH('Isaac 401k'!N5082,'Retirement Calculator'!A:A,0),0),0)</f>
        <v>0</v>
      </c>
      <c r="K5082" s="455">
        <f t="shared" ca="1" si="196"/>
        <v>-1032415248938.8286</v>
      </c>
      <c r="L5082" s="455">
        <f t="shared" ca="1" si="197"/>
        <v>-248812074994257.69</v>
      </c>
      <c r="M5082" s="471">
        <f t="shared" si="199"/>
        <v>0.05</v>
      </c>
      <c r="N5082" s="475">
        <f t="shared" si="200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98"/>
        <v>-248812074994257.69</v>
      </c>
      <c r="J5083" s="455">
        <f t="array" ref="J5083">IFERROR(INDEX('Retirement Calculator'!J:J,MATCH('Isaac 401k'!N5083,'Retirement Calculator'!A:A,0),0),0)</f>
        <v>0</v>
      </c>
      <c r="K5083" s="455">
        <f t="shared" ca="1" si="196"/>
        <v>-1036716979142.7404</v>
      </c>
      <c r="L5083" s="455">
        <f t="shared" ca="1" si="197"/>
        <v>-249848791973400.44</v>
      </c>
      <c r="M5083" s="471">
        <f t="shared" si="199"/>
        <v>0.05</v>
      </c>
      <c r="N5083" s="475">
        <f t="shared" si="200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98"/>
        <v>-249848791973400.44</v>
      </c>
      <c r="J5084" s="455">
        <f t="array" ref="J5084">IFERROR(INDEX('Retirement Calculator'!J:J,MATCH('Isaac 401k'!N5084,'Retirement Calculator'!A:A,0),0),0)</f>
        <v>0</v>
      </c>
      <c r="K5084" s="455">
        <f t="shared" ca="1" si="196"/>
        <v>-1041036633222.502</v>
      </c>
      <c r="L5084" s="455">
        <f t="shared" ca="1" si="197"/>
        <v>-250889828606622.94</v>
      </c>
      <c r="M5084" s="471">
        <f t="shared" si="199"/>
        <v>0.05</v>
      </c>
      <c r="N5084" s="475">
        <f t="shared" si="200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98"/>
        <v>-250889828606622.94</v>
      </c>
      <c r="J5085" s="455">
        <f t="array" ref="J5085">IFERROR(INDEX('Retirement Calculator'!J:J,MATCH('Isaac 401k'!N5085,'Retirement Calculator'!A:A,0),0),0)</f>
        <v>0</v>
      </c>
      <c r="K5085" s="455">
        <f t="shared" ca="1" si="196"/>
        <v>-1045374285860.9288</v>
      </c>
      <c r="L5085" s="455">
        <f t="shared" ca="1" si="197"/>
        <v>-251935202892483.88</v>
      </c>
      <c r="M5085" s="471">
        <f t="shared" si="199"/>
        <v>0.05</v>
      </c>
      <c r="N5085" s="475">
        <f t="shared" si="200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98"/>
        <v>-251935202892483.88</v>
      </c>
      <c r="J5086" s="455">
        <f t="array" ref="J5086">IFERROR(INDEX('Retirement Calculator'!J:J,MATCH('Isaac 401k'!N5086,'Retirement Calculator'!A:A,0),0),0)</f>
        <v>0</v>
      </c>
      <c r="K5086" s="455">
        <f t="shared" ca="1" si="196"/>
        <v>-1049730012052.0161</v>
      </c>
      <c r="L5086" s="455">
        <f t="shared" ca="1" si="197"/>
        <v>-252984932904535.91</v>
      </c>
      <c r="M5086" s="471">
        <f t="shared" si="199"/>
        <v>0.05</v>
      </c>
      <c r="N5086" s="475">
        <f t="shared" si="200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98"/>
        <v>-252984932904535.91</v>
      </c>
      <c r="J5087" s="455">
        <f t="array" ref="J5087">IFERROR(INDEX('Retirement Calculator'!J:J,MATCH('Isaac 401k'!N5087,'Retirement Calculator'!A:A,0),0),0)</f>
        <v>0</v>
      </c>
      <c r="K5087" s="455">
        <f t="shared" ca="1" si="196"/>
        <v>-1054103887102.2329</v>
      </c>
      <c r="L5087" s="455">
        <f t="shared" ca="1" si="197"/>
        <v>-254039036791638.13</v>
      </c>
      <c r="M5087" s="471">
        <f t="shared" si="199"/>
        <v>0.05</v>
      </c>
      <c r="N5087" s="475">
        <f t="shared" si="200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98"/>
        <v>-254039036791638.13</v>
      </c>
      <c r="J5088" s="455">
        <f t="array" ref="J5088">IFERROR(INDEX('Retirement Calculator'!J:J,MATCH('Isaac 401k'!N5088,'Retirement Calculator'!A:A,0),0),0)</f>
        <v>0</v>
      </c>
      <c r="K5088" s="455">
        <f t="shared" ca="1" si="196"/>
        <v>-1058495986631.8256</v>
      </c>
      <c r="L5088" s="455">
        <f t="shared" ca="1" si="197"/>
        <v>-255097532778269.94</v>
      </c>
      <c r="M5088" s="471">
        <f t="shared" si="199"/>
        <v>0.05</v>
      </c>
      <c r="N5088" s="475">
        <f t="shared" si="200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98"/>
        <v>-255097532778269.94</v>
      </c>
      <c r="J5089" s="455">
        <f t="array" ref="J5089">IFERROR(INDEX('Retirement Calculator'!J:J,MATCH('Isaac 401k'!N5089,'Retirement Calculator'!A:A,0),0),0)</f>
        <v>0</v>
      </c>
      <c r="K5089" s="455">
        <f t="shared" ca="1" si="196"/>
        <v>-1062906386576.1249</v>
      </c>
      <c r="L5089" s="455">
        <f t="shared" ca="1" si="197"/>
        <v>-256160439164846.06</v>
      </c>
      <c r="M5089" s="471">
        <f t="shared" si="199"/>
        <v>0.05</v>
      </c>
      <c r="N5089" s="475">
        <f t="shared" si="200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98"/>
        <v>-256160439164846.06</v>
      </c>
      <c r="J5090" s="455">
        <f t="array" ref="J5090">IFERROR(INDEX('Retirement Calculator'!J:J,MATCH('Isaac 401k'!N5090,'Retirement Calculator'!A:A,0),0),0)</f>
        <v>0</v>
      </c>
      <c r="K5090" s="455">
        <f t="shared" ca="1" si="196"/>
        <v>-1067335163186.8585</v>
      </c>
      <c r="L5090" s="455">
        <f t="shared" ca="1" si="197"/>
        <v>-257227774328032.91</v>
      </c>
      <c r="M5090" s="471">
        <f t="shared" si="199"/>
        <v>0.05</v>
      </c>
      <c r="N5090" s="475">
        <f t="shared" si="200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98"/>
        <v>-257227774328032.91</v>
      </c>
      <c r="J5091" s="455">
        <f t="array" ref="J5091">IFERROR(INDEX('Retirement Calculator'!J:J,MATCH('Isaac 401k'!N5091,'Retirement Calculator'!A:A,0),0),0)</f>
        <v>0</v>
      </c>
      <c r="K5091" s="455">
        <f t="shared" ca="1" si="196"/>
        <v>-1071782393033.4705</v>
      </c>
      <c r="L5091" s="455">
        <f t="shared" ca="1" si="197"/>
        <v>-258299556721066.38</v>
      </c>
      <c r="M5091" s="471">
        <f t="shared" si="199"/>
        <v>0.05</v>
      </c>
      <c r="N5091" s="475">
        <f t="shared" si="200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98"/>
        <v>-258299556721066.38</v>
      </c>
      <c r="J5092" s="455">
        <f t="array" ref="J5092">IFERROR(INDEX('Retirement Calculator'!J:J,MATCH('Isaac 401k'!N5092,'Retirement Calculator'!A:A,0),0),0)</f>
        <v>0</v>
      </c>
      <c r="K5092" s="455">
        <f t="shared" ca="1" si="196"/>
        <v>-1076248153004.4432</v>
      </c>
      <c r="L5092" s="455">
        <f t="shared" ca="1" si="197"/>
        <v>-259375804874070.81</v>
      </c>
      <c r="M5092" s="471">
        <f t="shared" si="199"/>
        <v>0.05</v>
      </c>
      <c r="N5092" s="475">
        <f t="shared" si="200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98"/>
        <v>-259375804874070.81</v>
      </c>
      <c r="J5093" s="455">
        <f t="array" ref="J5093">IFERROR(INDEX('Retirement Calculator'!J:J,MATCH('Isaac 401k'!N5093,'Retirement Calculator'!A:A,0),0),0)</f>
        <v>0</v>
      </c>
      <c r="K5093" s="455">
        <f t="shared" ca="1" si="196"/>
        <v>-1080732520308.6284</v>
      </c>
      <c r="L5093" s="455">
        <f t="shared" ca="1" si="197"/>
        <v>-260456537394379.44</v>
      </c>
      <c r="M5093" s="471">
        <f t="shared" si="199"/>
        <v>0.05</v>
      </c>
      <c r="N5093" s="475">
        <f t="shared" si="200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98"/>
        <v>-260456537394379.44</v>
      </c>
      <c r="J5094" s="455">
        <f t="array" ref="J5094">IFERROR(INDEX('Retirement Calculator'!J:J,MATCH('Isaac 401k'!N5094,'Retirement Calculator'!A:A,0),0),0)</f>
        <v>0</v>
      </c>
      <c r="K5094" s="455">
        <f t="shared" ca="1" si="196"/>
        <v>-1085235572476.5809</v>
      </c>
      <c r="L5094" s="455">
        <f t="shared" ca="1" si="197"/>
        <v>-261541772966856.03</v>
      </c>
      <c r="M5094" s="471">
        <f t="shared" si="199"/>
        <v>0.05</v>
      </c>
      <c r="N5094" s="475">
        <f t="shared" si="200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98"/>
        <v>-261541772966856.03</v>
      </c>
      <c r="J5095" s="455">
        <f t="array" ref="J5095">IFERROR(INDEX('Retirement Calculator'!J:J,MATCH('Isaac 401k'!N5095,'Retirement Calculator'!A:A,0),0),0)</f>
        <v>0</v>
      </c>
      <c r="K5095" s="455">
        <f t="shared" ca="1" si="196"/>
        <v>-1089757387361.9001</v>
      </c>
      <c r="L5095" s="455">
        <f t="shared" ca="1" si="197"/>
        <v>-262631530354217.94</v>
      </c>
      <c r="M5095" s="471">
        <f t="shared" si="199"/>
        <v>0.05</v>
      </c>
      <c r="N5095" s="475">
        <f t="shared" si="200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98"/>
        <v>-262631530354217.94</v>
      </c>
      <c r="J5096" s="455">
        <f t="array" ref="J5096">IFERROR(INDEX('Retirement Calculator'!J:J,MATCH('Isaac 401k'!N5096,'Retirement Calculator'!A:A,0),0),0)</f>
        <v>0</v>
      </c>
      <c r="K5096" s="455">
        <f t="shared" ca="1" si="196"/>
        <v>-1094298043142.5746</v>
      </c>
      <c r="L5096" s="455">
        <f t="shared" ca="1" si="197"/>
        <v>-263725828397360.5</v>
      </c>
      <c r="M5096" s="471">
        <f t="shared" si="199"/>
        <v>0.05</v>
      </c>
      <c r="N5096" s="475">
        <f t="shared" si="200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98"/>
        <v>-263725828397360.5</v>
      </c>
      <c r="J5097" s="455">
        <f t="array" ref="J5097">IFERROR(INDEX('Retirement Calculator'!J:J,MATCH('Isaac 401k'!N5097,'Retirement Calculator'!A:A,0),0),0)</f>
        <v>0</v>
      </c>
      <c r="K5097" s="455">
        <f t="shared" ca="1" si="196"/>
        <v>-1098857618322.3354</v>
      </c>
      <c r="L5097" s="455">
        <f t="shared" ca="1" si="197"/>
        <v>-264824686015682.84</v>
      </c>
      <c r="M5097" s="471">
        <f t="shared" si="199"/>
        <v>0.05</v>
      </c>
      <c r="N5097" s="475">
        <f t="shared" si="200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98"/>
        <v>-264824686015682.84</v>
      </c>
      <c r="J5098" s="455">
        <f t="array" ref="J5098">IFERROR(INDEX('Retirement Calculator'!J:J,MATCH('Isaac 401k'!N5098,'Retirement Calculator'!A:A,0),0),0)</f>
        <v>0</v>
      </c>
      <c r="K5098" s="455">
        <f t="shared" ca="1" si="196"/>
        <v>-1103436191732.0117</v>
      </c>
      <c r="L5098" s="455">
        <f t="shared" ca="1" si="197"/>
        <v>-265928122207414.84</v>
      </c>
      <c r="M5098" s="471">
        <f t="shared" si="199"/>
        <v>0.05</v>
      </c>
      <c r="N5098" s="475">
        <f t="shared" si="200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98"/>
        <v>-265928122207414.84</v>
      </c>
      <c r="J5099" s="455">
        <f t="array" ref="J5099">IFERROR(INDEX('Retirement Calculator'!J:J,MATCH('Isaac 401k'!N5099,'Retirement Calculator'!A:A,0),0),0)</f>
        <v>0</v>
      </c>
      <c r="K5099" s="455">
        <f t="shared" ca="1" si="196"/>
        <v>-1108033842530.8953</v>
      </c>
      <c r="L5099" s="455">
        <f t="shared" ca="1" si="197"/>
        <v>-267036156049945.75</v>
      </c>
      <c r="M5099" s="471">
        <f t="shared" si="199"/>
        <v>0.05</v>
      </c>
      <c r="N5099" s="475">
        <f t="shared" si="200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98"/>
        <v>-267036156049945.75</v>
      </c>
      <c r="J5100" s="455">
        <f t="array" ref="J5100">IFERROR(INDEX('Retirement Calculator'!J:J,MATCH('Isaac 401k'!N5100,'Retirement Calculator'!A:A,0),0),0)</f>
        <v>0</v>
      </c>
      <c r="K5100" s="455">
        <f t="shared" ca="1" si="196"/>
        <v>-1112650650208.1072</v>
      </c>
      <c r="L5100" s="455">
        <f t="shared" ca="1" si="197"/>
        <v>-268148806700153.84</v>
      </c>
      <c r="M5100" s="471">
        <f t="shared" si="199"/>
        <v>0.05</v>
      </c>
      <c r="N5100" s="475">
        <f t="shared" si="200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98"/>
        <v>-268148806700153.84</v>
      </c>
      <c r="J5101" s="455">
        <f t="array" ref="J5101">IFERROR(INDEX('Retirement Calculator'!J:J,MATCH('Isaac 401k'!N5101,'Retirement Calculator'!A:A,0),0),0)</f>
        <v>0</v>
      </c>
      <c r="K5101" s="455">
        <f t="shared" ca="1" si="196"/>
        <v>-1117286694583.9744</v>
      </c>
      <c r="L5101" s="455">
        <f t="shared" ca="1" si="197"/>
        <v>-269266093394737.81</v>
      </c>
      <c r="M5101" s="471">
        <f t="shared" si="199"/>
        <v>0.05</v>
      </c>
      <c r="N5101" s="475">
        <f t="shared" si="200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98"/>
        <v>-269266093394737.81</v>
      </c>
      <c r="J5102" s="455">
        <f t="array" ref="J5102">IFERROR(INDEX('Retirement Calculator'!J:J,MATCH('Isaac 401k'!N5102,'Retirement Calculator'!A:A,0),0),0)</f>
        <v>0</v>
      </c>
      <c r="K5102" s="455">
        <f t="shared" ca="1" si="196"/>
        <v>-1121942055811.4077</v>
      </c>
      <c r="L5102" s="455">
        <f t="shared" ca="1" si="197"/>
        <v>-270388035450549.22</v>
      </c>
      <c r="M5102" s="471">
        <f t="shared" si="199"/>
        <v>0.05</v>
      </c>
      <c r="N5102" s="475">
        <f t="shared" si="200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98"/>
        <v>-270388035450549.22</v>
      </c>
      <c r="J5103" s="455">
        <f t="array" ref="J5103">IFERROR(INDEX('Retirement Calculator'!J:J,MATCH('Isaac 401k'!N5103,'Retirement Calculator'!A:A,0),0),0)</f>
        <v>0</v>
      </c>
      <c r="K5103" s="455">
        <f t="shared" ca="1" si="196"/>
        <v>-1126616814377.2883</v>
      </c>
      <c r="L5103" s="455">
        <f t="shared" ca="1" si="197"/>
        <v>-271514652264926.5</v>
      </c>
      <c r="M5103" s="471">
        <f t="shared" si="199"/>
        <v>0.05</v>
      </c>
      <c r="N5103" s="475">
        <f t="shared" si="200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98"/>
        <v>-271514652264926.5</v>
      </c>
      <c r="J5104" s="455">
        <f t="array" ref="J5104">IFERROR(INDEX('Retirement Calculator'!J:J,MATCH('Isaac 401k'!N5104,'Retirement Calculator'!A:A,0),0),0)</f>
        <v>0</v>
      </c>
      <c r="K5104" s="455">
        <f t="shared" ca="1" si="196"/>
        <v>-1131311051103.8604</v>
      </c>
      <c r="L5104" s="455">
        <f t="shared" ca="1" si="197"/>
        <v>-272645963316030.38</v>
      </c>
      <c r="M5104" s="471">
        <f t="shared" si="199"/>
        <v>0.05</v>
      </c>
      <c r="N5104" s="475">
        <f t="shared" si="200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98"/>
        <v>-272645963316030.38</v>
      </c>
      <c r="J5105" s="455">
        <f t="array" ref="J5105">IFERROR(INDEX('Retirement Calculator'!J:J,MATCH('Isaac 401k'!N5105,'Retirement Calculator'!A:A,0),0),0)</f>
        <v>0</v>
      </c>
      <c r="K5105" s="455">
        <f t="shared" ca="1" si="196"/>
        <v>-1136024847150.1265</v>
      </c>
      <c r="L5105" s="455">
        <f t="shared" ca="1" si="197"/>
        <v>-273781988163180.5</v>
      </c>
      <c r="M5105" s="471">
        <f t="shared" si="199"/>
        <v>0.05</v>
      </c>
      <c r="N5105" s="475">
        <f t="shared" si="200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98"/>
        <v>-273781988163180.5</v>
      </c>
      <c r="J5106" s="455">
        <f t="array" ref="J5106">IFERROR(INDEX('Retirement Calculator'!J:J,MATCH('Isaac 401k'!N5106,'Retirement Calculator'!A:A,0),0),0)</f>
        <v>0</v>
      </c>
      <c r="K5106" s="455">
        <f t="shared" ca="1" si="196"/>
        <v>-1140758284013.252</v>
      </c>
      <c r="L5106" s="455">
        <f t="shared" ca="1" si="197"/>
        <v>-274922746447193.75</v>
      </c>
      <c r="M5106" s="471">
        <f t="shared" si="199"/>
        <v>0.05</v>
      </c>
      <c r="N5106" s="475">
        <f t="shared" si="200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98"/>
        <v>-274922746447193.75</v>
      </c>
      <c r="J5107" s="455">
        <f t="array" ref="J5107">IFERROR(INDEX('Retirement Calculator'!J:J,MATCH('Isaac 401k'!N5107,'Retirement Calculator'!A:A,0),0),0)</f>
        <v>0</v>
      </c>
      <c r="K5107" s="455">
        <f t="shared" ca="1" si="196"/>
        <v>-1145511443529.9739</v>
      </c>
      <c r="L5107" s="455">
        <f t="shared" ca="1" si="197"/>
        <v>-276068257890723.72</v>
      </c>
      <c r="M5107" s="471">
        <f t="shared" si="199"/>
        <v>0.05</v>
      </c>
      <c r="N5107" s="475">
        <f t="shared" si="200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98"/>
        <v>-276068257890723.72</v>
      </c>
      <c r="J5108" s="455">
        <f t="array" ref="J5108">IFERROR(INDEX('Retirement Calculator'!J:J,MATCH('Isaac 401k'!N5108,'Retirement Calculator'!A:A,0),0),0)</f>
        <v>0</v>
      </c>
      <c r="K5108" s="455">
        <f t="shared" ref="K5108:K5362" ca="1" si="201">IPMT(M5108/12,1,12,-I5108+J5108,,0)</f>
        <v>-1150284407878.0156</v>
      </c>
      <c r="L5108" s="455">
        <f t="shared" ref="L5108:L5362" ca="1" si="202">I5108-J5108+K5108</f>
        <v>-277218542298601.75</v>
      </c>
      <c r="M5108" s="471">
        <f t="shared" si="199"/>
        <v>0.05</v>
      </c>
      <c r="N5108" s="475">
        <f t="shared" si="200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203">L5108</f>
        <v>-277218542298601.75</v>
      </c>
      <c r="J5109" s="455">
        <f t="array" ref="J5109">IFERROR(INDEX('Retirement Calculator'!J:J,MATCH('Isaac 401k'!N5109,'Retirement Calculator'!A:A,0),0),0)</f>
        <v>0</v>
      </c>
      <c r="K5109" s="455">
        <f t="shared" ca="1" si="201"/>
        <v>-1155077259577.5073</v>
      </c>
      <c r="L5109" s="455">
        <f t="shared" ca="1" si="202"/>
        <v>-278373619558179.25</v>
      </c>
      <c r="M5109" s="471">
        <f t="shared" ref="M5109:M5363" si="204">M5108</f>
        <v>0.05</v>
      </c>
      <c r="N5109" s="475">
        <f t="shared" ref="N5109:N5363" si="205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203"/>
        <v>-278373619558179.25</v>
      </c>
      <c r="J5110" s="455">
        <f t="array" ref="J5110">IFERROR(INDEX('Retirement Calculator'!J:J,MATCH('Isaac 401k'!N5110,'Retirement Calculator'!A:A,0),0),0)</f>
        <v>0</v>
      </c>
      <c r="K5110" s="455">
        <f t="shared" ca="1" si="201"/>
        <v>-1159890081492.4136</v>
      </c>
      <c r="L5110" s="455">
        <f t="shared" ca="1" si="202"/>
        <v>-279533509639671.66</v>
      </c>
      <c r="M5110" s="471">
        <f t="shared" si="204"/>
        <v>0.05</v>
      </c>
      <c r="N5110" s="475">
        <f t="shared" si="205"/>
        <v>206577</v>
      </c>
    </row>
    <row r="5111" spans="7:14" ht="11.25" customHeight="1" x14ac:dyDescent="0.3">
      <c r="G5111" s="470"/>
      <c r="H5111" s="470">
        <v>5104</v>
      </c>
      <c r="I5111" s="455">
        <f t="shared" ca="1" si="203"/>
        <v>-279533509639671.66</v>
      </c>
      <c r="J5111" s="455">
        <f t="array" ref="J5111">IFERROR(INDEX('Retirement Calculator'!J:J,MATCH('Isaac 401k'!N5111,'Retirement Calculator'!A:A,0),0),0)</f>
        <v>0</v>
      </c>
      <c r="K5111" s="455">
        <f t="shared" ca="1" si="201"/>
        <v>-1164722956831.9653</v>
      </c>
      <c r="L5111" s="455">
        <f t="shared" ca="1" si="202"/>
        <v>-280698232596503.63</v>
      </c>
      <c r="M5111" s="471">
        <f t="shared" si="204"/>
        <v>0.05</v>
      </c>
      <c r="N5111" s="475">
        <f t="shared" si="205"/>
        <v>206608</v>
      </c>
    </row>
    <row r="5112" spans="7:14" ht="11.25" customHeight="1" x14ac:dyDescent="0.3">
      <c r="G5112" s="470"/>
      <c r="H5112" s="470">
        <v>5105</v>
      </c>
      <c r="I5112" s="455">
        <f t="shared" ca="1" si="203"/>
        <v>-280698232596503.63</v>
      </c>
      <c r="J5112" s="455">
        <f t="array" ref="J5112">IFERROR(INDEX('Retirement Calculator'!J:J,MATCH('Isaac 401k'!N5112,'Retirement Calculator'!A:A,0),0),0)</f>
        <v>0</v>
      </c>
      <c r="K5112" s="455">
        <f t="shared" ca="1" si="201"/>
        <v>-1169575969152.0986</v>
      </c>
      <c r="L5112" s="455">
        <f t="shared" ca="1" si="202"/>
        <v>-281867808565655.75</v>
      </c>
      <c r="M5112" s="471">
        <f t="shared" si="204"/>
        <v>0.05</v>
      </c>
      <c r="N5112" s="475">
        <f t="shared" si="205"/>
        <v>206638</v>
      </c>
    </row>
    <row r="5113" spans="7:14" ht="11.25" customHeight="1" x14ac:dyDescent="0.3">
      <c r="G5113" s="470"/>
      <c r="H5113" s="470">
        <v>5106</v>
      </c>
      <c r="I5113" s="455">
        <f t="shared" ca="1" si="203"/>
        <v>-281867808565655.75</v>
      </c>
      <c r="J5113" s="455">
        <f t="array" ref="J5113">IFERROR(INDEX('Retirement Calculator'!J:J,MATCH('Isaac 401k'!N5113,'Retirement Calculator'!A:A,0),0),0)</f>
        <v>0</v>
      </c>
      <c r="K5113" s="455">
        <f t="shared" ca="1" si="201"/>
        <v>-1174449202356.8989</v>
      </c>
      <c r="L5113" s="455">
        <f t="shared" ca="1" si="202"/>
        <v>-283042257768012.63</v>
      </c>
      <c r="M5113" s="471">
        <f t="shared" si="204"/>
        <v>0.05</v>
      </c>
      <c r="N5113" s="475">
        <f t="shared" si="205"/>
        <v>206669</v>
      </c>
    </row>
    <row r="5114" spans="7:14" ht="11.25" customHeight="1" x14ac:dyDescent="0.3">
      <c r="G5114" s="470"/>
      <c r="H5114" s="470">
        <v>5107</v>
      </c>
      <c r="I5114" s="455">
        <f t="shared" ca="1" si="203"/>
        <v>-283042257768012.63</v>
      </c>
      <c r="J5114" s="455">
        <f t="array" ref="J5114">IFERROR(INDEX('Retirement Calculator'!J:J,MATCH('Isaac 401k'!N5114,'Retirement Calculator'!A:A,0),0),0)</f>
        <v>0</v>
      </c>
      <c r="K5114" s="455">
        <f t="shared" ca="1" si="201"/>
        <v>-1179342740700.0525</v>
      </c>
      <c r="L5114" s="455">
        <f t="shared" ca="1" si="202"/>
        <v>-284221600508712.69</v>
      </c>
      <c r="M5114" s="471">
        <f t="shared" si="204"/>
        <v>0.05</v>
      </c>
      <c r="N5114" s="475">
        <f t="shared" si="205"/>
        <v>206699</v>
      </c>
    </row>
    <row r="5115" spans="7:14" ht="11.25" customHeight="1" x14ac:dyDescent="0.3">
      <c r="G5115" s="470"/>
      <c r="H5115" s="470">
        <v>5108</v>
      </c>
      <c r="I5115" s="455">
        <f t="shared" ca="1" si="203"/>
        <v>-284221600508712.69</v>
      </c>
      <c r="J5115" s="455">
        <f t="array" ref="J5115">IFERROR(INDEX('Retirement Calculator'!J:J,MATCH('Isaac 401k'!N5115,'Retirement Calculator'!A:A,0),0),0)</f>
        <v>0</v>
      </c>
      <c r="K5115" s="455">
        <f t="shared" ca="1" si="201"/>
        <v>-1184256668786.3027</v>
      </c>
      <c r="L5115" s="455">
        <f t="shared" ca="1" si="202"/>
        <v>-285405857177499</v>
      </c>
      <c r="M5115" s="471">
        <f t="shared" si="204"/>
        <v>0.05</v>
      </c>
      <c r="N5115" s="475">
        <f t="shared" si="205"/>
        <v>206730</v>
      </c>
    </row>
    <row r="5116" spans="7:14" ht="11.25" customHeight="1" x14ac:dyDescent="0.3">
      <c r="G5116" s="470"/>
      <c r="H5116" s="470">
        <v>5109</v>
      </c>
      <c r="I5116" s="455">
        <f t="shared" ca="1" si="203"/>
        <v>-285405857177499</v>
      </c>
      <c r="J5116" s="455">
        <f t="array" ref="J5116">IFERROR(INDEX('Retirement Calculator'!J:J,MATCH('Isaac 401k'!N5116,'Retirement Calculator'!A:A,0),0),0)</f>
        <v>0</v>
      </c>
      <c r="K5116" s="455">
        <f t="shared" ca="1" si="201"/>
        <v>-1189191071572.9126</v>
      </c>
      <c r="L5116" s="455">
        <f t="shared" ca="1" si="202"/>
        <v>-286595048249071.94</v>
      </c>
      <c r="M5116" s="471">
        <f t="shared" si="204"/>
        <v>0.05</v>
      </c>
      <c r="N5116" s="475">
        <f t="shared" si="205"/>
        <v>206761</v>
      </c>
    </row>
    <row r="5117" spans="7:14" ht="11.25" customHeight="1" x14ac:dyDescent="0.3">
      <c r="G5117" s="470"/>
      <c r="H5117" s="470">
        <v>5110</v>
      </c>
      <c r="I5117" s="455">
        <f t="shared" ca="1" si="203"/>
        <v>-286595048249071.94</v>
      </c>
      <c r="J5117" s="455">
        <f t="array" ref="J5117">IFERROR(INDEX('Retirement Calculator'!J:J,MATCH('Isaac 401k'!N5117,'Retirement Calculator'!A:A,0),0),0)</f>
        <v>0</v>
      </c>
      <c r="K5117" s="455">
        <f t="shared" ca="1" si="201"/>
        <v>-1194146034371.1331</v>
      </c>
      <c r="L5117" s="455">
        <f t="shared" ca="1" si="202"/>
        <v>-287789194283443.06</v>
      </c>
      <c r="M5117" s="471">
        <f t="shared" si="204"/>
        <v>0.05</v>
      </c>
      <c r="N5117" s="475">
        <f t="shared" si="205"/>
        <v>206789</v>
      </c>
    </row>
    <row r="5118" spans="7:14" ht="11.25" customHeight="1" x14ac:dyDescent="0.3">
      <c r="G5118" s="470"/>
      <c r="H5118" s="470">
        <v>5111</v>
      </c>
      <c r="I5118" s="455">
        <f t="shared" ca="1" si="203"/>
        <v>-287789194283443.06</v>
      </c>
      <c r="J5118" s="455">
        <f t="array" ref="J5118">IFERROR(INDEX('Retirement Calculator'!J:J,MATCH('Isaac 401k'!N5118,'Retirement Calculator'!A:A,0),0),0)</f>
        <v>0</v>
      </c>
      <c r="K5118" s="455">
        <f t="shared" ca="1" si="201"/>
        <v>-1199121642847.6794</v>
      </c>
      <c r="L5118" s="455">
        <f t="shared" ca="1" si="202"/>
        <v>-288988315926290.75</v>
      </c>
      <c r="M5118" s="471">
        <f t="shared" si="204"/>
        <v>0.05</v>
      </c>
      <c r="N5118" s="475">
        <f t="shared" si="205"/>
        <v>206820</v>
      </c>
    </row>
    <row r="5119" spans="7:14" ht="11.25" customHeight="1" x14ac:dyDescent="0.3">
      <c r="G5119" s="470"/>
      <c r="H5119" s="470">
        <v>5112</v>
      </c>
      <c r="I5119" s="455">
        <f t="shared" ca="1" si="203"/>
        <v>-288988315926290.75</v>
      </c>
      <c r="J5119" s="455">
        <f t="array" ref="J5119">IFERROR(INDEX('Retirement Calculator'!J:J,MATCH('Isaac 401k'!N5119,'Retirement Calculator'!A:A,0),0),0)</f>
        <v>0</v>
      </c>
      <c r="K5119" s="455">
        <f t="shared" ca="1" si="201"/>
        <v>-1204117983026.2114</v>
      </c>
      <c r="L5119" s="455">
        <f t="shared" ca="1" si="202"/>
        <v>-290192433909316.94</v>
      </c>
      <c r="M5119" s="471">
        <f t="shared" si="204"/>
        <v>0.05</v>
      </c>
      <c r="N5119" s="475">
        <f t="shared" si="205"/>
        <v>206850</v>
      </c>
    </row>
    <row r="5120" spans="7:14" ht="11.25" customHeight="1" x14ac:dyDescent="0.3">
      <c r="G5120" s="470"/>
      <c r="H5120" s="470">
        <v>5113</v>
      </c>
      <c r="I5120" s="455">
        <f t="shared" ca="1" si="203"/>
        <v>-290192433909316.94</v>
      </c>
      <c r="J5120" s="455">
        <f t="array" ref="J5120">IFERROR(INDEX('Retirement Calculator'!J:J,MATCH('Isaac 401k'!N5120,'Retirement Calculator'!A:A,0),0),0)</f>
        <v>0</v>
      </c>
      <c r="K5120" s="455">
        <f t="shared" ca="1" si="201"/>
        <v>-1209135141288.8206</v>
      </c>
      <c r="L5120" s="455">
        <f t="shared" ca="1" si="202"/>
        <v>-291401569050605.75</v>
      </c>
      <c r="M5120" s="471">
        <f t="shared" si="204"/>
        <v>0.05</v>
      </c>
      <c r="N5120" s="475">
        <f t="shared" si="205"/>
        <v>206881</v>
      </c>
    </row>
    <row r="5121" spans="7:14" ht="11.25" customHeight="1" x14ac:dyDescent="0.3">
      <c r="G5121" s="470"/>
      <c r="H5121" s="470">
        <v>5114</v>
      </c>
      <c r="I5121" s="455">
        <f t="shared" ca="1" si="203"/>
        <v>-291401569050605.75</v>
      </c>
      <c r="J5121" s="455">
        <f t="array" ref="J5121">IFERROR(INDEX('Retirement Calculator'!J:J,MATCH('Isaac 401k'!N5121,'Retirement Calculator'!A:A,0),0),0)</f>
        <v>0</v>
      </c>
      <c r="K5121" s="455">
        <f t="shared" ca="1" si="201"/>
        <v>-1214173204377.5239</v>
      </c>
      <c r="L5121" s="455">
        <f t="shared" ca="1" si="202"/>
        <v>-292615742254983.25</v>
      </c>
      <c r="M5121" s="471">
        <f t="shared" si="204"/>
        <v>0.05</v>
      </c>
      <c r="N5121" s="475">
        <f t="shared" si="205"/>
        <v>206911</v>
      </c>
    </row>
    <row r="5122" spans="7:14" ht="11.25" customHeight="1" x14ac:dyDescent="0.3">
      <c r="G5122" s="470"/>
      <c r="H5122" s="470">
        <v>5115</v>
      </c>
      <c r="I5122" s="455">
        <f t="shared" ca="1" si="203"/>
        <v>-292615742254983.25</v>
      </c>
      <c r="J5122" s="455">
        <f t="array" ref="J5122">IFERROR(INDEX('Retirement Calculator'!J:J,MATCH('Isaac 401k'!N5122,'Retirement Calculator'!A:A,0),0),0)</f>
        <v>0</v>
      </c>
      <c r="K5122" s="455">
        <f t="shared" ca="1" si="201"/>
        <v>-1219232259395.7634</v>
      </c>
      <c r="L5122" s="455">
        <f t="shared" ca="1" si="202"/>
        <v>-293834974514379</v>
      </c>
      <c r="M5122" s="471">
        <f t="shared" si="204"/>
        <v>0.05</v>
      </c>
      <c r="N5122" s="475">
        <f t="shared" si="205"/>
        <v>206942</v>
      </c>
    </row>
    <row r="5123" spans="7:14" ht="11.25" customHeight="1" x14ac:dyDescent="0.3">
      <c r="G5123" s="470"/>
      <c r="H5123" s="470">
        <v>5116</v>
      </c>
      <c r="I5123" s="455">
        <f t="shared" ca="1" si="203"/>
        <v>-293834974514379</v>
      </c>
      <c r="J5123" s="455">
        <f t="array" ref="J5123">IFERROR(INDEX('Retirement Calculator'!J:J,MATCH('Isaac 401k'!N5123,'Retirement Calculator'!A:A,0),0),0)</f>
        <v>0</v>
      </c>
      <c r="K5123" s="455">
        <f t="shared" ca="1" si="201"/>
        <v>-1224312393809.9126</v>
      </c>
      <c r="L5123" s="455">
        <f t="shared" ca="1" si="202"/>
        <v>-295059286908188.94</v>
      </c>
      <c r="M5123" s="471">
        <f t="shared" si="204"/>
        <v>0.05</v>
      </c>
      <c r="N5123" s="475">
        <f t="shared" si="205"/>
        <v>206973</v>
      </c>
    </row>
    <row r="5124" spans="7:14" ht="11.25" customHeight="1" x14ac:dyDescent="0.3">
      <c r="G5124" s="470"/>
      <c r="H5124" s="470">
        <v>5117</v>
      </c>
      <c r="I5124" s="455">
        <f t="shared" ca="1" si="203"/>
        <v>-295059286908188.94</v>
      </c>
      <c r="J5124" s="455">
        <f t="array" ref="J5124">IFERROR(INDEX('Retirement Calculator'!J:J,MATCH('Isaac 401k'!N5124,'Retirement Calculator'!A:A,0),0),0)</f>
        <v>0</v>
      </c>
      <c r="K5124" s="455">
        <f t="shared" ca="1" si="201"/>
        <v>-1229413695450.7871</v>
      </c>
      <c r="L5124" s="455">
        <f t="shared" ca="1" si="202"/>
        <v>-296288700603639.75</v>
      </c>
      <c r="M5124" s="471">
        <f t="shared" si="204"/>
        <v>0.05</v>
      </c>
      <c r="N5124" s="475">
        <f t="shared" si="205"/>
        <v>207003</v>
      </c>
    </row>
    <row r="5125" spans="7:14" ht="11.25" customHeight="1" x14ac:dyDescent="0.3">
      <c r="G5125" s="470"/>
      <c r="H5125" s="470">
        <v>5118</v>
      </c>
      <c r="I5125" s="455">
        <f t="shared" ca="1" si="203"/>
        <v>-296288700603639.75</v>
      </c>
      <c r="J5125" s="455">
        <f t="array" ref="J5125">IFERROR(INDEX('Retirement Calculator'!J:J,MATCH('Isaac 401k'!N5125,'Retirement Calculator'!A:A,0),0),0)</f>
        <v>0</v>
      </c>
      <c r="K5125" s="455">
        <f t="shared" ca="1" si="201"/>
        <v>-1234536252515.1655</v>
      </c>
      <c r="L5125" s="455">
        <f t="shared" ca="1" si="202"/>
        <v>-297523236856154.94</v>
      </c>
      <c r="M5125" s="471">
        <f t="shared" si="204"/>
        <v>0.05</v>
      </c>
      <c r="N5125" s="475">
        <f t="shared" si="205"/>
        <v>207034</v>
      </c>
    </row>
    <row r="5126" spans="7:14" ht="11.25" customHeight="1" x14ac:dyDescent="0.3">
      <c r="G5126" s="470"/>
      <c r="H5126" s="470">
        <v>5119</v>
      </c>
      <c r="I5126" s="455">
        <f t="shared" ca="1" si="203"/>
        <v>-297523236856154.94</v>
      </c>
      <c r="J5126" s="455">
        <f t="array" ref="J5126">IFERROR(INDEX('Retirement Calculator'!J:J,MATCH('Isaac 401k'!N5126,'Retirement Calculator'!A:A,0),0),0)</f>
        <v>0</v>
      </c>
      <c r="K5126" s="455">
        <f t="shared" ca="1" si="201"/>
        <v>-1239680153567.3123</v>
      </c>
      <c r="L5126" s="455">
        <f t="shared" ca="1" si="202"/>
        <v>-298762917009722.25</v>
      </c>
      <c r="M5126" s="471">
        <f t="shared" si="204"/>
        <v>0.05</v>
      </c>
      <c r="N5126" s="475">
        <f t="shared" si="205"/>
        <v>207064</v>
      </c>
    </row>
    <row r="5127" spans="7:14" ht="11.25" customHeight="1" x14ac:dyDescent="0.3">
      <c r="G5127" s="470"/>
      <c r="H5127" s="470">
        <v>5120</v>
      </c>
      <c r="I5127" s="455">
        <f t="shared" ca="1" si="203"/>
        <v>-298762917009722.25</v>
      </c>
      <c r="J5127" s="455">
        <f t="array" ref="J5127">IFERROR(INDEX('Retirement Calculator'!J:J,MATCH('Isaac 401k'!N5127,'Retirement Calculator'!A:A,0),0),0)</f>
        <v>0</v>
      </c>
      <c r="K5127" s="455">
        <f t="shared" ca="1" si="201"/>
        <v>-1244845487540.5093</v>
      </c>
      <c r="L5127" s="455">
        <f t="shared" ca="1" si="202"/>
        <v>-300007762497262.75</v>
      </c>
      <c r="M5127" s="471">
        <f t="shared" si="204"/>
        <v>0.05</v>
      </c>
      <c r="N5127" s="475">
        <f t="shared" si="205"/>
        <v>207095</v>
      </c>
    </row>
    <row r="5128" spans="7:14" ht="11.25" customHeight="1" x14ac:dyDescent="0.3">
      <c r="G5128" s="470"/>
      <c r="H5128" s="470">
        <v>5121</v>
      </c>
      <c r="I5128" s="455">
        <f t="shared" ca="1" si="203"/>
        <v>-300007762497262.75</v>
      </c>
      <c r="J5128" s="455">
        <f t="array" ref="J5128">IFERROR(INDEX('Retirement Calculator'!J:J,MATCH('Isaac 401k'!N5128,'Retirement Calculator'!A:A,0),0),0)</f>
        <v>0</v>
      </c>
      <c r="K5128" s="455">
        <f t="shared" ca="1" si="201"/>
        <v>-1250032343738.5947</v>
      </c>
      <c r="L5128" s="455">
        <f t="shared" ca="1" si="202"/>
        <v>-301257794841001.38</v>
      </c>
      <c r="M5128" s="471">
        <f t="shared" si="204"/>
        <v>0.05</v>
      </c>
      <c r="N5128" s="475">
        <f t="shared" si="205"/>
        <v>207126</v>
      </c>
    </row>
    <row r="5129" spans="7:14" ht="11.25" customHeight="1" x14ac:dyDescent="0.3">
      <c r="G5129" s="470"/>
      <c r="H5129" s="470">
        <v>5122</v>
      </c>
      <c r="I5129" s="455">
        <f t="shared" ca="1" si="203"/>
        <v>-301257794841001.38</v>
      </c>
      <c r="J5129" s="455">
        <f t="array" ref="J5129">IFERROR(INDEX('Retirement Calculator'!J:J,MATCH('Isaac 401k'!N5129,'Retirement Calculator'!A:A,0),0),0)</f>
        <v>0</v>
      </c>
      <c r="K5129" s="455">
        <f t="shared" ca="1" si="201"/>
        <v>-1255240811837.5056</v>
      </c>
      <c r="L5129" s="455">
        <f t="shared" ca="1" si="202"/>
        <v>-302513035652838.88</v>
      </c>
      <c r="M5129" s="471">
        <f t="shared" si="204"/>
        <v>0.05</v>
      </c>
      <c r="N5129" s="475">
        <f t="shared" si="205"/>
        <v>207154</v>
      </c>
    </row>
    <row r="5130" spans="7:14" ht="11.25" customHeight="1" x14ac:dyDescent="0.3">
      <c r="G5130" s="470"/>
      <c r="H5130" s="470">
        <v>5123</v>
      </c>
      <c r="I5130" s="455">
        <f t="shared" ca="1" si="203"/>
        <v>-302513035652838.88</v>
      </c>
      <c r="J5130" s="455">
        <f t="array" ref="J5130">IFERROR(INDEX('Retirement Calculator'!J:J,MATCH('Isaac 401k'!N5130,'Retirement Calculator'!A:A,0),0),0)</f>
        <v>0</v>
      </c>
      <c r="K5130" s="455">
        <f t="shared" ca="1" si="201"/>
        <v>-1260470981886.8286</v>
      </c>
      <c r="L5130" s="455">
        <f t="shared" ca="1" si="202"/>
        <v>-303773506634725.69</v>
      </c>
      <c r="M5130" s="471">
        <f t="shared" si="204"/>
        <v>0.05</v>
      </c>
      <c r="N5130" s="475">
        <f t="shared" si="205"/>
        <v>207185</v>
      </c>
    </row>
    <row r="5131" spans="7:14" ht="11.25" customHeight="1" x14ac:dyDescent="0.3">
      <c r="G5131" s="470"/>
      <c r="H5131" s="470">
        <v>5124</v>
      </c>
      <c r="I5131" s="455">
        <f t="shared" ca="1" si="203"/>
        <v>-303773506634725.69</v>
      </c>
      <c r="J5131" s="455">
        <f t="array" ref="J5131">IFERROR(INDEX('Retirement Calculator'!J:J,MATCH('Isaac 401k'!N5131,'Retirement Calculator'!A:A,0),0),0)</f>
        <v>0</v>
      </c>
      <c r="K5131" s="455">
        <f t="shared" ca="1" si="201"/>
        <v>-1265722944311.3569</v>
      </c>
      <c r="L5131" s="455">
        <f t="shared" ca="1" si="202"/>
        <v>-305039229579037.06</v>
      </c>
      <c r="M5131" s="471">
        <f t="shared" si="204"/>
        <v>0.05</v>
      </c>
      <c r="N5131" s="475">
        <f t="shared" si="205"/>
        <v>207215</v>
      </c>
    </row>
    <row r="5132" spans="7:14" ht="11.25" customHeight="1" x14ac:dyDescent="0.3">
      <c r="G5132" s="470"/>
      <c r="H5132" s="470">
        <v>5125</v>
      </c>
      <c r="I5132" s="455">
        <f t="shared" ca="1" si="203"/>
        <v>-305039229579037.06</v>
      </c>
      <c r="J5132" s="455">
        <f t="array" ref="J5132">IFERROR(INDEX('Retirement Calculator'!J:J,MATCH('Isaac 401k'!N5132,'Retirement Calculator'!A:A,0),0),0)</f>
        <v>0</v>
      </c>
      <c r="K5132" s="455">
        <f t="shared" ca="1" si="201"/>
        <v>-1270996789912.6543</v>
      </c>
      <c r="L5132" s="455">
        <f t="shared" ca="1" si="202"/>
        <v>-306310226368949.69</v>
      </c>
      <c r="M5132" s="471">
        <f t="shared" si="204"/>
        <v>0.05</v>
      </c>
      <c r="N5132" s="475">
        <f t="shared" si="205"/>
        <v>207246</v>
      </c>
    </row>
    <row r="5133" spans="7:14" ht="11.25" customHeight="1" x14ac:dyDescent="0.3">
      <c r="G5133" s="470"/>
      <c r="H5133" s="470">
        <v>5126</v>
      </c>
      <c r="I5133" s="455">
        <f t="shared" ca="1" si="203"/>
        <v>-306310226368949.69</v>
      </c>
      <c r="J5133" s="455">
        <f t="array" ref="J5133">IFERROR(INDEX('Retirement Calculator'!J:J,MATCH('Isaac 401k'!N5133,'Retirement Calculator'!A:A,0),0),0)</f>
        <v>0</v>
      </c>
      <c r="K5133" s="455">
        <f t="shared" ca="1" si="201"/>
        <v>-1276292609870.6238</v>
      </c>
      <c r="L5133" s="455">
        <f t="shared" ca="1" si="202"/>
        <v>-307586518978820.31</v>
      </c>
      <c r="M5133" s="471">
        <f t="shared" si="204"/>
        <v>0.05</v>
      </c>
      <c r="N5133" s="475">
        <f t="shared" si="205"/>
        <v>207276</v>
      </c>
    </row>
    <row r="5134" spans="7:14" ht="11.25" customHeight="1" x14ac:dyDescent="0.3">
      <c r="G5134" s="470"/>
      <c r="H5134" s="470">
        <v>5127</v>
      </c>
      <c r="I5134" s="455">
        <f t="shared" ca="1" si="203"/>
        <v>-307586518978820.31</v>
      </c>
      <c r="J5134" s="455">
        <f t="array" ref="J5134">IFERROR(INDEX('Retirement Calculator'!J:J,MATCH('Isaac 401k'!N5134,'Retirement Calculator'!A:A,0),0),0)</f>
        <v>0</v>
      </c>
      <c r="K5134" s="455">
        <f t="shared" ca="1" si="201"/>
        <v>-1281610495745.0847</v>
      </c>
      <c r="L5134" s="455">
        <f t="shared" ca="1" si="202"/>
        <v>-308868129474565.38</v>
      </c>
      <c r="M5134" s="471">
        <f t="shared" si="204"/>
        <v>0.05</v>
      </c>
      <c r="N5134" s="475">
        <f t="shared" si="205"/>
        <v>207307</v>
      </c>
    </row>
    <row r="5135" spans="7:14" ht="11.25" customHeight="1" x14ac:dyDescent="0.3">
      <c r="G5135" s="470"/>
      <c r="H5135" s="470">
        <v>5128</v>
      </c>
      <c r="I5135" s="455">
        <f t="shared" ca="1" si="203"/>
        <v>-308868129474565.38</v>
      </c>
      <c r="J5135" s="455">
        <f t="array" ref="J5135">IFERROR(INDEX('Retirement Calculator'!J:J,MATCH('Isaac 401k'!N5135,'Retirement Calculator'!A:A,0),0),0)</f>
        <v>0</v>
      </c>
      <c r="K5135" s="455">
        <f t="shared" ca="1" si="201"/>
        <v>-1286950539477.3557</v>
      </c>
      <c r="L5135" s="455">
        <f t="shared" ca="1" si="202"/>
        <v>-310155080014042.75</v>
      </c>
      <c r="M5135" s="471">
        <f t="shared" si="204"/>
        <v>0.05</v>
      </c>
      <c r="N5135" s="475">
        <f t="shared" si="205"/>
        <v>207338</v>
      </c>
    </row>
    <row r="5136" spans="7:14" ht="11.25" customHeight="1" x14ac:dyDescent="0.3">
      <c r="G5136" s="470"/>
      <c r="H5136" s="470">
        <v>5129</v>
      </c>
      <c r="I5136" s="455">
        <f t="shared" ca="1" si="203"/>
        <v>-310155080014042.75</v>
      </c>
      <c r="J5136" s="455">
        <f t="array" ref="J5136">IFERROR(INDEX('Retirement Calculator'!J:J,MATCH('Isaac 401k'!N5136,'Retirement Calculator'!A:A,0),0),0)</f>
        <v>0</v>
      </c>
      <c r="K5136" s="455">
        <f t="shared" ca="1" si="201"/>
        <v>-1292312833391.8447</v>
      </c>
      <c r="L5136" s="455">
        <f t="shared" ca="1" si="202"/>
        <v>-311447392847434.63</v>
      </c>
      <c r="M5136" s="471">
        <f t="shared" si="204"/>
        <v>0.05</v>
      </c>
      <c r="N5136" s="475">
        <f t="shared" si="205"/>
        <v>207368</v>
      </c>
    </row>
    <row r="5137" spans="7:14" ht="11.25" customHeight="1" x14ac:dyDescent="0.3">
      <c r="G5137" s="470"/>
      <c r="H5137" s="470">
        <v>5130</v>
      </c>
      <c r="I5137" s="455">
        <f t="shared" ca="1" si="203"/>
        <v>-311447392847434.63</v>
      </c>
      <c r="J5137" s="455">
        <f t="array" ref="J5137">IFERROR(INDEX('Retirement Calculator'!J:J,MATCH('Isaac 401k'!N5137,'Retirement Calculator'!A:A,0),0),0)</f>
        <v>0</v>
      </c>
      <c r="K5137" s="455">
        <f t="shared" ca="1" si="201"/>
        <v>-1297697470197.6443</v>
      </c>
      <c r="L5137" s="455">
        <f t="shared" ca="1" si="202"/>
        <v>-312745090317632.25</v>
      </c>
      <c r="M5137" s="471">
        <f t="shared" si="204"/>
        <v>0.05</v>
      </c>
      <c r="N5137" s="475">
        <f t="shared" si="205"/>
        <v>207399</v>
      </c>
    </row>
    <row r="5138" spans="7:14" ht="11.25" customHeight="1" x14ac:dyDescent="0.3">
      <c r="G5138" s="470"/>
      <c r="H5138" s="470">
        <v>5131</v>
      </c>
      <c r="I5138" s="455">
        <f t="shared" ca="1" si="203"/>
        <v>-312745090317632.25</v>
      </c>
      <c r="J5138" s="455">
        <f t="array" ref="J5138">IFERROR(INDEX('Retirement Calculator'!J:J,MATCH('Isaac 401k'!N5138,'Retirement Calculator'!A:A,0),0),0)</f>
        <v>0</v>
      </c>
      <c r="K5138" s="455">
        <f t="shared" ca="1" si="201"/>
        <v>-1303104542990.1343</v>
      </c>
      <c r="L5138" s="455">
        <f t="shared" ca="1" si="202"/>
        <v>-314048194860622.38</v>
      </c>
      <c r="M5138" s="471">
        <f t="shared" si="204"/>
        <v>0.05</v>
      </c>
      <c r="N5138" s="475">
        <f t="shared" si="205"/>
        <v>207429</v>
      </c>
    </row>
    <row r="5139" spans="7:14" ht="11.25" customHeight="1" x14ac:dyDescent="0.3">
      <c r="G5139" s="470"/>
      <c r="H5139" s="470">
        <v>5132</v>
      </c>
      <c r="I5139" s="455">
        <f t="shared" ca="1" si="203"/>
        <v>-314048194860622.38</v>
      </c>
      <c r="J5139" s="455">
        <f t="array" ref="J5139">IFERROR(INDEX('Retirement Calculator'!J:J,MATCH('Isaac 401k'!N5139,'Retirement Calculator'!A:A,0),0),0)</f>
        <v>0</v>
      </c>
      <c r="K5139" s="455">
        <f t="shared" ca="1" si="201"/>
        <v>-1308534145252.5933</v>
      </c>
      <c r="L5139" s="455">
        <f t="shared" ca="1" si="202"/>
        <v>-315356729005874.94</v>
      </c>
      <c r="M5139" s="471">
        <f t="shared" si="204"/>
        <v>0.05</v>
      </c>
      <c r="N5139" s="475">
        <f t="shared" si="205"/>
        <v>207460</v>
      </c>
    </row>
    <row r="5140" spans="7:14" ht="11.25" customHeight="1" x14ac:dyDescent="0.3">
      <c r="G5140" s="470"/>
      <c r="H5140" s="470">
        <v>5133</v>
      </c>
      <c r="I5140" s="455">
        <f t="shared" ca="1" si="203"/>
        <v>-315356729005874.94</v>
      </c>
      <c r="J5140" s="455">
        <f t="array" ref="J5140">IFERROR(INDEX('Retirement Calculator'!J:J,MATCH('Isaac 401k'!N5140,'Retirement Calculator'!A:A,0),0),0)</f>
        <v>0</v>
      </c>
      <c r="K5140" s="455">
        <f t="shared" ca="1" si="201"/>
        <v>-1313986370857.8123</v>
      </c>
      <c r="L5140" s="455">
        <f t="shared" ca="1" si="202"/>
        <v>-316670715376732.75</v>
      </c>
      <c r="M5140" s="471">
        <f t="shared" si="204"/>
        <v>0.05</v>
      </c>
      <c r="N5140" s="475">
        <f t="shared" si="205"/>
        <v>207491</v>
      </c>
    </row>
    <row r="5141" spans="7:14" ht="11.25" customHeight="1" x14ac:dyDescent="0.3">
      <c r="G5141" s="470"/>
      <c r="H5141" s="470">
        <v>5134</v>
      </c>
      <c r="I5141" s="455">
        <f t="shared" ca="1" si="203"/>
        <v>-316670715376732.75</v>
      </c>
      <c r="J5141" s="455">
        <f t="array" ref="J5141">IFERROR(INDEX('Retirement Calculator'!J:J,MATCH('Isaac 401k'!N5141,'Retirement Calculator'!A:A,0),0),0)</f>
        <v>0</v>
      </c>
      <c r="K5141" s="455">
        <f t="shared" ca="1" si="201"/>
        <v>-1319461314069.7197</v>
      </c>
      <c r="L5141" s="455">
        <f t="shared" ca="1" si="202"/>
        <v>-317990176690802.5</v>
      </c>
      <c r="M5141" s="471">
        <f t="shared" si="204"/>
        <v>0.05</v>
      </c>
      <c r="N5141" s="475">
        <f t="shared" si="205"/>
        <v>207520</v>
      </c>
    </row>
    <row r="5142" spans="7:14" ht="11.25" customHeight="1" x14ac:dyDescent="0.3">
      <c r="G5142" s="470"/>
      <c r="H5142" s="470">
        <v>5135</v>
      </c>
      <c r="I5142" s="455">
        <f t="shared" ca="1" si="203"/>
        <v>-317990176690802.5</v>
      </c>
      <c r="J5142" s="455">
        <f t="array" ref="J5142">IFERROR(INDEX('Retirement Calculator'!J:J,MATCH('Isaac 401k'!N5142,'Retirement Calculator'!A:A,0),0),0)</f>
        <v>0</v>
      </c>
      <c r="K5142" s="455">
        <f t="shared" ca="1" si="201"/>
        <v>-1324959069545.0105</v>
      </c>
      <c r="L5142" s="455">
        <f t="shared" ca="1" si="202"/>
        <v>-319315135760347.5</v>
      </c>
      <c r="M5142" s="471">
        <f t="shared" si="204"/>
        <v>0.05</v>
      </c>
      <c r="N5142" s="475">
        <f t="shared" si="205"/>
        <v>207551</v>
      </c>
    </row>
    <row r="5143" spans="7:14" ht="11.25" customHeight="1" x14ac:dyDescent="0.3">
      <c r="G5143" s="470"/>
      <c r="H5143" s="470">
        <v>5136</v>
      </c>
      <c r="I5143" s="455">
        <f t="shared" ca="1" si="203"/>
        <v>-319315135760347.5</v>
      </c>
      <c r="J5143" s="455">
        <f t="array" ref="J5143">IFERROR(INDEX('Retirement Calculator'!J:J,MATCH('Isaac 401k'!N5143,'Retirement Calculator'!A:A,0),0),0)</f>
        <v>0</v>
      </c>
      <c r="K5143" s="455">
        <f t="shared" ca="1" si="201"/>
        <v>-1330479732334.7813</v>
      </c>
      <c r="L5143" s="455">
        <f t="shared" ca="1" si="202"/>
        <v>-320645615492682.25</v>
      </c>
      <c r="M5143" s="471">
        <f t="shared" si="204"/>
        <v>0.05</v>
      </c>
      <c r="N5143" s="475">
        <f t="shared" si="205"/>
        <v>207581</v>
      </c>
    </row>
    <row r="5144" spans="7:14" ht="11.25" customHeight="1" x14ac:dyDescent="0.3">
      <c r="G5144" s="470"/>
      <c r="H5144" s="470">
        <v>5137</v>
      </c>
      <c r="I5144" s="455">
        <f t="shared" ca="1" si="203"/>
        <v>-320645615492682.25</v>
      </c>
      <c r="J5144" s="455">
        <f t="array" ref="J5144">IFERROR(INDEX('Retirement Calculator'!J:J,MATCH('Isaac 401k'!N5144,'Retirement Calculator'!A:A,0),0),0)</f>
        <v>0</v>
      </c>
      <c r="K5144" s="455">
        <f t="shared" ca="1" si="201"/>
        <v>-1336023397886.176</v>
      </c>
      <c r="L5144" s="455">
        <f t="shared" ca="1" si="202"/>
        <v>-321981638890568.44</v>
      </c>
      <c r="M5144" s="471">
        <f t="shared" si="204"/>
        <v>0.05</v>
      </c>
      <c r="N5144" s="475">
        <f t="shared" si="205"/>
        <v>207612</v>
      </c>
    </row>
    <row r="5145" spans="7:14" ht="11.25" customHeight="1" x14ac:dyDescent="0.3">
      <c r="G5145" s="470"/>
      <c r="H5145" s="470">
        <v>5138</v>
      </c>
      <c r="I5145" s="455">
        <f t="shared" ca="1" si="203"/>
        <v>-321981638890568.44</v>
      </c>
      <c r="J5145" s="455">
        <f t="array" ref="J5145">IFERROR(INDEX('Retirement Calculator'!J:J,MATCH('Isaac 401k'!N5145,'Retirement Calculator'!A:A,0),0),0)</f>
        <v>0</v>
      </c>
      <c r="K5145" s="455">
        <f t="shared" ca="1" si="201"/>
        <v>-1341590162044.0352</v>
      </c>
      <c r="L5145" s="455">
        <f t="shared" ca="1" si="202"/>
        <v>-323323229052612.5</v>
      </c>
      <c r="M5145" s="471">
        <f t="shared" si="204"/>
        <v>0.05</v>
      </c>
      <c r="N5145" s="475">
        <f t="shared" si="205"/>
        <v>207642</v>
      </c>
    </row>
    <row r="5146" spans="7:14" ht="11.25" customHeight="1" x14ac:dyDescent="0.3">
      <c r="G5146" s="470"/>
      <c r="H5146" s="470">
        <v>5139</v>
      </c>
      <c r="I5146" s="455">
        <f t="shared" ca="1" si="203"/>
        <v>-323323229052612.5</v>
      </c>
      <c r="J5146" s="455">
        <f t="array" ref="J5146">IFERROR(INDEX('Retirement Calculator'!J:J,MATCH('Isaac 401k'!N5146,'Retirement Calculator'!A:A,0),0),0)</f>
        <v>0</v>
      </c>
      <c r="K5146" s="455">
        <f t="shared" ca="1" si="201"/>
        <v>-1347180121052.552</v>
      </c>
      <c r="L5146" s="455">
        <f t="shared" ca="1" si="202"/>
        <v>-324670409173665.06</v>
      </c>
      <c r="M5146" s="471">
        <f t="shared" si="204"/>
        <v>0.05</v>
      </c>
      <c r="N5146" s="475">
        <f t="shared" si="205"/>
        <v>207673</v>
      </c>
    </row>
    <row r="5147" spans="7:14" ht="11.25" customHeight="1" x14ac:dyDescent="0.3">
      <c r="G5147" s="470"/>
      <c r="H5147" s="470">
        <v>5140</v>
      </c>
      <c r="I5147" s="455">
        <f t="shared" ca="1" si="203"/>
        <v>-324670409173665.06</v>
      </c>
      <c r="J5147" s="455">
        <f t="array" ref="J5147">IFERROR(INDEX('Retirement Calculator'!J:J,MATCH('Isaac 401k'!N5147,'Retirement Calculator'!A:A,0),0),0)</f>
        <v>0</v>
      </c>
      <c r="K5147" s="455">
        <f t="shared" ca="1" si="201"/>
        <v>-1352793371556.9377</v>
      </c>
      <c r="L5147" s="455">
        <f t="shared" ca="1" si="202"/>
        <v>-326023202545222</v>
      </c>
      <c r="M5147" s="471">
        <f t="shared" si="204"/>
        <v>0.05</v>
      </c>
      <c r="N5147" s="475">
        <f t="shared" si="205"/>
        <v>207704</v>
      </c>
    </row>
    <row r="5148" spans="7:14" ht="11.25" customHeight="1" x14ac:dyDescent="0.3">
      <c r="G5148" s="470"/>
      <c r="H5148" s="470">
        <v>5141</v>
      </c>
      <c r="I5148" s="455">
        <f t="shared" ca="1" si="203"/>
        <v>-326023202545222</v>
      </c>
      <c r="J5148" s="455">
        <f t="array" ref="J5148">IFERROR(INDEX('Retirement Calculator'!J:J,MATCH('Isaac 401k'!N5148,'Retirement Calculator'!A:A,0),0),0)</f>
        <v>0</v>
      </c>
      <c r="K5148" s="455">
        <f t="shared" ca="1" si="201"/>
        <v>-1358430010605.0916</v>
      </c>
      <c r="L5148" s="455">
        <f t="shared" ca="1" si="202"/>
        <v>-327381632555827.06</v>
      </c>
      <c r="M5148" s="471">
        <f t="shared" si="204"/>
        <v>0.05</v>
      </c>
      <c r="N5148" s="475">
        <f t="shared" si="205"/>
        <v>207734</v>
      </c>
    </row>
    <row r="5149" spans="7:14" ht="11.25" customHeight="1" x14ac:dyDescent="0.3">
      <c r="G5149" s="470"/>
      <c r="H5149" s="470">
        <v>5142</v>
      </c>
      <c r="I5149" s="455">
        <f t="shared" ca="1" si="203"/>
        <v>-327381632555827.06</v>
      </c>
      <c r="J5149" s="455">
        <f t="array" ref="J5149">IFERROR(INDEX('Retirement Calculator'!J:J,MATCH('Isaac 401k'!N5149,'Retirement Calculator'!A:A,0),0),0)</f>
        <v>0</v>
      </c>
      <c r="K5149" s="455">
        <f t="shared" ca="1" si="201"/>
        <v>-1364090135649.2793</v>
      </c>
      <c r="L5149" s="455">
        <f t="shared" ca="1" si="202"/>
        <v>-328745722691476.31</v>
      </c>
      <c r="M5149" s="471">
        <f t="shared" si="204"/>
        <v>0.05</v>
      </c>
      <c r="N5149" s="475">
        <f t="shared" si="205"/>
        <v>207765</v>
      </c>
    </row>
    <row r="5150" spans="7:14" ht="11.25" customHeight="1" x14ac:dyDescent="0.3">
      <c r="G5150" s="470"/>
      <c r="H5150" s="470">
        <v>5143</v>
      </c>
      <c r="I5150" s="455">
        <f t="shared" ca="1" si="203"/>
        <v>-328745722691476.31</v>
      </c>
      <c r="J5150" s="455">
        <f t="array" ref="J5150">IFERROR(INDEX('Retirement Calculator'!J:J,MATCH('Isaac 401k'!N5150,'Retirement Calculator'!A:A,0),0),0)</f>
        <v>0</v>
      </c>
      <c r="K5150" s="455">
        <f t="shared" ca="1" si="201"/>
        <v>-1369773844547.8179</v>
      </c>
      <c r="L5150" s="455">
        <f t="shared" ca="1" si="202"/>
        <v>-330115496536024.13</v>
      </c>
      <c r="M5150" s="471">
        <f t="shared" si="204"/>
        <v>0.05</v>
      </c>
      <c r="N5150" s="475">
        <f t="shared" si="205"/>
        <v>207795</v>
      </c>
    </row>
    <row r="5151" spans="7:14" ht="11.25" customHeight="1" x14ac:dyDescent="0.3">
      <c r="G5151" s="470"/>
      <c r="H5151" s="470">
        <v>5144</v>
      </c>
      <c r="I5151" s="455">
        <f t="shared" ca="1" si="203"/>
        <v>-330115496536024.13</v>
      </c>
      <c r="J5151" s="455">
        <f t="array" ref="J5151">IFERROR(INDEX('Retirement Calculator'!J:J,MATCH('Isaac 401k'!N5151,'Retirement Calculator'!A:A,0),0),0)</f>
        <v>0</v>
      </c>
      <c r="K5151" s="455">
        <f t="shared" ca="1" si="201"/>
        <v>-1375481235566.7671</v>
      </c>
      <c r="L5151" s="455">
        <f t="shared" ca="1" si="202"/>
        <v>-331490977771590.88</v>
      </c>
      <c r="M5151" s="471">
        <f t="shared" si="204"/>
        <v>0.05</v>
      </c>
      <c r="N5151" s="475">
        <f t="shared" si="205"/>
        <v>207826</v>
      </c>
    </row>
    <row r="5152" spans="7:14" ht="11.25" customHeight="1" x14ac:dyDescent="0.3">
      <c r="G5152" s="470"/>
      <c r="H5152" s="470">
        <v>5145</v>
      </c>
      <c r="I5152" s="455">
        <f t="shared" ca="1" si="203"/>
        <v>-331490977771590.88</v>
      </c>
      <c r="J5152" s="455">
        <f t="array" ref="J5152">IFERROR(INDEX('Retirement Calculator'!J:J,MATCH('Isaac 401k'!N5152,'Retirement Calculator'!A:A,0),0),0)</f>
        <v>0</v>
      </c>
      <c r="K5152" s="455">
        <f t="shared" ca="1" si="201"/>
        <v>-1381212407381.6287</v>
      </c>
      <c r="L5152" s="455">
        <f t="shared" ca="1" si="202"/>
        <v>-332872190178972.5</v>
      </c>
      <c r="M5152" s="471">
        <f t="shared" si="204"/>
        <v>0.05</v>
      </c>
      <c r="N5152" s="475">
        <f t="shared" si="205"/>
        <v>207857</v>
      </c>
    </row>
    <row r="5153" spans="7:14" ht="11.25" customHeight="1" x14ac:dyDescent="0.3">
      <c r="G5153" s="470"/>
      <c r="H5153" s="470">
        <v>5146</v>
      </c>
      <c r="I5153" s="455">
        <f t="shared" ca="1" si="203"/>
        <v>-332872190178972.5</v>
      </c>
      <c r="J5153" s="455">
        <f t="array" ref="J5153">IFERROR(INDEX('Retirement Calculator'!J:J,MATCH('Isaac 401k'!N5153,'Retirement Calculator'!A:A,0),0),0)</f>
        <v>0</v>
      </c>
      <c r="K5153" s="455">
        <f t="shared" ca="1" si="201"/>
        <v>-1386967459079.052</v>
      </c>
      <c r="L5153" s="455">
        <f t="shared" ca="1" si="202"/>
        <v>-334259157638051.56</v>
      </c>
      <c r="M5153" s="471">
        <f t="shared" si="204"/>
        <v>0.05</v>
      </c>
      <c r="N5153" s="475">
        <f t="shared" si="205"/>
        <v>207885</v>
      </c>
    </row>
    <row r="5154" spans="7:14" ht="11.25" customHeight="1" x14ac:dyDescent="0.3">
      <c r="G5154" s="470"/>
      <c r="H5154" s="470">
        <v>5147</v>
      </c>
      <c r="I5154" s="455">
        <f t="shared" ca="1" si="203"/>
        <v>-334259157638051.56</v>
      </c>
      <c r="J5154" s="455">
        <f t="array" ref="J5154">IFERROR(INDEX('Retirement Calculator'!J:J,MATCH('Isaac 401k'!N5154,'Retirement Calculator'!A:A,0),0),0)</f>
        <v>0</v>
      </c>
      <c r="K5154" s="455">
        <f t="shared" ca="1" si="201"/>
        <v>-1392746490158.5481</v>
      </c>
      <c r="L5154" s="455">
        <f t="shared" ca="1" si="202"/>
        <v>-335651904128210.13</v>
      </c>
      <c r="M5154" s="471">
        <f t="shared" si="204"/>
        <v>0.05</v>
      </c>
      <c r="N5154" s="475">
        <f t="shared" si="205"/>
        <v>207916</v>
      </c>
    </row>
    <row r="5155" spans="7:14" ht="11.25" customHeight="1" x14ac:dyDescent="0.3">
      <c r="G5155" s="470"/>
      <c r="H5155" s="470">
        <v>5148</v>
      </c>
      <c r="I5155" s="455">
        <f t="shared" ca="1" si="203"/>
        <v>-335651904128210.13</v>
      </c>
      <c r="J5155" s="455">
        <f t="array" ref="J5155">IFERROR(INDEX('Retirement Calculator'!J:J,MATCH('Isaac 401k'!N5155,'Retirement Calculator'!A:A,0),0),0)</f>
        <v>0</v>
      </c>
      <c r="K5155" s="455">
        <f t="shared" ca="1" si="201"/>
        <v>-1398549600534.2087</v>
      </c>
      <c r="L5155" s="455">
        <f t="shared" ca="1" si="202"/>
        <v>-337050453728744.31</v>
      </c>
      <c r="M5155" s="471">
        <f t="shared" si="204"/>
        <v>0.05</v>
      </c>
      <c r="N5155" s="475">
        <f t="shared" si="205"/>
        <v>207946</v>
      </c>
    </row>
    <row r="5156" spans="7:14" ht="11.25" customHeight="1" x14ac:dyDescent="0.3">
      <c r="G5156" s="470"/>
      <c r="H5156" s="470">
        <v>5149</v>
      </c>
      <c r="I5156" s="455">
        <f t="shared" ca="1" si="203"/>
        <v>-337050453728744.31</v>
      </c>
      <c r="J5156" s="455">
        <f t="array" ref="J5156">IFERROR(INDEX('Retirement Calculator'!J:J,MATCH('Isaac 401k'!N5156,'Retirement Calculator'!A:A,0),0),0)</f>
        <v>0</v>
      </c>
      <c r="K5156" s="455">
        <f t="shared" ca="1" si="201"/>
        <v>-1404376890536.4346</v>
      </c>
      <c r="L5156" s="455">
        <f t="shared" ca="1" si="202"/>
        <v>-338454830619280.75</v>
      </c>
      <c r="M5156" s="471">
        <f t="shared" si="204"/>
        <v>0.05</v>
      </c>
      <c r="N5156" s="475">
        <f t="shared" si="205"/>
        <v>207977</v>
      </c>
    </row>
    <row r="5157" spans="7:14" ht="11.25" customHeight="1" x14ac:dyDescent="0.3">
      <c r="G5157" s="470"/>
      <c r="H5157" s="470">
        <v>5150</v>
      </c>
      <c r="I5157" s="455">
        <f t="shared" ca="1" si="203"/>
        <v>-338454830619280.75</v>
      </c>
      <c r="J5157" s="455">
        <f t="array" ref="J5157">IFERROR(INDEX('Retirement Calculator'!J:J,MATCH('Isaac 401k'!N5157,'Retirement Calculator'!A:A,0),0),0)</f>
        <v>0</v>
      </c>
      <c r="K5157" s="455">
        <f t="shared" ca="1" si="201"/>
        <v>-1410228460913.6697</v>
      </c>
      <c r="L5157" s="455">
        <f t="shared" ca="1" si="202"/>
        <v>-339865059080194.44</v>
      </c>
      <c r="M5157" s="471">
        <f t="shared" si="204"/>
        <v>0.05</v>
      </c>
      <c r="N5157" s="475">
        <f t="shared" si="205"/>
        <v>208007</v>
      </c>
    </row>
    <row r="5158" spans="7:14" ht="11.25" customHeight="1" x14ac:dyDescent="0.3">
      <c r="G5158" s="470"/>
      <c r="H5158" s="470">
        <v>5151</v>
      </c>
      <c r="I5158" s="455">
        <f t="shared" ca="1" si="203"/>
        <v>-339865059080194.44</v>
      </c>
      <c r="J5158" s="455">
        <f t="array" ref="J5158">IFERROR(INDEX('Retirement Calculator'!J:J,MATCH('Isaac 401k'!N5158,'Retirement Calculator'!A:A,0),0),0)</f>
        <v>0</v>
      </c>
      <c r="K5158" s="455">
        <f t="shared" ca="1" si="201"/>
        <v>-1416104412834.1436</v>
      </c>
      <c r="L5158" s="455">
        <f t="shared" ca="1" si="202"/>
        <v>-341281163493028.56</v>
      </c>
      <c r="M5158" s="471">
        <f t="shared" si="204"/>
        <v>0.05</v>
      </c>
      <c r="N5158" s="475">
        <f t="shared" si="205"/>
        <v>208038</v>
      </c>
    </row>
    <row r="5159" spans="7:14" ht="11.25" customHeight="1" x14ac:dyDescent="0.3">
      <c r="G5159" s="470"/>
      <c r="H5159" s="470">
        <v>5152</v>
      </c>
      <c r="I5159" s="455">
        <f t="shared" ca="1" si="203"/>
        <v>-341281163493028.56</v>
      </c>
      <c r="J5159" s="455">
        <f t="array" ref="J5159">IFERROR(INDEX('Retirement Calculator'!J:J,MATCH('Isaac 401k'!N5159,'Retirement Calculator'!A:A,0),0),0)</f>
        <v>0</v>
      </c>
      <c r="K5159" s="455">
        <f t="shared" ca="1" si="201"/>
        <v>-1422004847887.6189</v>
      </c>
      <c r="L5159" s="455">
        <f t="shared" ca="1" si="202"/>
        <v>-342703168340916.19</v>
      </c>
      <c r="M5159" s="471">
        <f t="shared" si="204"/>
        <v>0.05</v>
      </c>
      <c r="N5159" s="475">
        <f t="shared" si="205"/>
        <v>208069</v>
      </c>
    </row>
    <row r="5160" spans="7:14" ht="11.25" customHeight="1" x14ac:dyDescent="0.3">
      <c r="G5160" s="470"/>
      <c r="H5160" s="470">
        <v>5153</v>
      </c>
      <c r="I5160" s="455">
        <f t="shared" ca="1" si="203"/>
        <v>-342703168340916.19</v>
      </c>
      <c r="J5160" s="455">
        <f t="array" ref="J5160">IFERROR(INDEX('Retirement Calculator'!J:J,MATCH('Isaac 401k'!N5160,'Retirement Calculator'!A:A,0),0),0)</f>
        <v>0</v>
      </c>
      <c r="K5160" s="455">
        <f t="shared" ca="1" si="201"/>
        <v>-1427929868087.1509</v>
      </c>
      <c r="L5160" s="455">
        <f t="shared" ca="1" si="202"/>
        <v>-344131098209003.31</v>
      </c>
      <c r="M5160" s="471">
        <f t="shared" si="204"/>
        <v>0.05</v>
      </c>
      <c r="N5160" s="475">
        <f t="shared" si="205"/>
        <v>208099</v>
      </c>
    </row>
    <row r="5161" spans="7:14" ht="11.25" customHeight="1" x14ac:dyDescent="0.3">
      <c r="G5161" s="470"/>
      <c r="H5161" s="470">
        <v>5154</v>
      </c>
      <c r="I5161" s="455">
        <f t="shared" ca="1" si="203"/>
        <v>-344131098209003.31</v>
      </c>
      <c r="J5161" s="455">
        <f t="array" ref="J5161">IFERROR(INDEX('Retirement Calculator'!J:J,MATCH('Isaac 401k'!N5161,'Retirement Calculator'!A:A,0),0),0)</f>
        <v>0</v>
      </c>
      <c r="K5161" s="455">
        <f t="shared" ca="1" si="201"/>
        <v>-1433879575870.8472</v>
      </c>
      <c r="L5161" s="455">
        <f t="shared" ca="1" si="202"/>
        <v>-345564977784874.19</v>
      </c>
      <c r="M5161" s="471">
        <f t="shared" si="204"/>
        <v>0.05</v>
      </c>
      <c r="N5161" s="475">
        <f t="shared" si="205"/>
        <v>208130</v>
      </c>
    </row>
    <row r="5162" spans="7:14" ht="11.25" customHeight="1" x14ac:dyDescent="0.3">
      <c r="G5162" s="470"/>
      <c r="H5162" s="470">
        <v>5155</v>
      </c>
      <c r="I5162" s="455">
        <f t="shared" ca="1" si="203"/>
        <v>-345564977784874.19</v>
      </c>
      <c r="J5162" s="455">
        <f t="array" ref="J5162">IFERROR(INDEX('Retirement Calculator'!J:J,MATCH('Isaac 401k'!N5162,'Retirement Calculator'!A:A,0),0),0)</f>
        <v>0</v>
      </c>
      <c r="K5162" s="455">
        <f t="shared" ca="1" si="201"/>
        <v>-1439854074103.6423</v>
      </c>
      <c r="L5162" s="455">
        <f t="shared" ca="1" si="202"/>
        <v>-347004831858977.81</v>
      </c>
      <c r="M5162" s="471">
        <f t="shared" si="204"/>
        <v>0.05</v>
      </c>
      <c r="N5162" s="475">
        <f t="shared" si="205"/>
        <v>208160</v>
      </c>
    </row>
    <row r="5163" spans="7:14" ht="11.25" customHeight="1" x14ac:dyDescent="0.3">
      <c r="G5163" s="470"/>
      <c r="H5163" s="470">
        <v>5156</v>
      </c>
      <c r="I5163" s="455">
        <f t="shared" ca="1" si="203"/>
        <v>-347004831858977.81</v>
      </c>
      <c r="J5163" s="455">
        <f t="array" ref="J5163">IFERROR(INDEX('Retirement Calculator'!J:J,MATCH('Isaac 401k'!N5163,'Retirement Calculator'!A:A,0),0),0)</f>
        <v>0</v>
      </c>
      <c r="K5163" s="455">
        <f t="shared" ca="1" si="201"/>
        <v>-1445853466079.0742</v>
      </c>
      <c r="L5163" s="455">
        <f t="shared" ca="1" si="202"/>
        <v>-348450685325056.88</v>
      </c>
      <c r="M5163" s="471">
        <f t="shared" si="204"/>
        <v>0.05</v>
      </c>
      <c r="N5163" s="475">
        <f t="shared" si="205"/>
        <v>208191</v>
      </c>
    </row>
    <row r="5164" spans="7:14" ht="11.25" customHeight="1" x14ac:dyDescent="0.3">
      <c r="G5164" s="470"/>
      <c r="H5164" s="470">
        <v>5157</v>
      </c>
      <c r="I5164" s="455">
        <f t="shared" ca="1" si="203"/>
        <v>-348450685325056.88</v>
      </c>
      <c r="J5164" s="455">
        <f t="array" ref="J5164">IFERROR(INDEX('Retirement Calculator'!J:J,MATCH('Isaac 401k'!N5164,'Retirement Calculator'!A:A,0),0),0)</f>
        <v>0</v>
      </c>
      <c r="K5164" s="455">
        <f t="shared" ca="1" si="201"/>
        <v>-1451877855521.0703</v>
      </c>
      <c r="L5164" s="455">
        <f t="shared" ca="1" si="202"/>
        <v>-349902563180577.94</v>
      </c>
      <c r="M5164" s="471">
        <f t="shared" si="204"/>
        <v>0.05</v>
      </c>
      <c r="N5164" s="475">
        <f t="shared" si="205"/>
        <v>208222</v>
      </c>
    </row>
    <row r="5165" spans="7:14" ht="11.25" customHeight="1" x14ac:dyDescent="0.3">
      <c r="G5165" s="470"/>
      <c r="H5165" s="470">
        <v>5158</v>
      </c>
      <c r="I5165" s="455">
        <f t="shared" ca="1" si="203"/>
        <v>-349902563180577.94</v>
      </c>
      <c r="J5165" s="455">
        <f t="array" ref="J5165">IFERROR(INDEX('Retirement Calculator'!J:J,MATCH('Isaac 401k'!N5165,'Retirement Calculator'!A:A,0),0),0)</f>
        <v>0</v>
      </c>
      <c r="K5165" s="455">
        <f t="shared" ca="1" si="201"/>
        <v>-1457927346585.7415</v>
      </c>
      <c r="L5165" s="455">
        <f t="shared" ca="1" si="202"/>
        <v>-351360490527163.69</v>
      </c>
      <c r="M5165" s="471">
        <f t="shared" si="204"/>
        <v>0.05</v>
      </c>
      <c r="N5165" s="475">
        <f t="shared" si="205"/>
        <v>208250</v>
      </c>
    </row>
    <row r="5166" spans="7:14" ht="11.25" customHeight="1" x14ac:dyDescent="0.3">
      <c r="G5166" s="470"/>
      <c r="H5166" s="470">
        <v>5159</v>
      </c>
      <c r="I5166" s="455">
        <f t="shared" ca="1" si="203"/>
        <v>-351360490527163.69</v>
      </c>
      <c r="J5166" s="455">
        <f t="array" ref="J5166">IFERROR(INDEX('Retirement Calculator'!J:J,MATCH('Isaac 401k'!N5166,'Retirement Calculator'!A:A,0),0),0)</f>
        <v>0</v>
      </c>
      <c r="K5166" s="455">
        <f t="shared" ca="1" si="201"/>
        <v>-1464002043863.1821</v>
      </c>
      <c r="L5166" s="455">
        <f t="shared" ca="1" si="202"/>
        <v>-352824492571026.88</v>
      </c>
      <c r="M5166" s="471">
        <f t="shared" si="204"/>
        <v>0.05</v>
      </c>
      <c r="N5166" s="475">
        <f t="shared" si="205"/>
        <v>208281</v>
      </c>
    </row>
    <row r="5167" spans="7:14" ht="11.25" customHeight="1" x14ac:dyDescent="0.3">
      <c r="G5167" s="470"/>
      <c r="H5167" s="470">
        <v>5160</v>
      </c>
      <c r="I5167" s="455">
        <f t="shared" ca="1" si="203"/>
        <v>-352824492571026.88</v>
      </c>
      <c r="J5167" s="455">
        <f t="array" ref="J5167">IFERROR(INDEX('Retirement Calculator'!J:J,MATCH('Isaac 401k'!N5167,'Retirement Calculator'!A:A,0),0),0)</f>
        <v>0</v>
      </c>
      <c r="K5167" s="455">
        <f t="shared" ca="1" si="201"/>
        <v>-1470102052379.2786</v>
      </c>
      <c r="L5167" s="455">
        <f t="shared" ca="1" si="202"/>
        <v>-354294594623406.13</v>
      </c>
      <c r="M5167" s="471">
        <f t="shared" si="204"/>
        <v>0.05</v>
      </c>
      <c r="N5167" s="475">
        <f t="shared" si="205"/>
        <v>208311</v>
      </c>
    </row>
    <row r="5168" spans="7:14" ht="11.25" customHeight="1" x14ac:dyDescent="0.3">
      <c r="G5168" s="470"/>
      <c r="H5168" s="470">
        <v>5161</v>
      </c>
      <c r="I5168" s="455">
        <f t="shared" ca="1" si="203"/>
        <v>-354294594623406.13</v>
      </c>
      <c r="J5168" s="455">
        <f t="array" ref="J5168">IFERROR(INDEX('Retirement Calculator'!J:J,MATCH('Isaac 401k'!N5168,'Retirement Calculator'!A:A,0),0),0)</f>
        <v>0</v>
      </c>
      <c r="K5168" s="455">
        <f t="shared" ca="1" si="201"/>
        <v>-1476227477597.5254</v>
      </c>
      <c r="L5168" s="455">
        <f t="shared" ca="1" si="202"/>
        <v>-355770822101003.63</v>
      </c>
      <c r="M5168" s="471">
        <f t="shared" si="204"/>
        <v>0.05</v>
      </c>
      <c r="N5168" s="475">
        <f t="shared" si="205"/>
        <v>208342</v>
      </c>
    </row>
    <row r="5169" spans="7:14" ht="11.25" customHeight="1" x14ac:dyDescent="0.3">
      <c r="G5169" s="470"/>
      <c r="H5169" s="470">
        <v>5162</v>
      </c>
      <c r="I5169" s="455">
        <f t="shared" ca="1" si="203"/>
        <v>-355770822101003.63</v>
      </c>
      <c r="J5169" s="455">
        <f t="array" ref="J5169">IFERROR(INDEX('Retirement Calculator'!J:J,MATCH('Isaac 401k'!N5169,'Retirement Calculator'!A:A,0),0),0)</f>
        <v>0</v>
      </c>
      <c r="K5169" s="455">
        <f t="shared" ca="1" si="201"/>
        <v>-1482378425420.8484</v>
      </c>
      <c r="L5169" s="455">
        <f t="shared" ca="1" si="202"/>
        <v>-357253200526424.5</v>
      </c>
      <c r="M5169" s="471">
        <f t="shared" si="204"/>
        <v>0.05</v>
      </c>
      <c r="N5169" s="475">
        <f t="shared" si="205"/>
        <v>208372</v>
      </c>
    </row>
    <row r="5170" spans="7:14" ht="11.25" customHeight="1" x14ac:dyDescent="0.3">
      <c r="G5170" s="470"/>
      <c r="H5170" s="470">
        <v>5163</v>
      </c>
      <c r="I5170" s="455">
        <f t="shared" ca="1" si="203"/>
        <v>-357253200526424.5</v>
      </c>
      <c r="J5170" s="455">
        <f t="array" ref="J5170">IFERROR(INDEX('Retirement Calculator'!J:J,MATCH('Isaac 401k'!N5170,'Retirement Calculator'!A:A,0),0),0)</f>
        <v>0</v>
      </c>
      <c r="K5170" s="455">
        <f t="shared" ca="1" si="201"/>
        <v>-1488555002193.4353</v>
      </c>
      <c r="L5170" s="455">
        <f t="shared" ca="1" si="202"/>
        <v>-358741755528617.94</v>
      </c>
      <c r="M5170" s="471">
        <f t="shared" si="204"/>
        <v>0.05</v>
      </c>
      <c r="N5170" s="475">
        <f t="shared" si="205"/>
        <v>208403</v>
      </c>
    </row>
    <row r="5171" spans="7:14" ht="11.25" customHeight="1" x14ac:dyDescent="0.3">
      <c r="G5171" s="470"/>
      <c r="H5171" s="470">
        <v>5164</v>
      </c>
      <c r="I5171" s="455">
        <f t="shared" ca="1" si="203"/>
        <v>-358741755528617.94</v>
      </c>
      <c r="J5171" s="455">
        <f t="array" ref="J5171">IFERROR(INDEX('Retirement Calculator'!J:J,MATCH('Isaac 401k'!N5171,'Retirement Calculator'!A:A,0),0),0)</f>
        <v>0</v>
      </c>
      <c r="K5171" s="455">
        <f t="shared" ca="1" si="201"/>
        <v>-1494757314702.5747</v>
      </c>
      <c r="L5171" s="455">
        <f t="shared" ca="1" si="202"/>
        <v>-360236512843320.5</v>
      </c>
      <c r="M5171" s="471">
        <f t="shared" si="204"/>
        <v>0.05</v>
      </c>
      <c r="N5171" s="475">
        <f t="shared" si="205"/>
        <v>208434</v>
      </c>
    </row>
    <row r="5172" spans="7:14" ht="11.25" customHeight="1" x14ac:dyDescent="0.3">
      <c r="G5172" s="470"/>
      <c r="H5172" s="470">
        <v>5165</v>
      </c>
      <c r="I5172" s="455">
        <f t="shared" ca="1" si="203"/>
        <v>-360236512843320.5</v>
      </c>
      <c r="J5172" s="455">
        <f t="array" ref="J5172">IFERROR(INDEX('Retirement Calculator'!J:J,MATCH('Isaac 401k'!N5172,'Retirement Calculator'!A:A,0),0),0)</f>
        <v>0</v>
      </c>
      <c r="K5172" s="455">
        <f t="shared" ca="1" si="201"/>
        <v>-1500985470180.502</v>
      </c>
      <c r="L5172" s="455">
        <f t="shared" ca="1" si="202"/>
        <v>-361737498313501</v>
      </c>
      <c r="M5172" s="471">
        <f t="shared" si="204"/>
        <v>0.05</v>
      </c>
      <c r="N5172" s="475">
        <f t="shared" si="205"/>
        <v>208464</v>
      </c>
    </row>
    <row r="5173" spans="7:14" ht="11.25" customHeight="1" x14ac:dyDescent="0.3">
      <c r="G5173" s="470"/>
      <c r="H5173" s="470">
        <v>5166</v>
      </c>
      <c r="I5173" s="455">
        <f t="shared" ca="1" si="203"/>
        <v>-361737498313501</v>
      </c>
      <c r="J5173" s="455">
        <f t="array" ref="J5173">IFERROR(INDEX('Retirement Calculator'!J:J,MATCH('Isaac 401k'!N5173,'Retirement Calculator'!A:A,0),0),0)</f>
        <v>0</v>
      </c>
      <c r="K5173" s="455">
        <f t="shared" ca="1" si="201"/>
        <v>-1507239576306.2542</v>
      </c>
      <c r="L5173" s="455">
        <f t="shared" ca="1" si="202"/>
        <v>-363244737889807.25</v>
      </c>
      <c r="M5173" s="471">
        <f t="shared" si="204"/>
        <v>0.05</v>
      </c>
      <c r="N5173" s="475">
        <f t="shared" si="205"/>
        <v>208495</v>
      </c>
    </row>
    <row r="5174" spans="7:14" ht="11.25" customHeight="1" x14ac:dyDescent="0.3">
      <c r="G5174" s="470"/>
      <c r="H5174" s="470">
        <v>5167</v>
      </c>
      <c r="I5174" s="455">
        <f t="shared" ca="1" si="203"/>
        <v>-363244737889807.25</v>
      </c>
      <c r="J5174" s="455">
        <f t="array" ref="J5174">IFERROR(INDEX('Retirement Calculator'!J:J,MATCH('Isaac 401k'!N5174,'Retirement Calculator'!A:A,0),0),0)</f>
        <v>0</v>
      </c>
      <c r="K5174" s="455">
        <f t="shared" ca="1" si="201"/>
        <v>-1513519741207.5303</v>
      </c>
      <c r="L5174" s="455">
        <f t="shared" ca="1" si="202"/>
        <v>-364758257631014.75</v>
      </c>
      <c r="M5174" s="471">
        <f t="shared" si="204"/>
        <v>0.05</v>
      </c>
      <c r="N5174" s="475">
        <f t="shared" si="205"/>
        <v>208525</v>
      </c>
    </row>
    <row r="5175" spans="7:14" ht="11.25" customHeight="1" x14ac:dyDescent="0.3">
      <c r="G5175" s="470"/>
      <c r="H5175" s="470">
        <v>5168</v>
      </c>
      <c r="I5175" s="455">
        <f t="shared" ca="1" si="203"/>
        <v>-364758257631014.75</v>
      </c>
      <c r="J5175" s="455">
        <f t="array" ref="J5175">IFERROR(INDEX('Retirement Calculator'!J:J,MATCH('Isaac 401k'!N5175,'Retirement Calculator'!A:A,0),0),0)</f>
        <v>0</v>
      </c>
      <c r="K5175" s="455">
        <f t="shared" ca="1" si="201"/>
        <v>-1519826073462.5615</v>
      </c>
      <c r="L5175" s="455">
        <f t="shared" ca="1" si="202"/>
        <v>-366278083704477.31</v>
      </c>
      <c r="M5175" s="471">
        <f t="shared" si="204"/>
        <v>0.05</v>
      </c>
      <c r="N5175" s="475">
        <f t="shared" si="205"/>
        <v>208556</v>
      </c>
    </row>
    <row r="5176" spans="7:14" ht="11.25" customHeight="1" x14ac:dyDescent="0.3">
      <c r="G5176" s="470"/>
      <c r="H5176" s="470">
        <v>5169</v>
      </c>
      <c r="I5176" s="455">
        <f t="shared" ca="1" si="203"/>
        <v>-366278083704477.31</v>
      </c>
      <c r="J5176" s="455">
        <f t="array" ref="J5176">IFERROR(INDEX('Retirement Calculator'!J:J,MATCH('Isaac 401k'!N5176,'Retirement Calculator'!A:A,0),0),0)</f>
        <v>0</v>
      </c>
      <c r="K5176" s="455">
        <f t="shared" ca="1" si="201"/>
        <v>-1526158682101.9888</v>
      </c>
      <c r="L5176" s="455">
        <f t="shared" ca="1" si="202"/>
        <v>-367804242386579.31</v>
      </c>
      <c r="M5176" s="471">
        <f t="shared" si="204"/>
        <v>0.05</v>
      </c>
      <c r="N5176" s="475">
        <f t="shared" si="205"/>
        <v>208587</v>
      </c>
    </row>
    <row r="5177" spans="7:14" ht="11.25" customHeight="1" x14ac:dyDescent="0.3">
      <c r="G5177" s="470"/>
      <c r="H5177" s="470">
        <v>5170</v>
      </c>
      <c r="I5177" s="455">
        <f t="shared" ca="1" si="203"/>
        <v>-367804242386579.31</v>
      </c>
      <c r="J5177" s="455">
        <f t="array" ref="J5177">IFERROR(INDEX('Retirement Calculator'!J:J,MATCH('Isaac 401k'!N5177,'Retirement Calculator'!A:A,0),0),0)</f>
        <v>0</v>
      </c>
      <c r="K5177" s="455">
        <f t="shared" ca="1" si="201"/>
        <v>-1532517676610.7471</v>
      </c>
      <c r="L5177" s="455">
        <f t="shared" ca="1" si="202"/>
        <v>-369336760063190.06</v>
      </c>
      <c r="M5177" s="471">
        <f t="shared" si="204"/>
        <v>0.05</v>
      </c>
      <c r="N5177" s="475">
        <f t="shared" si="205"/>
        <v>208615</v>
      </c>
    </row>
    <row r="5178" spans="7:14" ht="11.25" customHeight="1" x14ac:dyDescent="0.3">
      <c r="G5178" s="470"/>
      <c r="H5178" s="470">
        <v>5171</v>
      </c>
      <c r="I5178" s="455">
        <f t="shared" ca="1" si="203"/>
        <v>-369336760063190.06</v>
      </c>
      <c r="J5178" s="455">
        <f t="array" ref="J5178">IFERROR(INDEX('Retirement Calculator'!J:J,MATCH('Isaac 401k'!N5178,'Retirement Calculator'!A:A,0),0),0)</f>
        <v>0</v>
      </c>
      <c r="K5178" s="455">
        <f t="shared" ca="1" si="201"/>
        <v>-1538903166929.9585</v>
      </c>
      <c r="L5178" s="455">
        <f t="shared" ca="1" si="202"/>
        <v>-370875663230120</v>
      </c>
      <c r="M5178" s="471">
        <f t="shared" si="204"/>
        <v>0.05</v>
      </c>
      <c r="N5178" s="475">
        <f t="shared" si="205"/>
        <v>208646</v>
      </c>
    </row>
    <row r="5179" spans="7:14" ht="11.25" customHeight="1" x14ac:dyDescent="0.3">
      <c r="G5179" s="470"/>
      <c r="H5179" s="470">
        <v>5172</v>
      </c>
      <c r="I5179" s="455">
        <f t="shared" ca="1" si="203"/>
        <v>-370875663230120</v>
      </c>
      <c r="J5179" s="455">
        <f t="array" ref="J5179">IFERROR(INDEX('Retirement Calculator'!J:J,MATCH('Isaac 401k'!N5179,'Retirement Calculator'!A:A,0),0),0)</f>
        <v>0</v>
      </c>
      <c r="K5179" s="455">
        <f t="shared" ca="1" si="201"/>
        <v>-1545315263458.8333</v>
      </c>
      <c r="L5179" s="455">
        <f t="shared" ca="1" si="202"/>
        <v>-372420978493578.81</v>
      </c>
      <c r="M5179" s="471">
        <f t="shared" si="204"/>
        <v>0.05</v>
      </c>
      <c r="N5179" s="475">
        <f t="shared" si="205"/>
        <v>208676</v>
      </c>
    </row>
    <row r="5180" spans="7:14" ht="11.25" customHeight="1" x14ac:dyDescent="0.3">
      <c r="G5180" s="470"/>
      <c r="H5180" s="470">
        <v>5173</v>
      </c>
      <c r="I5180" s="455">
        <f t="shared" ca="1" si="203"/>
        <v>-372420978493578.81</v>
      </c>
      <c r="J5180" s="455">
        <f t="array" ref="J5180">IFERROR(INDEX('Retirement Calculator'!J:J,MATCH('Isaac 401k'!N5180,'Retirement Calculator'!A:A,0),0),0)</f>
        <v>0</v>
      </c>
      <c r="K5180" s="455">
        <f t="shared" ca="1" si="201"/>
        <v>-1551754077056.5784</v>
      </c>
      <c r="L5180" s="455">
        <f t="shared" ca="1" si="202"/>
        <v>-373972732570635.38</v>
      </c>
      <c r="M5180" s="471">
        <f t="shared" si="204"/>
        <v>0.05</v>
      </c>
      <c r="N5180" s="475">
        <f t="shared" si="205"/>
        <v>208707</v>
      </c>
    </row>
    <row r="5181" spans="7:14" ht="11.25" customHeight="1" x14ac:dyDescent="0.3">
      <c r="G5181" s="470"/>
      <c r="H5181" s="470">
        <v>5174</v>
      </c>
      <c r="I5181" s="455">
        <f t="shared" ca="1" si="203"/>
        <v>-373972732570635.38</v>
      </c>
      <c r="J5181" s="455">
        <f t="array" ref="J5181">IFERROR(INDEX('Retirement Calculator'!J:J,MATCH('Isaac 401k'!N5181,'Retirement Calculator'!A:A,0),0),0)</f>
        <v>0</v>
      </c>
      <c r="K5181" s="455">
        <f t="shared" ca="1" si="201"/>
        <v>-1558219719044.314</v>
      </c>
      <c r="L5181" s="455">
        <f t="shared" ca="1" si="202"/>
        <v>-375530952289679.69</v>
      </c>
      <c r="M5181" s="471">
        <f t="shared" si="204"/>
        <v>0.05</v>
      </c>
      <c r="N5181" s="475">
        <f t="shared" si="205"/>
        <v>208737</v>
      </c>
    </row>
    <row r="5182" spans="7:14" ht="11.25" customHeight="1" x14ac:dyDescent="0.3">
      <c r="G5182" s="470"/>
      <c r="H5182" s="470">
        <v>5175</v>
      </c>
      <c r="I5182" s="455">
        <f t="shared" ca="1" si="203"/>
        <v>-375530952289679.69</v>
      </c>
      <c r="J5182" s="455">
        <f t="array" ref="J5182">IFERROR(INDEX('Retirement Calculator'!J:J,MATCH('Isaac 401k'!N5182,'Retirement Calculator'!A:A,0),0),0)</f>
        <v>0</v>
      </c>
      <c r="K5182" s="455">
        <f t="shared" ca="1" si="201"/>
        <v>-1564712301206.9988</v>
      </c>
      <c r="L5182" s="455">
        <f t="shared" ca="1" si="202"/>
        <v>-377095664590886.69</v>
      </c>
      <c r="M5182" s="471">
        <f t="shared" si="204"/>
        <v>0.05</v>
      </c>
      <c r="N5182" s="475">
        <f t="shared" si="205"/>
        <v>208768</v>
      </c>
    </row>
    <row r="5183" spans="7:14" ht="11.25" customHeight="1" x14ac:dyDescent="0.3">
      <c r="G5183" s="470"/>
      <c r="H5183" s="470">
        <v>5176</v>
      </c>
      <c r="I5183" s="455">
        <f t="shared" ca="1" si="203"/>
        <v>-377095664590886.69</v>
      </c>
      <c r="J5183" s="455">
        <f t="array" ref="J5183">IFERROR(INDEX('Retirement Calculator'!J:J,MATCH('Isaac 401k'!N5183,'Retirement Calculator'!A:A,0),0),0)</f>
        <v>0</v>
      </c>
      <c r="K5183" s="455">
        <f t="shared" ca="1" si="201"/>
        <v>-1571231935795.3611</v>
      </c>
      <c r="L5183" s="455">
        <f t="shared" ca="1" si="202"/>
        <v>-378666896526682.06</v>
      </c>
      <c r="M5183" s="471">
        <f t="shared" si="204"/>
        <v>0.05</v>
      </c>
      <c r="N5183" s="475">
        <f t="shared" si="205"/>
        <v>208799</v>
      </c>
    </row>
    <row r="5184" spans="7:14" ht="11.25" customHeight="1" x14ac:dyDescent="0.3">
      <c r="G5184" s="470"/>
      <c r="H5184" s="470">
        <v>5177</v>
      </c>
      <c r="I5184" s="455">
        <f t="shared" ca="1" si="203"/>
        <v>-378666896526682.06</v>
      </c>
      <c r="J5184" s="455">
        <f t="array" ref="J5184">IFERROR(INDEX('Retirement Calculator'!J:J,MATCH('Isaac 401k'!N5184,'Retirement Calculator'!A:A,0),0),0)</f>
        <v>0</v>
      </c>
      <c r="K5184" s="455">
        <f t="shared" ca="1" si="201"/>
        <v>-1577778735527.8418</v>
      </c>
      <c r="L5184" s="455">
        <f t="shared" ca="1" si="202"/>
        <v>-380244675262209.88</v>
      </c>
      <c r="M5184" s="471">
        <f t="shared" si="204"/>
        <v>0.05</v>
      </c>
      <c r="N5184" s="475">
        <f t="shared" si="205"/>
        <v>208829</v>
      </c>
    </row>
    <row r="5185" spans="7:14" ht="11.25" customHeight="1" x14ac:dyDescent="0.3">
      <c r="G5185" s="470"/>
      <c r="H5185" s="470">
        <v>5178</v>
      </c>
      <c r="I5185" s="455">
        <f t="shared" ca="1" si="203"/>
        <v>-380244675262209.88</v>
      </c>
      <c r="J5185" s="455">
        <f t="array" ref="J5185">IFERROR(INDEX('Retirement Calculator'!J:J,MATCH('Isaac 401k'!N5185,'Retirement Calculator'!A:A,0),0),0)</f>
        <v>0</v>
      </c>
      <c r="K5185" s="455">
        <f t="shared" ca="1" si="201"/>
        <v>-1584352813592.541</v>
      </c>
      <c r="L5185" s="455">
        <f t="shared" ca="1" si="202"/>
        <v>-381829028075802.44</v>
      </c>
      <c r="M5185" s="471">
        <f t="shared" si="204"/>
        <v>0.05</v>
      </c>
      <c r="N5185" s="475">
        <f t="shared" si="205"/>
        <v>208860</v>
      </c>
    </row>
    <row r="5186" spans="7:14" ht="11.25" customHeight="1" x14ac:dyDescent="0.3">
      <c r="G5186" s="470"/>
      <c r="H5186" s="470">
        <v>5179</v>
      </c>
      <c r="I5186" s="455">
        <f t="shared" ca="1" si="203"/>
        <v>-381829028075802.44</v>
      </c>
      <c r="J5186" s="455">
        <f t="array" ref="J5186">IFERROR(INDEX('Retirement Calculator'!J:J,MATCH('Isaac 401k'!N5186,'Retirement Calculator'!A:A,0),0),0)</f>
        <v>0</v>
      </c>
      <c r="K5186" s="455">
        <f t="shared" ca="1" si="201"/>
        <v>-1590954283649.1768</v>
      </c>
      <c r="L5186" s="455">
        <f t="shared" ca="1" si="202"/>
        <v>-383419982359451.63</v>
      </c>
      <c r="M5186" s="471">
        <f t="shared" si="204"/>
        <v>0.05</v>
      </c>
      <c r="N5186" s="475">
        <f t="shared" si="205"/>
        <v>208890</v>
      </c>
    </row>
    <row r="5187" spans="7:14" ht="11.25" customHeight="1" x14ac:dyDescent="0.3">
      <c r="G5187" s="470"/>
      <c r="H5187" s="470">
        <v>5180</v>
      </c>
      <c r="I5187" s="455">
        <f t="shared" ca="1" si="203"/>
        <v>-383419982359451.63</v>
      </c>
      <c r="J5187" s="455">
        <f t="array" ref="J5187">IFERROR(INDEX('Retirement Calculator'!J:J,MATCH('Isaac 401k'!N5187,'Retirement Calculator'!A:A,0),0),0)</f>
        <v>0</v>
      </c>
      <c r="K5187" s="455">
        <f t="shared" ca="1" si="201"/>
        <v>-1597583259831.0483</v>
      </c>
      <c r="L5187" s="455">
        <f t="shared" ca="1" si="202"/>
        <v>-385017565619282.69</v>
      </c>
      <c r="M5187" s="471">
        <f t="shared" si="204"/>
        <v>0.05</v>
      </c>
      <c r="N5187" s="475">
        <f t="shared" si="205"/>
        <v>208921</v>
      </c>
    </row>
    <row r="5188" spans="7:14" ht="11.25" customHeight="1" x14ac:dyDescent="0.3">
      <c r="G5188" s="470"/>
      <c r="H5188" s="470">
        <v>5181</v>
      </c>
      <c r="I5188" s="455">
        <f t="shared" ca="1" si="203"/>
        <v>-385017565619282.69</v>
      </c>
      <c r="J5188" s="455">
        <f t="array" ref="J5188">IFERROR(INDEX('Retirement Calculator'!J:J,MATCH('Isaac 401k'!N5188,'Retirement Calculator'!A:A,0),0),0)</f>
        <v>0</v>
      </c>
      <c r="K5188" s="455">
        <f t="shared" ca="1" si="201"/>
        <v>-1604239856747.0112</v>
      </c>
      <c r="L5188" s="455">
        <f t="shared" ca="1" si="202"/>
        <v>-386621805476029.69</v>
      </c>
      <c r="M5188" s="471">
        <f t="shared" si="204"/>
        <v>0.05</v>
      </c>
      <c r="N5188" s="475">
        <f t="shared" si="205"/>
        <v>208952</v>
      </c>
    </row>
    <row r="5189" spans="7:14" ht="11.25" customHeight="1" x14ac:dyDescent="0.3">
      <c r="G5189" s="470"/>
      <c r="H5189" s="470">
        <v>5182</v>
      </c>
      <c r="I5189" s="455">
        <f t="shared" ca="1" si="203"/>
        <v>-386621805476029.69</v>
      </c>
      <c r="J5189" s="455">
        <f t="array" ref="J5189">IFERROR(INDEX('Retirement Calculator'!J:J,MATCH('Isaac 401k'!N5189,'Retirement Calculator'!A:A,0),0),0)</f>
        <v>0</v>
      </c>
      <c r="K5189" s="455">
        <f t="shared" ca="1" si="201"/>
        <v>-1610924189483.457</v>
      </c>
      <c r="L5189" s="455">
        <f t="shared" ca="1" si="202"/>
        <v>-388232729665513.13</v>
      </c>
      <c r="M5189" s="471">
        <f t="shared" si="204"/>
        <v>0.05</v>
      </c>
      <c r="N5189" s="475">
        <f t="shared" si="205"/>
        <v>208981</v>
      </c>
    </row>
    <row r="5190" spans="7:14" ht="11.25" customHeight="1" x14ac:dyDescent="0.3">
      <c r="G5190" s="470"/>
      <c r="H5190" s="470">
        <v>5183</v>
      </c>
      <c r="I5190" s="455">
        <f t="shared" ca="1" si="203"/>
        <v>-388232729665513.13</v>
      </c>
      <c r="J5190" s="455">
        <f t="array" ref="J5190">IFERROR(INDEX('Retirement Calculator'!J:J,MATCH('Isaac 401k'!N5190,'Retirement Calculator'!A:A,0),0),0)</f>
        <v>0</v>
      </c>
      <c r="K5190" s="455">
        <f t="shared" ca="1" si="201"/>
        <v>-1617636373606.3047</v>
      </c>
      <c r="L5190" s="455">
        <f t="shared" ca="1" si="202"/>
        <v>-389850366039119.44</v>
      </c>
      <c r="M5190" s="471">
        <f t="shared" si="204"/>
        <v>0.05</v>
      </c>
      <c r="N5190" s="475">
        <f t="shared" si="205"/>
        <v>209012</v>
      </c>
    </row>
    <row r="5191" spans="7:14" ht="11.25" customHeight="1" x14ac:dyDescent="0.3">
      <c r="G5191" s="470"/>
      <c r="H5191" s="470">
        <v>5184</v>
      </c>
      <c r="I5191" s="455">
        <f t="shared" ca="1" si="203"/>
        <v>-389850366039119.44</v>
      </c>
      <c r="J5191" s="455">
        <f t="array" ref="J5191">IFERROR(INDEX('Retirement Calculator'!J:J,MATCH('Isaac 401k'!N5191,'Retirement Calculator'!A:A,0),0),0)</f>
        <v>0</v>
      </c>
      <c r="K5191" s="455">
        <f t="shared" ca="1" si="201"/>
        <v>-1624376525162.9976</v>
      </c>
      <c r="L5191" s="455">
        <f t="shared" ca="1" si="202"/>
        <v>-391474742564282.44</v>
      </c>
      <c r="M5191" s="471">
        <f t="shared" si="204"/>
        <v>0.05</v>
      </c>
      <c r="N5191" s="475">
        <f t="shared" si="205"/>
        <v>209042</v>
      </c>
    </row>
    <row r="5192" spans="7:14" ht="11.25" customHeight="1" x14ac:dyDescent="0.3">
      <c r="G5192" s="470"/>
      <c r="H5192" s="470">
        <v>5185</v>
      </c>
      <c r="I5192" s="455">
        <f t="shared" ca="1" si="203"/>
        <v>-391474742564282.44</v>
      </c>
      <c r="J5192" s="455">
        <f t="array" ref="J5192">IFERROR(INDEX('Retirement Calculator'!J:J,MATCH('Isaac 401k'!N5192,'Retirement Calculator'!A:A,0),0),0)</f>
        <v>0</v>
      </c>
      <c r="K5192" s="455">
        <f t="shared" ca="1" si="201"/>
        <v>-1631144760684.5103</v>
      </c>
      <c r="L5192" s="455">
        <f t="shared" ca="1" si="202"/>
        <v>-393105887324966.94</v>
      </c>
      <c r="M5192" s="471">
        <f t="shared" si="204"/>
        <v>0.05</v>
      </c>
      <c r="N5192" s="475">
        <f t="shared" si="205"/>
        <v>209073</v>
      </c>
    </row>
    <row r="5193" spans="7:14" ht="11.25" customHeight="1" x14ac:dyDescent="0.3">
      <c r="G5193" s="470"/>
      <c r="H5193" s="470">
        <v>5186</v>
      </c>
      <c r="I5193" s="455">
        <f t="shared" ca="1" si="203"/>
        <v>-393105887324966.94</v>
      </c>
      <c r="J5193" s="455">
        <f t="array" ref="J5193">IFERROR(INDEX('Retirement Calculator'!J:J,MATCH('Isaac 401k'!N5193,'Retirement Calculator'!A:A,0),0),0)</f>
        <v>0</v>
      </c>
      <c r="K5193" s="455">
        <f t="shared" ca="1" si="201"/>
        <v>-1637941197187.3623</v>
      </c>
      <c r="L5193" s="455">
        <f t="shared" ca="1" si="202"/>
        <v>-394743828522154.31</v>
      </c>
      <c r="M5193" s="471">
        <f t="shared" si="204"/>
        <v>0.05</v>
      </c>
      <c r="N5193" s="475">
        <f t="shared" si="205"/>
        <v>209103</v>
      </c>
    </row>
    <row r="5194" spans="7:14" ht="11.25" customHeight="1" x14ac:dyDescent="0.3">
      <c r="G5194" s="470"/>
      <c r="H5194" s="470">
        <v>5187</v>
      </c>
      <c r="I5194" s="455">
        <f t="shared" ca="1" si="203"/>
        <v>-394743828522154.31</v>
      </c>
      <c r="J5194" s="455">
        <f t="array" ref="J5194">IFERROR(INDEX('Retirement Calculator'!J:J,MATCH('Isaac 401k'!N5194,'Retirement Calculator'!A:A,0),0),0)</f>
        <v>0</v>
      </c>
      <c r="K5194" s="455">
        <f t="shared" ca="1" si="201"/>
        <v>-1644765952175.6431</v>
      </c>
      <c r="L5194" s="455">
        <f t="shared" ca="1" si="202"/>
        <v>-396388594474329.94</v>
      </c>
      <c r="M5194" s="471">
        <f t="shared" si="204"/>
        <v>0.05</v>
      </c>
      <c r="N5194" s="475">
        <f t="shared" si="205"/>
        <v>209134</v>
      </c>
    </row>
    <row r="5195" spans="7:14" ht="11.25" customHeight="1" x14ac:dyDescent="0.3">
      <c r="G5195" s="470"/>
      <c r="H5195" s="470">
        <v>5188</v>
      </c>
      <c r="I5195" s="455">
        <f t="shared" ca="1" si="203"/>
        <v>-396388594474329.94</v>
      </c>
      <c r="J5195" s="455">
        <f t="array" ref="J5195">IFERROR(INDEX('Retirement Calculator'!J:J,MATCH('Isaac 401k'!N5195,'Retirement Calculator'!A:A,0),0),0)</f>
        <v>0</v>
      </c>
      <c r="K5195" s="455">
        <f t="shared" ca="1" si="201"/>
        <v>-1651619143643.0415</v>
      </c>
      <c r="L5195" s="455">
        <f t="shared" ca="1" si="202"/>
        <v>-398040213617973</v>
      </c>
      <c r="M5195" s="471">
        <f t="shared" si="204"/>
        <v>0.05</v>
      </c>
      <c r="N5195" s="475">
        <f t="shared" si="205"/>
        <v>209165</v>
      </c>
    </row>
    <row r="5196" spans="7:14" ht="11.25" customHeight="1" x14ac:dyDescent="0.3">
      <c r="G5196" s="470"/>
      <c r="H5196" s="470">
        <v>5189</v>
      </c>
      <c r="I5196" s="455">
        <f t="shared" ca="1" si="203"/>
        <v>-398040213617973</v>
      </c>
      <c r="J5196" s="455">
        <f t="array" ref="J5196">IFERROR(INDEX('Retirement Calculator'!J:J,MATCH('Isaac 401k'!N5196,'Retirement Calculator'!A:A,0),0),0)</f>
        <v>0</v>
      </c>
      <c r="K5196" s="455">
        <f t="shared" ca="1" si="201"/>
        <v>-1658500890074.8875</v>
      </c>
      <c r="L5196" s="455">
        <f t="shared" ca="1" si="202"/>
        <v>-399698714508047.88</v>
      </c>
      <c r="M5196" s="471">
        <f t="shared" si="204"/>
        <v>0.05</v>
      </c>
      <c r="N5196" s="475">
        <f t="shared" si="205"/>
        <v>209195</v>
      </c>
    </row>
    <row r="5197" spans="7:14" ht="11.25" customHeight="1" x14ac:dyDescent="0.3">
      <c r="G5197" s="470"/>
      <c r="H5197" s="470">
        <v>5190</v>
      </c>
      <c r="I5197" s="455">
        <f t="shared" ca="1" si="203"/>
        <v>-399698714508047.88</v>
      </c>
      <c r="J5197" s="455">
        <f t="array" ref="J5197">IFERROR(INDEX('Retirement Calculator'!J:J,MATCH('Isaac 401k'!N5197,'Retirement Calculator'!A:A,0),0),0)</f>
        <v>0</v>
      </c>
      <c r="K5197" s="455">
        <f t="shared" ca="1" si="201"/>
        <v>-1665411310450.1995</v>
      </c>
      <c r="L5197" s="455">
        <f t="shared" ca="1" si="202"/>
        <v>-401364125818498.06</v>
      </c>
      <c r="M5197" s="471">
        <f t="shared" si="204"/>
        <v>0.05</v>
      </c>
      <c r="N5197" s="475">
        <f t="shared" si="205"/>
        <v>209226</v>
      </c>
    </row>
    <row r="5198" spans="7:14" ht="11.25" customHeight="1" x14ac:dyDescent="0.3">
      <c r="G5198" s="470"/>
      <c r="H5198" s="470">
        <v>5191</v>
      </c>
      <c r="I5198" s="455">
        <f t="shared" ca="1" si="203"/>
        <v>-401364125818498.06</v>
      </c>
      <c r="J5198" s="455">
        <f t="array" ref="J5198">IFERROR(INDEX('Retirement Calculator'!J:J,MATCH('Isaac 401k'!N5198,'Retirement Calculator'!A:A,0),0),0)</f>
        <v>0</v>
      </c>
      <c r="K5198" s="455">
        <f t="shared" ca="1" si="201"/>
        <v>-1672350524243.7419</v>
      </c>
      <c r="L5198" s="455">
        <f t="shared" ca="1" si="202"/>
        <v>-403036476342741.81</v>
      </c>
      <c r="M5198" s="471">
        <f t="shared" si="204"/>
        <v>0.05</v>
      </c>
      <c r="N5198" s="475">
        <f t="shared" si="205"/>
        <v>209256</v>
      </c>
    </row>
    <row r="5199" spans="7:14" ht="11.25" customHeight="1" x14ac:dyDescent="0.3">
      <c r="G5199" s="470"/>
      <c r="H5199" s="470">
        <v>5192</v>
      </c>
      <c r="I5199" s="455">
        <f t="shared" ca="1" si="203"/>
        <v>-403036476342741.81</v>
      </c>
      <c r="J5199" s="455">
        <f t="array" ref="J5199">IFERROR(INDEX('Retirement Calculator'!J:J,MATCH('Isaac 401k'!N5199,'Retirement Calculator'!A:A,0),0),0)</f>
        <v>0</v>
      </c>
      <c r="K5199" s="455">
        <f t="shared" ca="1" si="201"/>
        <v>-1679318651428.0908</v>
      </c>
      <c r="L5199" s="455">
        <f t="shared" ca="1" si="202"/>
        <v>-404715794994169.88</v>
      </c>
      <c r="M5199" s="471">
        <f t="shared" si="204"/>
        <v>0.05</v>
      </c>
      <c r="N5199" s="475">
        <f t="shared" si="205"/>
        <v>209287</v>
      </c>
    </row>
    <row r="5200" spans="7:14" ht="11.25" customHeight="1" x14ac:dyDescent="0.3">
      <c r="G5200" s="470"/>
      <c r="H5200" s="470">
        <v>5193</v>
      </c>
      <c r="I5200" s="455">
        <f t="shared" ca="1" si="203"/>
        <v>-404715794994169.88</v>
      </c>
      <c r="J5200" s="455">
        <f t="array" ref="J5200">IFERROR(INDEX('Retirement Calculator'!J:J,MATCH('Isaac 401k'!N5200,'Retirement Calculator'!A:A,0),0),0)</f>
        <v>0</v>
      </c>
      <c r="K5200" s="455">
        <f t="shared" ca="1" si="201"/>
        <v>-1686315812475.7078</v>
      </c>
      <c r="L5200" s="455">
        <f t="shared" ca="1" si="202"/>
        <v>-406402110806645.56</v>
      </c>
      <c r="M5200" s="471">
        <f t="shared" si="204"/>
        <v>0.05</v>
      </c>
      <c r="N5200" s="475">
        <f t="shared" si="205"/>
        <v>209318</v>
      </c>
    </row>
    <row r="5201" spans="7:14" ht="11.25" customHeight="1" x14ac:dyDescent="0.3">
      <c r="G5201" s="470"/>
      <c r="H5201" s="470">
        <v>5194</v>
      </c>
      <c r="I5201" s="455">
        <f t="shared" ca="1" si="203"/>
        <v>-406402110806645.56</v>
      </c>
      <c r="J5201" s="455">
        <f t="array" ref="J5201">IFERROR(INDEX('Retirement Calculator'!J:J,MATCH('Isaac 401k'!N5201,'Retirement Calculator'!A:A,0),0),0)</f>
        <v>0</v>
      </c>
      <c r="K5201" s="455">
        <f t="shared" ca="1" si="201"/>
        <v>-1693342128361.0232</v>
      </c>
      <c r="L5201" s="455">
        <f t="shared" ca="1" si="202"/>
        <v>-408095452935006.56</v>
      </c>
      <c r="M5201" s="471">
        <f t="shared" si="204"/>
        <v>0.05</v>
      </c>
      <c r="N5201" s="475">
        <f t="shared" si="205"/>
        <v>209346</v>
      </c>
    </row>
    <row r="5202" spans="7:14" ht="11.25" customHeight="1" x14ac:dyDescent="0.3">
      <c r="G5202" s="470"/>
      <c r="H5202" s="470">
        <v>5195</v>
      </c>
      <c r="I5202" s="455">
        <f t="shared" ca="1" si="203"/>
        <v>-408095452935006.56</v>
      </c>
      <c r="J5202" s="455">
        <f t="array" ref="J5202">IFERROR(INDEX('Retirement Calculator'!J:J,MATCH('Isaac 401k'!N5202,'Retirement Calculator'!A:A,0),0),0)</f>
        <v>0</v>
      </c>
      <c r="K5202" s="455">
        <f t="shared" ca="1" si="201"/>
        <v>-1700397720562.5273</v>
      </c>
      <c r="L5202" s="455">
        <f t="shared" ca="1" si="202"/>
        <v>-409795850655569.06</v>
      </c>
      <c r="M5202" s="471">
        <f t="shared" si="204"/>
        <v>0.05</v>
      </c>
      <c r="N5202" s="475">
        <f t="shared" si="205"/>
        <v>209377</v>
      </c>
    </row>
    <row r="5203" spans="7:14" ht="11.25" customHeight="1" x14ac:dyDescent="0.3">
      <c r="G5203" s="470"/>
      <c r="H5203" s="470">
        <v>5196</v>
      </c>
      <c r="I5203" s="455">
        <f t="shared" ca="1" si="203"/>
        <v>-409795850655569.06</v>
      </c>
      <c r="J5203" s="455">
        <f t="array" ref="J5203">IFERROR(INDEX('Retirement Calculator'!J:J,MATCH('Isaac 401k'!N5203,'Retirement Calculator'!A:A,0),0),0)</f>
        <v>0</v>
      </c>
      <c r="K5203" s="455">
        <f t="shared" ca="1" si="201"/>
        <v>-1707482711064.8711</v>
      </c>
      <c r="L5203" s="455">
        <f t="shared" ca="1" si="202"/>
        <v>-411503333366633.94</v>
      </c>
      <c r="M5203" s="471">
        <f t="shared" si="204"/>
        <v>0.05</v>
      </c>
      <c r="N5203" s="475">
        <f t="shared" si="205"/>
        <v>209407</v>
      </c>
    </row>
    <row r="5204" spans="7:14" ht="11.25" customHeight="1" x14ac:dyDescent="0.3">
      <c r="G5204" s="470"/>
      <c r="H5204" s="470">
        <v>5197</v>
      </c>
      <c r="I5204" s="455">
        <f t="shared" ca="1" si="203"/>
        <v>-411503333366633.94</v>
      </c>
      <c r="J5204" s="455">
        <f t="array" ref="J5204">IFERROR(INDEX('Retirement Calculator'!J:J,MATCH('Isaac 401k'!N5204,'Retirement Calculator'!A:A,0),0),0)</f>
        <v>0</v>
      </c>
      <c r="K5204" s="455">
        <f t="shared" ca="1" si="201"/>
        <v>-1714597222360.9746</v>
      </c>
      <c r="L5204" s="455">
        <f t="shared" ca="1" si="202"/>
        <v>-413217930588994.94</v>
      </c>
      <c r="M5204" s="471">
        <f t="shared" si="204"/>
        <v>0.05</v>
      </c>
      <c r="N5204" s="475">
        <f t="shared" si="205"/>
        <v>209438</v>
      </c>
    </row>
    <row r="5205" spans="7:14" ht="11.25" customHeight="1" x14ac:dyDescent="0.3">
      <c r="G5205" s="470"/>
      <c r="H5205" s="470">
        <v>5198</v>
      </c>
      <c r="I5205" s="455">
        <f t="shared" ca="1" si="203"/>
        <v>-413217930588994.94</v>
      </c>
      <c r="J5205" s="455">
        <f t="array" ref="J5205">IFERROR(INDEX('Retirement Calculator'!J:J,MATCH('Isaac 401k'!N5205,'Retirement Calculator'!A:A,0),0),0)</f>
        <v>0</v>
      </c>
      <c r="K5205" s="455">
        <f t="shared" ca="1" si="201"/>
        <v>-1721741377454.1455</v>
      </c>
      <c r="L5205" s="455">
        <f t="shared" ca="1" si="202"/>
        <v>-414939671966449.06</v>
      </c>
      <c r="M5205" s="471">
        <f t="shared" si="204"/>
        <v>0.05</v>
      </c>
      <c r="N5205" s="475">
        <f t="shared" si="205"/>
        <v>209468</v>
      </c>
    </row>
    <row r="5206" spans="7:14" ht="11.25" customHeight="1" x14ac:dyDescent="0.3">
      <c r="G5206" s="470"/>
      <c r="H5206" s="470">
        <v>5199</v>
      </c>
      <c r="I5206" s="455">
        <f t="shared" ca="1" si="203"/>
        <v>-414939671966449.06</v>
      </c>
      <c r="J5206" s="455">
        <f t="array" ref="J5206">IFERROR(INDEX('Retirement Calculator'!J:J,MATCH('Isaac 401k'!N5206,'Retirement Calculator'!A:A,0),0),0)</f>
        <v>0</v>
      </c>
      <c r="K5206" s="455">
        <f t="shared" ca="1" si="201"/>
        <v>-1728915299860.2043</v>
      </c>
      <c r="L5206" s="455">
        <f t="shared" ca="1" si="202"/>
        <v>-416668587266309.25</v>
      </c>
      <c r="M5206" s="471">
        <f t="shared" si="204"/>
        <v>0.05</v>
      </c>
      <c r="N5206" s="475">
        <f t="shared" si="205"/>
        <v>209499</v>
      </c>
    </row>
    <row r="5207" spans="7:14" ht="11.25" customHeight="1" x14ac:dyDescent="0.3">
      <c r="G5207" s="470"/>
      <c r="H5207" s="470">
        <v>5200</v>
      </c>
      <c r="I5207" s="455">
        <f t="shared" ca="1" si="203"/>
        <v>-416668587266309.25</v>
      </c>
      <c r="J5207" s="455">
        <f t="array" ref="J5207">IFERROR(INDEX('Retirement Calculator'!J:J,MATCH('Isaac 401k'!N5207,'Retirement Calculator'!A:A,0),0),0)</f>
        <v>0</v>
      </c>
      <c r="K5207" s="455">
        <f t="shared" ca="1" si="201"/>
        <v>-1736119113609.6218</v>
      </c>
      <c r="L5207" s="455">
        <f t="shared" ca="1" si="202"/>
        <v>-418404706379918.88</v>
      </c>
      <c r="M5207" s="471">
        <f t="shared" si="204"/>
        <v>0.05</v>
      </c>
      <c r="N5207" s="475">
        <f t="shared" si="205"/>
        <v>209530</v>
      </c>
    </row>
    <row r="5208" spans="7:14" ht="11.25" customHeight="1" x14ac:dyDescent="0.3">
      <c r="G5208" s="470"/>
      <c r="H5208" s="470">
        <v>5201</v>
      </c>
      <c r="I5208" s="455">
        <f t="shared" ca="1" si="203"/>
        <v>-418404706379918.88</v>
      </c>
      <c r="J5208" s="455">
        <f t="array" ref="J5208">IFERROR(INDEX('Retirement Calculator'!J:J,MATCH('Isaac 401k'!N5208,'Retirement Calculator'!A:A,0),0),0)</f>
        <v>0</v>
      </c>
      <c r="K5208" s="455">
        <f t="shared" ca="1" si="201"/>
        <v>-1743352943249.6619</v>
      </c>
      <c r="L5208" s="455">
        <f t="shared" ca="1" si="202"/>
        <v>-420148059323168.56</v>
      </c>
      <c r="M5208" s="471">
        <f t="shared" si="204"/>
        <v>0.05</v>
      </c>
      <c r="N5208" s="475">
        <f t="shared" si="205"/>
        <v>209560</v>
      </c>
    </row>
    <row r="5209" spans="7:14" ht="11.25" customHeight="1" x14ac:dyDescent="0.3">
      <c r="G5209" s="470"/>
      <c r="H5209" s="470">
        <v>5202</v>
      </c>
      <c r="I5209" s="455">
        <f t="shared" ca="1" si="203"/>
        <v>-420148059323168.56</v>
      </c>
      <c r="J5209" s="455">
        <f t="array" ref="J5209">IFERROR(INDEX('Retirement Calculator'!J:J,MATCH('Isaac 401k'!N5209,'Retirement Calculator'!A:A,0),0),0)</f>
        <v>0</v>
      </c>
      <c r="K5209" s="455">
        <f t="shared" ca="1" si="201"/>
        <v>-1750616913846.5356</v>
      </c>
      <c r="L5209" s="455">
        <f t="shared" ca="1" si="202"/>
        <v>-421898676237015.13</v>
      </c>
      <c r="M5209" s="471">
        <f t="shared" si="204"/>
        <v>0.05</v>
      </c>
      <c r="N5209" s="475">
        <f t="shared" si="205"/>
        <v>209591</v>
      </c>
    </row>
    <row r="5210" spans="7:14" ht="11.25" customHeight="1" x14ac:dyDescent="0.3">
      <c r="G5210" s="470"/>
      <c r="H5210" s="470">
        <v>5203</v>
      </c>
      <c r="I5210" s="455">
        <f t="shared" ca="1" si="203"/>
        <v>-421898676237015.13</v>
      </c>
      <c r="J5210" s="455">
        <f t="array" ref="J5210">IFERROR(INDEX('Retirement Calculator'!J:J,MATCH('Isaac 401k'!N5210,'Retirement Calculator'!A:A,0),0),0)</f>
        <v>0</v>
      </c>
      <c r="K5210" s="455">
        <f t="shared" ca="1" si="201"/>
        <v>-1757911150987.563</v>
      </c>
      <c r="L5210" s="455">
        <f t="shared" ca="1" si="202"/>
        <v>-423656587388002.69</v>
      </c>
      <c r="M5210" s="471">
        <f t="shared" si="204"/>
        <v>0.05</v>
      </c>
      <c r="N5210" s="475">
        <f t="shared" si="205"/>
        <v>209621</v>
      </c>
    </row>
    <row r="5211" spans="7:14" ht="11.25" customHeight="1" x14ac:dyDescent="0.3">
      <c r="G5211" s="470"/>
      <c r="H5211" s="470">
        <v>5204</v>
      </c>
      <c r="I5211" s="455">
        <f t="shared" ca="1" si="203"/>
        <v>-423656587388002.69</v>
      </c>
      <c r="J5211" s="455">
        <f t="array" ref="J5211">IFERROR(INDEX('Retirement Calculator'!J:J,MATCH('Isaac 401k'!N5211,'Retirement Calculator'!A:A,0),0),0)</f>
        <v>0</v>
      </c>
      <c r="K5211" s="455">
        <f t="shared" ca="1" si="201"/>
        <v>-1765235780783.3445</v>
      </c>
      <c r="L5211" s="455">
        <f t="shared" ca="1" si="202"/>
        <v>-425421823168786.06</v>
      </c>
      <c r="M5211" s="471">
        <f t="shared" si="204"/>
        <v>0.05</v>
      </c>
      <c r="N5211" s="475">
        <f t="shared" si="205"/>
        <v>209652</v>
      </c>
    </row>
    <row r="5212" spans="7:14" ht="11.25" customHeight="1" x14ac:dyDescent="0.3">
      <c r="G5212" s="470"/>
      <c r="H5212" s="470">
        <v>5205</v>
      </c>
      <c r="I5212" s="455">
        <f t="shared" ca="1" si="203"/>
        <v>-425421823168786.06</v>
      </c>
      <c r="J5212" s="455">
        <f t="array" ref="J5212">IFERROR(INDEX('Retirement Calculator'!J:J,MATCH('Isaac 401k'!N5212,'Retirement Calculator'!A:A,0),0),0)</f>
        <v>0</v>
      </c>
      <c r="K5212" s="455">
        <f t="shared" ca="1" si="201"/>
        <v>-1772590929869.9419</v>
      </c>
      <c r="L5212" s="455">
        <f t="shared" ca="1" si="202"/>
        <v>-427194414098656</v>
      </c>
      <c r="M5212" s="471">
        <f t="shared" si="204"/>
        <v>0.05</v>
      </c>
      <c r="N5212" s="475">
        <f t="shared" si="205"/>
        <v>209683</v>
      </c>
    </row>
    <row r="5213" spans="7:14" ht="11.25" customHeight="1" x14ac:dyDescent="0.3">
      <c r="G5213" s="470"/>
      <c r="H5213" s="470">
        <v>5206</v>
      </c>
      <c r="I5213" s="455">
        <f t="shared" ca="1" si="203"/>
        <v>-427194414098656</v>
      </c>
      <c r="J5213" s="455">
        <f t="array" ref="J5213">IFERROR(INDEX('Retirement Calculator'!J:J,MATCH('Isaac 401k'!N5213,'Retirement Calculator'!A:A,0),0),0)</f>
        <v>0</v>
      </c>
      <c r="K5213" s="455">
        <f t="shared" ca="1" si="201"/>
        <v>-1779976725411.0667</v>
      </c>
      <c r="L5213" s="455">
        <f t="shared" ca="1" si="202"/>
        <v>-428974390824067.06</v>
      </c>
      <c r="M5213" s="471">
        <f t="shared" si="204"/>
        <v>0.05</v>
      </c>
      <c r="N5213" s="475">
        <f t="shared" si="205"/>
        <v>209711</v>
      </c>
    </row>
    <row r="5214" spans="7:14" ht="11.25" customHeight="1" x14ac:dyDescent="0.3">
      <c r="G5214" s="470"/>
      <c r="H5214" s="470">
        <v>5207</v>
      </c>
      <c r="I5214" s="455">
        <f t="shared" ca="1" si="203"/>
        <v>-428974390824067.06</v>
      </c>
      <c r="J5214" s="455">
        <f t="array" ref="J5214">IFERROR(INDEX('Retirement Calculator'!J:J,MATCH('Isaac 401k'!N5214,'Retirement Calculator'!A:A,0),0),0)</f>
        <v>0</v>
      </c>
      <c r="K5214" s="455">
        <f t="shared" ca="1" si="201"/>
        <v>-1787393295100.2793</v>
      </c>
      <c r="L5214" s="455">
        <f t="shared" ca="1" si="202"/>
        <v>-430761784119167.31</v>
      </c>
      <c r="M5214" s="471">
        <f t="shared" si="204"/>
        <v>0.05</v>
      </c>
      <c r="N5214" s="475">
        <f t="shared" si="205"/>
        <v>209742</v>
      </c>
    </row>
    <row r="5215" spans="7:14" ht="11.25" customHeight="1" x14ac:dyDescent="0.3">
      <c r="G5215" s="470"/>
      <c r="H5215" s="470">
        <v>5208</v>
      </c>
      <c r="I5215" s="455">
        <f t="shared" ca="1" si="203"/>
        <v>-430761784119167.31</v>
      </c>
      <c r="J5215" s="455">
        <f t="array" ref="J5215">IFERROR(INDEX('Retirement Calculator'!J:J,MATCH('Isaac 401k'!N5215,'Retirement Calculator'!A:A,0),0),0)</f>
        <v>0</v>
      </c>
      <c r="K5215" s="455">
        <f t="shared" ca="1" si="201"/>
        <v>-1794840767163.197</v>
      </c>
      <c r="L5215" s="455">
        <f t="shared" ca="1" si="202"/>
        <v>-432556624886330.5</v>
      </c>
      <c r="M5215" s="471">
        <f t="shared" si="204"/>
        <v>0.05</v>
      </c>
      <c r="N5215" s="475">
        <f t="shared" si="205"/>
        <v>209772</v>
      </c>
    </row>
    <row r="5216" spans="7:14" ht="11.25" customHeight="1" x14ac:dyDescent="0.3">
      <c r="G5216" s="470"/>
      <c r="H5216" s="470">
        <v>5209</v>
      </c>
      <c r="I5216" s="455">
        <f t="shared" ca="1" si="203"/>
        <v>-432556624886330.5</v>
      </c>
      <c r="J5216" s="455">
        <f t="array" ref="J5216">IFERROR(INDEX('Retirement Calculator'!J:J,MATCH('Isaac 401k'!N5216,'Retirement Calculator'!A:A,0),0),0)</f>
        <v>0</v>
      </c>
      <c r="K5216" s="455">
        <f t="shared" ca="1" si="201"/>
        <v>-1802319270359.7104</v>
      </c>
      <c r="L5216" s="455">
        <f t="shared" ca="1" si="202"/>
        <v>-434358944156690.19</v>
      </c>
      <c r="M5216" s="471">
        <f t="shared" si="204"/>
        <v>0.05</v>
      </c>
      <c r="N5216" s="475">
        <f t="shared" si="205"/>
        <v>209803</v>
      </c>
    </row>
    <row r="5217" spans="7:14" ht="11.25" customHeight="1" x14ac:dyDescent="0.3">
      <c r="G5217" s="470"/>
      <c r="H5217" s="470">
        <v>5210</v>
      </c>
      <c r="I5217" s="455">
        <f t="shared" ca="1" si="203"/>
        <v>-434358944156690.19</v>
      </c>
      <c r="J5217" s="455">
        <f t="array" ref="J5217">IFERROR(INDEX('Retirement Calculator'!J:J,MATCH('Isaac 401k'!N5217,'Retirement Calculator'!A:A,0),0),0)</f>
        <v>0</v>
      </c>
      <c r="K5217" s="455">
        <f t="shared" ca="1" si="201"/>
        <v>-1809828933986.209</v>
      </c>
      <c r="L5217" s="455">
        <f t="shared" ca="1" si="202"/>
        <v>-436168773090676.38</v>
      </c>
      <c r="M5217" s="471">
        <f t="shared" si="204"/>
        <v>0.05</v>
      </c>
      <c r="N5217" s="475">
        <f t="shared" si="205"/>
        <v>209833</v>
      </c>
    </row>
    <row r="5218" spans="7:14" ht="11.25" customHeight="1" x14ac:dyDescent="0.3">
      <c r="G5218" s="470"/>
      <c r="H5218" s="470">
        <v>5211</v>
      </c>
      <c r="I5218" s="455">
        <f t="shared" ca="1" si="203"/>
        <v>-436168773090676.38</v>
      </c>
      <c r="J5218" s="455">
        <f t="array" ref="J5218">IFERROR(INDEX('Retirement Calculator'!J:J,MATCH('Isaac 401k'!N5218,'Retirement Calculator'!A:A,0),0),0)</f>
        <v>0</v>
      </c>
      <c r="K5218" s="455">
        <f t="shared" ca="1" si="201"/>
        <v>-1817369887877.8181</v>
      </c>
      <c r="L5218" s="455">
        <f t="shared" ca="1" si="202"/>
        <v>-437986142978554.19</v>
      </c>
      <c r="M5218" s="471">
        <f t="shared" si="204"/>
        <v>0.05</v>
      </c>
      <c r="N5218" s="475">
        <f t="shared" si="205"/>
        <v>209864</v>
      </c>
    </row>
    <row r="5219" spans="7:14" ht="11.25" customHeight="1" x14ac:dyDescent="0.3">
      <c r="G5219" s="470"/>
      <c r="H5219" s="470">
        <v>5212</v>
      </c>
      <c r="I5219" s="455">
        <f t="shared" ca="1" si="203"/>
        <v>-437986142978554.19</v>
      </c>
      <c r="J5219" s="455">
        <f t="array" ref="J5219">IFERROR(INDEX('Retirement Calculator'!J:J,MATCH('Isaac 401k'!N5219,'Retirement Calculator'!A:A,0),0),0)</f>
        <v>0</v>
      </c>
      <c r="K5219" s="455">
        <f t="shared" ca="1" si="201"/>
        <v>-1824942262410.6423</v>
      </c>
      <c r="L5219" s="455">
        <f t="shared" ca="1" si="202"/>
        <v>-439811085240964.81</v>
      </c>
      <c r="M5219" s="471">
        <f t="shared" si="204"/>
        <v>0.05</v>
      </c>
      <c r="N5219" s="475">
        <f t="shared" si="205"/>
        <v>209895</v>
      </c>
    </row>
    <row r="5220" spans="7:14" ht="11.25" customHeight="1" x14ac:dyDescent="0.3">
      <c r="G5220" s="470"/>
      <c r="H5220" s="470">
        <v>5213</v>
      </c>
      <c r="I5220" s="455">
        <f t="shared" ca="1" si="203"/>
        <v>-439811085240964.81</v>
      </c>
      <c r="J5220" s="455">
        <f t="array" ref="J5220">IFERROR(INDEX('Retirement Calculator'!J:J,MATCH('Isaac 401k'!N5220,'Retirement Calculator'!A:A,0),0),0)</f>
        <v>0</v>
      </c>
      <c r="K5220" s="455">
        <f t="shared" ca="1" si="201"/>
        <v>-1832546188504.02</v>
      </c>
      <c r="L5220" s="455">
        <f t="shared" ca="1" si="202"/>
        <v>-441643631429468.81</v>
      </c>
      <c r="M5220" s="471">
        <f t="shared" si="204"/>
        <v>0.05</v>
      </c>
      <c r="N5220" s="475">
        <f t="shared" si="205"/>
        <v>209925</v>
      </c>
    </row>
    <row r="5221" spans="7:14" ht="11.25" customHeight="1" x14ac:dyDescent="0.3">
      <c r="G5221" s="470"/>
      <c r="H5221" s="470">
        <v>5214</v>
      </c>
      <c r="I5221" s="455">
        <f t="shared" ca="1" si="203"/>
        <v>-441643631429468.81</v>
      </c>
      <c r="J5221" s="455">
        <f t="array" ref="J5221">IFERROR(INDEX('Retirement Calculator'!J:J,MATCH('Isaac 401k'!N5221,'Retirement Calculator'!A:A,0),0),0)</f>
        <v>0</v>
      </c>
      <c r="K5221" s="455">
        <f t="shared" ca="1" si="201"/>
        <v>-1840181797622.7866</v>
      </c>
      <c r="L5221" s="455">
        <f t="shared" ca="1" si="202"/>
        <v>-443483813227091.63</v>
      </c>
      <c r="M5221" s="471">
        <f t="shared" si="204"/>
        <v>0.05</v>
      </c>
      <c r="N5221" s="475">
        <f t="shared" si="205"/>
        <v>209956</v>
      </c>
    </row>
    <row r="5222" spans="7:14" ht="11.25" customHeight="1" x14ac:dyDescent="0.3">
      <c r="G5222" s="470"/>
      <c r="H5222" s="470">
        <v>5215</v>
      </c>
      <c r="I5222" s="455">
        <f t="shared" ca="1" si="203"/>
        <v>-443483813227091.63</v>
      </c>
      <c r="J5222" s="455">
        <f t="array" ref="J5222">IFERROR(INDEX('Retirement Calculator'!J:J,MATCH('Isaac 401k'!N5222,'Retirement Calculator'!A:A,0),0),0)</f>
        <v>0</v>
      </c>
      <c r="K5222" s="455">
        <f t="shared" ca="1" si="201"/>
        <v>-1847849221779.5481</v>
      </c>
      <c r="L5222" s="455">
        <f t="shared" ca="1" si="202"/>
        <v>-445331662448871.19</v>
      </c>
      <c r="M5222" s="471">
        <f t="shared" si="204"/>
        <v>0.05</v>
      </c>
      <c r="N5222" s="475">
        <f t="shared" si="205"/>
        <v>209986</v>
      </c>
    </row>
    <row r="5223" spans="7:14" ht="11.25" customHeight="1" x14ac:dyDescent="0.3">
      <c r="G5223" s="470"/>
      <c r="H5223" s="470">
        <v>5216</v>
      </c>
      <c r="I5223" s="455">
        <f t="shared" ca="1" si="203"/>
        <v>-445331662448871.19</v>
      </c>
      <c r="J5223" s="455">
        <f t="array" ref="J5223">IFERROR(INDEX('Retirement Calculator'!J:J,MATCH('Isaac 401k'!N5223,'Retirement Calculator'!A:A,0),0),0)</f>
        <v>0</v>
      </c>
      <c r="K5223" s="455">
        <f t="shared" ca="1" si="201"/>
        <v>-1855548593536.9631</v>
      </c>
      <c r="L5223" s="455">
        <f t="shared" ca="1" si="202"/>
        <v>-447187211042408.13</v>
      </c>
      <c r="M5223" s="471">
        <f t="shared" si="204"/>
        <v>0.05</v>
      </c>
      <c r="N5223" s="475">
        <f t="shared" si="205"/>
        <v>210017</v>
      </c>
    </row>
    <row r="5224" spans="7:14" ht="11.25" customHeight="1" x14ac:dyDescent="0.3">
      <c r="G5224" s="470"/>
      <c r="H5224" s="470">
        <v>5217</v>
      </c>
      <c r="I5224" s="455">
        <f t="shared" ca="1" si="203"/>
        <v>-447187211042408.13</v>
      </c>
      <c r="J5224" s="455">
        <f t="array" ref="J5224">IFERROR(INDEX('Retirement Calculator'!J:J,MATCH('Isaac 401k'!N5224,'Retirement Calculator'!A:A,0),0),0)</f>
        <v>0</v>
      </c>
      <c r="K5224" s="455">
        <f t="shared" ca="1" si="201"/>
        <v>-1863280046010.0339</v>
      </c>
      <c r="L5224" s="455">
        <f t="shared" ca="1" si="202"/>
        <v>-449050491088418.19</v>
      </c>
      <c r="M5224" s="471">
        <f t="shared" si="204"/>
        <v>0.05</v>
      </c>
      <c r="N5224" s="475">
        <f t="shared" si="205"/>
        <v>210048</v>
      </c>
    </row>
    <row r="5225" spans="7:14" ht="11.25" customHeight="1" x14ac:dyDescent="0.3">
      <c r="G5225" s="470"/>
      <c r="H5225" s="470">
        <v>5218</v>
      </c>
      <c r="I5225" s="455">
        <f t="shared" ca="1" si="203"/>
        <v>-449050491088418.19</v>
      </c>
      <c r="J5225" s="455">
        <f t="array" ref="J5225">IFERROR(INDEX('Retirement Calculator'!J:J,MATCH('Isaac 401k'!N5225,'Retirement Calculator'!A:A,0),0),0)</f>
        <v>0</v>
      </c>
      <c r="K5225" s="455">
        <f t="shared" ca="1" si="201"/>
        <v>-1871043712868.4092</v>
      </c>
      <c r="L5225" s="455">
        <f t="shared" ca="1" si="202"/>
        <v>-450921534801286.63</v>
      </c>
      <c r="M5225" s="471">
        <f t="shared" si="204"/>
        <v>0.05</v>
      </c>
      <c r="N5225" s="475">
        <f t="shared" si="205"/>
        <v>210076</v>
      </c>
    </row>
    <row r="5226" spans="7:14" ht="11.25" customHeight="1" x14ac:dyDescent="0.3">
      <c r="G5226" s="470"/>
      <c r="H5226" s="470">
        <v>5219</v>
      </c>
      <c r="I5226" s="455">
        <f t="shared" ca="1" si="203"/>
        <v>-450921534801286.63</v>
      </c>
      <c r="J5226" s="455">
        <f t="array" ref="J5226">IFERROR(INDEX('Retirement Calculator'!J:J,MATCH('Isaac 401k'!N5226,'Retirement Calculator'!A:A,0),0),0)</f>
        <v>0</v>
      </c>
      <c r="K5226" s="455">
        <f t="shared" ca="1" si="201"/>
        <v>-1878839728338.6943</v>
      </c>
      <c r="L5226" s="455">
        <f t="shared" ca="1" si="202"/>
        <v>-452800374529625.31</v>
      </c>
      <c r="M5226" s="471">
        <f t="shared" si="204"/>
        <v>0.05</v>
      </c>
      <c r="N5226" s="475">
        <f t="shared" si="205"/>
        <v>210107</v>
      </c>
    </row>
    <row r="5227" spans="7:14" ht="11.25" customHeight="1" x14ac:dyDescent="0.3">
      <c r="G5227" s="470"/>
      <c r="H5227" s="470">
        <v>5220</v>
      </c>
      <c r="I5227" s="455">
        <f t="shared" ca="1" si="203"/>
        <v>-452800374529625.31</v>
      </c>
      <c r="J5227" s="455">
        <f t="array" ref="J5227">IFERROR(INDEX('Retirement Calculator'!J:J,MATCH('Isaac 401k'!N5227,'Retirement Calculator'!A:A,0),0),0)</f>
        <v>0</v>
      </c>
      <c r="K5227" s="455">
        <f t="shared" ca="1" si="201"/>
        <v>-1886668227206.7717</v>
      </c>
      <c r="L5227" s="455">
        <f t="shared" ca="1" si="202"/>
        <v>-454687042756832.06</v>
      </c>
      <c r="M5227" s="471">
        <f t="shared" si="204"/>
        <v>0.05</v>
      </c>
      <c r="N5227" s="475">
        <f t="shared" si="205"/>
        <v>210137</v>
      </c>
    </row>
    <row r="5228" spans="7:14" ht="11.25" customHeight="1" x14ac:dyDescent="0.3">
      <c r="G5228" s="470"/>
      <c r="H5228" s="470">
        <v>5221</v>
      </c>
      <c r="I5228" s="455">
        <f t="shared" ca="1" si="203"/>
        <v>-454687042756832.06</v>
      </c>
      <c r="J5228" s="455">
        <f t="array" ref="J5228">IFERROR(INDEX('Retirement Calculator'!J:J,MATCH('Isaac 401k'!N5228,'Retirement Calculator'!A:A,0),0),0)</f>
        <v>0</v>
      </c>
      <c r="K5228" s="455">
        <f t="shared" ca="1" si="201"/>
        <v>-1894529344820.1335</v>
      </c>
      <c r="L5228" s="455">
        <f t="shared" ca="1" si="202"/>
        <v>-456581572101652.19</v>
      </c>
      <c r="M5228" s="471">
        <f t="shared" si="204"/>
        <v>0.05</v>
      </c>
      <c r="N5228" s="475">
        <f t="shared" si="205"/>
        <v>210168</v>
      </c>
    </row>
    <row r="5229" spans="7:14" ht="11.25" customHeight="1" x14ac:dyDescent="0.3">
      <c r="G5229" s="470"/>
      <c r="H5229" s="470">
        <v>5222</v>
      </c>
      <c r="I5229" s="455">
        <f t="shared" ca="1" si="203"/>
        <v>-456581572101652.19</v>
      </c>
      <c r="J5229" s="455">
        <f t="array" ref="J5229">IFERROR(INDEX('Retirement Calculator'!J:J,MATCH('Isaac 401k'!N5229,'Retirement Calculator'!A:A,0),0),0)</f>
        <v>0</v>
      </c>
      <c r="K5229" s="455">
        <f t="shared" ca="1" si="201"/>
        <v>-1902423217090.2175</v>
      </c>
      <c r="L5229" s="455">
        <f t="shared" ca="1" si="202"/>
        <v>-458483995318742.38</v>
      </c>
      <c r="M5229" s="471">
        <f t="shared" si="204"/>
        <v>0.05</v>
      </c>
      <c r="N5229" s="475">
        <f t="shared" si="205"/>
        <v>210198</v>
      </c>
    </row>
    <row r="5230" spans="7:14" ht="11.25" customHeight="1" x14ac:dyDescent="0.3">
      <c r="G5230" s="470"/>
      <c r="H5230" s="470">
        <v>5223</v>
      </c>
      <c r="I5230" s="455">
        <f t="shared" ca="1" si="203"/>
        <v>-458483995318742.38</v>
      </c>
      <c r="J5230" s="455">
        <f t="array" ref="J5230">IFERROR(INDEX('Retirement Calculator'!J:J,MATCH('Isaac 401k'!N5230,'Retirement Calculator'!A:A,0),0),0)</f>
        <v>0</v>
      </c>
      <c r="K5230" s="455">
        <f t="shared" ca="1" si="201"/>
        <v>-1910349980494.7595</v>
      </c>
      <c r="L5230" s="455">
        <f t="shared" ca="1" si="202"/>
        <v>-460394345299237.13</v>
      </c>
      <c r="M5230" s="471">
        <f t="shared" si="204"/>
        <v>0.05</v>
      </c>
      <c r="N5230" s="475">
        <f t="shared" si="205"/>
        <v>210229</v>
      </c>
    </row>
    <row r="5231" spans="7:14" ht="11.25" customHeight="1" x14ac:dyDescent="0.3">
      <c r="G5231" s="470"/>
      <c r="H5231" s="470">
        <v>5224</v>
      </c>
      <c r="I5231" s="455">
        <f t="shared" ca="1" si="203"/>
        <v>-460394345299237.13</v>
      </c>
      <c r="J5231" s="455">
        <f t="array" ref="J5231">IFERROR(INDEX('Retirement Calculator'!J:J,MATCH('Isaac 401k'!N5231,'Retirement Calculator'!A:A,0),0),0)</f>
        <v>0</v>
      </c>
      <c r="K5231" s="455">
        <f t="shared" ca="1" si="201"/>
        <v>-1918309772080.1545</v>
      </c>
      <c r="L5231" s="455">
        <f t="shared" ca="1" si="202"/>
        <v>-462312655071317.25</v>
      </c>
      <c r="M5231" s="471">
        <f t="shared" si="204"/>
        <v>0.05</v>
      </c>
      <c r="N5231" s="475">
        <f t="shared" si="205"/>
        <v>210260</v>
      </c>
    </row>
    <row r="5232" spans="7:14" ht="11.25" customHeight="1" x14ac:dyDescent="0.3">
      <c r="G5232" s="470"/>
      <c r="H5232" s="470">
        <v>5225</v>
      </c>
      <c r="I5232" s="455">
        <f t="shared" ca="1" si="203"/>
        <v>-462312655071317.25</v>
      </c>
      <c r="J5232" s="455">
        <f t="array" ref="J5232">IFERROR(INDEX('Retirement Calculator'!J:J,MATCH('Isaac 401k'!N5232,'Retirement Calculator'!A:A,0),0),0)</f>
        <v>0</v>
      </c>
      <c r="K5232" s="455">
        <f t="shared" ca="1" si="201"/>
        <v>-1926302729463.8218</v>
      </c>
      <c r="L5232" s="455">
        <f t="shared" ca="1" si="202"/>
        <v>-464238957800781.06</v>
      </c>
      <c r="M5232" s="471">
        <f t="shared" si="204"/>
        <v>0.05</v>
      </c>
      <c r="N5232" s="475">
        <f t="shared" si="205"/>
        <v>210290</v>
      </c>
    </row>
    <row r="5233" spans="7:14" ht="11.25" customHeight="1" x14ac:dyDescent="0.3">
      <c r="G5233" s="470"/>
      <c r="H5233" s="470">
        <v>5226</v>
      </c>
      <c r="I5233" s="455">
        <f t="shared" ca="1" si="203"/>
        <v>-464238957800781.06</v>
      </c>
      <c r="J5233" s="455">
        <f t="array" ref="J5233">IFERROR(INDEX('Retirement Calculator'!J:J,MATCH('Isaac 401k'!N5233,'Retirement Calculator'!A:A,0),0),0)</f>
        <v>0</v>
      </c>
      <c r="K5233" s="455">
        <f t="shared" ca="1" si="201"/>
        <v>-1934328990836.5876</v>
      </c>
      <c r="L5233" s="455">
        <f t="shared" ca="1" si="202"/>
        <v>-466173286791617.63</v>
      </c>
      <c r="M5233" s="471">
        <f t="shared" si="204"/>
        <v>0.05</v>
      </c>
      <c r="N5233" s="475">
        <f t="shared" si="205"/>
        <v>210321</v>
      </c>
    </row>
    <row r="5234" spans="7:14" ht="11.25" customHeight="1" x14ac:dyDescent="0.3">
      <c r="G5234" s="470"/>
      <c r="H5234" s="470">
        <v>5227</v>
      </c>
      <c r="I5234" s="455">
        <f t="shared" ca="1" si="203"/>
        <v>-466173286791617.63</v>
      </c>
      <c r="J5234" s="455">
        <f t="array" ref="J5234">IFERROR(INDEX('Retirement Calculator'!J:J,MATCH('Isaac 401k'!N5234,'Retirement Calculator'!A:A,0),0),0)</f>
        <v>0</v>
      </c>
      <c r="K5234" s="455">
        <f t="shared" ca="1" si="201"/>
        <v>-1942388694965.0732</v>
      </c>
      <c r="L5234" s="455">
        <f t="shared" ca="1" si="202"/>
        <v>-468115675486582.69</v>
      </c>
      <c r="M5234" s="471">
        <f t="shared" si="204"/>
        <v>0.05</v>
      </c>
      <c r="N5234" s="475">
        <f t="shared" si="205"/>
        <v>210351</v>
      </c>
    </row>
    <row r="5235" spans="7:14" ht="11.25" customHeight="1" x14ac:dyDescent="0.3">
      <c r="G5235" s="470"/>
      <c r="H5235" s="470">
        <v>5228</v>
      </c>
      <c r="I5235" s="455">
        <f t="shared" ca="1" si="203"/>
        <v>-468115675486582.69</v>
      </c>
      <c r="J5235" s="455">
        <f t="array" ref="J5235">IFERROR(INDEX('Retirement Calculator'!J:J,MATCH('Isaac 401k'!N5235,'Retirement Calculator'!A:A,0),0),0)</f>
        <v>0</v>
      </c>
      <c r="K5235" s="455">
        <f t="shared" ca="1" si="201"/>
        <v>-1950481981194.0945</v>
      </c>
      <c r="L5235" s="455">
        <f t="shared" ca="1" si="202"/>
        <v>-470066157467776.81</v>
      </c>
      <c r="M5235" s="471">
        <f t="shared" si="204"/>
        <v>0.05</v>
      </c>
      <c r="N5235" s="475">
        <f t="shared" si="205"/>
        <v>210382</v>
      </c>
    </row>
    <row r="5236" spans="7:14" ht="11.25" customHeight="1" x14ac:dyDescent="0.3">
      <c r="G5236" s="470"/>
      <c r="H5236" s="470">
        <v>5229</v>
      </c>
      <c r="I5236" s="455">
        <f t="shared" ca="1" si="203"/>
        <v>-470066157467776.81</v>
      </c>
      <c r="J5236" s="455">
        <f t="array" ref="J5236">IFERROR(INDEX('Retirement Calculator'!J:J,MATCH('Isaac 401k'!N5236,'Retirement Calculator'!A:A,0),0),0)</f>
        <v>0</v>
      </c>
      <c r="K5236" s="455">
        <f t="shared" ca="1" si="201"/>
        <v>-1958608989449.0701</v>
      </c>
      <c r="L5236" s="455">
        <f t="shared" ca="1" si="202"/>
        <v>-472024766457225.88</v>
      </c>
      <c r="M5236" s="471">
        <f t="shared" si="204"/>
        <v>0.05</v>
      </c>
      <c r="N5236" s="475">
        <f t="shared" si="205"/>
        <v>210413</v>
      </c>
    </row>
    <row r="5237" spans="7:14" ht="11.25" customHeight="1" x14ac:dyDescent="0.3">
      <c r="G5237" s="470"/>
      <c r="H5237" s="470">
        <v>5230</v>
      </c>
      <c r="I5237" s="455">
        <f t="shared" ca="1" si="203"/>
        <v>-472024766457225.88</v>
      </c>
      <c r="J5237" s="455">
        <f t="array" ref="J5237">IFERROR(INDEX('Retirement Calculator'!J:J,MATCH('Isaac 401k'!N5237,'Retirement Calculator'!A:A,0),0),0)</f>
        <v>0</v>
      </c>
      <c r="K5237" s="455">
        <f t="shared" ca="1" si="201"/>
        <v>-1966769860238.4412</v>
      </c>
      <c r="L5237" s="455">
        <f t="shared" ca="1" si="202"/>
        <v>-473991536317464.31</v>
      </c>
      <c r="M5237" s="471">
        <f t="shared" si="204"/>
        <v>0.05</v>
      </c>
      <c r="N5237" s="475">
        <f t="shared" si="205"/>
        <v>210442</v>
      </c>
    </row>
    <row r="5238" spans="7:14" ht="11.25" customHeight="1" x14ac:dyDescent="0.3">
      <c r="G5238" s="470"/>
      <c r="H5238" s="470">
        <v>5231</v>
      </c>
      <c r="I5238" s="455">
        <f t="shared" ca="1" si="203"/>
        <v>-473991536317464.31</v>
      </c>
      <c r="J5238" s="455">
        <f t="array" ref="J5238">IFERROR(INDEX('Retirement Calculator'!J:J,MATCH('Isaac 401k'!N5238,'Retirement Calculator'!A:A,0),0),0)</f>
        <v>0</v>
      </c>
      <c r="K5238" s="455">
        <f t="shared" ca="1" si="201"/>
        <v>-1974964734656.1013</v>
      </c>
      <c r="L5238" s="455">
        <f t="shared" ca="1" si="202"/>
        <v>-475966501052120.44</v>
      </c>
      <c r="M5238" s="471">
        <f t="shared" si="204"/>
        <v>0.05</v>
      </c>
      <c r="N5238" s="475">
        <f t="shared" si="205"/>
        <v>210473</v>
      </c>
    </row>
    <row r="5239" spans="7:14" ht="11.25" customHeight="1" x14ac:dyDescent="0.3">
      <c r="G5239" s="470"/>
      <c r="H5239" s="470">
        <v>5232</v>
      </c>
      <c r="I5239" s="455">
        <f t="shared" ca="1" si="203"/>
        <v>-475966501052120.44</v>
      </c>
      <c r="J5239" s="455">
        <f t="array" ref="J5239">IFERROR(INDEX('Retirement Calculator'!J:J,MATCH('Isaac 401k'!N5239,'Retirement Calculator'!A:A,0),0),0)</f>
        <v>0</v>
      </c>
      <c r="K5239" s="455">
        <f t="shared" ca="1" si="201"/>
        <v>-1983193754383.8354</v>
      </c>
      <c r="L5239" s="455">
        <f t="shared" ca="1" si="202"/>
        <v>-477949694806504.25</v>
      </c>
      <c r="M5239" s="471">
        <f t="shared" si="204"/>
        <v>0.05</v>
      </c>
      <c r="N5239" s="475">
        <f t="shared" si="205"/>
        <v>210503</v>
      </c>
    </row>
    <row r="5240" spans="7:14" ht="11.25" customHeight="1" x14ac:dyDescent="0.3">
      <c r="G5240" s="470"/>
      <c r="H5240" s="470">
        <v>5233</v>
      </c>
      <c r="I5240" s="455">
        <f t="shared" ca="1" si="203"/>
        <v>-477949694806504.25</v>
      </c>
      <c r="J5240" s="455">
        <f t="array" ref="J5240">IFERROR(INDEX('Retirement Calculator'!J:J,MATCH('Isaac 401k'!N5240,'Retirement Calculator'!A:A,0),0),0)</f>
        <v>0</v>
      </c>
      <c r="K5240" s="455">
        <f t="shared" ca="1" si="201"/>
        <v>-1991457061693.7676</v>
      </c>
      <c r="L5240" s="455">
        <f t="shared" ca="1" si="202"/>
        <v>-479941151868198</v>
      </c>
      <c r="M5240" s="471">
        <f t="shared" si="204"/>
        <v>0.05</v>
      </c>
      <c r="N5240" s="475">
        <f t="shared" si="205"/>
        <v>210534</v>
      </c>
    </row>
    <row r="5241" spans="7:14" ht="11.25" customHeight="1" x14ac:dyDescent="0.3">
      <c r="G5241" s="470"/>
      <c r="H5241" s="470">
        <v>5234</v>
      </c>
      <c r="I5241" s="455">
        <f t="shared" ca="1" si="203"/>
        <v>-479941151868198</v>
      </c>
      <c r="J5241" s="455">
        <f t="array" ref="J5241">IFERROR(INDEX('Retirement Calculator'!J:J,MATCH('Isaac 401k'!N5241,'Retirement Calculator'!A:A,0),0),0)</f>
        <v>0</v>
      </c>
      <c r="K5241" s="455">
        <f t="shared" ca="1" si="201"/>
        <v>-1999754799450.8252</v>
      </c>
      <c r="L5241" s="455">
        <f t="shared" ca="1" si="202"/>
        <v>-481940906667648.81</v>
      </c>
      <c r="M5241" s="471">
        <f t="shared" si="204"/>
        <v>0.05</v>
      </c>
      <c r="N5241" s="475">
        <f t="shared" si="205"/>
        <v>210564</v>
      </c>
    </row>
    <row r="5242" spans="7:14" ht="11.25" customHeight="1" x14ac:dyDescent="0.3">
      <c r="G5242" s="470"/>
      <c r="H5242" s="470">
        <v>5235</v>
      </c>
      <c r="I5242" s="455">
        <f t="shared" ca="1" si="203"/>
        <v>-481940906667648.81</v>
      </c>
      <c r="J5242" s="455">
        <f t="array" ref="J5242">IFERROR(INDEX('Retirement Calculator'!J:J,MATCH('Isaac 401k'!N5242,'Retirement Calculator'!A:A,0),0),0)</f>
        <v>0</v>
      </c>
      <c r="K5242" s="455">
        <f t="shared" ca="1" si="201"/>
        <v>-2008087111115.2034</v>
      </c>
      <c r="L5242" s="455">
        <f t="shared" ca="1" si="202"/>
        <v>-483948993778764</v>
      </c>
      <c r="M5242" s="471">
        <f t="shared" si="204"/>
        <v>0.05</v>
      </c>
      <c r="N5242" s="475">
        <f t="shared" si="205"/>
        <v>210595</v>
      </c>
    </row>
    <row r="5243" spans="7:14" ht="11.25" customHeight="1" x14ac:dyDescent="0.3">
      <c r="G5243" s="470"/>
      <c r="H5243" s="470">
        <v>5236</v>
      </c>
      <c r="I5243" s="455">
        <f t="shared" ca="1" si="203"/>
        <v>-483948993778764</v>
      </c>
      <c r="J5243" s="455">
        <f t="array" ref="J5243">IFERROR(INDEX('Retirement Calculator'!J:J,MATCH('Isaac 401k'!N5243,'Retirement Calculator'!A:A,0),0),0)</f>
        <v>0</v>
      </c>
      <c r="K5243" s="455">
        <f t="shared" ca="1" si="201"/>
        <v>-2016454140744.8499</v>
      </c>
      <c r="L5243" s="455">
        <f t="shared" ca="1" si="202"/>
        <v>-485965447919508.88</v>
      </c>
      <c r="M5243" s="471">
        <f t="shared" si="204"/>
        <v>0.05</v>
      </c>
      <c r="N5243" s="475">
        <f t="shared" si="205"/>
        <v>210626</v>
      </c>
    </row>
    <row r="5244" spans="7:14" ht="11.25" customHeight="1" x14ac:dyDescent="0.3">
      <c r="G5244" s="470"/>
      <c r="H5244" s="470">
        <v>5237</v>
      </c>
      <c r="I5244" s="455">
        <f t="shared" ca="1" si="203"/>
        <v>-485965447919508.88</v>
      </c>
      <c r="J5244" s="455">
        <f t="array" ref="J5244">IFERROR(INDEX('Retirement Calculator'!J:J,MATCH('Isaac 401k'!N5244,'Retirement Calculator'!A:A,0),0),0)</f>
        <v>0</v>
      </c>
      <c r="K5244" s="455">
        <f t="shared" ca="1" si="201"/>
        <v>-2024856032997.9536</v>
      </c>
      <c r="L5244" s="455">
        <f t="shared" ca="1" si="202"/>
        <v>-487990303952506.81</v>
      </c>
      <c r="M5244" s="471">
        <f t="shared" si="204"/>
        <v>0.05</v>
      </c>
      <c r="N5244" s="475">
        <f t="shared" si="205"/>
        <v>210656</v>
      </c>
    </row>
    <row r="5245" spans="7:14" ht="11.25" customHeight="1" x14ac:dyDescent="0.3">
      <c r="G5245" s="470"/>
      <c r="H5245" s="470">
        <v>5238</v>
      </c>
      <c r="I5245" s="455">
        <f t="shared" ca="1" si="203"/>
        <v>-487990303952506.81</v>
      </c>
      <c r="J5245" s="455">
        <f t="array" ref="J5245">IFERROR(INDEX('Retirement Calculator'!J:J,MATCH('Isaac 401k'!N5245,'Retirement Calculator'!A:A,0),0),0)</f>
        <v>0</v>
      </c>
      <c r="K5245" s="455">
        <f t="shared" ca="1" si="201"/>
        <v>-2033292933135.4451</v>
      </c>
      <c r="L5245" s="455">
        <f t="shared" ca="1" si="202"/>
        <v>-490023596885642.25</v>
      </c>
      <c r="M5245" s="471">
        <f t="shared" si="204"/>
        <v>0.05</v>
      </c>
      <c r="N5245" s="475">
        <f t="shared" si="205"/>
        <v>210687</v>
      </c>
    </row>
    <row r="5246" spans="7:14" ht="11.25" customHeight="1" x14ac:dyDescent="0.3">
      <c r="G5246" s="470"/>
      <c r="H5246" s="470">
        <v>5239</v>
      </c>
      <c r="I5246" s="455">
        <f t="shared" ca="1" si="203"/>
        <v>-490023596885642.25</v>
      </c>
      <c r="J5246" s="455">
        <f t="array" ref="J5246">IFERROR(INDEX('Retirement Calculator'!J:J,MATCH('Isaac 401k'!N5246,'Retirement Calculator'!A:A,0),0),0)</f>
        <v>0</v>
      </c>
      <c r="K5246" s="455">
        <f t="shared" ca="1" si="201"/>
        <v>-2041764987023.5093</v>
      </c>
      <c r="L5246" s="455">
        <f t="shared" ca="1" si="202"/>
        <v>-492065361872665.75</v>
      </c>
      <c r="M5246" s="471">
        <f t="shared" si="204"/>
        <v>0.05</v>
      </c>
      <c r="N5246" s="475">
        <f t="shared" si="205"/>
        <v>210717</v>
      </c>
    </row>
    <row r="5247" spans="7:14" ht="11.25" customHeight="1" x14ac:dyDescent="0.3">
      <c r="G5247" s="470"/>
      <c r="H5247" s="470">
        <v>5240</v>
      </c>
      <c r="I5247" s="455">
        <f t="shared" ca="1" si="203"/>
        <v>-492065361872665.75</v>
      </c>
      <c r="J5247" s="455">
        <f t="array" ref="J5247">IFERROR(INDEX('Retirement Calculator'!J:J,MATCH('Isaac 401k'!N5247,'Retirement Calculator'!A:A,0),0),0)</f>
        <v>0</v>
      </c>
      <c r="K5247" s="455">
        <f t="shared" ca="1" si="201"/>
        <v>-2050272341136.1074</v>
      </c>
      <c r="L5247" s="455">
        <f t="shared" ca="1" si="202"/>
        <v>-494115634213801.88</v>
      </c>
      <c r="M5247" s="471">
        <f t="shared" si="204"/>
        <v>0.05</v>
      </c>
      <c r="N5247" s="475">
        <f t="shared" si="205"/>
        <v>210748</v>
      </c>
    </row>
    <row r="5248" spans="7:14" ht="11.25" customHeight="1" x14ac:dyDescent="0.3">
      <c r="G5248" s="470"/>
      <c r="H5248" s="470">
        <v>5241</v>
      </c>
      <c r="I5248" s="455">
        <f t="shared" ca="1" si="203"/>
        <v>-494115634213801.88</v>
      </c>
      <c r="J5248" s="455">
        <f t="array" ref="J5248">IFERROR(INDEX('Retirement Calculator'!J:J,MATCH('Isaac 401k'!N5248,'Retirement Calculator'!A:A,0),0),0)</f>
        <v>0</v>
      </c>
      <c r="K5248" s="455">
        <f t="shared" ca="1" si="201"/>
        <v>-2058815142557.5081</v>
      </c>
      <c r="L5248" s="455">
        <f t="shared" ca="1" si="202"/>
        <v>-496174449356359.38</v>
      </c>
      <c r="M5248" s="471">
        <f t="shared" si="204"/>
        <v>0.05</v>
      </c>
      <c r="N5248" s="475">
        <f t="shared" si="205"/>
        <v>210779</v>
      </c>
    </row>
    <row r="5249" spans="7:14" ht="11.25" customHeight="1" x14ac:dyDescent="0.3">
      <c r="G5249" s="470"/>
      <c r="H5249" s="470">
        <v>5242</v>
      </c>
      <c r="I5249" s="455">
        <f t="shared" ca="1" si="203"/>
        <v>-496174449356359.38</v>
      </c>
      <c r="J5249" s="455">
        <f t="array" ref="J5249">IFERROR(INDEX('Retirement Calculator'!J:J,MATCH('Isaac 401k'!N5249,'Retirement Calculator'!A:A,0),0),0)</f>
        <v>0</v>
      </c>
      <c r="K5249" s="455">
        <f t="shared" ca="1" si="201"/>
        <v>-2067393538984.8308</v>
      </c>
      <c r="L5249" s="455">
        <f t="shared" ca="1" si="202"/>
        <v>-498241842895344.19</v>
      </c>
      <c r="M5249" s="471">
        <f t="shared" si="204"/>
        <v>0.05</v>
      </c>
      <c r="N5249" s="475">
        <f t="shared" si="205"/>
        <v>210807</v>
      </c>
    </row>
    <row r="5250" spans="7:14" ht="11.25" customHeight="1" x14ac:dyDescent="0.3">
      <c r="G5250" s="470"/>
      <c r="H5250" s="470">
        <v>5243</v>
      </c>
      <c r="I5250" s="455">
        <f t="shared" ca="1" si="203"/>
        <v>-498241842895344.19</v>
      </c>
      <c r="J5250" s="455">
        <f t="array" ref="J5250">IFERROR(INDEX('Retirement Calculator'!J:J,MATCH('Isaac 401k'!N5250,'Retirement Calculator'!A:A,0),0),0)</f>
        <v>0</v>
      </c>
      <c r="K5250" s="455">
        <f t="shared" ca="1" si="201"/>
        <v>-2076007678730.6006</v>
      </c>
      <c r="L5250" s="455">
        <f t="shared" ca="1" si="202"/>
        <v>-500317850574074.81</v>
      </c>
      <c r="M5250" s="471">
        <f t="shared" si="204"/>
        <v>0.05</v>
      </c>
      <c r="N5250" s="475">
        <f t="shared" si="205"/>
        <v>210838</v>
      </c>
    </row>
    <row r="5251" spans="7:14" ht="11.25" customHeight="1" x14ac:dyDescent="0.3">
      <c r="G5251" s="470"/>
      <c r="H5251" s="470">
        <v>5244</v>
      </c>
      <c r="I5251" s="455">
        <f t="shared" ca="1" si="203"/>
        <v>-500317850574074.81</v>
      </c>
      <c r="J5251" s="455">
        <f t="array" ref="J5251">IFERROR(INDEX('Retirement Calculator'!J:J,MATCH('Isaac 401k'!N5251,'Retirement Calculator'!A:A,0),0),0)</f>
        <v>0</v>
      </c>
      <c r="K5251" s="455">
        <f t="shared" ca="1" si="201"/>
        <v>-2084657710725.3115</v>
      </c>
      <c r="L5251" s="455">
        <f t="shared" ca="1" si="202"/>
        <v>-502402508284800.13</v>
      </c>
      <c r="M5251" s="471">
        <f t="shared" si="204"/>
        <v>0.05</v>
      </c>
      <c r="N5251" s="475">
        <f t="shared" si="205"/>
        <v>210868</v>
      </c>
    </row>
    <row r="5252" spans="7:14" ht="11.25" customHeight="1" x14ac:dyDescent="0.3">
      <c r="G5252" s="470"/>
      <c r="H5252" s="470">
        <v>5245</v>
      </c>
      <c r="I5252" s="455">
        <f t="shared" ca="1" si="203"/>
        <v>-502402508284800.13</v>
      </c>
      <c r="J5252" s="455">
        <f t="array" ref="J5252">IFERROR(INDEX('Retirement Calculator'!J:J,MATCH('Isaac 401k'!N5252,'Retirement Calculator'!A:A,0),0),0)</f>
        <v>0</v>
      </c>
      <c r="K5252" s="455">
        <f t="shared" ca="1" si="201"/>
        <v>-2093343784520.0005</v>
      </c>
      <c r="L5252" s="455">
        <f t="shared" ca="1" si="202"/>
        <v>-504495852069320.13</v>
      </c>
      <c r="M5252" s="471">
        <f t="shared" si="204"/>
        <v>0.05</v>
      </c>
      <c r="N5252" s="475">
        <f t="shared" si="205"/>
        <v>210899</v>
      </c>
    </row>
    <row r="5253" spans="7:14" ht="11.25" customHeight="1" x14ac:dyDescent="0.3">
      <c r="G5253" s="470"/>
      <c r="H5253" s="470">
        <v>5246</v>
      </c>
      <c r="I5253" s="455">
        <f t="shared" ca="1" si="203"/>
        <v>-504495852069320.13</v>
      </c>
      <c r="J5253" s="455">
        <f t="array" ref="J5253">IFERROR(INDEX('Retirement Calculator'!J:J,MATCH('Isaac 401k'!N5253,'Retirement Calculator'!A:A,0),0),0)</f>
        <v>0</v>
      </c>
      <c r="K5253" s="455">
        <f t="shared" ca="1" si="201"/>
        <v>-2102066050288.834</v>
      </c>
      <c r="L5253" s="455">
        <f t="shared" ca="1" si="202"/>
        <v>-506597918119608.94</v>
      </c>
      <c r="M5253" s="471">
        <f t="shared" si="204"/>
        <v>0.05</v>
      </c>
      <c r="N5253" s="475">
        <f t="shared" si="205"/>
        <v>210929</v>
      </c>
    </row>
    <row r="5254" spans="7:14" ht="11.25" customHeight="1" x14ac:dyDescent="0.3">
      <c r="G5254" s="470"/>
      <c r="H5254" s="470">
        <v>5247</v>
      </c>
      <c r="I5254" s="455">
        <f t="shared" ca="1" si="203"/>
        <v>-506597918119608.94</v>
      </c>
      <c r="J5254" s="455">
        <f t="array" ref="J5254">IFERROR(INDEX('Retirement Calculator'!J:J,MATCH('Isaac 401k'!N5254,'Retirement Calculator'!A:A,0),0),0)</f>
        <v>0</v>
      </c>
      <c r="K5254" s="455">
        <f t="shared" ca="1" si="201"/>
        <v>-2110824658831.7039</v>
      </c>
      <c r="L5254" s="455">
        <f t="shared" ca="1" si="202"/>
        <v>-508708742778440.63</v>
      </c>
      <c r="M5254" s="471">
        <f t="shared" si="204"/>
        <v>0.05</v>
      </c>
      <c r="N5254" s="475">
        <f t="shared" si="205"/>
        <v>210960</v>
      </c>
    </row>
    <row r="5255" spans="7:14" ht="11.25" customHeight="1" x14ac:dyDescent="0.3">
      <c r="G5255" s="470"/>
      <c r="H5255" s="470">
        <v>5248</v>
      </c>
      <c r="I5255" s="455">
        <f t="shared" ca="1" si="203"/>
        <v>-508708742778440.63</v>
      </c>
      <c r="J5255" s="455">
        <f t="array" ref="J5255">IFERROR(INDEX('Retirement Calculator'!J:J,MATCH('Isaac 401k'!N5255,'Retirement Calculator'!A:A,0),0),0)</f>
        <v>0</v>
      </c>
      <c r="K5255" s="455">
        <f t="shared" ca="1" si="201"/>
        <v>-2119619761576.8359</v>
      </c>
      <c r="L5255" s="455">
        <f t="shared" ca="1" si="202"/>
        <v>-510828362540017.44</v>
      </c>
      <c r="M5255" s="471">
        <f t="shared" si="204"/>
        <v>0.05</v>
      </c>
      <c r="N5255" s="475">
        <f t="shared" si="205"/>
        <v>210991</v>
      </c>
    </row>
    <row r="5256" spans="7:14" ht="11.25" customHeight="1" x14ac:dyDescent="0.3">
      <c r="G5256" s="470"/>
      <c r="H5256" s="470">
        <v>5249</v>
      </c>
      <c r="I5256" s="455">
        <f t="shared" ca="1" si="203"/>
        <v>-510828362540017.44</v>
      </c>
      <c r="J5256" s="455">
        <f t="array" ref="J5256">IFERROR(INDEX('Retirement Calculator'!J:J,MATCH('Isaac 401k'!N5256,'Retirement Calculator'!A:A,0),0),0)</f>
        <v>0</v>
      </c>
      <c r="K5256" s="455">
        <f t="shared" ca="1" si="201"/>
        <v>-2128451510583.406</v>
      </c>
      <c r="L5256" s="455">
        <f t="shared" ca="1" si="202"/>
        <v>-512956814050600.81</v>
      </c>
      <c r="M5256" s="471">
        <f t="shared" si="204"/>
        <v>0.05</v>
      </c>
      <c r="N5256" s="475">
        <f t="shared" si="205"/>
        <v>211021</v>
      </c>
    </row>
    <row r="5257" spans="7:14" ht="11.25" customHeight="1" x14ac:dyDescent="0.3">
      <c r="G5257" s="470"/>
      <c r="H5257" s="470">
        <v>5250</v>
      </c>
      <c r="I5257" s="455">
        <f t="shared" ca="1" si="203"/>
        <v>-512956814050600.81</v>
      </c>
      <c r="J5257" s="455">
        <f t="array" ref="J5257">IFERROR(INDEX('Retirement Calculator'!J:J,MATCH('Isaac 401k'!N5257,'Retirement Calculator'!A:A,0),0),0)</f>
        <v>0</v>
      </c>
      <c r="K5257" s="455">
        <f t="shared" ca="1" si="201"/>
        <v>-2137320058544.1697</v>
      </c>
      <c r="L5257" s="455">
        <f t="shared" ca="1" si="202"/>
        <v>-515094134109145</v>
      </c>
      <c r="M5257" s="471">
        <f t="shared" si="204"/>
        <v>0.05</v>
      </c>
      <c r="N5257" s="475">
        <f t="shared" si="205"/>
        <v>211052</v>
      </c>
    </row>
    <row r="5258" spans="7:14" ht="11.25" customHeight="1" x14ac:dyDescent="0.3">
      <c r="G5258" s="470"/>
      <c r="H5258" s="470">
        <v>5251</v>
      </c>
      <c r="I5258" s="455">
        <f t="shared" ca="1" si="203"/>
        <v>-515094134109145</v>
      </c>
      <c r="J5258" s="455">
        <f t="array" ref="J5258">IFERROR(INDEX('Retirement Calculator'!J:J,MATCH('Isaac 401k'!N5258,'Retirement Calculator'!A:A,0),0),0)</f>
        <v>0</v>
      </c>
      <c r="K5258" s="455">
        <f t="shared" ca="1" si="201"/>
        <v>-2146225558788.1042</v>
      </c>
      <c r="L5258" s="455">
        <f t="shared" ca="1" si="202"/>
        <v>-517240359667933.13</v>
      </c>
      <c r="M5258" s="471">
        <f t="shared" si="204"/>
        <v>0.05</v>
      </c>
      <c r="N5258" s="475">
        <f t="shared" si="205"/>
        <v>211082</v>
      </c>
    </row>
    <row r="5259" spans="7:14" ht="11.25" customHeight="1" x14ac:dyDescent="0.3">
      <c r="G5259" s="470"/>
      <c r="H5259" s="470">
        <v>5252</v>
      </c>
      <c r="I5259" s="455">
        <f t="shared" ca="1" si="203"/>
        <v>-517240359667933.13</v>
      </c>
      <c r="J5259" s="455">
        <f t="array" ref="J5259">IFERROR(INDEX('Retirement Calculator'!J:J,MATCH('Isaac 401k'!N5259,'Retirement Calculator'!A:A,0),0),0)</f>
        <v>0</v>
      </c>
      <c r="K5259" s="455">
        <f t="shared" ca="1" si="201"/>
        <v>-2155168165283.0547</v>
      </c>
      <c r="L5259" s="455">
        <f t="shared" ca="1" si="202"/>
        <v>-519395527833216.19</v>
      </c>
      <c r="M5259" s="471">
        <f t="shared" si="204"/>
        <v>0.05</v>
      </c>
      <c r="N5259" s="475">
        <f t="shared" si="205"/>
        <v>211113</v>
      </c>
    </row>
    <row r="5260" spans="7:14" ht="11.25" customHeight="1" x14ac:dyDescent="0.3">
      <c r="G5260" s="470"/>
      <c r="H5260" s="470">
        <v>5253</v>
      </c>
      <c r="I5260" s="455">
        <f t="shared" ca="1" si="203"/>
        <v>-519395527833216.19</v>
      </c>
      <c r="J5260" s="455">
        <f t="array" ref="J5260">IFERROR(INDEX('Retirement Calculator'!J:J,MATCH('Isaac 401k'!N5260,'Retirement Calculator'!A:A,0),0),0)</f>
        <v>0</v>
      </c>
      <c r="K5260" s="455">
        <f t="shared" ca="1" si="201"/>
        <v>-2164148032638.4006</v>
      </c>
      <c r="L5260" s="455">
        <f t="shared" ca="1" si="202"/>
        <v>-521559675865854.56</v>
      </c>
      <c r="M5260" s="471">
        <f t="shared" si="204"/>
        <v>0.05</v>
      </c>
      <c r="N5260" s="475">
        <f t="shared" si="205"/>
        <v>211144</v>
      </c>
    </row>
    <row r="5261" spans="7:14" ht="11.25" customHeight="1" x14ac:dyDescent="0.3">
      <c r="G5261" s="470"/>
      <c r="H5261" s="470">
        <v>5254</v>
      </c>
      <c r="I5261" s="455">
        <f t="shared" ca="1" si="203"/>
        <v>-521559675865854.56</v>
      </c>
      <c r="J5261" s="455">
        <f t="array" ref="J5261">IFERROR(INDEX('Retirement Calculator'!J:J,MATCH('Isaac 401k'!N5261,'Retirement Calculator'!A:A,0),0),0)</f>
        <v>0</v>
      </c>
      <c r="K5261" s="455">
        <f t="shared" ca="1" si="201"/>
        <v>-2173165316107.7275</v>
      </c>
      <c r="L5261" s="455">
        <f t="shared" ca="1" si="202"/>
        <v>-523732841181962.31</v>
      </c>
      <c r="M5261" s="471">
        <f t="shared" si="204"/>
        <v>0.05</v>
      </c>
      <c r="N5261" s="475">
        <f t="shared" si="205"/>
        <v>211172</v>
      </c>
    </row>
    <row r="5262" spans="7:14" ht="11.25" customHeight="1" x14ac:dyDescent="0.3">
      <c r="G5262" s="470"/>
      <c r="H5262" s="470">
        <v>5255</v>
      </c>
      <c r="I5262" s="455">
        <f t="shared" ca="1" si="203"/>
        <v>-523732841181962.31</v>
      </c>
      <c r="J5262" s="455">
        <f t="array" ref="J5262">IFERROR(INDEX('Retirement Calculator'!J:J,MATCH('Isaac 401k'!N5262,'Retirement Calculator'!A:A,0),0),0)</f>
        <v>0</v>
      </c>
      <c r="K5262" s="455">
        <f t="shared" ca="1" si="201"/>
        <v>-2182220171591.5093</v>
      </c>
      <c r="L5262" s="455">
        <f t="shared" ca="1" si="202"/>
        <v>-525915061353553.81</v>
      </c>
      <c r="M5262" s="471">
        <f t="shared" si="204"/>
        <v>0.05</v>
      </c>
      <c r="N5262" s="475">
        <f t="shared" si="205"/>
        <v>211203</v>
      </c>
    </row>
    <row r="5263" spans="7:14" ht="11.25" customHeight="1" x14ac:dyDescent="0.3">
      <c r="G5263" s="470"/>
      <c r="H5263" s="470">
        <v>5256</v>
      </c>
      <c r="I5263" s="455">
        <f t="shared" ca="1" si="203"/>
        <v>-525915061353553.81</v>
      </c>
      <c r="J5263" s="455">
        <f t="array" ref="J5263">IFERROR(INDEX('Retirement Calculator'!J:J,MATCH('Isaac 401k'!N5263,'Retirement Calculator'!A:A,0),0),0)</f>
        <v>0</v>
      </c>
      <c r="K5263" s="455">
        <f t="shared" ca="1" si="201"/>
        <v>-2191312755639.8076</v>
      </c>
      <c r="L5263" s="455">
        <f t="shared" ca="1" si="202"/>
        <v>-528106374109193.63</v>
      </c>
      <c r="M5263" s="471">
        <f t="shared" si="204"/>
        <v>0.05</v>
      </c>
      <c r="N5263" s="475">
        <f t="shared" si="205"/>
        <v>211233</v>
      </c>
    </row>
    <row r="5264" spans="7:14" ht="11.25" customHeight="1" x14ac:dyDescent="0.3">
      <c r="G5264" s="470"/>
      <c r="H5264" s="470">
        <v>5257</v>
      </c>
      <c r="I5264" s="455">
        <f t="shared" ca="1" si="203"/>
        <v>-528106374109193.63</v>
      </c>
      <c r="J5264" s="455">
        <f t="array" ref="J5264">IFERROR(INDEX('Retirement Calculator'!J:J,MATCH('Isaac 401k'!N5264,'Retirement Calculator'!A:A,0),0),0)</f>
        <v>0</v>
      </c>
      <c r="K5264" s="455">
        <f t="shared" ca="1" si="201"/>
        <v>-2200443225454.9736</v>
      </c>
      <c r="L5264" s="455">
        <f t="shared" ca="1" si="202"/>
        <v>-530306817334648.63</v>
      </c>
      <c r="M5264" s="471">
        <f t="shared" si="204"/>
        <v>0.05</v>
      </c>
      <c r="N5264" s="475">
        <f t="shared" si="205"/>
        <v>211264</v>
      </c>
    </row>
    <row r="5265" spans="7:14" ht="11.25" customHeight="1" x14ac:dyDescent="0.3">
      <c r="G5265" s="470"/>
      <c r="H5265" s="470">
        <v>5258</v>
      </c>
      <c r="I5265" s="455">
        <f t="shared" ca="1" si="203"/>
        <v>-530306817334648.63</v>
      </c>
      <c r="J5265" s="455">
        <f t="array" ref="J5265">IFERROR(INDEX('Retirement Calculator'!J:J,MATCH('Isaac 401k'!N5265,'Retirement Calculator'!A:A,0),0),0)</f>
        <v>0</v>
      </c>
      <c r="K5265" s="455">
        <f t="shared" ca="1" si="201"/>
        <v>-2209611738894.3696</v>
      </c>
      <c r="L5265" s="455">
        <f t="shared" ca="1" si="202"/>
        <v>-532516429073543</v>
      </c>
      <c r="M5265" s="471">
        <f t="shared" si="204"/>
        <v>0.05</v>
      </c>
      <c r="N5265" s="475">
        <f t="shared" si="205"/>
        <v>211294</v>
      </c>
    </row>
    <row r="5266" spans="7:14" ht="11.25" customHeight="1" x14ac:dyDescent="0.3">
      <c r="G5266" s="470"/>
      <c r="H5266" s="470">
        <v>5259</v>
      </c>
      <c r="I5266" s="455">
        <f t="shared" ca="1" si="203"/>
        <v>-532516429073543</v>
      </c>
      <c r="J5266" s="455">
        <f t="array" ref="J5266">IFERROR(INDEX('Retirement Calculator'!J:J,MATCH('Isaac 401k'!N5266,'Retirement Calculator'!A:A,0),0),0)</f>
        <v>0</v>
      </c>
      <c r="K5266" s="455">
        <f t="shared" ca="1" si="201"/>
        <v>-2218818454473.0962</v>
      </c>
      <c r="L5266" s="455">
        <f t="shared" ca="1" si="202"/>
        <v>-534735247528016.13</v>
      </c>
      <c r="M5266" s="471">
        <f t="shared" si="204"/>
        <v>0.05</v>
      </c>
      <c r="N5266" s="475">
        <f t="shared" si="205"/>
        <v>211325</v>
      </c>
    </row>
    <row r="5267" spans="7:14" ht="11.25" customHeight="1" x14ac:dyDescent="0.3">
      <c r="G5267" s="470"/>
      <c r="H5267" s="470">
        <v>5260</v>
      </c>
      <c r="I5267" s="455">
        <f t="shared" ca="1" si="203"/>
        <v>-534735247528016.13</v>
      </c>
      <c r="J5267" s="455">
        <f t="array" ref="J5267">IFERROR(INDEX('Retirement Calculator'!J:J,MATCH('Isaac 401k'!N5267,'Retirement Calculator'!A:A,0),0),0)</f>
        <v>0</v>
      </c>
      <c r="K5267" s="455">
        <f t="shared" ca="1" si="201"/>
        <v>-2228063531366.7334</v>
      </c>
      <c r="L5267" s="455">
        <f t="shared" ca="1" si="202"/>
        <v>-536963311059382.88</v>
      </c>
      <c r="M5267" s="471">
        <f t="shared" si="204"/>
        <v>0.05</v>
      </c>
      <c r="N5267" s="475">
        <f t="shared" si="205"/>
        <v>211356</v>
      </c>
    </row>
    <row r="5268" spans="7:14" ht="11.25" customHeight="1" x14ac:dyDescent="0.3">
      <c r="G5268" s="470"/>
      <c r="H5268" s="470">
        <v>5261</v>
      </c>
      <c r="I5268" s="455">
        <f t="shared" ca="1" si="203"/>
        <v>-536963311059382.88</v>
      </c>
      <c r="J5268" s="455">
        <f t="array" ref="J5268">IFERROR(INDEX('Retirement Calculator'!J:J,MATCH('Isaac 401k'!N5268,'Retirement Calculator'!A:A,0),0),0)</f>
        <v>0</v>
      </c>
      <c r="K5268" s="455">
        <f t="shared" ca="1" si="201"/>
        <v>-2237347129414.0957</v>
      </c>
      <c r="L5268" s="455">
        <f t="shared" ca="1" si="202"/>
        <v>-539200658188797</v>
      </c>
      <c r="M5268" s="471">
        <f t="shared" si="204"/>
        <v>0.05</v>
      </c>
      <c r="N5268" s="475">
        <f t="shared" si="205"/>
        <v>211386</v>
      </c>
    </row>
    <row r="5269" spans="7:14" ht="11.25" customHeight="1" x14ac:dyDescent="0.3">
      <c r="G5269" s="470"/>
      <c r="H5269" s="470">
        <v>5262</v>
      </c>
      <c r="I5269" s="455">
        <f t="shared" ca="1" si="203"/>
        <v>-539200658188797</v>
      </c>
      <c r="J5269" s="455">
        <f t="array" ref="J5269">IFERROR(INDEX('Retirement Calculator'!J:J,MATCH('Isaac 401k'!N5269,'Retirement Calculator'!A:A,0),0),0)</f>
        <v>0</v>
      </c>
      <c r="K5269" s="455">
        <f t="shared" ca="1" si="201"/>
        <v>-2246669409119.9873</v>
      </c>
      <c r="L5269" s="455">
        <f t="shared" ca="1" si="202"/>
        <v>-541447327597917</v>
      </c>
      <c r="M5269" s="471">
        <f t="shared" si="204"/>
        <v>0.05</v>
      </c>
      <c r="N5269" s="475">
        <f t="shared" si="205"/>
        <v>211417</v>
      </c>
    </row>
    <row r="5270" spans="7:14" ht="11.25" customHeight="1" x14ac:dyDescent="0.3">
      <c r="G5270" s="470"/>
      <c r="H5270" s="470">
        <v>5263</v>
      </c>
      <c r="I5270" s="455">
        <f t="shared" ca="1" si="203"/>
        <v>-541447327597917</v>
      </c>
      <c r="J5270" s="455">
        <f t="array" ref="J5270">IFERROR(INDEX('Retirement Calculator'!J:J,MATCH('Isaac 401k'!N5270,'Retirement Calculator'!A:A,0),0),0)</f>
        <v>0</v>
      </c>
      <c r="K5270" s="455">
        <f t="shared" ca="1" si="201"/>
        <v>-2256030531657.9873</v>
      </c>
      <c r="L5270" s="455">
        <f t="shared" ca="1" si="202"/>
        <v>-543703358129575</v>
      </c>
      <c r="M5270" s="471">
        <f t="shared" si="204"/>
        <v>0.05</v>
      </c>
      <c r="N5270" s="475">
        <f t="shared" si="205"/>
        <v>211447</v>
      </c>
    </row>
    <row r="5271" spans="7:14" ht="11.25" customHeight="1" x14ac:dyDescent="0.3">
      <c r="G5271" s="470"/>
      <c r="H5271" s="470">
        <v>5264</v>
      </c>
      <c r="I5271" s="455">
        <f t="shared" ca="1" si="203"/>
        <v>-543703358129575</v>
      </c>
      <c r="J5271" s="455">
        <f t="array" ref="J5271">IFERROR(INDEX('Retirement Calculator'!J:J,MATCH('Isaac 401k'!N5271,'Retirement Calculator'!A:A,0),0),0)</f>
        <v>0</v>
      </c>
      <c r="K5271" s="455">
        <f t="shared" ca="1" si="201"/>
        <v>-2265430658873.2295</v>
      </c>
      <c r="L5271" s="455">
        <f t="shared" ca="1" si="202"/>
        <v>-545968788788448.25</v>
      </c>
      <c r="M5271" s="471">
        <f t="shared" si="204"/>
        <v>0.05</v>
      </c>
      <c r="N5271" s="475">
        <f t="shared" si="205"/>
        <v>211478</v>
      </c>
    </row>
    <row r="5272" spans="7:14" ht="11.25" customHeight="1" x14ac:dyDescent="0.3">
      <c r="G5272" s="470"/>
      <c r="H5272" s="470">
        <v>5265</v>
      </c>
      <c r="I5272" s="455">
        <f t="shared" ca="1" si="203"/>
        <v>-545968788788448.25</v>
      </c>
      <c r="J5272" s="455">
        <f t="array" ref="J5272">IFERROR(INDEX('Retirement Calculator'!J:J,MATCH('Isaac 401k'!N5272,'Retirement Calculator'!A:A,0),0),0)</f>
        <v>0</v>
      </c>
      <c r="K5272" s="455">
        <f t="shared" ca="1" si="201"/>
        <v>-2274869953285.2012</v>
      </c>
      <c r="L5272" s="455">
        <f t="shared" ca="1" si="202"/>
        <v>-548243658741733.44</v>
      </c>
      <c r="M5272" s="471">
        <f t="shared" si="204"/>
        <v>0.05</v>
      </c>
      <c r="N5272" s="475">
        <f t="shared" si="205"/>
        <v>211509</v>
      </c>
    </row>
    <row r="5273" spans="7:14" ht="11.25" customHeight="1" x14ac:dyDescent="0.3">
      <c r="G5273" s="470"/>
      <c r="H5273" s="470">
        <v>5266</v>
      </c>
      <c r="I5273" s="455">
        <f t="shared" ca="1" si="203"/>
        <v>-548243658741733.44</v>
      </c>
      <c r="J5273" s="455">
        <f t="array" ref="J5273">IFERROR(INDEX('Retirement Calculator'!J:J,MATCH('Isaac 401k'!N5273,'Retirement Calculator'!A:A,0),0),0)</f>
        <v>0</v>
      </c>
      <c r="K5273" s="455">
        <f t="shared" ca="1" si="201"/>
        <v>-2284348578090.5562</v>
      </c>
      <c r="L5273" s="455">
        <f t="shared" ca="1" si="202"/>
        <v>-550528007319824</v>
      </c>
      <c r="M5273" s="471">
        <f t="shared" si="204"/>
        <v>0.05</v>
      </c>
      <c r="N5273" s="475">
        <f t="shared" si="205"/>
        <v>211537</v>
      </c>
    </row>
    <row r="5274" spans="7:14" ht="11.25" customHeight="1" x14ac:dyDescent="0.3">
      <c r="G5274" s="470"/>
      <c r="H5274" s="470">
        <v>5267</v>
      </c>
      <c r="I5274" s="455">
        <f t="shared" ca="1" si="203"/>
        <v>-550528007319824</v>
      </c>
      <c r="J5274" s="455">
        <f t="array" ref="J5274">IFERROR(INDEX('Retirement Calculator'!J:J,MATCH('Isaac 401k'!N5274,'Retirement Calculator'!A:A,0),0),0)</f>
        <v>0</v>
      </c>
      <c r="K5274" s="455">
        <f t="shared" ca="1" si="201"/>
        <v>-2293866697165.9331</v>
      </c>
      <c r="L5274" s="455">
        <f t="shared" ca="1" si="202"/>
        <v>-552821874016989.94</v>
      </c>
      <c r="M5274" s="471">
        <f t="shared" si="204"/>
        <v>0.05</v>
      </c>
      <c r="N5274" s="475">
        <f t="shared" si="205"/>
        <v>211568</v>
      </c>
    </row>
    <row r="5275" spans="7:14" ht="11.25" customHeight="1" x14ac:dyDescent="0.3">
      <c r="G5275" s="470"/>
      <c r="H5275" s="470">
        <v>5268</v>
      </c>
      <c r="I5275" s="455">
        <f t="shared" ca="1" si="203"/>
        <v>-552821874016989.94</v>
      </c>
      <c r="J5275" s="455">
        <f t="array" ref="J5275">IFERROR(INDEX('Retirement Calculator'!J:J,MATCH('Isaac 401k'!N5275,'Retirement Calculator'!A:A,0),0),0)</f>
        <v>0</v>
      </c>
      <c r="K5275" s="455">
        <f t="shared" ca="1" si="201"/>
        <v>-2303424475070.7915</v>
      </c>
      <c r="L5275" s="455">
        <f t="shared" ca="1" si="202"/>
        <v>-555125298492060.75</v>
      </c>
      <c r="M5275" s="471">
        <f t="shared" si="204"/>
        <v>0.05</v>
      </c>
      <c r="N5275" s="475">
        <f t="shared" si="205"/>
        <v>211598</v>
      </c>
    </row>
    <row r="5276" spans="7:14" ht="11.25" customHeight="1" x14ac:dyDescent="0.3">
      <c r="G5276" s="470"/>
      <c r="H5276" s="470">
        <v>5269</v>
      </c>
      <c r="I5276" s="455">
        <f t="shared" ca="1" si="203"/>
        <v>-555125298492060.75</v>
      </c>
      <c r="J5276" s="455">
        <f t="array" ref="J5276">IFERROR(INDEX('Retirement Calculator'!J:J,MATCH('Isaac 401k'!N5276,'Retirement Calculator'!A:A,0),0),0)</f>
        <v>0</v>
      </c>
      <c r="K5276" s="455">
        <f t="shared" ca="1" si="201"/>
        <v>-2313022077050.2529</v>
      </c>
      <c r="L5276" s="455">
        <f t="shared" ca="1" si="202"/>
        <v>-557438320569111</v>
      </c>
      <c r="M5276" s="471">
        <f t="shared" si="204"/>
        <v>0.05</v>
      </c>
      <c r="N5276" s="475">
        <f t="shared" si="205"/>
        <v>211629</v>
      </c>
    </row>
    <row r="5277" spans="7:14" ht="11.25" customHeight="1" x14ac:dyDescent="0.3">
      <c r="G5277" s="470"/>
      <c r="H5277" s="470">
        <v>5270</v>
      </c>
      <c r="I5277" s="455">
        <f t="shared" ca="1" si="203"/>
        <v>-557438320569111</v>
      </c>
      <c r="J5277" s="455">
        <f t="array" ref="J5277">IFERROR(INDEX('Retirement Calculator'!J:J,MATCH('Isaac 401k'!N5277,'Retirement Calculator'!A:A,0),0),0)</f>
        <v>0</v>
      </c>
      <c r="K5277" s="455">
        <f t="shared" ca="1" si="201"/>
        <v>-2322659669037.9629</v>
      </c>
      <c r="L5277" s="455">
        <f t="shared" ca="1" si="202"/>
        <v>-559760980238148.94</v>
      </c>
      <c r="M5277" s="471">
        <f t="shared" si="204"/>
        <v>0.05</v>
      </c>
      <c r="N5277" s="475">
        <f t="shared" si="205"/>
        <v>211659</v>
      </c>
    </row>
    <row r="5278" spans="7:14" ht="11.25" customHeight="1" x14ac:dyDescent="0.3">
      <c r="G5278" s="470"/>
      <c r="H5278" s="470">
        <v>5271</v>
      </c>
      <c r="I5278" s="455">
        <f t="shared" ca="1" si="203"/>
        <v>-559760980238148.94</v>
      </c>
      <c r="J5278" s="455">
        <f t="array" ref="J5278">IFERROR(INDEX('Retirement Calculator'!J:J,MATCH('Isaac 401k'!N5278,'Retirement Calculator'!A:A,0),0),0)</f>
        <v>0</v>
      </c>
      <c r="K5278" s="455">
        <f t="shared" ca="1" si="201"/>
        <v>-2332337417658.9541</v>
      </c>
      <c r="L5278" s="455">
        <f t="shared" ca="1" si="202"/>
        <v>-562093317655807.88</v>
      </c>
      <c r="M5278" s="471">
        <f t="shared" si="204"/>
        <v>0.05</v>
      </c>
      <c r="N5278" s="475">
        <f t="shared" si="205"/>
        <v>211690</v>
      </c>
    </row>
    <row r="5279" spans="7:14" ht="11.25" customHeight="1" x14ac:dyDescent="0.3">
      <c r="G5279" s="470"/>
      <c r="H5279" s="470">
        <v>5272</v>
      </c>
      <c r="I5279" s="455">
        <f t="shared" ca="1" si="203"/>
        <v>-562093317655807.88</v>
      </c>
      <c r="J5279" s="455">
        <f t="array" ref="J5279">IFERROR(INDEX('Retirement Calculator'!J:J,MATCH('Isaac 401k'!N5279,'Retirement Calculator'!A:A,0),0),0)</f>
        <v>0</v>
      </c>
      <c r="K5279" s="455">
        <f t="shared" ca="1" si="201"/>
        <v>-2342055490232.5327</v>
      </c>
      <c r="L5279" s="455">
        <f t="shared" ca="1" si="202"/>
        <v>-564435373146040.38</v>
      </c>
      <c r="M5279" s="471">
        <f t="shared" si="204"/>
        <v>0.05</v>
      </c>
      <c r="N5279" s="475">
        <f t="shared" si="205"/>
        <v>211721</v>
      </c>
    </row>
    <row r="5280" spans="7:14" ht="11.25" customHeight="1" x14ac:dyDescent="0.3">
      <c r="G5280" s="470"/>
      <c r="H5280" s="470">
        <v>5273</v>
      </c>
      <c r="I5280" s="455">
        <f t="shared" ca="1" si="203"/>
        <v>-564435373146040.38</v>
      </c>
      <c r="J5280" s="455">
        <f t="array" ref="J5280">IFERROR(INDEX('Retirement Calculator'!J:J,MATCH('Isaac 401k'!N5280,'Retirement Calculator'!A:A,0),0),0)</f>
        <v>0</v>
      </c>
      <c r="K5280" s="455">
        <f t="shared" ca="1" si="201"/>
        <v>-2351814054775.168</v>
      </c>
      <c r="L5280" s="455">
        <f t="shared" ca="1" si="202"/>
        <v>-566787187200815.5</v>
      </c>
      <c r="M5280" s="471">
        <f t="shared" si="204"/>
        <v>0.05</v>
      </c>
      <c r="N5280" s="475">
        <f t="shared" si="205"/>
        <v>211751</v>
      </c>
    </row>
    <row r="5281" spans="7:14" ht="11.25" customHeight="1" x14ac:dyDescent="0.3">
      <c r="G5281" s="470"/>
      <c r="H5281" s="470">
        <v>5274</v>
      </c>
      <c r="I5281" s="455">
        <f t="shared" ca="1" si="203"/>
        <v>-566787187200815.5</v>
      </c>
      <c r="J5281" s="455">
        <f t="array" ref="J5281">IFERROR(INDEX('Retirement Calculator'!J:J,MATCH('Isaac 401k'!N5281,'Retirement Calculator'!A:A,0),0),0)</f>
        <v>0</v>
      </c>
      <c r="K5281" s="455">
        <f t="shared" ca="1" si="201"/>
        <v>-2361613280003.3979</v>
      </c>
      <c r="L5281" s="455">
        <f t="shared" ca="1" si="202"/>
        <v>-569148800480818.88</v>
      </c>
      <c r="M5281" s="471">
        <f t="shared" si="204"/>
        <v>0.05</v>
      </c>
      <c r="N5281" s="475">
        <f t="shared" si="205"/>
        <v>211782</v>
      </c>
    </row>
    <row r="5282" spans="7:14" ht="11.25" customHeight="1" x14ac:dyDescent="0.3">
      <c r="G5282" s="470"/>
      <c r="H5282" s="470">
        <v>5275</v>
      </c>
      <c r="I5282" s="455">
        <f t="shared" ca="1" si="203"/>
        <v>-569148800480818.88</v>
      </c>
      <c r="J5282" s="455">
        <f t="array" ref="J5282">IFERROR(INDEX('Retirement Calculator'!J:J,MATCH('Isaac 401k'!N5282,'Retirement Calculator'!A:A,0),0),0)</f>
        <v>0</v>
      </c>
      <c r="K5282" s="455">
        <f t="shared" ca="1" si="201"/>
        <v>-2371453335336.7451</v>
      </c>
      <c r="L5282" s="455">
        <f t="shared" ca="1" si="202"/>
        <v>-571520253816155.63</v>
      </c>
      <c r="M5282" s="471">
        <f t="shared" si="204"/>
        <v>0.05</v>
      </c>
      <c r="N5282" s="475">
        <f t="shared" si="205"/>
        <v>211812</v>
      </c>
    </row>
    <row r="5283" spans="7:14" ht="11.25" customHeight="1" x14ac:dyDescent="0.3">
      <c r="G5283" s="470"/>
      <c r="H5283" s="470">
        <v>5276</v>
      </c>
      <c r="I5283" s="455">
        <f t="shared" ca="1" si="203"/>
        <v>-571520253816155.63</v>
      </c>
      <c r="J5283" s="455">
        <f t="array" ref="J5283">IFERROR(INDEX('Retirement Calculator'!J:J,MATCH('Isaac 401k'!N5283,'Retirement Calculator'!A:A,0),0),0)</f>
        <v>0</v>
      </c>
      <c r="K5283" s="455">
        <f t="shared" ca="1" si="201"/>
        <v>-2381334390900.6484</v>
      </c>
      <c r="L5283" s="455">
        <f t="shared" ca="1" si="202"/>
        <v>-573901588207056.25</v>
      </c>
      <c r="M5283" s="471">
        <f t="shared" si="204"/>
        <v>0.05</v>
      </c>
      <c r="N5283" s="475">
        <f t="shared" si="205"/>
        <v>211843</v>
      </c>
    </row>
    <row r="5284" spans="7:14" ht="11.25" customHeight="1" x14ac:dyDescent="0.3">
      <c r="G5284" s="470"/>
      <c r="H5284" s="470">
        <v>5277</v>
      </c>
      <c r="I5284" s="455">
        <f t="shared" ca="1" si="203"/>
        <v>-573901588207056.25</v>
      </c>
      <c r="J5284" s="455">
        <f t="array" ref="J5284">IFERROR(INDEX('Retirement Calculator'!J:J,MATCH('Isaac 401k'!N5284,'Retirement Calculator'!A:A,0),0),0)</f>
        <v>0</v>
      </c>
      <c r="K5284" s="455">
        <f t="shared" ca="1" si="201"/>
        <v>-2391256617529.4009</v>
      </c>
      <c r="L5284" s="455">
        <f t="shared" ca="1" si="202"/>
        <v>-576292844824585.63</v>
      </c>
      <c r="M5284" s="471">
        <f t="shared" si="204"/>
        <v>0.05</v>
      </c>
      <c r="N5284" s="475">
        <f t="shared" si="205"/>
        <v>211874</v>
      </c>
    </row>
    <row r="5285" spans="7:14" ht="11.25" customHeight="1" x14ac:dyDescent="0.3">
      <c r="G5285" s="470"/>
      <c r="H5285" s="470">
        <v>5278</v>
      </c>
      <c r="I5285" s="455">
        <f t="shared" ca="1" si="203"/>
        <v>-576292844824585.63</v>
      </c>
      <c r="J5285" s="455">
        <f t="array" ref="J5285">IFERROR(INDEX('Retirement Calculator'!J:J,MATCH('Isaac 401k'!N5285,'Retirement Calculator'!A:A,0),0),0)</f>
        <v>0</v>
      </c>
      <c r="K5285" s="455">
        <f t="shared" ca="1" si="201"/>
        <v>-2401220186769.1069</v>
      </c>
      <c r="L5285" s="455">
        <f t="shared" ca="1" si="202"/>
        <v>-578694065011354.75</v>
      </c>
      <c r="M5285" s="471">
        <f t="shared" si="204"/>
        <v>0.05</v>
      </c>
      <c r="N5285" s="475">
        <f t="shared" si="205"/>
        <v>211903</v>
      </c>
    </row>
    <row r="5286" spans="7:14" ht="11.25" customHeight="1" x14ac:dyDescent="0.3">
      <c r="G5286" s="470"/>
      <c r="H5286" s="470">
        <v>5279</v>
      </c>
      <c r="I5286" s="455">
        <f t="shared" ca="1" si="203"/>
        <v>-578694065011354.75</v>
      </c>
      <c r="J5286" s="455">
        <f t="array" ref="J5286">IFERROR(INDEX('Retirement Calculator'!J:J,MATCH('Isaac 401k'!N5286,'Retirement Calculator'!A:A,0),0),0)</f>
        <v>0</v>
      </c>
      <c r="K5286" s="455">
        <f t="shared" ca="1" si="201"/>
        <v>-2411225270880.6445</v>
      </c>
      <c r="L5286" s="455">
        <f t="shared" ca="1" si="202"/>
        <v>-581105290282235.38</v>
      </c>
      <c r="M5286" s="471">
        <f t="shared" si="204"/>
        <v>0.05</v>
      </c>
      <c r="N5286" s="475">
        <f t="shared" si="205"/>
        <v>211934</v>
      </c>
    </row>
    <row r="5287" spans="7:14" ht="11.25" customHeight="1" x14ac:dyDescent="0.3">
      <c r="G5287" s="470"/>
      <c r="H5287" s="470">
        <v>5280</v>
      </c>
      <c r="I5287" s="455">
        <f t="shared" ca="1" si="203"/>
        <v>-581105290282235.38</v>
      </c>
      <c r="J5287" s="455">
        <f t="array" ref="J5287">IFERROR(INDEX('Retirement Calculator'!J:J,MATCH('Isaac 401k'!N5287,'Retirement Calculator'!A:A,0),0),0)</f>
        <v>0</v>
      </c>
      <c r="K5287" s="455">
        <f t="shared" ca="1" si="201"/>
        <v>-2421272042842.6475</v>
      </c>
      <c r="L5287" s="455">
        <f t="shared" ca="1" si="202"/>
        <v>-583526562325078</v>
      </c>
      <c r="M5287" s="471">
        <f t="shared" si="204"/>
        <v>0.05</v>
      </c>
      <c r="N5287" s="475">
        <f t="shared" si="205"/>
        <v>211964</v>
      </c>
    </row>
    <row r="5288" spans="7:14" ht="11.25" customHeight="1" x14ac:dyDescent="0.3">
      <c r="G5288" s="470"/>
      <c r="H5288" s="470">
        <v>5281</v>
      </c>
      <c r="I5288" s="455">
        <f t="shared" ca="1" si="203"/>
        <v>-583526562325078</v>
      </c>
      <c r="J5288" s="455">
        <f t="array" ref="J5288">IFERROR(INDEX('Retirement Calculator'!J:J,MATCH('Isaac 401k'!N5288,'Retirement Calculator'!A:A,0),0),0)</f>
        <v>0</v>
      </c>
      <c r="K5288" s="455">
        <f t="shared" ca="1" si="201"/>
        <v>-2431360676354.4917</v>
      </c>
      <c r="L5288" s="455">
        <f t="shared" ca="1" si="202"/>
        <v>-585957923001432.5</v>
      </c>
      <c r="M5288" s="471">
        <f t="shared" si="204"/>
        <v>0.05</v>
      </c>
      <c r="N5288" s="475">
        <f t="shared" si="205"/>
        <v>211995</v>
      </c>
    </row>
    <row r="5289" spans="7:14" ht="11.25" customHeight="1" x14ac:dyDescent="0.3">
      <c r="G5289" s="470"/>
      <c r="H5289" s="470">
        <v>5282</v>
      </c>
      <c r="I5289" s="455">
        <f t="shared" ca="1" si="203"/>
        <v>-585957923001432.5</v>
      </c>
      <c r="J5289" s="455">
        <f t="array" ref="J5289">IFERROR(INDEX('Retirement Calculator'!J:J,MATCH('Isaac 401k'!N5289,'Retirement Calculator'!A:A,0),0),0)</f>
        <v>0</v>
      </c>
      <c r="K5289" s="455">
        <f t="shared" ca="1" si="201"/>
        <v>-2441491345839.3022</v>
      </c>
      <c r="L5289" s="455">
        <f t="shared" ca="1" si="202"/>
        <v>-588399414347271.75</v>
      </c>
      <c r="M5289" s="471">
        <f t="shared" si="204"/>
        <v>0.05</v>
      </c>
      <c r="N5289" s="475">
        <f t="shared" si="205"/>
        <v>212025</v>
      </c>
    </row>
    <row r="5290" spans="7:14" ht="11.25" customHeight="1" x14ac:dyDescent="0.3">
      <c r="G5290" s="470"/>
      <c r="H5290" s="470">
        <v>5283</v>
      </c>
      <c r="I5290" s="455">
        <f t="shared" ca="1" si="203"/>
        <v>-588399414347271.75</v>
      </c>
      <c r="J5290" s="455">
        <f t="array" ref="J5290">IFERROR(INDEX('Retirement Calculator'!J:J,MATCH('Isaac 401k'!N5290,'Retirement Calculator'!A:A,0),0),0)</f>
        <v>0</v>
      </c>
      <c r="K5290" s="455">
        <f t="shared" ca="1" si="201"/>
        <v>-2451664226446.9658</v>
      </c>
      <c r="L5290" s="455">
        <f t="shared" ca="1" si="202"/>
        <v>-590851078573718.75</v>
      </c>
      <c r="M5290" s="471">
        <f t="shared" si="204"/>
        <v>0.05</v>
      </c>
      <c r="N5290" s="475">
        <f t="shared" si="205"/>
        <v>212056</v>
      </c>
    </row>
    <row r="5291" spans="7:14" ht="11.25" customHeight="1" x14ac:dyDescent="0.3">
      <c r="G5291" s="470"/>
      <c r="H5291" s="470">
        <v>5284</v>
      </c>
      <c r="I5291" s="455">
        <f t="shared" ca="1" si="203"/>
        <v>-590851078573718.75</v>
      </c>
      <c r="J5291" s="455">
        <f t="array" ref="J5291">IFERROR(INDEX('Retirement Calculator'!J:J,MATCH('Isaac 401k'!N5291,'Retirement Calculator'!A:A,0),0),0)</f>
        <v>0</v>
      </c>
      <c r="K5291" s="455">
        <f t="shared" ca="1" si="201"/>
        <v>-2461879494057.1616</v>
      </c>
      <c r="L5291" s="455">
        <f t="shared" ca="1" si="202"/>
        <v>-593312958067775.88</v>
      </c>
      <c r="M5291" s="471">
        <f t="shared" si="204"/>
        <v>0.05</v>
      </c>
      <c r="N5291" s="475">
        <f t="shared" si="205"/>
        <v>212087</v>
      </c>
    </row>
    <row r="5292" spans="7:14" ht="11.25" customHeight="1" x14ac:dyDescent="0.3">
      <c r="G5292" s="470"/>
      <c r="H5292" s="470">
        <v>5285</v>
      </c>
      <c r="I5292" s="455">
        <f t="shared" ca="1" si="203"/>
        <v>-593312958067775.88</v>
      </c>
      <c r="J5292" s="455">
        <f t="array" ref="J5292">IFERROR(INDEX('Retirement Calculator'!J:J,MATCH('Isaac 401k'!N5292,'Retirement Calculator'!A:A,0),0),0)</f>
        <v>0</v>
      </c>
      <c r="K5292" s="455">
        <f t="shared" ca="1" si="201"/>
        <v>-2472137325282.3994</v>
      </c>
      <c r="L5292" s="455">
        <f t="shared" ca="1" si="202"/>
        <v>-595785095393058.25</v>
      </c>
      <c r="M5292" s="471">
        <f t="shared" si="204"/>
        <v>0.05</v>
      </c>
      <c r="N5292" s="475">
        <f t="shared" si="205"/>
        <v>212117</v>
      </c>
    </row>
    <row r="5293" spans="7:14" ht="11.25" customHeight="1" x14ac:dyDescent="0.3">
      <c r="G5293" s="470"/>
      <c r="H5293" s="470">
        <v>5286</v>
      </c>
      <c r="I5293" s="455">
        <f t="shared" ca="1" si="203"/>
        <v>-595785095393058.25</v>
      </c>
      <c r="J5293" s="455">
        <f t="array" ref="J5293">IFERROR(INDEX('Retirement Calculator'!J:J,MATCH('Isaac 401k'!N5293,'Retirement Calculator'!A:A,0),0),0)</f>
        <v>0</v>
      </c>
      <c r="K5293" s="455">
        <f t="shared" ca="1" si="201"/>
        <v>-2482437897471.0762</v>
      </c>
      <c r="L5293" s="455">
        <f t="shared" ca="1" si="202"/>
        <v>-598267533290529.38</v>
      </c>
      <c r="M5293" s="471">
        <f t="shared" si="204"/>
        <v>0.05</v>
      </c>
      <c r="N5293" s="475">
        <f t="shared" si="205"/>
        <v>212148</v>
      </c>
    </row>
    <row r="5294" spans="7:14" ht="11.25" customHeight="1" x14ac:dyDescent="0.3">
      <c r="G5294" s="470"/>
      <c r="H5294" s="470">
        <v>5287</v>
      </c>
      <c r="I5294" s="455">
        <f t="shared" ca="1" si="203"/>
        <v>-598267533290529.38</v>
      </c>
      <c r="J5294" s="455">
        <f t="array" ref="J5294">IFERROR(INDEX('Retirement Calculator'!J:J,MATCH('Isaac 401k'!N5294,'Retirement Calculator'!A:A,0),0),0)</f>
        <v>0</v>
      </c>
      <c r="K5294" s="455">
        <f t="shared" ca="1" si="201"/>
        <v>-2492781388710.5391</v>
      </c>
      <c r="L5294" s="455">
        <f t="shared" ca="1" si="202"/>
        <v>-600760314679239.88</v>
      </c>
      <c r="M5294" s="471">
        <f t="shared" si="204"/>
        <v>0.05</v>
      </c>
      <c r="N5294" s="475">
        <f t="shared" si="205"/>
        <v>212178</v>
      </c>
    </row>
    <row r="5295" spans="7:14" ht="11.25" customHeight="1" x14ac:dyDescent="0.3">
      <c r="G5295" s="470"/>
      <c r="H5295" s="470">
        <v>5288</v>
      </c>
      <c r="I5295" s="455">
        <f t="shared" ca="1" si="203"/>
        <v>-600760314679239.88</v>
      </c>
      <c r="J5295" s="455">
        <f t="array" ref="J5295">IFERROR(INDEX('Retirement Calculator'!J:J,MATCH('Isaac 401k'!N5295,'Retirement Calculator'!A:A,0),0),0)</f>
        <v>0</v>
      </c>
      <c r="K5295" s="455">
        <f t="shared" ca="1" si="201"/>
        <v>-2503167977830.166</v>
      </c>
      <c r="L5295" s="455">
        <f t="shared" ca="1" si="202"/>
        <v>-603263482657070</v>
      </c>
      <c r="M5295" s="471">
        <f t="shared" si="204"/>
        <v>0.05</v>
      </c>
      <c r="N5295" s="475">
        <f t="shared" si="205"/>
        <v>212209</v>
      </c>
    </row>
    <row r="5296" spans="7:14" ht="11.25" customHeight="1" x14ac:dyDescent="0.3">
      <c r="G5296" s="470"/>
      <c r="H5296" s="470">
        <v>5289</v>
      </c>
      <c r="I5296" s="455">
        <f t="shared" ca="1" si="203"/>
        <v>-603263482657070</v>
      </c>
      <c r="J5296" s="455">
        <f t="array" ref="J5296">IFERROR(INDEX('Retirement Calculator'!J:J,MATCH('Isaac 401k'!N5296,'Retirement Calculator'!A:A,0),0),0)</f>
        <v>0</v>
      </c>
      <c r="K5296" s="455">
        <f t="shared" ca="1" si="201"/>
        <v>-2513597844404.4585</v>
      </c>
      <c r="L5296" s="455">
        <f t="shared" ca="1" si="202"/>
        <v>-605777080501474.5</v>
      </c>
      <c r="M5296" s="471">
        <f t="shared" si="204"/>
        <v>0.05</v>
      </c>
      <c r="N5296" s="475">
        <f t="shared" si="205"/>
        <v>212240</v>
      </c>
    </row>
    <row r="5297" spans="7:14" ht="11.25" customHeight="1" x14ac:dyDescent="0.3">
      <c r="G5297" s="470"/>
      <c r="H5297" s="470">
        <v>5290</v>
      </c>
      <c r="I5297" s="455">
        <f t="shared" ca="1" si="203"/>
        <v>-605777080501474.5</v>
      </c>
      <c r="J5297" s="455">
        <f t="array" ref="J5297">IFERROR(INDEX('Retirement Calculator'!J:J,MATCH('Isaac 401k'!N5297,'Retirement Calculator'!A:A,0),0),0)</f>
        <v>0</v>
      </c>
      <c r="K5297" s="455">
        <f t="shared" ca="1" si="201"/>
        <v>-2524071168756.1436</v>
      </c>
      <c r="L5297" s="455">
        <f t="shared" ca="1" si="202"/>
        <v>-608301151670230.63</v>
      </c>
      <c r="M5297" s="471">
        <f t="shared" si="204"/>
        <v>0.05</v>
      </c>
      <c r="N5297" s="475">
        <f t="shared" si="205"/>
        <v>212268</v>
      </c>
    </row>
    <row r="5298" spans="7:14" ht="11.25" customHeight="1" x14ac:dyDescent="0.3">
      <c r="G5298" s="470"/>
      <c r="H5298" s="470">
        <v>5291</v>
      </c>
      <c r="I5298" s="455">
        <f t="shared" ca="1" si="203"/>
        <v>-608301151670230.63</v>
      </c>
      <c r="J5298" s="455">
        <f t="array" ref="J5298">IFERROR(INDEX('Retirement Calculator'!J:J,MATCH('Isaac 401k'!N5298,'Retirement Calculator'!A:A,0),0),0)</f>
        <v>0</v>
      </c>
      <c r="K5298" s="455">
        <f t="shared" ca="1" si="201"/>
        <v>-2534588131959.2944</v>
      </c>
      <c r="L5298" s="455">
        <f t="shared" ca="1" si="202"/>
        <v>-610835739802189.88</v>
      </c>
      <c r="M5298" s="471">
        <f t="shared" si="204"/>
        <v>0.05</v>
      </c>
      <c r="N5298" s="475">
        <f t="shared" si="205"/>
        <v>212299</v>
      </c>
    </row>
    <row r="5299" spans="7:14" ht="11.25" customHeight="1" x14ac:dyDescent="0.3">
      <c r="G5299" s="470"/>
      <c r="H5299" s="470">
        <v>5292</v>
      </c>
      <c r="I5299" s="455">
        <f t="shared" ca="1" si="203"/>
        <v>-610835739802189.88</v>
      </c>
      <c r="J5299" s="455">
        <f t="array" ref="J5299">IFERROR(INDEX('Retirement Calculator'!J:J,MATCH('Isaac 401k'!N5299,'Retirement Calculator'!A:A,0),0),0)</f>
        <v>0</v>
      </c>
      <c r="K5299" s="455">
        <f t="shared" ca="1" si="201"/>
        <v>-2545148915842.458</v>
      </c>
      <c r="L5299" s="455">
        <f t="shared" ca="1" si="202"/>
        <v>-613380888718032.38</v>
      </c>
      <c r="M5299" s="471">
        <f t="shared" si="204"/>
        <v>0.05</v>
      </c>
      <c r="N5299" s="475">
        <f t="shared" si="205"/>
        <v>212329</v>
      </c>
    </row>
    <row r="5300" spans="7:14" ht="11.25" customHeight="1" x14ac:dyDescent="0.3">
      <c r="G5300" s="470"/>
      <c r="H5300" s="470">
        <v>5293</v>
      </c>
      <c r="I5300" s="455">
        <f t="shared" ca="1" si="203"/>
        <v>-613380888718032.38</v>
      </c>
      <c r="J5300" s="455">
        <f t="array" ref="J5300">IFERROR(INDEX('Retirement Calculator'!J:J,MATCH('Isaac 401k'!N5300,'Retirement Calculator'!A:A,0),0),0)</f>
        <v>0</v>
      </c>
      <c r="K5300" s="455">
        <f t="shared" ca="1" si="201"/>
        <v>-2555753702991.8018</v>
      </c>
      <c r="L5300" s="455">
        <f t="shared" ca="1" si="202"/>
        <v>-615936642421024.13</v>
      </c>
      <c r="M5300" s="471">
        <f t="shared" si="204"/>
        <v>0.05</v>
      </c>
      <c r="N5300" s="475">
        <f t="shared" si="205"/>
        <v>212360</v>
      </c>
    </row>
    <row r="5301" spans="7:14" ht="11.25" customHeight="1" x14ac:dyDescent="0.3">
      <c r="G5301" s="470"/>
      <c r="H5301" s="470">
        <v>5294</v>
      </c>
      <c r="I5301" s="455">
        <f t="shared" ca="1" si="203"/>
        <v>-615936642421024.13</v>
      </c>
      <c r="J5301" s="455">
        <f t="array" ref="J5301">IFERROR(INDEX('Retirement Calculator'!J:J,MATCH('Isaac 401k'!N5301,'Retirement Calculator'!A:A,0),0),0)</f>
        <v>0</v>
      </c>
      <c r="K5301" s="455">
        <f t="shared" ca="1" si="201"/>
        <v>-2566402676754.2671</v>
      </c>
      <c r="L5301" s="455">
        <f t="shared" ca="1" si="202"/>
        <v>-618503045097778.38</v>
      </c>
      <c r="M5301" s="471">
        <f t="shared" si="204"/>
        <v>0.05</v>
      </c>
      <c r="N5301" s="475">
        <f t="shared" si="205"/>
        <v>212390</v>
      </c>
    </row>
    <row r="5302" spans="7:14" ht="11.25" customHeight="1" x14ac:dyDescent="0.3">
      <c r="G5302" s="470"/>
      <c r="H5302" s="470">
        <v>5295</v>
      </c>
      <c r="I5302" s="455">
        <f t="shared" ca="1" si="203"/>
        <v>-618503045097778.38</v>
      </c>
      <c r="J5302" s="455">
        <f t="array" ref="J5302">IFERROR(INDEX('Retirement Calculator'!J:J,MATCH('Isaac 401k'!N5302,'Retirement Calculator'!A:A,0),0),0)</f>
        <v>0</v>
      </c>
      <c r="K5302" s="455">
        <f t="shared" ca="1" si="201"/>
        <v>-2577096021240.7432</v>
      </c>
      <c r="L5302" s="455">
        <f t="shared" ca="1" si="202"/>
        <v>-621080141119019.13</v>
      </c>
      <c r="M5302" s="471">
        <f t="shared" si="204"/>
        <v>0.05</v>
      </c>
      <c r="N5302" s="475">
        <f t="shared" si="205"/>
        <v>212421</v>
      </c>
    </row>
    <row r="5303" spans="7:14" ht="11.25" customHeight="1" x14ac:dyDescent="0.3">
      <c r="G5303" s="470"/>
      <c r="H5303" s="470">
        <v>5296</v>
      </c>
      <c r="I5303" s="455">
        <f t="shared" ca="1" si="203"/>
        <v>-621080141119019.13</v>
      </c>
      <c r="J5303" s="455">
        <f t="array" ref="J5303">IFERROR(INDEX('Retirement Calculator'!J:J,MATCH('Isaac 401k'!N5303,'Retirement Calculator'!A:A,0),0),0)</f>
        <v>0</v>
      </c>
      <c r="K5303" s="455">
        <f t="shared" ca="1" si="201"/>
        <v>-2587833921329.2461</v>
      </c>
      <c r="L5303" s="455">
        <f t="shared" ca="1" si="202"/>
        <v>-623667975040348.38</v>
      </c>
      <c r="M5303" s="471">
        <f t="shared" si="204"/>
        <v>0.05</v>
      </c>
      <c r="N5303" s="475">
        <f t="shared" si="205"/>
        <v>212452</v>
      </c>
    </row>
    <row r="5304" spans="7:14" ht="11.25" customHeight="1" x14ac:dyDescent="0.3">
      <c r="G5304" s="470"/>
      <c r="H5304" s="470">
        <v>5297</v>
      </c>
      <c r="I5304" s="455">
        <f t="shared" ca="1" si="203"/>
        <v>-623667975040348.38</v>
      </c>
      <c r="J5304" s="455">
        <f t="array" ref="J5304">IFERROR(INDEX('Retirement Calculator'!J:J,MATCH('Isaac 401k'!N5304,'Retirement Calculator'!A:A,0),0),0)</f>
        <v>0</v>
      </c>
      <c r="K5304" s="455">
        <f t="shared" ca="1" si="201"/>
        <v>-2598616562668.1182</v>
      </c>
      <c r="L5304" s="455">
        <f t="shared" ca="1" si="202"/>
        <v>-626266591603016.5</v>
      </c>
      <c r="M5304" s="471">
        <f t="shared" si="204"/>
        <v>0.05</v>
      </c>
      <c r="N5304" s="475">
        <f t="shared" si="205"/>
        <v>212482</v>
      </c>
    </row>
    <row r="5305" spans="7:14" ht="11.25" customHeight="1" x14ac:dyDescent="0.3">
      <c r="G5305" s="470"/>
      <c r="H5305" s="470">
        <v>5298</v>
      </c>
      <c r="I5305" s="455">
        <f t="shared" ca="1" si="203"/>
        <v>-626266591603016.5</v>
      </c>
      <c r="J5305" s="455">
        <f t="array" ref="J5305">IFERROR(INDEX('Retirement Calculator'!J:J,MATCH('Isaac 401k'!N5305,'Retirement Calculator'!A:A,0),0),0)</f>
        <v>0</v>
      </c>
      <c r="K5305" s="455">
        <f t="shared" ca="1" si="201"/>
        <v>-2609444131679.2354</v>
      </c>
      <c r="L5305" s="455">
        <f t="shared" ca="1" si="202"/>
        <v>-628876035734695.75</v>
      </c>
      <c r="M5305" s="471">
        <f t="shared" si="204"/>
        <v>0.05</v>
      </c>
      <c r="N5305" s="475">
        <f t="shared" si="205"/>
        <v>212513</v>
      </c>
    </row>
    <row r="5306" spans="7:14" ht="11.25" customHeight="1" x14ac:dyDescent="0.3">
      <c r="G5306" s="470"/>
      <c r="H5306" s="470">
        <v>5299</v>
      </c>
      <c r="I5306" s="455">
        <f t="shared" ca="1" si="203"/>
        <v>-628876035734695.75</v>
      </c>
      <c r="J5306" s="455">
        <f t="array" ref="J5306">IFERROR(INDEX('Retirement Calculator'!J:J,MATCH('Isaac 401k'!N5306,'Retirement Calculator'!A:A,0),0),0)</f>
        <v>0</v>
      </c>
      <c r="K5306" s="455">
        <f t="shared" ca="1" si="201"/>
        <v>-2620316815561.2324</v>
      </c>
      <c r="L5306" s="455">
        <f t="shared" ca="1" si="202"/>
        <v>-631496352550257</v>
      </c>
      <c r="M5306" s="471">
        <f t="shared" si="204"/>
        <v>0.05</v>
      </c>
      <c r="N5306" s="475">
        <f t="shared" si="205"/>
        <v>212543</v>
      </c>
    </row>
    <row r="5307" spans="7:14" ht="11.25" customHeight="1" x14ac:dyDescent="0.3">
      <c r="G5307" s="470"/>
      <c r="H5307" s="470">
        <v>5300</v>
      </c>
      <c r="I5307" s="455">
        <f t="shared" ca="1" si="203"/>
        <v>-631496352550257</v>
      </c>
      <c r="J5307" s="455">
        <f t="array" ref="J5307">IFERROR(INDEX('Retirement Calculator'!J:J,MATCH('Isaac 401k'!N5307,'Retirement Calculator'!A:A,0),0),0)</f>
        <v>0</v>
      </c>
      <c r="K5307" s="455">
        <f t="shared" ca="1" si="201"/>
        <v>-2631234802292.7373</v>
      </c>
      <c r="L5307" s="455">
        <f t="shared" ca="1" si="202"/>
        <v>-634127587352549.75</v>
      </c>
      <c r="M5307" s="471">
        <f t="shared" si="204"/>
        <v>0.05</v>
      </c>
      <c r="N5307" s="475">
        <f t="shared" si="205"/>
        <v>212574</v>
      </c>
    </row>
    <row r="5308" spans="7:14" ht="11.25" customHeight="1" x14ac:dyDescent="0.3">
      <c r="G5308" s="470"/>
      <c r="H5308" s="470">
        <v>5301</v>
      </c>
      <c r="I5308" s="455">
        <f t="shared" ca="1" si="203"/>
        <v>-634127587352549.75</v>
      </c>
      <c r="J5308" s="455">
        <f t="array" ref="J5308">IFERROR(INDEX('Retirement Calculator'!J:J,MATCH('Isaac 401k'!N5308,'Retirement Calculator'!A:A,0),0),0)</f>
        <v>0</v>
      </c>
      <c r="K5308" s="455">
        <f t="shared" ca="1" si="201"/>
        <v>-2642198280635.624</v>
      </c>
      <c r="L5308" s="455">
        <f t="shared" ca="1" si="202"/>
        <v>-636769785633185.38</v>
      </c>
      <c r="M5308" s="471">
        <f t="shared" si="204"/>
        <v>0.05</v>
      </c>
      <c r="N5308" s="475">
        <f t="shared" si="205"/>
        <v>212605</v>
      </c>
    </row>
    <row r="5309" spans="7:14" ht="11.25" customHeight="1" x14ac:dyDescent="0.3">
      <c r="G5309" s="470"/>
      <c r="H5309" s="470">
        <v>5302</v>
      </c>
      <c r="I5309" s="455">
        <f t="shared" ca="1" si="203"/>
        <v>-636769785633185.38</v>
      </c>
      <c r="J5309" s="455">
        <f t="array" ref="J5309">IFERROR(INDEX('Retirement Calculator'!J:J,MATCH('Isaac 401k'!N5309,'Retirement Calculator'!A:A,0),0),0)</f>
        <v>0</v>
      </c>
      <c r="K5309" s="455">
        <f t="shared" ca="1" si="201"/>
        <v>-2653207440138.2725</v>
      </c>
      <c r="L5309" s="455">
        <f t="shared" ca="1" si="202"/>
        <v>-639422993073323.63</v>
      </c>
      <c r="M5309" s="471">
        <f t="shared" si="204"/>
        <v>0.05</v>
      </c>
      <c r="N5309" s="475">
        <f t="shared" si="205"/>
        <v>212633</v>
      </c>
    </row>
    <row r="5310" spans="7:14" ht="11.25" customHeight="1" x14ac:dyDescent="0.3">
      <c r="G5310" s="470"/>
      <c r="H5310" s="470">
        <v>5303</v>
      </c>
      <c r="I5310" s="455">
        <f t="shared" ca="1" si="203"/>
        <v>-639422993073323.63</v>
      </c>
      <c r="J5310" s="455">
        <f t="array" ref="J5310">IFERROR(INDEX('Retirement Calculator'!J:J,MATCH('Isaac 401k'!N5310,'Retirement Calculator'!A:A,0),0),0)</f>
        <v>0</v>
      </c>
      <c r="K5310" s="455">
        <f t="shared" ca="1" si="201"/>
        <v>-2664262471138.8486</v>
      </c>
      <c r="L5310" s="455">
        <f t="shared" ca="1" si="202"/>
        <v>-642087255544462.5</v>
      </c>
      <c r="M5310" s="471">
        <f t="shared" si="204"/>
        <v>0.05</v>
      </c>
      <c r="N5310" s="475">
        <f t="shared" si="205"/>
        <v>212664</v>
      </c>
    </row>
    <row r="5311" spans="7:14" ht="11.25" customHeight="1" x14ac:dyDescent="0.3">
      <c r="G5311" s="470"/>
      <c r="H5311" s="470">
        <v>5304</v>
      </c>
      <c r="I5311" s="455">
        <f t="shared" ca="1" si="203"/>
        <v>-642087255544462.5</v>
      </c>
      <c r="J5311" s="455">
        <f t="array" ref="J5311">IFERROR(INDEX('Retirement Calculator'!J:J,MATCH('Isaac 401k'!N5311,'Retirement Calculator'!A:A,0),0),0)</f>
        <v>0</v>
      </c>
      <c r="K5311" s="455">
        <f t="shared" ca="1" si="201"/>
        <v>-2675363564768.5938</v>
      </c>
      <c r="L5311" s="455">
        <f t="shared" ca="1" si="202"/>
        <v>-644762619109231.13</v>
      </c>
      <c r="M5311" s="471">
        <f t="shared" si="204"/>
        <v>0.05</v>
      </c>
      <c r="N5311" s="475">
        <f t="shared" si="205"/>
        <v>212694</v>
      </c>
    </row>
    <row r="5312" spans="7:14" ht="11.25" customHeight="1" x14ac:dyDescent="0.3">
      <c r="G5312" s="470"/>
      <c r="H5312" s="470">
        <v>5305</v>
      </c>
      <c r="I5312" s="455">
        <f t="shared" ca="1" si="203"/>
        <v>-644762619109231.13</v>
      </c>
      <c r="J5312" s="455">
        <f t="array" ref="J5312">IFERROR(INDEX('Retirement Calculator'!J:J,MATCH('Isaac 401k'!N5312,'Retirement Calculator'!A:A,0),0),0)</f>
        <v>0</v>
      </c>
      <c r="K5312" s="455">
        <f t="shared" ca="1" si="201"/>
        <v>-2686510912955.1299</v>
      </c>
      <c r="L5312" s="455">
        <f t="shared" ca="1" si="202"/>
        <v>-647449130022186.25</v>
      </c>
      <c r="M5312" s="471">
        <f t="shared" si="204"/>
        <v>0.05</v>
      </c>
      <c r="N5312" s="475">
        <f t="shared" si="205"/>
        <v>212725</v>
      </c>
    </row>
    <row r="5313" spans="7:14" ht="11.25" customHeight="1" x14ac:dyDescent="0.3">
      <c r="G5313" s="470"/>
      <c r="H5313" s="470">
        <v>5306</v>
      </c>
      <c r="I5313" s="455">
        <f t="shared" ca="1" si="203"/>
        <v>-647449130022186.25</v>
      </c>
      <c r="J5313" s="455">
        <f t="array" ref="J5313">IFERROR(INDEX('Retirement Calculator'!J:J,MATCH('Isaac 401k'!N5313,'Retirement Calculator'!A:A,0),0),0)</f>
        <v>0</v>
      </c>
      <c r="K5313" s="455">
        <f t="shared" ca="1" si="201"/>
        <v>-2697704708425.7759</v>
      </c>
      <c r="L5313" s="455">
        <f t="shared" ca="1" si="202"/>
        <v>-650146834730612</v>
      </c>
      <c r="M5313" s="471">
        <f t="shared" si="204"/>
        <v>0.05</v>
      </c>
      <c r="N5313" s="475">
        <f t="shared" si="205"/>
        <v>212755</v>
      </c>
    </row>
    <row r="5314" spans="7:14" ht="11.25" customHeight="1" x14ac:dyDescent="0.3">
      <c r="G5314" s="470"/>
      <c r="H5314" s="470">
        <v>5307</v>
      </c>
      <c r="I5314" s="455">
        <f t="shared" ca="1" si="203"/>
        <v>-650146834730612</v>
      </c>
      <c r="J5314" s="455">
        <f t="array" ref="J5314">IFERROR(INDEX('Retirement Calculator'!J:J,MATCH('Isaac 401k'!N5314,'Retirement Calculator'!A:A,0),0),0)</f>
        <v>0</v>
      </c>
      <c r="K5314" s="455">
        <f t="shared" ca="1" si="201"/>
        <v>-2708945144710.8833</v>
      </c>
      <c r="L5314" s="455">
        <f t="shared" ca="1" si="202"/>
        <v>-652855779875322.88</v>
      </c>
      <c r="M5314" s="471">
        <f t="shared" si="204"/>
        <v>0.05</v>
      </c>
      <c r="N5314" s="475">
        <f t="shared" si="205"/>
        <v>212786</v>
      </c>
    </row>
    <row r="5315" spans="7:14" ht="11.25" customHeight="1" x14ac:dyDescent="0.3">
      <c r="G5315" s="470"/>
      <c r="H5315" s="470">
        <v>5308</v>
      </c>
      <c r="I5315" s="455">
        <f t="shared" ca="1" si="203"/>
        <v>-652855779875322.88</v>
      </c>
      <c r="J5315" s="455">
        <f t="array" ref="J5315">IFERROR(INDEX('Retirement Calculator'!J:J,MATCH('Isaac 401k'!N5315,'Retirement Calculator'!A:A,0),0),0)</f>
        <v>0</v>
      </c>
      <c r="K5315" s="455">
        <f t="shared" ca="1" si="201"/>
        <v>-2720232416147.1787</v>
      </c>
      <c r="L5315" s="455">
        <f t="shared" ca="1" si="202"/>
        <v>-655576012291470</v>
      </c>
      <c r="M5315" s="471">
        <f t="shared" si="204"/>
        <v>0.05</v>
      </c>
      <c r="N5315" s="475">
        <f t="shared" si="205"/>
        <v>212817</v>
      </c>
    </row>
    <row r="5316" spans="7:14" ht="11.25" customHeight="1" x14ac:dyDescent="0.3">
      <c r="G5316" s="470"/>
      <c r="H5316" s="470">
        <v>5309</v>
      </c>
      <c r="I5316" s="455">
        <f t="shared" ca="1" si="203"/>
        <v>-655576012291470</v>
      </c>
      <c r="J5316" s="455">
        <f t="array" ref="J5316">IFERROR(INDEX('Retirement Calculator'!J:J,MATCH('Isaac 401k'!N5316,'Retirement Calculator'!A:A,0),0),0)</f>
        <v>0</v>
      </c>
      <c r="K5316" s="455">
        <f t="shared" ca="1" si="201"/>
        <v>-2731566717881.125</v>
      </c>
      <c r="L5316" s="455">
        <f t="shared" ca="1" si="202"/>
        <v>-658307579009351.13</v>
      </c>
      <c r="M5316" s="471">
        <f t="shared" si="204"/>
        <v>0.05</v>
      </c>
      <c r="N5316" s="475">
        <f t="shared" si="205"/>
        <v>212847</v>
      </c>
    </row>
    <row r="5317" spans="7:14" ht="11.25" customHeight="1" x14ac:dyDescent="0.3">
      <c r="G5317" s="470"/>
      <c r="H5317" s="470">
        <v>5310</v>
      </c>
      <c r="I5317" s="455">
        <f t="shared" ca="1" si="203"/>
        <v>-658307579009351.13</v>
      </c>
      <c r="J5317" s="455">
        <f t="array" ref="J5317">IFERROR(INDEX('Retirement Calculator'!J:J,MATCH('Isaac 401k'!N5317,'Retirement Calculator'!A:A,0),0),0)</f>
        <v>0</v>
      </c>
      <c r="K5317" s="455">
        <f t="shared" ca="1" si="201"/>
        <v>-2742948245872.2964</v>
      </c>
      <c r="L5317" s="455">
        <f t="shared" ca="1" si="202"/>
        <v>-661050527255223.38</v>
      </c>
      <c r="M5317" s="471">
        <f t="shared" si="204"/>
        <v>0.05</v>
      </c>
      <c r="N5317" s="475">
        <f t="shared" si="205"/>
        <v>212878</v>
      </c>
    </row>
    <row r="5318" spans="7:14" ht="11.25" customHeight="1" x14ac:dyDescent="0.3">
      <c r="G5318" s="470"/>
      <c r="H5318" s="470">
        <v>5311</v>
      </c>
      <c r="I5318" s="455">
        <f t="shared" ca="1" si="203"/>
        <v>-661050527255223.38</v>
      </c>
      <c r="J5318" s="455">
        <f t="array" ref="J5318">IFERROR(INDEX('Retirement Calculator'!J:J,MATCH('Isaac 401k'!N5318,'Retirement Calculator'!A:A,0),0),0)</f>
        <v>0</v>
      </c>
      <c r="K5318" s="455">
        <f t="shared" ca="1" si="201"/>
        <v>-2754377196896.7642</v>
      </c>
      <c r="L5318" s="455">
        <f t="shared" ca="1" si="202"/>
        <v>-663804904452120.13</v>
      </c>
      <c r="M5318" s="471">
        <f t="shared" si="204"/>
        <v>0.05</v>
      </c>
      <c r="N5318" s="475">
        <f t="shared" si="205"/>
        <v>212908</v>
      </c>
    </row>
    <row r="5319" spans="7:14" ht="11.25" customHeight="1" x14ac:dyDescent="0.3">
      <c r="G5319" s="470"/>
      <c r="H5319" s="470">
        <v>5312</v>
      </c>
      <c r="I5319" s="455">
        <f t="shared" ca="1" si="203"/>
        <v>-663804904452120.13</v>
      </c>
      <c r="J5319" s="455">
        <f t="array" ref="J5319">IFERROR(INDEX('Retirement Calculator'!J:J,MATCH('Isaac 401k'!N5319,'Retirement Calculator'!A:A,0),0),0)</f>
        <v>0</v>
      </c>
      <c r="K5319" s="455">
        <f t="shared" ca="1" si="201"/>
        <v>-2765853768550.5005</v>
      </c>
      <c r="L5319" s="455">
        <f t="shared" ca="1" si="202"/>
        <v>-666570758220670.63</v>
      </c>
      <c r="M5319" s="471">
        <f t="shared" si="204"/>
        <v>0.05</v>
      </c>
      <c r="N5319" s="475">
        <f t="shared" si="205"/>
        <v>212939</v>
      </c>
    </row>
    <row r="5320" spans="7:14" ht="11.25" customHeight="1" x14ac:dyDescent="0.3">
      <c r="G5320" s="470"/>
      <c r="H5320" s="470">
        <v>5313</v>
      </c>
      <c r="I5320" s="455">
        <f t="shared" ca="1" si="203"/>
        <v>-666570758220670.63</v>
      </c>
      <c r="J5320" s="455">
        <f t="array" ref="J5320">IFERROR(INDEX('Retirement Calculator'!J:J,MATCH('Isaac 401k'!N5320,'Retirement Calculator'!A:A,0),0),0)</f>
        <v>0</v>
      </c>
      <c r="K5320" s="455">
        <f t="shared" ca="1" si="201"/>
        <v>-2777378159252.7944</v>
      </c>
      <c r="L5320" s="455">
        <f t="shared" ca="1" si="202"/>
        <v>-669348136379923.38</v>
      </c>
      <c r="M5320" s="471">
        <f t="shared" si="204"/>
        <v>0.05</v>
      </c>
      <c r="N5320" s="475">
        <f t="shared" si="205"/>
        <v>212970</v>
      </c>
    </row>
    <row r="5321" spans="7:14" ht="11.25" customHeight="1" x14ac:dyDescent="0.3">
      <c r="G5321" s="470"/>
      <c r="H5321" s="470">
        <v>5314</v>
      </c>
      <c r="I5321" s="455">
        <f t="shared" ca="1" si="203"/>
        <v>-669348136379923.38</v>
      </c>
      <c r="J5321" s="455">
        <f t="array" ref="J5321">IFERROR(INDEX('Retirement Calculator'!J:J,MATCH('Isaac 401k'!N5321,'Retirement Calculator'!A:A,0),0),0)</f>
        <v>0</v>
      </c>
      <c r="K5321" s="455">
        <f t="shared" ca="1" si="201"/>
        <v>-2788950568249.6807</v>
      </c>
      <c r="L5321" s="455">
        <f t="shared" ca="1" si="202"/>
        <v>-672137086948173</v>
      </c>
      <c r="M5321" s="471">
        <f t="shared" si="204"/>
        <v>0.05</v>
      </c>
      <c r="N5321" s="475">
        <f t="shared" si="205"/>
        <v>212998</v>
      </c>
    </row>
    <row r="5322" spans="7:14" ht="11.25" customHeight="1" x14ac:dyDescent="0.3">
      <c r="G5322" s="470"/>
      <c r="H5322" s="470">
        <v>5315</v>
      </c>
      <c r="I5322" s="455">
        <f t="shared" ca="1" si="203"/>
        <v>-672137086948173</v>
      </c>
      <c r="J5322" s="455">
        <f t="array" ref="J5322">IFERROR(INDEX('Retirement Calculator'!J:J,MATCH('Isaac 401k'!N5322,'Retirement Calculator'!A:A,0),0),0)</f>
        <v>0</v>
      </c>
      <c r="K5322" s="455">
        <f t="shared" ca="1" si="201"/>
        <v>-2800571195617.3877</v>
      </c>
      <c r="L5322" s="455">
        <f t="shared" ca="1" si="202"/>
        <v>-674937658143790.38</v>
      </c>
      <c r="M5322" s="471">
        <f t="shared" si="204"/>
        <v>0.05</v>
      </c>
      <c r="N5322" s="475">
        <f t="shared" si="205"/>
        <v>213029</v>
      </c>
    </row>
    <row r="5323" spans="7:14" ht="11.25" customHeight="1" x14ac:dyDescent="0.3">
      <c r="G5323" s="470"/>
      <c r="H5323" s="470">
        <v>5316</v>
      </c>
      <c r="I5323" s="455">
        <f t="shared" ca="1" si="203"/>
        <v>-674937658143790.38</v>
      </c>
      <c r="J5323" s="455">
        <f t="array" ref="J5323">IFERROR(INDEX('Retirement Calculator'!J:J,MATCH('Isaac 401k'!N5323,'Retirement Calculator'!A:A,0),0),0)</f>
        <v>0</v>
      </c>
      <c r="K5323" s="455">
        <f t="shared" ca="1" si="201"/>
        <v>-2812240242265.793</v>
      </c>
      <c r="L5323" s="455">
        <f t="shared" ca="1" si="202"/>
        <v>-677749898386056.13</v>
      </c>
      <c r="M5323" s="471">
        <f t="shared" si="204"/>
        <v>0.05</v>
      </c>
      <c r="N5323" s="475">
        <f t="shared" si="205"/>
        <v>213059</v>
      </c>
    </row>
    <row r="5324" spans="7:14" ht="11.25" customHeight="1" x14ac:dyDescent="0.3">
      <c r="G5324" s="470"/>
      <c r="H5324" s="470">
        <v>5317</v>
      </c>
      <c r="I5324" s="455">
        <f t="shared" ca="1" si="203"/>
        <v>-677749898386056.13</v>
      </c>
      <c r="J5324" s="455">
        <f t="array" ref="J5324">IFERROR(INDEX('Retirement Calculator'!J:J,MATCH('Isaac 401k'!N5324,'Retirement Calculator'!A:A,0),0),0)</f>
        <v>0</v>
      </c>
      <c r="K5324" s="455">
        <f t="shared" ca="1" si="201"/>
        <v>-2823957909941.9004</v>
      </c>
      <c r="L5324" s="455">
        <f t="shared" ca="1" si="202"/>
        <v>-680573856295998</v>
      </c>
      <c r="M5324" s="471">
        <f t="shared" si="204"/>
        <v>0.05</v>
      </c>
      <c r="N5324" s="475">
        <f t="shared" si="205"/>
        <v>213090</v>
      </c>
    </row>
    <row r="5325" spans="7:14" ht="11.25" customHeight="1" x14ac:dyDescent="0.3">
      <c r="G5325" s="470"/>
      <c r="H5325" s="470">
        <v>5318</v>
      </c>
      <c r="I5325" s="455">
        <f t="shared" ca="1" si="203"/>
        <v>-680573856295998</v>
      </c>
      <c r="J5325" s="455">
        <f t="array" ref="J5325">IFERROR(INDEX('Retirement Calculator'!J:J,MATCH('Isaac 401k'!N5325,'Retirement Calculator'!A:A,0),0),0)</f>
        <v>0</v>
      </c>
      <c r="K5325" s="455">
        <f t="shared" ca="1" si="201"/>
        <v>-2835724401233.3252</v>
      </c>
      <c r="L5325" s="455">
        <f t="shared" ca="1" si="202"/>
        <v>-683409580697231.38</v>
      </c>
      <c r="M5325" s="471">
        <f t="shared" si="204"/>
        <v>0.05</v>
      </c>
      <c r="N5325" s="475">
        <f t="shared" si="205"/>
        <v>213120</v>
      </c>
    </row>
    <row r="5326" spans="7:14" ht="11.25" customHeight="1" x14ac:dyDescent="0.3">
      <c r="G5326" s="470"/>
      <c r="H5326" s="470">
        <v>5319</v>
      </c>
      <c r="I5326" s="455">
        <f t="shared" ca="1" si="203"/>
        <v>-683409580697231.38</v>
      </c>
      <c r="J5326" s="455">
        <f t="array" ref="J5326">IFERROR(INDEX('Retirement Calculator'!J:J,MATCH('Isaac 401k'!N5326,'Retirement Calculator'!A:A,0),0),0)</f>
        <v>0</v>
      </c>
      <c r="K5326" s="455">
        <f t="shared" ca="1" si="201"/>
        <v>-2847539919571.7974</v>
      </c>
      <c r="L5326" s="455">
        <f t="shared" ca="1" si="202"/>
        <v>-686257120616803.13</v>
      </c>
      <c r="M5326" s="471">
        <f t="shared" si="204"/>
        <v>0.05</v>
      </c>
      <c r="N5326" s="475">
        <f t="shared" si="205"/>
        <v>213151</v>
      </c>
    </row>
    <row r="5327" spans="7:14" ht="11.25" customHeight="1" x14ac:dyDescent="0.3">
      <c r="G5327" s="470"/>
      <c r="H5327" s="470">
        <v>5320</v>
      </c>
      <c r="I5327" s="455">
        <f t="shared" ca="1" si="203"/>
        <v>-686257120616803.13</v>
      </c>
      <c r="J5327" s="455">
        <f t="array" ref="J5327">IFERROR(INDEX('Retirement Calculator'!J:J,MATCH('Isaac 401k'!N5327,'Retirement Calculator'!A:A,0),0),0)</f>
        <v>0</v>
      </c>
      <c r="K5327" s="455">
        <f t="shared" ca="1" si="201"/>
        <v>-2859404669236.6797</v>
      </c>
      <c r="L5327" s="455">
        <f t="shared" ca="1" si="202"/>
        <v>-689116525286039.75</v>
      </c>
      <c r="M5327" s="471">
        <f t="shared" si="204"/>
        <v>0.05</v>
      </c>
      <c r="N5327" s="475">
        <f t="shared" si="205"/>
        <v>213182</v>
      </c>
    </row>
    <row r="5328" spans="7:14" ht="11.25" customHeight="1" x14ac:dyDescent="0.3">
      <c r="G5328" s="470"/>
      <c r="H5328" s="470">
        <v>5321</v>
      </c>
      <c r="I5328" s="455">
        <f t="shared" ca="1" si="203"/>
        <v>-689116525286039.75</v>
      </c>
      <c r="J5328" s="455">
        <f t="array" ref="J5328">IFERROR(INDEX('Retirement Calculator'!J:J,MATCH('Isaac 401k'!N5328,'Retirement Calculator'!A:A,0),0),0)</f>
        <v>0</v>
      </c>
      <c r="K5328" s="455">
        <f t="shared" ca="1" si="201"/>
        <v>-2871318855358.499</v>
      </c>
      <c r="L5328" s="455">
        <f t="shared" ca="1" si="202"/>
        <v>-691987844141398.25</v>
      </c>
      <c r="M5328" s="471">
        <f t="shared" si="204"/>
        <v>0.05</v>
      </c>
      <c r="N5328" s="475">
        <f t="shared" si="205"/>
        <v>213212</v>
      </c>
    </row>
    <row r="5329" spans="7:14" ht="11.25" customHeight="1" x14ac:dyDescent="0.3">
      <c r="G5329" s="470"/>
      <c r="H5329" s="470">
        <v>5322</v>
      </c>
      <c r="I5329" s="455">
        <f t="shared" ca="1" si="203"/>
        <v>-691987844141398.25</v>
      </c>
      <c r="J5329" s="455">
        <f t="array" ref="J5329">IFERROR(INDEX('Retirement Calculator'!J:J,MATCH('Isaac 401k'!N5329,'Retirement Calculator'!A:A,0),0),0)</f>
        <v>0</v>
      </c>
      <c r="K5329" s="455">
        <f t="shared" ca="1" si="201"/>
        <v>-2883282683922.4927</v>
      </c>
      <c r="L5329" s="455">
        <f t="shared" ca="1" si="202"/>
        <v>-694871126825320.75</v>
      </c>
      <c r="M5329" s="471">
        <f t="shared" si="204"/>
        <v>0.05</v>
      </c>
      <c r="N5329" s="475">
        <f t="shared" si="205"/>
        <v>213243</v>
      </c>
    </row>
    <row r="5330" spans="7:14" ht="11.25" customHeight="1" x14ac:dyDescent="0.3">
      <c r="G5330" s="470"/>
      <c r="H5330" s="470">
        <v>5323</v>
      </c>
      <c r="I5330" s="455">
        <f t="shared" ca="1" si="203"/>
        <v>-694871126825320.75</v>
      </c>
      <c r="J5330" s="455">
        <f t="array" ref="J5330">IFERROR(INDEX('Retirement Calculator'!J:J,MATCH('Isaac 401k'!N5330,'Retirement Calculator'!A:A,0),0),0)</f>
        <v>0</v>
      </c>
      <c r="K5330" s="455">
        <f t="shared" ca="1" si="201"/>
        <v>-2895296361772.1699</v>
      </c>
      <c r="L5330" s="455">
        <f t="shared" ca="1" si="202"/>
        <v>-697766423187092.88</v>
      </c>
      <c r="M5330" s="471">
        <f t="shared" si="204"/>
        <v>0.05</v>
      </c>
      <c r="N5330" s="475">
        <f t="shared" si="205"/>
        <v>213273</v>
      </c>
    </row>
    <row r="5331" spans="7:14" ht="11.25" customHeight="1" x14ac:dyDescent="0.3">
      <c r="G5331" s="470"/>
      <c r="H5331" s="470">
        <v>5324</v>
      </c>
      <c r="I5331" s="455">
        <f t="shared" ca="1" si="203"/>
        <v>-697766423187092.88</v>
      </c>
      <c r="J5331" s="455">
        <f t="array" ref="J5331">IFERROR(INDEX('Retirement Calculator'!J:J,MATCH('Isaac 401k'!N5331,'Retirement Calculator'!A:A,0),0),0)</f>
        <v>0</v>
      </c>
      <c r="K5331" s="455">
        <f t="shared" ca="1" si="201"/>
        <v>-2907360096612.8867</v>
      </c>
      <c r="L5331" s="455">
        <f t="shared" ca="1" si="202"/>
        <v>-700673783283705.75</v>
      </c>
      <c r="M5331" s="471">
        <f t="shared" si="204"/>
        <v>0.05</v>
      </c>
      <c r="N5331" s="475">
        <f t="shared" si="205"/>
        <v>213304</v>
      </c>
    </row>
    <row r="5332" spans="7:14" ht="11.25" customHeight="1" x14ac:dyDescent="0.3">
      <c r="G5332" s="470"/>
      <c r="H5332" s="470">
        <v>5325</v>
      </c>
      <c r="I5332" s="455">
        <f t="shared" ca="1" si="203"/>
        <v>-700673783283705.75</v>
      </c>
      <c r="J5332" s="455">
        <f t="array" ref="J5332">IFERROR(INDEX('Retirement Calculator'!J:J,MATCH('Isaac 401k'!N5332,'Retirement Calculator'!A:A,0),0),0)</f>
        <v>0</v>
      </c>
      <c r="K5332" s="455">
        <f t="shared" ca="1" si="201"/>
        <v>-2919474097015.4404</v>
      </c>
      <c r="L5332" s="455">
        <f t="shared" ca="1" si="202"/>
        <v>-703593257380721.25</v>
      </c>
      <c r="M5332" s="471">
        <f t="shared" si="204"/>
        <v>0.05</v>
      </c>
      <c r="N5332" s="475">
        <f t="shared" si="205"/>
        <v>213335</v>
      </c>
    </row>
    <row r="5333" spans="7:14" ht="11.25" customHeight="1" x14ac:dyDescent="0.3">
      <c r="G5333" s="470"/>
      <c r="H5333" s="470">
        <v>5326</v>
      </c>
      <c r="I5333" s="455">
        <f t="shared" ca="1" si="203"/>
        <v>-703593257380721.25</v>
      </c>
      <c r="J5333" s="455">
        <f t="array" ref="J5333">IFERROR(INDEX('Retirement Calculator'!J:J,MATCH('Isaac 401k'!N5333,'Retirement Calculator'!A:A,0),0),0)</f>
        <v>0</v>
      </c>
      <c r="K5333" s="455">
        <f t="shared" ca="1" si="201"/>
        <v>-2931638572419.6719</v>
      </c>
      <c r="L5333" s="455">
        <f t="shared" ca="1" si="202"/>
        <v>-706524895953140.88</v>
      </c>
      <c r="M5333" s="471">
        <f t="shared" si="204"/>
        <v>0.05</v>
      </c>
      <c r="N5333" s="475">
        <f t="shared" si="205"/>
        <v>213364</v>
      </c>
    </row>
    <row r="5334" spans="7:14" ht="11.25" customHeight="1" x14ac:dyDescent="0.3">
      <c r="G5334" s="470"/>
      <c r="H5334" s="470">
        <v>5327</v>
      </c>
      <c r="I5334" s="455">
        <f t="shared" ca="1" si="203"/>
        <v>-706524895953140.88</v>
      </c>
      <c r="J5334" s="455">
        <f t="array" ref="J5334">IFERROR(INDEX('Retirement Calculator'!J:J,MATCH('Isaac 401k'!N5334,'Retirement Calculator'!A:A,0),0),0)</f>
        <v>0</v>
      </c>
      <c r="K5334" s="455">
        <f t="shared" ca="1" si="201"/>
        <v>-2943853733138.0869</v>
      </c>
      <c r="L5334" s="455">
        <f t="shared" ca="1" si="202"/>
        <v>-709468749686279</v>
      </c>
      <c r="M5334" s="471">
        <f t="shared" si="204"/>
        <v>0.05</v>
      </c>
      <c r="N5334" s="475">
        <f t="shared" si="205"/>
        <v>213395</v>
      </c>
    </row>
    <row r="5335" spans="7:14" ht="11.25" customHeight="1" x14ac:dyDescent="0.3">
      <c r="G5335" s="470"/>
      <c r="H5335" s="470">
        <v>5328</v>
      </c>
      <c r="I5335" s="455">
        <f t="shared" ca="1" si="203"/>
        <v>-709468749686279</v>
      </c>
      <c r="J5335" s="455">
        <f t="array" ref="J5335">IFERROR(INDEX('Retirement Calculator'!J:J,MATCH('Isaac 401k'!N5335,'Retirement Calculator'!A:A,0),0),0)</f>
        <v>0</v>
      </c>
      <c r="K5335" s="455">
        <f t="shared" ca="1" si="201"/>
        <v>-2956119790359.4956</v>
      </c>
      <c r="L5335" s="455">
        <f t="shared" ca="1" si="202"/>
        <v>-712424869476638.5</v>
      </c>
      <c r="M5335" s="471">
        <f t="shared" si="204"/>
        <v>0.05</v>
      </c>
      <c r="N5335" s="475">
        <f t="shared" si="205"/>
        <v>213425</v>
      </c>
    </row>
    <row r="5336" spans="7:14" ht="11.25" customHeight="1" x14ac:dyDescent="0.3">
      <c r="G5336" s="470"/>
      <c r="H5336" s="470">
        <v>5329</v>
      </c>
      <c r="I5336" s="455">
        <f t="shared" ca="1" si="203"/>
        <v>-712424869476638.5</v>
      </c>
      <c r="J5336" s="455">
        <f t="array" ref="J5336">IFERROR(INDEX('Retirement Calculator'!J:J,MATCH('Isaac 401k'!N5336,'Retirement Calculator'!A:A,0),0),0)</f>
        <v>0</v>
      </c>
      <c r="K5336" s="455">
        <f t="shared" ca="1" si="201"/>
        <v>-2968436956152.6602</v>
      </c>
      <c r="L5336" s="455">
        <f t="shared" ca="1" si="202"/>
        <v>-715393306432791.13</v>
      </c>
      <c r="M5336" s="471">
        <f t="shared" si="204"/>
        <v>0.05</v>
      </c>
      <c r="N5336" s="475">
        <f t="shared" si="205"/>
        <v>213456</v>
      </c>
    </row>
    <row r="5337" spans="7:14" ht="11.25" customHeight="1" x14ac:dyDescent="0.3">
      <c r="G5337" s="470"/>
      <c r="H5337" s="470">
        <v>5330</v>
      </c>
      <c r="I5337" s="455">
        <f t="shared" ca="1" si="203"/>
        <v>-715393306432791.13</v>
      </c>
      <c r="J5337" s="455">
        <f t="array" ref="J5337">IFERROR(INDEX('Retirement Calculator'!J:J,MATCH('Isaac 401k'!N5337,'Retirement Calculator'!A:A,0),0),0)</f>
        <v>0</v>
      </c>
      <c r="K5337" s="455">
        <f t="shared" ca="1" si="201"/>
        <v>-2980805443469.9629</v>
      </c>
      <c r="L5337" s="455">
        <f t="shared" ca="1" si="202"/>
        <v>-718374111876261.13</v>
      </c>
      <c r="M5337" s="471">
        <f t="shared" si="204"/>
        <v>0.05</v>
      </c>
      <c r="N5337" s="475">
        <f t="shared" si="205"/>
        <v>213486</v>
      </c>
    </row>
    <row r="5338" spans="7:14" ht="11.25" customHeight="1" x14ac:dyDescent="0.3">
      <c r="G5338" s="470"/>
      <c r="H5338" s="470">
        <v>5331</v>
      </c>
      <c r="I5338" s="455">
        <f t="shared" ca="1" si="203"/>
        <v>-718374111876261.13</v>
      </c>
      <c r="J5338" s="455">
        <f t="array" ref="J5338">IFERROR(INDEX('Retirement Calculator'!J:J,MATCH('Isaac 401k'!N5338,'Retirement Calculator'!A:A,0),0),0)</f>
        <v>0</v>
      </c>
      <c r="K5338" s="455">
        <f t="shared" ca="1" si="201"/>
        <v>-2993225466151.0879</v>
      </c>
      <c r="L5338" s="455">
        <f t="shared" ca="1" si="202"/>
        <v>-721367337342412.25</v>
      </c>
      <c r="M5338" s="471">
        <f t="shared" si="204"/>
        <v>0.05</v>
      </c>
      <c r="N5338" s="475">
        <f t="shared" si="205"/>
        <v>213517</v>
      </c>
    </row>
    <row r="5339" spans="7:14" ht="11.25" customHeight="1" x14ac:dyDescent="0.3">
      <c r="G5339" s="470"/>
      <c r="H5339" s="470">
        <v>5332</v>
      </c>
      <c r="I5339" s="455">
        <f t="shared" ca="1" si="203"/>
        <v>-721367337342412.25</v>
      </c>
      <c r="J5339" s="455">
        <f t="array" ref="J5339">IFERROR(INDEX('Retirement Calculator'!J:J,MATCH('Isaac 401k'!N5339,'Retirement Calculator'!A:A,0),0),0)</f>
        <v>0</v>
      </c>
      <c r="K5339" s="455">
        <f t="shared" ca="1" si="201"/>
        <v>-3005697238926.7178</v>
      </c>
      <c r="L5339" s="455">
        <f t="shared" ca="1" si="202"/>
        <v>-724373034581339</v>
      </c>
      <c r="M5339" s="471">
        <f t="shared" si="204"/>
        <v>0.05</v>
      </c>
      <c r="N5339" s="475">
        <f t="shared" si="205"/>
        <v>213548</v>
      </c>
    </row>
    <row r="5340" spans="7:14" ht="11.25" customHeight="1" x14ac:dyDescent="0.3">
      <c r="G5340" s="470"/>
      <c r="H5340" s="470">
        <v>5333</v>
      </c>
      <c r="I5340" s="455">
        <f t="shared" ca="1" si="203"/>
        <v>-724373034581339</v>
      </c>
      <c r="J5340" s="455">
        <f t="array" ref="J5340">IFERROR(INDEX('Retirement Calculator'!J:J,MATCH('Isaac 401k'!N5340,'Retirement Calculator'!A:A,0),0),0)</f>
        <v>0</v>
      </c>
      <c r="K5340" s="455">
        <f t="shared" ca="1" si="201"/>
        <v>-3018220977422.2456</v>
      </c>
      <c r="L5340" s="455">
        <f t="shared" ca="1" si="202"/>
        <v>-727391255558761.25</v>
      </c>
      <c r="M5340" s="471">
        <f t="shared" si="204"/>
        <v>0.05</v>
      </c>
      <c r="N5340" s="475">
        <f t="shared" si="205"/>
        <v>213578</v>
      </c>
    </row>
    <row r="5341" spans="7:14" ht="11.25" customHeight="1" x14ac:dyDescent="0.3">
      <c r="G5341" s="470"/>
      <c r="H5341" s="470">
        <v>5334</v>
      </c>
      <c r="I5341" s="455">
        <f t="shared" ca="1" si="203"/>
        <v>-727391255558761.25</v>
      </c>
      <c r="J5341" s="455">
        <f t="array" ref="J5341">IFERROR(INDEX('Retirement Calculator'!J:J,MATCH('Isaac 401k'!N5341,'Retirement Calculator'!A:A,0),0),0)</f>
        <v>0</v>
      </c>
      <c r="K5341" s="455">
        <f t="shared" ca="1" si="201"/>
        <v>-3030796898161.5054</v>
      </c>
      <c r="L5341" s="455">
        <f t="shared" ca="1" si="202"/>
        <v>-730422052456922.75</v>
      </c>
      <c r="M5341" s="471">
        <f t="shared" si="204"/>
        <v>0.05</v>
      </c>
      <c r="N5341" s="475">
        <f t="shared" si="205"/>
        <v>213609</v>
      </c>
    </row>
    <row r="5342" spans="7:14" ht="11.25" customHeight="1" x14ac:dyDescent="0.3">
      <c r="G5342" s="470"/>
      <c r="H5342" s="470">
        <v>5335</v>
      </c>
      <c r="I5342" s="455">
        <f t="shared" ca="1" si="203"/>
        <v>-730422052456922.75</v>
      </c>
      <c r="J5342" s="455">
        <f t="array" ref="J5342">IFERROR(INDEX('Retirement Calculator'!J:J,MATCH('Isaac 401k'!N5342,'Retirement Calculator'!A:A,0),0),0)</f>
        <v>0</v>
      </c>
      <c r="K5342" s="455">
        <f t="shared" ca="1" si="201"/>
        <v>-3043425218570.5112</v>
      </c>
      <c r="L5342" s="455">
        <f t="shared" ca="1" si="202"/>
        <v>-733465477675493.25</v>
      </c>
      <c r="M5342" s="471">
        <f t="shared" si="204"/>
        <v>0.05</v>
      </c>
      <c r="N5342" s="475">
        <f t="shared" si="205"/>
        <v>213639</v>
      </c>
    </row>
    <row r="5343" spans="7:14" ht="11.25" customHeight="1" x14ac:dyDescent="0.3">
      <c r="G5343" s="470"/>
      <c r="H5343" s="470">
        <v>5336</v>
      </c>
      <c r="I5343" s="455">
        <f t="shared" ca="1" si="203"/>
        <v>-733465477675493.25</v>
      </c>
      <c r="J5343" s="455">
        <f t="array" ref="J5343">IFERROR(INDEX('Retirement Calculator'!J:J,MATCH('Isaac 401k'!N5343,'Retirement Calculator'!A:A,0),0),0)</f>
        <v>0</v>
      </c>
      <c r="K5343" s="455">
        <f t="shared" ca="1" si="201"/>
        <v>-3056106156981.2217</v>
      </c>
      <c r="L5343" s="455">
        <f t="shared" ca="1" si="202"/>
        <v>-736521583832474.5</v>
      </c>
      <c r="M5343" s="471">
        <f t="shared" si="204"/>
        <v>0.05</v>
      </c>
      <c r="N5343" s="475">
        <f t="shared" si="205"/>
        <v>213670</v>
      </c>
    </row>
    <row r="5344" spans="7:14" ht="11.25" customHeight="1" x14ac:dyDescent="0.3">
      <c r="G5344" s="470"/>
      <c r="H5344" s="470">
        <v>5337</v>
      </c>
      <c r="I5344" s="455">
        <f t="shared" ca="1" si="203"/>
        <v>-736521583832474.5</v>
      </c>
      <c r="J5344" s="455">
        <f t="array" ref="J5344">IFERROR(INDEX('Retirement Calculator'!J:J,MATCH('Isaac 401k'!N5344,'Retirement Calculator'!A:A,0),0),0)</f>
        <v>0</v>
      </c>
      <c r="K5344" s="455">
        <f t="shared" ca="1" si="201"/>
        <v>-3068839932635.3105</v>
      </c>
      <c r="L5344" s="455">
        <f t="shared" ca="1" si="202"/>
        <v>-739590423765109.75</v>
      </c>
      <c r="M5344" s="471">
        <f t="shared" si="204"/>
        <v>0.05</v>
      </c>
      <c r="N5344" s="475">
        <f t="shared" si="205"/>
        <v>213701</v>
      </c>
    </row>
    <row r="5345" spans="7:14" ht="11.25" customHeight="1" x14ac:dyDescent="0.3">
      <c r="G5345" s="470"/>
      <c r="H5345" s="470">
        <v>5338</v>
      </c>
      <c r="I5345" s="455">
        <f t="shared" ca="1" si="203"/>
        <v>-739590423765109.75</v>
      </c>
      <c r="J5345" s="455">
        <f t="array" ref="J5345">IFERROR(INDEX('Retirement Calculator'!J:J,MATCH('Isaac 401k'!N5345,'Retirement Calculator'!A:A,0),0),0)</f>
        <v>0</v>
      </c>
      <c r="K5345" s="455">
        <f t="shared" ca="1" si="201"/>
        <v>-3081626765687.957</v>
      </c>
      <c r="L5345" s="455">
        <f t="shared" ca="1" si="202"/>
        <v>-742672050530797.75</v>
      </c>
      <c r="M5345" s="471">
        <f t="shared" si="204"/>
        <v>0.05</v>
      </c>
      <c r="N5345" s="475">
        <f t="shared" si="205"/>
        <v>213729</v>
      </c>
    </row>
    <row r="5346" spans="7:14" ht="11.25" customHeight="1" x14ac:dyDescent="0.3">
      <c r="G5346" s="470"/>
      <c r="H5346" s="470">
        <v>5339</v>
      </c>
      <c r="I5346" s="455">
        <f t="shared" ca="1" si="203"/>
        <v>-742672050530797.75</v>
      </c>
      <c r="J5346" s="455">
        <f t="array" ref="J5346">IFERROR(INDEX('Retirement Calculator'!J:J,MATCH('Isaac 401k'!N5346,'Retirement Calculator'!A:A,0),0),0)</f>
        <v>0</v>
      </c>
      <c r="K5346" s="455">
        <f t="shared" ca="1" si="201"/>
        <v>-3094466877211.6572</v>
      </c>
      <c r="L5346" s="455">
        <f t="shared" ca="1" si="202"/>
        <v>-745766517408009.38</v>
      </c>
      <c r="M5346" s="471">
        <f t="shared" si="204"/>
        <v>0.05</v>
      </c>
      <c r="N5346" s="475">
        <f t="shared" si="205"/>
        <v>213760</v>
      </c>
    </row>
    <row r="5347" spans="7:14" ht="11.25" customHeight="1" x14ac:dyDescent="0.3">
      <c r="G5347" s="470"/>
      <c r="H5347" s="470">
        <v>5340</v>
      </c>
      <c r="I5347" s="455">
        <f t="shared" ca="1" si="203"/>
        <v>-745766517408009.38</v>
      </c>
      <c r="J5347" s="455">
        <f t="array" ref="J5347">IFERROR(INDEX('Retirement Calculator'!J:J,MATCH('Isaac 401k'!N5347,'Retirement Calculator'!A:A,0),0),0)</f>
        <v>0</v>
      </c>
      <c r="K5347" s="455">
        <f t="shared" ca="1" si="201"/>
        <v>-3107360489200.0391</v>
      </c>
      <c r="L5347" s="455">
        <f t="shared" ca="1" si="202"/>
        <v>-748873877897209.38</v>
      </c>
      <c r="M5347" s="471">
        <f t="shared" si="204"/>
        <v>0.05</v>
      </c>
      <c r="N5347" s="475">
        <f t="shared" si="205"/>
        <v>213790</v>
      </c>
    </row>
    <row r="5348" spans="7:14" ht="11.25" customHeight="1" x14ac:dyDescent="0.3">
      <c r="G5348" s="470"/>
      <c r="H5348" s="470">
        <v>5341</v>
      </c>
      <c r="I5348" s="455">
        <f t="shared" ca="1" si="203"/>
        <v>-748873877897209.38</v>
      </c>
      <c r="J5348" s="455">
        <f t="array" ref="J5348">IFERROR(INDEX('Retirement Calculator'!J:J,MATCH('Isaac 401k'!N5348,'Retirement Calculator'!A:A,0),0),0)</f>
        <v>0</v>
      </c>
      <c r="K5348" s="455">
        <f t="shared" ca="1" si="201"/>
        <v>-3120307824571.7056</v>
      </c>
      <c r="L5348" s="455">
        <f t="shared" ca="1" si="202"/>
        <v>-751994185721781.13</v>
      </c>
      <c r="M5348" s="471">
        <f t="shared" si="204"/>
        <v>0.05</v>
      </c>
      <c r="N5348" s="475">
        <f t="shared" si="205"/>
        <v>213821</v>
      </c>
    </row>
    <row r="5349" spans="7:14" ht="11.25" customHeight="1" x14ac:dyDescent="0.3">
      <c r="G5349" s="470"/>
      <c r="H5349" s="470">
        <v>5342</v>
      </c>
      <c r="I5349" s="455">
        <f t="shared" ca="1" si="203"/>
        <v>-751994185721781.13</v>
      </c>
      <c r="J5349" s="455">
        <f t="array" ref="J5349">IFERROR(INDEX('Retirement Calculator'!J:J,MATCH('Isaac 401k'!N5349,'Retirement Calculator'!A:A,0),0),0)</f>
        <v>0</v>
      </c>
      <c r="K5349" s="455">
        <f t="shared" ca="1" si="201"/>
        <v>-3133309107174.0879</v>
      </c>
      <c r="L5349" s="455">
        <f t="shared" ca="1" si="202"/>
        <v>-755127494828955.25</v>
      </c>
      <c r="M5349" s="471">
        <f t="shared" si="204"/>
        <v>0.05</v>
      </c>
      <c r="N5349" s="475">
        <f t="shared" si="205"/>
        <v>213851</v>
      </c>
    </row>
    <row r="5350" spans="7:14" ht="11.25" customHeight="1" x14ac:dyDescent="0.3">
      <c r="G5350" s="470"/>
      <c r="H5350" s="470">
        <v>5343</v>
      </c>
      <c r="I5350" s="455">
        <f t="shared" ca="1" si="203"/>
        <v>-755127494828955.25</v>
      </c>
      <c r="J5350" s="455">
        <f t="array" ref="J5350">IFERROR(INDEX('Retirement Calculator'!J:J,MATCH('Isaac 401k'!N5350,'Retirement Calculator'!A:A,0),0),0)</f>
        <v>0</v>
      </c>
      <c r="K5350" s="455">
        <f t="shared" ca="1" si="201"/>
        <v>-3146364561787.3135</v>
      </c>
      <c r="L5350" s="455">
        <f t="shared" ca="1" si="202"/>
        <v>-758273859390742.63</v>
      </c>
      <c r="M5350" s="471">
        <f t="shared" si="204"/>
        <v>0.05</v>
      </c>
      <c r="N5350" s="475">
        <f t="shared" si="205"/>
        <v>213882</v>
      </c>
    </row>
    <row r="5351" spans="7:14" ht="11.25" customHeight="1" x14ac:dyDescent="0.3">
      <c r="G5351" s="470"/>
      <c r="H5351" s="470">
        <v>5344</v>
      </c>
      <c r="I5351" s="455">
        <f t="shared" ca="1" si="203"/>
        <v>-758273859390742.63</v>
      </c>
      <c r="J5351" s="455">
        <f t="array" ref="J5351">IFERROR(INDEX('Retirement Calculator'!J:J,MATCH('Isaac 401k'!N5351,'Retirement Calculator'!A:A,0),0),0)</f>
        <v>0</v>
      </c>
      <c r="K5351" s="455">
        <f t="shared" ca="1" si="201"/>
        <v>-3159474414128.0942</v>
      </c>
      <c r="L5351" s="455">
        <f t="shared" ca="1" si="202"/>
        <v>-761433333804870.75</v>
      </c>
      <c r="M5351" s="471">
        <f t="shared" si="204"/>
        <v>0.05</v>
      </c>
      <c r="N5351" s="475">
        <f t="shared" si="205"/>
        <v>213913</v>
      </c>
    </row>
    <row r="5352" spans="7:14" ht="11.25" customHeight="1" x14ac:dyDescent="0.3">
      <c r="G5352" s="470"/>
      <c r="H5352" s="470">
        <v>5345</v>
      </c>
      <c r="I5352" s="455">
        <f t="shared" ca="1" si="203"/>
        <v>-761433333804870.75</v>
      </c>
      <c r="J5352" s="455">
        <f t="array" ref="J5352">IFERROR(INDEX('Retirement Calculator'!J:J,MATCH('Isaac 401k'!N5352,'Retirement Calculator'!A:A,0),0),0)</f>
        <v>0</v>
      </c>
      <c r="K5352" s="455">
        <f t="shared" ca="1" si="201"/>
        <v>-3172638890853.6279</v>
      </c>
      <c r="L5352" s="455">
        <f t="shared" ca="1" si="202"/>
        <v>-764605972695724.38</v>
      </c>
      <c r="M5352" s="471">
        <f t="shared" si="204"/>
        <v>0.05</v>
      </c>
      <c r="N5352" s="475">
        <f t="shared" si="205"/>
        <v>213943</v>
      </c>
    </row>
    <row r="5353" spans="7:14" ht="11.25" customHeight="1" x14ac:dyDescent="0.3">
      <c r="G5353" s="470"/>
      <c r="H5353" s="470">
        <v>5346</v>
      </c>
      <c r="I5353" s="455">
        <f t="shared" ca="1" si="203"/>
        <v>-764605972695724.38</v>
      </c>
      <c r="J5353" s="455">
        <f t="array" ref="J5353">IFERROR(INDEX('Retirement Calculator'!J:J,MATCH('Isaac 401k'!N5353,'Retirement Calculator'!A:A,0),0),0)</f>
        <v>0</v>
      </c>
      <c r="K5353" s="455">
        <f t="shared" ca="1" si="201"/>
        <v>-3185858219565.5181</v>
      </c>
      <c r="L5353" s="455">
        <f t="shared" ca="1" si="202"/>
        <v>-767791830915289.88</v>
      </c>
      <c r="M5353" s="471">
        <f t="shared" si="204"/>
        <v>0.05</v>
      </c>
      <c r="N5353" s="475">
        <f t="shared" si="205"/>
        <v>213974</v>
      </c>
    </row>
    <row r="5354" spans="7:14" ht="11.25" customHeight="1" x14ac:dyDescent="0.3">
      <c r="G5354" s="470"/>
      <c r="H5354" s="470">
        <v>5347</v>
      </c>
      <c r="I5354" s="455">
        <f t="shared" ca="1" si="203"/>
        <v>-767791830915289.88</v>
      </c>
      <c r="J5354" s="455">
        <f t="array" ref="J5354">IFERROR(INDEX('Retirement Calculator'!J:J,MATCH('Isaac 401k'!N5354,'Retirement Calculator'!A:A,0),0),0)</f>
        <v>0</v>
      </c>
      <c r="K5354" s="455">
        <f t="shared" ca="1" si="201"/>
        <v>-3199132628813.708</v>
      </c>
      <c r="L5354" s="455">
        <f t="shared" ca="1" si="202"/>
        <v>-770990963544103.63</v>
      </c>
      <c r="M5354" s="471">
        <f t="shared" si="204"/>
        <v>0.05</v>
      </c>
      <c r="N5354" s="475">
        <f t="shared" si="205"/>
        <v>214004</v>
      </c>
    </row>
    <row r="5355" spans="7:14" ht="11.25" customHeight="1" x14ac:dyDescent="0.3">
      <c r="G5355" s="470"/>
      <c r="H5355" s="470">
        <v>5348</v>
      </c>
      <c r="I5355" s="455">
        <f t="shared" ca="1" si="203"/>
        <v>-770990963544103.63</v>
      </c>
      <c r="J5355" s="455">
        <f t="array" ref="J5355">IFERROR(INDEX('Retirement Calculator'!J:J,MATCH('Isaac 401k'!N5355,'Retirement Calculator'!A:A,0),0),0)</f>
        <v>0</v>
      </c>
      <c r="K5355" s="455">
        <f t="shared" ca="1" si="201"/>
        <v>-3212462348100.4316</v>
      </c>
      <c r="L5355" s="455">
        <f t="shared" ca="1" si="202"/>
        <v>-774203425892204</v>
      </c>
      <c r="M5355" s="471">
        <f t="shared" si="204"/>
        <v>0.05</v>
      </c>
      <c r="N5355" s="475">
        <f t="shared" si="205"/>
        <v>214035</v>
      </c>
    </row>
    <row r="5356" spans="7:14" ht="11.25" customHeight="1" x14ac:dyDescent="0.3">
      <c r="G5356" s="470"/>
      <c r="H5356" s="470">
        <v>5349</v>
      </c>
      <c r="I5356" s="455">
        <f t="shared" ca="1" si="203"/>
        <v>-774203425892204</v>
      </c>
      <c r="J5356" s="455">
        <f t="array" ref="J5356">IFERROR(INDEX('Retirement Calculator'!J:J,MATCH('Isaac 401k'!N5356,'Retirement Calculator'!A:A,0),0),0)</f>
        <v>0</v>
      </c>
      <c r="K5356" s="455">
        <f t="shared" ca="1" si="201"/>
        <v>-3225847607884.1831</v>
      </c>
      <c r="L5356" s="455">
        <f t="shared" ca="1" si="202"/>
        <v>-777429273500088.13</v>
      </c>
      <c r="M5356" s="471">
        <f t="shared" si="204"/>
        <v>0.05</v>
      </c>
      <c r="N5356" s="475">
        <f t="shared" si="205"/>
        <v>214066</v>
      </c>
    </row>
    <row r="5357" spans="7:14" ht="11.25" customHeight="1" x14ac:dyDescent="0.3">
      <c r="G5357" s="470"/>
      <c r="H5357" s="470">
        <v>5350</v>
      </c>
      <c r="I5357" s="455">
        <f t="shared" ca="1" si="203"/>
        <v>-777429273500088.13</v>
      </c>
      <c r="J5357" s="455">
        <f t="array" ref="J5357">IFERROR(INDEX('Retirement Calculator'!J:J,MATCH('Isaac 401k'!N5357,'Retirement Calculator'!A:A,0),0),0)</f>
        <v>0</v>
      </c>
      <c r="K5357" s="455">
        <f t="shared" ca="1" si="201"/>
        <v>-3239288639583.7007</v>
      </c>
      <c r="L5357" s="455">
        <f t="shared" ca="1" si="202"/>
        <v>-780668562139671.88</v>
      </c>
      <c r="M5357" s="471">
        <f t="shared" si="204"/>
        <v>0.05</v>
      </c>
      <c r="N5357" s="475">
        <f t="shared" si="205"/>
        <v>214094</v>
      </c>
    </row>
    <row r="5358" spans="7:14" ht="11.25" customHeight="1" x14ac:dyDescent="0.3">
      <c r="G5358" s="470"/>
      <c r="H5358" s="470">
        <v>5351</v>
      </c>
      <c r="I5358" s="455">
        <f t="shared" ca="1" si="203"/>
        <v>-780668562139671.88</v>
      </c>
      <c r="J5358" s="455">
        <f t="array" ref="J5358">IFERROR(INDEX('Retirement Calculator'!J:J,MATCH('Isaac 401k'!N5358,'Retirement Calculator'!A:A,0),0),0)</f>
        <v>0</v>
      </c>
      <c r="K5358" s="455">
        <f t="shared" ca="1" si="201"/>
        <v>-3252785675581.9663</v>
      </c>
      <c r="L5358" s="455">
        <f t="shared" ca="1" si="202"/>
        <v>-783921347815253.88</v>
      </c>
      <c r="M5358" s="471">
        <f t="shared" si="204"/>
        <v>0.05</v>
      </c>
      <c r="N5358" s="475">
        <f t="shared" si="205"/>
        <v>214125</v>
      </c>
    </row>
    <row r="5359" spans="7:14" ht="11.25" customHeight="1" x14ac:dyDescent="0.3">
      <c r="G5359" s="470"/>
      <c r="H5359" s="470">
        <v>5352</v>
      </c>
      <c r="I5359" s="455">
        <f t="shared" ca="1" si="203"/>
        <v>-783921347815253.88</v>
      </c>
      <c r="J5359" s="455">
        <f t="array" ref="J5359">IFERROR(INDEX('Retirement Calculator'!J:J,MATCH('Isaac 401k'!N5359,'Retirement Calculator'!A:A,0),0),0)</f>
        <v>0</v>
      </c>
      <c r="K5359" s="455">
        <f t="shared" ca="1" si="201"/>
        <v>-3266338949230.2246</v>
      </c>
      <c r="L5359" s="455">
        <f t="shared" ca="1" si="202"/>
        <v>-787187686764484.13</v>
      </c>
      <c r="M5359" s="471">
        <f t="shared" si="204"/>
        <v>0.05</v>
      </c>
      <c r="N5359" s="475">
        <f t="shared" si="205"/>
        <v>214155</v>
      </c>
    </row>
    <row r="5360" spans="7:14" ht="11.25" customHeight="1" x14ac:dyDescent="0.3">
      <c r="G5360" s="470"/>
      <c r="H5360" s="470">
        <v>5353</v>
      </c>
      <c r="I5360" s="455">
        <f t="shared" ca="1" si="203"/>
        <v>-787187686764484.13</v>
      </c>
      <c r="J5360" s="455">
        <f t="array" ref="J5360">IFERROR(INDEX('Retirement Calculator'!J:J,MATCH('Isaac 401k'!N5360,'Retirement Calculator'!A:A,0),0),0)</f>
        <v>0</v>
      </c>
      <c r="K5360" s="455">
        <f t="shared" ca="1" si="201"/>
        <v>-3279948694852.0171</v>
      </c>
      <c r="L5360" s="455">
        <f t="shared" ca="1" si="202"/>
        <v>-790467635459336.13</v>
      </c>
      <c r="M5360" s="471">
        <f t="shared" si="204"/>
        <v>0.05</v>
      </c>
      <c r="N5360" s="475">
        <f t="shared" si="205"/>
        <v>214186</v>
      </c>
    </row>
    <row r="5361" spans="7:14" ht="11.25" customHeight="1" x14ac:dyDescent="0.3">
      <c r="G5361" s="470"/>
      <c r="H5361" s="470">
        <v>5354</v>
      </c>
      <c r="I5361" s="455">
        <f t="shared" ca="1" si="203"/>
        <v>-790467635459336.13</v>
      </c>
      <c r="J5361" s="455">
        <f t="array" ref="J5361">IFERROR(INDEX('Retirement Calculator'!J:J,MATCH('Isaac 401k'!N5361,'Retirement Calculator'!A:A,0),0),0)</f>
        <v>0</v>
      </c>
      <c r="K5361" s="455">
        <f t="shared" ca="1" si="201"/>
        <v>-3293615147747.2339</v>
      </c>
      <c r="L5361" s="455">
        <f t="shared" ca="1" si="202"/>
        <v>-793761250607083.38</v>
      </c>
      <c r="M5361" s="471">
        <f t="shared" si="204"/>
        <v>0.05</v>
      </c>
      <c r="N5361" s="475">
        <f t="shared" si="205"/>
        <v>214216</v>
      </c>
    </row>
    <row r="5362" spans="7:14" ht="11.25" customHeight="1" x14ac:dyDescent="0.3">
      <c r="G5362" s="470"/>
      <c r="H5362" s="470">
        <v>5355</v>
      </c>
      <c r="I5362" s="455">
        <f t="shared" ca="1" si="203"/>
        <v>-793761250607083.38</v>
      </c>
      <c r="J5362" s="455">
        <f t="array" ref="J5362">IFERROR(INDEX('Retirement Calculator'!J:J,MATCH('Isaac 401k'!N5362,'Retirement Calculator'!A:A,0),0),0)</f>
        <v>0</v>
      </c>
      <c r="K5362" s="455">
        <f t="shared" ca="1" si="201"/>
        <v>-3307338544196.1807</v>
      </c>
      <c r="L5362" s="455">
        <f t="shared" ca="1" si="202"/>
        <v>-797068589151279.5</v>
      </c>
      <c r="M5362" s="471">
        <f t="shared" si="204"/>
        <v>0.05</v>
      </c>
      <c r="N5362" s="475">
        <f t="shared" si="205"/>
        <v>214247</v>
      </c>
    </row>
    <row r="5363" spans="7:14" ht="11.25" customHeight="1" x14ac:dyDescent="0.3">
      <c r="G5363" s="470"/>
      <c r="H5363" s="470">
        <v>5356</v>
      </c>
      <c r="I5363" s="455">
        <f t="shared" ca="1" si="203"/>
        <v>-797068589151279.5</v>
      </c>
      <c r="J5363" s="455">
        <f t="array" ref="J5363">IFERROR(INDEX('Retirement Calculator'!J:J,MATCH('Isaac 401k'!N5363,'Retirement Calculator'!A:A,0),0),0)</f>
        <v>0</v>
      </c>
      <c r="K5363" s="455">
        <f t="shared" ref="K5363:K5617" ca="1" si="206">IPMT(M5363/12,1,12,-I5363+J5363,,0)</f>
        <v>-3321119121463.6646</v>
      </c>
      <c r="L5363" s="455">
        <f t="shared" ref="L5363:L5617" ca="1" si="207">I5363-J5363+K5363</f>
        <v>-800389708272743.13</v>
      </c>
      <c r="M5363" s="471">
        <f t="shared" si="204"/>
        <v>0.05</v>
      </c>
      <c r="N5363" s="475">
        <f t="shared" si="205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208">L5363</f>
        <v>-800389708272743.13</v>
      </c>
      <c r="J5364" s="455">
        <f t="array" ref="J5364">IFERROR(INDEX('Retirement Calculator'!J:J,MATCH('Isaac 401k'!N5364,'Retirement Calculator'!A:A,0),0),0)</f>
        <v>0</v>
      </c>
      <c r="K5364" s="455">
        <f t="shared" ca="1" si="206"/>
        <v>-3334957117803.0962</v>
      </c>
      <c r="L5364" s="455">
        <f t="shared" ca="1" si="207"/>
        <v>-803724665390546.25</v>
      </c>
      <c r="M5364" s="471">
        <f t="shared" ref="M5364:M5618" si="209">M5363</f>
        <v>0.05</v>
      </c>
      <c r="N5364" s="475">
        <f t="shared" ref="N5364:N5618" si="210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208"/>
        <v>-803724665390546.25</v>
      </c>
      <c r="J5365" s="455">
        <f t="array" ref="J5365">IFERROR(INDEX('Retirement Calculator'!J:J,MATCH('Isaac 401k'!N5365,'Retirement Calculator'!A:A,0),0),0)</f>
        <v>0</v>
      </c>
      <c r="K5365" s="455">
        <f t="shared" ca="1" si="206"/>
        <v>-3348852772460.6094</v>
      </c>
      <c r="L5365" s="455">
        <f t="shared" ca="1" si="207"/>
        <v>-807073518163006.88</v>
      </c>
      <c r="M5365" s="471">
        <f t="shared" si="209"/>
        <v>0.05</v>
      </c>
      <c r="N5365" s="475">
        <f t="shared" si="210"/>
        <v>214339</v>
      </c>
    </row>
    <row r="5366" spans="7:14" ht="11.25" customHeight="1" x14ac:dyDescent="0.3">
      <c r="G5366" s="470"/>
      <c r="H5366" s="470">
        <v>5359</v>
      </c>
      <c r="I5366" s="455">
        <f t="shared" ca="1" si="208"/>
        <v>-807073518163006.88</v>
      </c>
      <c r="J5366" s="455">
        <f t="array" ref="J5366">IFERROR(INDEX('Retirement Calculator'!J:J,MATCH('Isaac 401k'!N5366,'Retirement Calculator'!A:A,0),0),0)</f>
        <v>0</v>
      </c>
      <c r="K5366" s="455">
        <f t="shared" ca="1" si="206"/>
        <v>-3362806325679.1953</v>
      </c>
      <c r="L5366" s="455">
        <f t="shared" ca="1" si="207"/>
        <v>-810436324488686.13</v>
      </c>
      <c r="M5366" s="471">
        <f t="shared" si="209"/>
        <v>0.05</v>
      </c>
      <c r="N5366" s="475">
        <f t="shared" si="210"/>
        <v>214369</v>
      </c>
    </row>
    <row r="5367" spans="7:14" ht="11.25" customHeight="1" x14ac:dyDescent="0.3">
      <c r="G5367" s="470"/>
      <c r="H5367" s="470">
        <v>5360</v>
      </c>
      <c r="I5367" s="455">
        <f t="shared" ca="1" si="208"/>
        <v>-810436324488686.13</v>
      </c>
      <c r="J5367" s="455">
        <f t="array" ref="J5367">IFERROR(INDEX('Retirement Calculator'!J:J,MATCH('Isaac 401k'!N5367,'Retirement Calculator'!A:A,0),0),0)</f>
        <v>0</v>
      </c>
      <c r="K5367" s="455">
        <f t="shared" ca="1" si="206"/>
        <v>-3376818018702.8589</v>
      </c>
      <c r="L5367" s="455">
        <f t="shared" ca="1" si="207"/>
        <v>-813813142507389</v>
      </c>
      <c r="M5367" s="471">
        <f t="shared" si="209"/>
        <v>0.05</v>
      </c>
      <c r="N5367" s="475">
        <f t="shared" si="210"/>
        <v>214400</v>
      </c>
    </row>
    <row r="5368" spans="7:14" ht="11.25" customHeight="1" x14ac:dyDescent="0.3">
      <c r="G5368" s="470"/>
      <c r="H5368" s="470">
        <v>5361</v>
      </c>
      <c r="I5368" s="455">
        <f t="shared" ca="1" si="208"/>
        <v>-813813142507389</v>
      </c>
      <c r="J5368" s="455">
        <f t="array" ref="J5368">IFERROR(INDEX('Retirement Calculator'!J:J,MATCH('Isaac 401k'!N5368,'Retirement Calculator'!A:A,0),0),0)</f>
        <v>0</v>
      </c>
      <c r="K5368" s="455">
        <f t="shared" ca="1" si="206"/>
        <v>-3390888093780.7876</v>
      </c>
      <c r="L5368" s="455">
        <f t="shared" ca="1" si="207"/>
        <v>-817204030601169.75</v>
      </c>
      <c r="M5368" s="471">
        <f t="shared" si="209"/>
        <v>0.05</v>
      </c>
      <c r="N5368" s="475">
        <f t="shared" si="210"/>
        <v>214431</v>
      </c>
    </row>
    <row r="5369" spans="7:14" ht="11.25" customHeight="1" x14ac:dyDescent="0.3">
      <c r="G5369" s="470"/>
      <c r="H5369" s="470">
        <v>5362</v>
      </c>
      <c r="I5369" s="455">
        <f t="shared" ca="1" si="208"/>
        <v>-817204030601169.75</v>
      </c>
      <c r="J5369" s="455">
        <f t="array" ref="J5369">IFERROR(INDEX('Retirement Calculator'!J:J,MATCH('Isaac 401k'!N5369,'Retirement Calculator'!A:A,0),0),0)</f>
        <v>0</v>
      </c>
      <c r="K5369" s="455">
        <f t="shared" ca="1" si="206"/>
        <v>-3405016794171.5405</v>
      </c>
      <c r="L5369" s="455">
        <f t="shared" ca="1" si="207"/>
        <v>-820609047395341.25</v>
      </c>
      <c r="M5369" s="471">
        <f t="shared" si="209"/>
        <v>0.05</v>
      </c>
      <c r="N5369" s="475">
        <f t="shared" si="210"/>
        <v>214459</v>
      </c>
    </row>
    <row r="5370" spans="7:14" ht="11.25" customHeight="1" x14ac:dyDescent="0.3">
      <c r="G5370" s="470"/>
      <c r="H5370" s="470">
        <v>5363</v>
      </c>
      <c r="I5370" s="455">
        <f t="shared" ca="1" si="208"/>
        <v>-820609047395341.25</v>
      </c>
      <c r="J5370" s="455">
        <f t="array" ref="J5370">IFERROR(INDEX('Retirement Calculator'!J:J,MATCH('Isaac 401k'!N5370,'Retirement Calculator'!A:A,0),0),0)</f>
        <v>0</v>
      </c>
      <c r="K5370" s="455">
        <f t="shared" ca="1" si="206"/>
        <v>-3419204364147.2554</v>
      </c>
      <c r="L5370" s="455">
        <f t="shared" ca="1" si="207"/>
        <v>-824028251759488.5</v>
      </c>
      <c r="M5370" s="471">
        <f t="shared" si="209"/>
        <v>0.05</v>
      </c>
      <c r="N5370" s="475">
        <f t="shared" si="210"/>
        <v>214490</v>
      </c>
    </row>
    <row r="5371" spans="7:14" ht="11.25" customHeight="1" x14ac:dyDescent="0.3">
      <c r="G5371" s="470"/>
      <c r="H5371" s="470">
        <v>5364</v>
      </c>
      <c r="I5371" s="455">
        <f t="shared" ca="1" si="208"/>
        <v>-824028251759488.5</v>
      </c>
      <c r="J5371" s="455">
        <f t="array" ref="J5371">IFERROR(INDEX('Retirement Calculator'!J:J,MATCH('Isaac 401k'!N5371,'Retirement Calculator'!A:A,0),0),0)</f>
        <v>0</v>
      </c>
      <c r="K5371" s="455">
        <f t="shared" ca="1" si="206"/>
        <v>-3433451048997.8687</v>
      </c>
      <c r="L5371" s="455">
        <f t="shared" ca="1" si="207"/>
        <v>-827461702808486.38</v>
      </c>
      <c r="M5371" s="471">
        <f t="shared" si="209"/>
        <v>0.05</v>
      </c>
      <c r="N5371" s="475">
        <f t="shared" si="210"/>
        <v>214520</v>
      </c>
    </row>
    <row r="5372" spans="7:14" ht="11.25" customHeight="1" x14ac:dyDescent="0.3">
      <c r="G5372" s="470"/>
      <c r="H5372" s="470">
        <v>5365</v>
      </c>
      <c r="I5372" s="455">
        <f t="shared" ca="1" si="208"/>
        <v>-827461702808486.38</v>
      </c>
      <c r="J5372" s="455">
        <f t="array" ref="J5372">IFERROR(INDEX('Retirement Calculator'!J:J,MATCH('Isaac 401k'!N5372,'Retirement Calculator'!A:A,0),0),0)</f>
        <v>0</v>
      </c>
      <c r="K5372" s="455">
        <f t="shared" ca="1" si="206"/>
        <v>-3447757095035.3599</v>
      </c>
      <c r="L5372" s="455">
        <f t="shared" ca="1" si="207"/>
        <v>-830909459903521.75</v>
      </c>
      <c r="M5372" s="471">
        <f t="shared" si="209"/>
        <v>0.05</v>
      </c>
      <c r="N5372" s="475">
        <f t="shared" si="210"/>
        <v>214551</v>
      </c>
    </row>
    <row r="5373" spans="7:14" ht="11.25" customHeight="1" x14ac:dyDescent="0.3">
      <c r="G5373" s="470"/>
      <c r="H5373" s="470">
        <v>5366</v>
      </c>
      <c r="I5373" s="455">
        <f t="shared" ca="1" si="208"/>
        <v>-830909459903521.75</v>
      </c>
      <c r="J5373" s="455">
        <f t="array" ref="J5373">IFERROR(INDEX('Retirement Calculator'!J:J,MATCH('Isaac 401k'!N5373,'Retirement Calculator'!A:A,0),0),0)</f>
        <v>0</v>
      </c>
      <c r="K5373" s="455">
        <f t="shared" ca="1" si="206"/>
        <v>-3462122749598.0073</v>
      </c>
      <c r="L5373" s="455">
        <f t="shared" ca="1" si="207"/>
        <v>-834371582653119.75</v>
      </c>
      <c r="M5373" s="471">
        <f t="shared" si="209"/>
        <v>0.05</v>
      </c>
      <c r="N5373" s="475">
        <f t="shared" si="210"/>
        <v>214581</v>
      </c>
    </row>
    <row r="5374" spans="7:14" ht="11.25" customHeight="1" x14ac:dyDescent="0.3">
      <c r="G5374" s="470"/>
      <c r="H5374" s="470">
        <v>5367</v>
      </c>
      <c r="I5374" s="455">
        <f t="shared" ca="1" si="208"/>
        <v>-834371582653119.75</v>
      </c>
      <c r="J5374" s="455">
        <f t="array" ref="J5374">IFERROR(INDEX('Retirement Calculator'!J:J,MATCH('Isaac 401k'!N5374,'Retirement Calculator'!A:A,0),0),0)</f>
        <v>0</v>
      </c>
      <c r="K5374" s="455">
        <f t="shared" ca="1" si="206"/>
        <v>-3476548261054.6655</v>
      </c>
      <c r="L5374" s="455">
        <f t="shared" ca="1" si="207"/>
        <v>-837848130914174.38</v>
      </c>
      <c r="M5374" s="471">
        <f t="shared" si="209"/>
        <v>0.05</v>
      </c>
      <c r="N5374" s="475">
        <f t="shared" si="210"/>
        <v>214612</v>
      </c>
    </row>
    <row r="5375" spans="7:14" ht="11.25" customHeight="1" x14ac:dyDescent="0.3">
      <c r="G5375" s="470"/>
      <c r="H5375" s="470">
        <v>5368</v>
      </c>
      <c r="I5375" s="455">
        <f t="shared" ca="1" si="208"/>
        <v>-837848130914174.38</v>
      </c>
      <c r="J5375" s="455">
        <f t="array" ref="J5375">IFERROR(INDEX('Retirement Calculator'!J:J,MATCH('Isaac 401k'!N5375,'Retirement Calculator'!A:A,0),0),0)</f>
        <v>0</v>
      </c>
      <c r="K5375" s="455">
        <f t="shared" ca="1" si="206"/>
        <v>-3491033878809.0601</v>
      </c>
      <c r="L5375" s="455">
        <f t="shared" ca="1" si="207"/>
        <v>-841339164792983.38</v>
      </c>
      <c r="M5375" s="471">
        <f t="shared" si="209"/>
        <v>0.05</v>
      </c>
      <c r="N5375" s="475">
        <f t="shared" si="210"/>
        <v>214643</v>
      </c>
    </row>
    <row r="5376" spans="7:14" ht="11.25" customHeight="1" x14ac:dyDescent="0.3">
      <c r="G5376" s="470"/>
      <c r="H5376" s="470">
        <v>5369</v>
      </c>
      <c r="I5376" s="455">
        <f t="shared" ca="1" si="208"/>
        <v>-841339164792983.38</v>
      </c>
      <c r="J5376" s="455">
        <f t="array" ref="J5376">IFERROR(INDEX('Retirement Calculator'!J:J,MATCH('Isaac 401k'!N5376,'Retirement Calculator'!A:A,0),0),0)</f>
        <v>0</v>
      </c>
      <c r="K5376" s="455">
        <f t="shared" ca="1" si="206"/>
        <v>-3505579853304.0972</v>
      </c>
      <c r="L5376" s="455">
        <f t="shared" ca="1" si="207"/>
        <v>-844844744646287.5</v>
      </c>
      <c r="M5376" s="471">
        <f t="shared" si="209"/>
        <v>0.05</v>
      </c>
      <c r="N5376" s="475">
        <f t="shared" si="210"/>
        <v>214673</v>
      </c>
    </row>
    <row r="5377" spans="7:14" ht="11.25" customHeight="1" x14ac:dyDescent="0.3">
      <c r="G5377" s="470"/>
      <c r="H5377" s="470">
        <v>5370</v>
      </c>
      <c r="I5377" s="455">
        <f t="shared" ca="1" si="208"/>
        <v>-844844744646287.5</v>
      </c>
      <c r="J5377" s="455">
        <f t="array" ref="J5377">IFERROR(INDEX('Retirement Calculator'!J:J,MATCH('Isaac 401k'!N5377,'Retirement Calculator'!A:A,0),0),0)</f>
        <v>0</v>
      </c>
      <c r="K5377" s="455">
        <f t="shared" ca="1" si="206"/>
        <v>-3520186436026.1978</v>
      </c>
      <c r="L5377" s="455">
        <f t="shared" ca="1" si="207"/>
        <v>-848364931082313.75</v>
      </c>
      <c r="M5377" s="471">
        <f t="shared" si="209"/>
        <v>0.05</v>
      </c>
      <c r="N5377" s="475">
        <f t="shared" si="210"/>
        <v>214704</v>
      </c>
    </row>
    <row r="5378" spans="7:14" ht="11.25" customHeight="1" x14ac:dyDescent="0.3">
      <c r="G5378" s="470"/>
      <c r="H5378" s="470">
        <v>5371</v>
      </c>
      <c r="I5378" s="455">
        <f t="shared" ca="1" si="208"/>
        <v>-848364931082313.75</v>
      </c>
      <c r="J5378" s="455">
        <f t="array" ref="J5378">IFERROR(INDEX('Retirement Calculator'!J:J,MATCH('Isaac 401k'!N5378,'Retirement Calculator'!A:A,0),0),0)</f>
        <v>0</v>
      </c>
      <c r="K5378" s="455">
        <f t="shared" ca="1" si="206"/>
        <v>-3534853879509.6406</v>
      </c>
      <c r="L5378" s="455">
        <f t="shared" ca="1" si="207"/>
        <v>-851899784961823.38</v>
      </c>
      <c r="M5378" s="471">
        <f t="shared" si="209"/>
        <v>0.05</v>
      </c>
      <c r="N5378" s="475">
        <f t="shared" si="210"/>
        <v>214734</v>
      </c>
    </row>
    <row r="5379" spans="7:14" ht="11.25" customHeight="1" x14ac:dyDescent="0.3">
      <c r="G5379" s="470"/>
      <c r="H5379" s="470">
        <v>5372</v>
      </c>
      <c r="I5379" s="455">
        <f t="shared" ca="1" si="208"/>
        <v>-851899784961823.38</v>
      </c>
      <c r="J5379" s="455">
        <f t="array" ref="J5379">IFERROR(INDEX('Retirement Calculator'!J:J,MATCH('Isaac 401k'!N5379,'Retirement Calculator'!A:A,0),0),0)</f>
        <v>0</v>
      </c>
      <c r="K5379" s="455">
        <f t="shared" ca="1" si="206"/>
        <v>-3549582437340.9307</v>
      </c>
      <c r="L5379" s="455">
        <f t="shared" ca="1" si="207"/>
        <v>-855449367399164.25</v>
      </c>
      <c r="M5379" s="471">
        <f t="shared" si="209"/>
        <v>0.05</v>
      </c>
      <c r="N5379" s="475">
        <f t="shared" si="210"/>
        <v>214765</v>
      </c>
    </row>
    <row r="5380" spans="7:14" ht="11.25" customHeight="1" x14ac:dyDescent="0.3">
      <c r="G5380" s="470"/>
      <c r="H5380" s="470">
        <v>5373</v>
      </c>
      <c r="I5380" s="455">
        <f t="shared" ca="1" si="208"/>
        <v>-855449367399164.25</v>
      </c>
      <c r="J5380" s="455">
        <f t="array" ref="J5380">IFERROR(INDEX('Retirement Calculator'!J:J,MATCH('Isaac 401k'!N5380,'Retirement Calculator'!A:A,0),0),0)</f>
        <v>0</v>
      </c>
      <c r="K5380" s="455">
        <f t="shared" ca="1" si="206"/>
        <v>-3564372364163.1841</v>
      </c>
      <c r="L5380" s="455">
        <f t="shared" ca="1" si="207"/>
        <v>-859013739763327.38</v>
      </c>
      <c r="M5380" s="471">
        <f t="shared" si="209"/>
        <v>0.05</v>
      </c>
      <c r="N5380" s="475">
        <f t="shared" si="210"/>
        <v>214796</v>
      </c>
    </row>
    <row r="5381" spans="7:14" ht="11.25" customHeight="1" x14ac:dyDescent="0.3">
      <c r="G5381" s="470"/>
      <c r="H5381" s="470">
        <v>5374</v>
      </c>
      <c r="I5381" s="455">
        <f t="shared" ca="1" si="208"/>
        <v>-859013739763327.38</v>
      </c>
      <c r="J5381" s="455">
        <f t="array" ref="J5381">IFERROR(INDEX('Retirement Calculator'!J:J,MATCH('Isaac 401k'!N5381,'Retirement Calculator'!A:A,0),0),0)</f>
        <v>0</v>
      </c>
      <c r="K5381" s="455">
        <f t="shared" ca="1" si="206"/>
        <v>-3579223915680.5308</v>
      </c>
      <c r="L5381" s="455">
        <f t="shared" ca="1" si="207"/>
        <v>-862592963679007.88</v>
      </c>
      <c r="M5381" s="471">
        <f t="shared" si="209"/>
        <v>0.05</v>
      </c>
      <c r="N5381" s="475">
        <f t="shared" si="210"/>
        <v>214825</v>
      </c>
    </row>
    <row r="5382" spans="7:14" ht="11.25" customHeight="1" x14ac:dyDescent="0.3">
      <c r="G5382" s="470"/>
      <c r="H5382" s="470">
        <v>5375</v>
      </c>
      <c r="I5382" s="455">
        <f t="shared" ca="1" si="208"/>
        <v>-862592963679007.88</v>
      </c>
      <c r="J5382" s="455">
        <f t="array" ref="J5382">IFERROR(INDEX('Retirement Calculator'!J:J,MATCH('Isaac 401k'!N5382,'Retirement Calculator'!A:A,0),0),0)</f>
        <v>0</v>
      </c>
      <c r="K5382" s="455">
        <f t="shared" ca="1" si="206"/>
        <v>-3594137348662.5327</v>
      </c>
      <c r="L5382" s="455">
        <f t="shared" ca="1" si="207"/>
        <v>-866187101027670.38</v>
      </c>
      <c r="M5382" s="471">
        <f t="shared" si="209"/>
        <v>0.05</v>
      </c>
      <c r="N5382" s="475">
        <f t="shared" si="210"/>
        <v>214856</v>
      </c>
    </row>
    <row r="5383" spans="7:14" ht="11.25" customHeight="1" x14ac:dyDescent="0.3">
      <c r="G5383" s="470"/>
      <c r="H5383" s="470">
        <v>5376</v>
      </c>
      <c r="I5383" s="455">
        <f t="shared" ca="1" si="208"/>
        <v>-866187101027670.38</v>
      </c>
      <c r="J5383" s="455">
        <f t="array" ref="J5383">IFERROR(INDEX('Retirement Calculator'!J:J,MATCH('Isaac 401k'!N5383,'Retirement Calculator'!A:A,0),0),0)</f>
        <v>0</v>
      </c>
      <c r="K5383" s="455">
        <f t="shared" ca="1" si="206"/>
        <v>-3609112920948.6265</v>
      </c>
      <c r="L5383" s="455">
        <f t="shared" ca="1" si="207"/>
        <v>-869796213948619</v>
      </c>
      <c r="M5383" s="471">
        <f t="shared" si="209"/>
        <v>0.05</v>
      </c>
      <c r="N5383" s="475">
        <f t="shared" si="210"/>
        <v>214886</v>
      </c>
    </row>
    <row r="5384" spans="7:14" ht="11.25" customHeight="1" x14ac:dyDescent="0.3">
      <c r="G5384" s="470"/>
      <c r="H5384" s="470">
        <v>5377</v>
      </c>
      <c r="I5384" s="455">
        <f t="shared" ca="1" si="208"/>
        <v>-869796213948619</v>
      </c>
      <c r="J5384" s="455">
        <f t="array" ref="J5384">IFERROR(INDEX('Retirement Calculator'!J:J,MATCH('Isaac 401k'!N5384,'Retirement Calculator'!A:A,0),0),0)</f>
        <v>0</v>
      </c>
      <c r="K5384" s="455">
        <f t="shared" ca="1" si="206"/>
        <v>-3624150891452.5791</v>
      </c>
      <c r="L5384" s="455">
        <f t="shared" ca="1" si="207"/>
        <v>-873420364840071.63</v>
      </c>
      <c r="M5384" s="471">
        <f t="shared" si="209"/>
        <v>0.05</v>
      </c>
      <c r="N5384" s="475">
        <f t="shared" si="210"/>
        <v>214917</v>
      </c>
    </row>
    <row r="5385" spans="7:14" ht="11.25" customHeight="1" x14ac:dyDescent="0.3">
      <c r="G5385" s="470"/>
      <c r="H5385" s="470">
        <v>5378</v>
      </c>
      <c r="I5385" s="455">
        <f t="shared" ca="1" si="208"/>
        <v>-873420364840071.63</v>
      </c>
      <c r="J5385" s="455">
        <f t="array" ref="J5385">IFERROR(INDEX('Retirement Calculator'!J:J,MATCH('Isaac 401k'!N5385,'Retirement Calculator'!A:A,0),0),0)</f>
        <v>0</v>
      </c>
      <c r="K5385" s="455">
        <f t="shared" ca="1" si="206"/>
        <v>-3639251520166.9648</v>
      </c>
      <c r="L5385" s="455">
        <f t="shared" ca="1" si="207"/>
        <v>-877059616360238.63</v>
      </c>
      <c r="M5385" s="471">
        <f t="shared" si="209"/>
        <v>0.05</v>
      </c>
      <c r="N5385" s="475">
        <f t="shared" si="210"/>
        <v>214947</v>
      </c>
    </row>
    <row r="5386" spans="7:14" ht="11.25" customHeight="1" x14ac:dyDescent="0.3">
      <c r="G5386" s="470"/>
      <c r="H5386" s="470">
        <v>5379</v>
      </c>
      <c r="I5386" s="455">
        <f t="shared" ca="1" si="208"/>
        <v>-877059616360238.63</v>
      </c>
      <c r="J5386" s="455">
        <f t="array" ref="J5386">IFERROR(INDEX('Retirement Calculator'!J:J,MATCH('Isaac 401k'!N5386,'Retirement Calculator'!A:A,0),0),0)</f>
        <v>0</v>
      </c>
      <c r="K5386" s="455">
        <f t="shared" ca="1" si="206"/>
        <v>-3654415068167.6606</v>
      </c>
      <c r="L5386" s="455">
        <f t="shared" ca="1" si="207"/>
        <v>-880714031428406.25</v>
      </c>
      <c r="M5386" s="471">
        <f t="shared" si="209"/>
        <v>0.05</v>
      </c>
      <c r="N5386" s="475">
        <f t="shared" si="210"/>
        <v>214978</v>
      </c>
    </row>
    <row r="5387" spans="7:14" ht="11.25" customHeight="1" x14ac:dyDescent="0.3">
      <c r="G5387" s="470"/>
      <c r="H5387" s="470">
        <v>5380</v>
      </c>
      <c r="I5387" s="455">
        <f t="shared" ca="1" si="208"/>
        <v>-880714031428406.25</v>
      </c>
      <c r="J5387" s="455">
        <f t="array" ref="J5387">IFERROR(INDEX('Retirement Calculator'!J:J,MATCH('Isaac 401k'!N5387,'Retirement Calculator'!A:A,0),0),0)</f>
        <v>0</v>
      </c>
      <c r="K5387" s="455">
        <f t="shared" ca="1" si="206"/>
        <v>-3669641797618.3594</v>
      </c>
      <c r="L5387" s="455">
        <f t="shared" ca="1" si="207"/>
        <v>-884383673226024.63</v>
      </c>
      <c r="M5387" s="471">
        <f t="shared" si="209"/>
        <v>0.05</v>
      </c>
      <c r="N5387" s="475">
        <f t="shared" si="210"/>
        <v>215009</v>
      </c>
    </row>
    <row r="5388" spans="7:14" ht="11.25" customHeight="1" x14ac:dyDescent="0.3">
      <c r="G5388" s="470"/>
      <c r="H5388" s="470">
        <v>5381</v>
      </c>
      <c r="I5388" s="455">
        <f t="shared" ca="1" si="208"/>
        <v>-884383673226024.63</v>
      </c>
      <c r="J5388" s="455">
        <f t="array" ref="J5388">IFERROR(INDEX('Retirement Calculator'!J:J,MATCH('Isaac 401k'!N5388,'Retirement Calculator'!A:A,0),0),0)</f>
        <v>0</v>
      </c>
      <c r="K5388" s="455">
        <f t="shared" ca="1" si="206"/>
        <v>-3684931971775.1025</v>
      </c>
      <c r="L5388" s="455">
        <f t="shared" ca="1" si="207"/>
        <v>-888068605197799.75</v>
      </c>
      <c r="M5388" s="471">
        <f t="shared" si="209"/>
        <v>0.05</v>
      </c>
      <c r="N5388" s="475">
        <f t="shared" si="210"/>
        <v>215039</v>
      </c>
    </row>
    <row r="5389" spans="7:14" ht="11.25" customHeight="1" x14ac:dyDescent="0.3">
      <c r="G5389" s="470"/>
      <c r="H5389" s="470">
        <v>5382</v>
      </c>
      <c r="I5389" s="455">
        <f t="shared" ca="1" si="208"/>
        <v>-888068605197799.75</v>
      </c>
      <c r="J5389" s="455">
        <f t="array" ref="J5389">IFERROR(INDEX('Retirement Calculator'!J:J,MATCH('Isaac 401k'!N5389,'Retirement Calculator'!A:A,0),0),0)</f>
        <v>0</v>
      </c>
      <c r="K5389" s="455">
        <f t="shared" ca="1" si="206"/>
        <v>-3700285854990.832</v>
      </c>
      <c r="L5389" s="455">
        <f t="shared" ca="1" si="207"/>
        <v>-891768891052790.63</v>
      </c>
      <c r="M5389" s="471">
        <f t="shared" si="209"/>
        <v>0.05</v>
      </c>
      <c r="N5389" s="475">
        <f t="shared" si="210"/>
        <v>215070</v>
      </c>
    </row>
    <row r="5390" spans="7:14" ht="11.25" customHeight="1" x14ac:dyDescent="0.3">
      <c r="G5390" s="470"/>
      <c r="H5390" s="470">
        <v>5383</v>
      </c>
      <c r="I5390" s="455">
        <f t="shared" ca="1" si="208"/>
        <v>-891768891052790.63</v>
      </c>
      <c r="J5390" s="455">
        <f t="array" ref="J5390">IFERROR(INDEX('Retirement Calculator'!J:J,MATCH('Isaac 401k'!N5390,'Retirement Calculator'!A:A,0),0),0)</f>
        <v>0</v>
      </c>
      <c r="K5390" s="455">
        <f t="shared" ca="1" si="206"/>
        <v>-3715703712719.9609</v>
      </c>
      <c r="L5390" s="455">
        <f t="shared" ca="1" si="207"/>
        <v>-895484594765510.63</v>
      </c>
      <c r="M5390" s="471">
        <f t="shared" si="209"/>
        <v>0.05</v>
      </c>
      <c r="N5390" s="475">
        <f t="shared" si="210"/>
        <v>215100</v>
      </c>
    </row>
    <row r="5391" spans="7:14" ht="11.25" customHeight="1" x14ac:dyDescent="0.3">
      <c r="G5391" s="470"/>
      <c r="H5391" s="470">
        <v>5384</v>
      </c>
      <c r="I5391" s="455">
        <f t="shared" ca="1" si="208"/>
        <v>-895484594765510.63</v>
      </c>
      <c r="J5391" s="455">
        <f t="array" ref="J5391">IFERROR(INDEX('Retirement Calculator'!J:J,MATCH('Isaac 401k'!N5391,'Retirement Calculator'!A:A,0),0),0)</f>
        <v>0</v>
      </c>
      <c r="K5391" s="455">
        <f t="shared" ca="1" si="206"/>
        <v>-3731185811522.9609</v>
      </c>
      <c r="L5391" s="455">
        <f t="shared" ca="1" si="207"/>
        <v>-899215780577033.63</v>
      </c>
      <c r="M5391" s="471">
        <f t="shared" si="209"/>
        <v>0.05</v>
      </c>
      <c r="N5391" s="475">
        <f t="shared" si="210"/>
        <v>215131</v>
      </c>
    </row>
    <row r="5392" spans="7:14" ht="11.25" customHeight="1" x14ac:dyDescent="0.3">
      <c r="G5392" s="470"/>
      <c r="H5392" s="470">
        <v>5385</v>
      </c>
      <c r="I5392" s="455">
        <f t="shared" ca="1" si="208"/>
        <v>-899215780577033.63</v>
      </c>
      <c r="J5392" s="455">
        <f t="array" ref="J5392">IFERROR(INDEX('Retirement Calculator'!J:J,MATCH('Isaac 401k'!N5392,'Retirement Calculator'!A:A,0),0),0)</f>
        <v>0</v>
      </c>
      <c r="K5392" s="455">
        <f t="shared" ca="1" si="206"/>
        <v>-3746732419070.9741</v>
      </c>
      <c r="L5392" s="455">
        <f t="shared" ca="1" si="207"/>
        <v>-902962512996104.63</v>
      </c>
      <c r="M5392" s="471">
        <f t="shared" si="209"/>
        <v>0.05</v>
      </c>
      <c r="N5392" s="475">
        <f t="shared" si="210"/>
        <v>215162</v>
      </c>
    </row>
    <row r="5393" spans="7:14" ht="11.25" customHeight="1" x14ac:dyDescent="0.3">
      <c r="G5393" s="470"/>
      <c r="H5393" s="470">
        <v>5386</v>
      </c>
      <c r="I5393" s="455">
        <f t="shared" ca="1" si="208"/>
        <v>-902962512996104.63</v>
      </c>
      <c r="J5393" s="455">
        <f t="array" ref="J5393">IFERROR(INDEX('Retirement Calculator'!J:J,MATCH('Isaac 401k'!N5393,'Retirement Calculator'!A:A,0),0),0)</f>
        <v>0</v>
      </c>
      <c r="K5393" s="455">
        <f t="shared" ca="1" si="206"/>
        <v>-3762343804150.4355</v>
      </c>
      <c r="L5393" s="455">
        <f t="shared" ca="1" si="207"/>
        <v>-906724856800255</v>
      </c>
      <c r="M5393" s="471">
        <f t="shared" si="209"/>
        <v>0.05</v>
      </c>
      <c r="N5393" s="475">
        <f t="shared" si="210"/>
        <v>215190</v>
      </c>
    </row>
    <row r="5394" spans="7:14" ht="11.25" customHeight="1" x14ac:dyDescent="0.3">
      <c r="G5394" s="470"/>
      <c r="H5394" s="470">
        <v>5387</v>
      </c>
      <c r="I5394" s="455">
        <f t="shared" ca="1" si="208"/>
        <v>-906724856800255</v>
      </c>
      <c r="J5394" s="455">
        <f t="array" ref="J5394">IFERROR(INDEX('Retirement Calculator'!J:J,MATCH('Isaac 401k'!N5394,'Retirement Calculator'!A:A,0),0),0)</f>
        <v>0</v>
      </c>
      <c r="K5394" s="455">
        <f t="shared" ca="1" si="206"/>
        <v>-3778020236667.729</v>
      </c>
      <c r="L5394" s="455">
        <f t="shared" ca="1" si="207"/>
        <v>-910502877036922.75</v>
      </c>
      <c r="M5394" s="471">
        <f t="shared" si="209"/>
        <v>0.05</v>
      </c>
      <c r="N5394" s="475">
        <f t="shared" si="210"/>
        <v>215221</v>
      </c>
    </row>
    <row r="5395" spans="7:14" ht="11.25" customHeight="1" x14ac:dyDescent="0.3">
      <c r="G5395" s="470"/>
      <c r="H5395" s="470">
        <v>5388</v>
      </c>
      <c r="I5395" s="455">
        <f t="shared" ca="1" si="208"/>
        <v>-910502877036922.75</v>
      </c>
      <c r="J5395" s="455">
        <f t="array" ref="J5395">IFERROR(INDEX('Retirement Calculator'!J:J,MATCH('Isaac 401k'!N5395,'Retirement Calculator'!A:A,0),0),0)</f>
        <v>0</v>
      </c>
      <c r="K5395" s="455">
        <f t="shared" ca="1" si="206"/>
        <v>-3793761987653.8442</v>
      </c>
      <c r="L5395" s="455">
        <f t="shared" ca="1" si="207"/>
        <v>-914296639024576.63</v>
      </c>
      <c r="M5395" s="471">
        <f t="shared" si="209"/>
        <v>0.05</v>
      </c>
      <c r="N5395" s="475">
        <f t="shared" si="210"/>
        <v>215251</v>
      </c>
    </row>
    <row r="5396" spans="7:14" ht="11.25" customHeight="1" x14ac:dyDescent="0.3">
      <c r="G5396" s="470"/>
      <c r="H5396" s="470">
        <v>5389</v>
      </c>
      <c r="I5396" s="455">
        <f t="shared" ca="1" si="208"/>
        <v>-914296639024576.63</v>
      </c>
      <c r="J5396" s="455">
        <f t="array" ref="J5396">IFERROR(INDEX('Retirement Calculator'!J:J,MATCH('Isaac 401k'!N5396,'Retirement Calculator'!A:A,0),0),0)</f>
        <v>0</v>
      </c>
      <c r="K5396" s="455">
        <f t="shared" ca="1" si="206"/>
        <v>-3809569329269.0693</v>
      </c>
      <c r="L5396" s="455">
        <f t="shared" ca="1" si="207"/>
        <v>-918106208353845.75</v>
      </c>
      <c r="M5396" s="471">
        <f t="shared" si="209"/>
        <v>0.05</v>
      </c>
      <c r="N5396" s="475">
        <f t="shared" si="210"/>
        <v>215282</v>
      </c>
    </row>
    <row r="5397" spans="7:14" ht="11.25" customHeight="1" x14ac:dyDescent="0.3">
      <c r="G5397" s="470"/>
      <c r="H5397" s="470">
        <v>5390</v>
      </c>
      <c r="I5397" s="455">
        <f t="shared" ca="1" si="208"/>
        <v>-918106208353845.75</v>
      </c>
      <c r="J5397" s="455">
        <f t="array" ref="J5397">IFERROR(INDEX('Retirement Calculator'!J:J,MATCH('Isaac 401k'!N5397,'Retirement Calculator'!A:A,0),0),0)</f>
        <v>0</v>
      </c>
      <c r="K5397" s="455">
        <f t="shared" ca="1" si="206"/>
        <v>-3825442534807.6899</v>
      </c>
      <c r="L5397" s="455">
        <f t="shared" ca="1" si="207"/>
        <v>-921931650888653.5</v>
      </c>
      <c r="M5397" s="471">
        <f t="shared" si="209"/>
        <v>0.05</v>
      </c>
      <c r="N5397" s="475">
        <f t="shared" si="210"/>
        <v>215312</v>
      </c>
    </row>
    <row r="5398" spans="7:14" ht="11.25" customHeight="1" x14ac:dyDescent="0.3">
      <c r="G5398" s="470"/>
      <c r="H5398" s="470">
        <v>5391</v>
      </c>
      <c r="I5398" s="455">
        <f t="shared" ca="1" si="208"/>
        <v>-921931650888653.5</v>
      </c>
      <c r="J5398" s="455">
        <f t="array" ref="J5398">IFERROR(INDEX('Retirement Calculator'!J:J,MATCH('Isaac 401k'!N5398,'Retirement Calculator'!A:A,0),0),0)</f>
        <v>0</v>
      </c>
      <c r="K5398" s="455">
        <f t="shared" ca="1" si="206"/>
        <v>-3841381878702.7222</v>
      </c>
      <c r="L5398" s="455">
        <f t="shared" ca="1" si="207"/>
        <v>-925773032767356.25</v>
      </c>
      <c r="M5398" s="471">
        <f t="shared" si="209"/>
        <v>0.05</v>
      </c>
      <c r="N5398" s="475">
        <f t="shared" si="210"/>
        <v>215343</v>
      </c>
    </row>
    <row r="5399" spans="7:14" ht="11.25" customHeight="1" x14ac:dyDescent="0.3">
      <c r="G5399" s="470"/>
      <c r="H5399" s="470">
        <v>5392</v>
      </c>
      <c r="I5399" s="455">
        <f t="shared" ca="1" si="208"/>
        <v>-925773032767356.25</v>
      </c>
      <c r="J5399" s="455">
        <f t="array" ref="J5399">IFERROR(INDEX('Retirement Calculator'!J:J,MATCH('Isaac 401k'!N5399,'Retirement Calculator'!A:A,0),0),0)</f>
        <v>0</v>
      </c>
      <c r="K5399" s="455">
        <f t="shared" ca="1" si="206"/>
        <v>-3857387636530.6509</v>
      </c>
      <c r="L5399" s="455">
        <f t="shared" ca="1" si="207"/>
        <v>-929630420403886.88</v>
      </c>
      <c r="M5399" s="471">
        <f t="shared" si="209"/>
        <v>0.05</v>
      </c>
      <c r="N5399" s="475">
        <f t="shared" si="210"/>
        <v>215374</v>
      </c>
    </row>
    <row r="5400" spans="7:14" ht="11.25" customHeight="1" x14ac:dyDescent="0.3">
      <c r="G5400" s="470"/>
      <c r="H5400" s="470">
        <v>5393</v>
      </c>
      <c r="I5400" s="455">
        <f t="shared" ca="1" si="208"/>
        <v>-929630420403886.88</v>
      </c>
      <c r="J5400" s="455">
        <f t="array" ref="J5400">IFERROR(INDEX('Retirement Calculator'!J:J,MATCH('Isaac 401k'!N5400,'Retirement Calculator'!A:A,0),0),0)</f>
        <v>0</v>
      </c>
      <c r="K5400" s="455">
        <f t="shared" ca="1" si="206"/>
        <v>-3873460085016.1953</v>
      </c>
      <c r="L5400" s="455">
        <f t="shared" ca="1" si="207"/>
        <v>-933503880488903.13</v>
      </c>
      <c r="M5400" s="471">
        <f t="shared" si="209"/>
        <v>0.05</v>
      </c>
      <c r="N5400" s="475">
        <f t="shared" si="210"/>
        <v>215404</v>
      </c>
    </row>
    <row r="5401" spans="7:14" ht="11.25" customHeight="1" x14ac:dyDescent="0.3">
      <c r="G5401" s="470"/>
      <c r="H5401" s="470">
        <v>5394</v>
      </c>
      <c r="I5401" s="455">
        <f t="shared" ca="1" si="208"/>
        <v>-933503880488903.13</v>
      </c>
      <c r="J5401" s="455">
        <f t="array" ref="J5401">IFERROR(INDEX('Retirement Calculator'!J:J,MATCH('Isaac 401k'!N5401,'Retirement Calculator'!A:A,0),0),0)</f>
        <v>0</v>
      </c>
      <c r="K5401" s="455">
        <f t="shared" ca="1" si="206"/>
        <v>-3889599502037.0962</v>
      </c>
      <c r="L5401" s="455">
        <f t="shared" ca="1" si="207"/>
        <v>-937393479990940.25</v>
      </c>
      <c r="M5401" s="471">
        <f t="shared" si="209"/>
        <v>0.05</v>
      </c>
      <c r="N5401" s="475">
        <f t="shared" si="210"/>
        <v>215435</v>
      </c>
    </row>
    <row r="5402" spans="7:14" ht="11.25" customHeight="1" x14ac:dyDescent="0.3">
      <c r="G5402" s="470"/>
      <c r="H5402" s="470">
        <v>5395</v>
      </c>
      <c r="I5402" s="455">
        <f t="shared" ca="1" si="208"/>
        <v>-937393479990940.25</v>
      </c>
      <c r="J5402" s="455">
        <f t="array" ref="J5402">IFERROR(INDEX('Retirement Calculator'!J:J,MATCH('Isaac 401k'!N5402,'Retirement Calculator'!A:A,0),0),0)</f>
        <v>0</v>
      </c>
      <c r="K5402" s="455">
        <f t="shared" ca="1" si="206"/>
        <v>-3905806166628.918</v>
      </c>
      <c r="L5402" s="455">
        <f t="shared" ca="1" si="207"/>
        <v>-941299286157569.13</v>
      </c>
      <c r="M5402" s="471">
        <f t="shared" si="209"/>
        <v>0.05</v>
      </c>
      <c r="N5402" s="475">
        <f t="shared" si="210"/>
        <v>215465</v>
      </c>
    </row>
    <row r="5403" spans="7:14" ht="11.25" customHeight="1" x14ac:dyDescent="0.3">
      <c r="G5403" s="470"/>
      <c r="H5403" s="470">
        <v>5396</v>
      </c>
      <c r="I5403" s="455">
        <f t="shared" ca="1" si="208"/>
        <v>-941299286157569.13</v>
      </c>
      <c r="J5403" s="455">
        <f t="array" ref="J5403">IFERROR(INDEX('Retirement Calculator'!J:J,MATCH('Isaac 401k'!N5403,'Retirement Calculator'!A:A,0),0),0)</f>
        <v>0</v>
      </c>
      <c r="K5403" s="455">
        <f t="shared" ca="1" si="206"/>
        <v>-3922080358989.8706</v>
      </c>
      <c r="L5403" s="455">
        <f t="shared" ca="1" si="207"/>
        <v>-945221366516559</v>
      </c>
      <c r="M5403" s="471">
        <f t="shared" si="209"/>
        <v>0.05</v>
      </c>
      <c r="N5403" s="475">
        <f t="shared" si="210"/>
        <v>215496</v>
      </c>
    </row>
    <row r="5404" spans="7:14" ht="11.25" customHeight="1" x14ac:dyDescent="0.3">
      <c r="G5404" s="470"/>
      <c r="H5404" s="470">
        <v>5397</v>
      </c>
      <c r="I5404" s="455">
        <f t="shared" ca="1" si="208"/>
        <v>-945221366516559</v>
      </c>
      <c r="J5404" s="455">
        <f t="array" ref="J5404">IFERROR(INDEX('Retirement Calculator'!J:J,MATCH('Isaac 401k'!N5404,'Retirement Calculator'!A:A,0),0),0)</f>
        <v>0</v>
      </c>
      <c r="K5404" s="455">
        <f t="shared" ca="1" si="206"/>
        <v>-3938422360485.6626</v>
      </c>
      <c r="L5404" s="455">
        <f t="shared" ca="1" si="207"/>
        <v>-949159788877044.63</v>
      </c>
      <c r="M5404" s="471">
        <f t="shared" si="209"/>
        <v>0.05</v>
      </c>
      <c r="N5404" s="475">
        <f t="shared" si="210"/>
        <v>215527</v>
      </c>
    </row>
    <row r="5405" spans="7:14" ht="11.25" customHeight="1" x14ac:dyDescent="0.3">
      <c r="G5405" s="470"/>
      <c r="H5405" s="470">
        <v>5398</v>
      </c>
      <c r="I5405" s="455">
        <f t="shared" ca="1" si="208"/>
        <v>-949159788877044.63</v>
      </c>
      <c r="J5405" s="455">
        <f t="array" ref="J5405">IFERROR(INDEX('Retirement Calculator'!J:J,MATCH('Isaac 401k'!N5405,'Retirement Calculator'!A:A,0),0),0)</f>
        <v>0</v>
      </c>
      <c r="K5405" s="455">
        <f t="shared" ca="1" si="206"/>
        <v>-3954832453654.3525</v>
      </c>
      <c r="L5405" s="455">
        <f t="shared" ca="1" si="207"/>
        <v>-953114621330699</v>
      </c>
      <c r="M5405" s="471">
        <f t="shared" si="209"/>
        <v>0.05</v>
      </c>
      <c r="N5405" s="475">
        <f t="shared" si="210"/>
        <v>215555</v>
      </c>
    </row>
    <row r="5406" spans="7:14" ht="11.25" customHeight="1" x14ac:dyDescent="0.3">
      <c r="G5406" s="470"/>
      <c r="H5406" s="470">
        <v>5399</v>
      </c>
      <c r="I5406" s="455">
        <f t="shared" ca="1" si="208"/>
        <v>-953114621330699</v>
      </c>
      <c r="J5406" s="455">
        <f t="array" ref="J5406">IFERROR(INDEX('Retirement Calculator'!J:J,MATCH('Isaac 401k'!N5406,'Retirement Calculator'!A:A,0),0),0)</f>
        <v>0</v>
      </c>
      <c r="K5406" s="455">
        <f t="shared" ca="1" si="206"/>
        <v>-3971310922211.2461</v>
      </c>
      <c r="L5406" s="455">
        <f t="shared" ca="1" si="207"/>
        <v>-957085932252910.25</v>
      </c>
      <c r="M5406" s="471">
        <f t="shared" si="209"/>
        <v>0.05</v>
      </c>
      <c r="N5406" s="475">
        <f t="shared" si="210"/>
        <v>215586</v>
      </c>
    </row>
    <row r="5407" spans="7:14" ht="11.25" customHeight="1" x14ac:dyDescent="0.3">
      <c r="G5407" s="470"/>
      <c r="H5407" s="470">
        <v>5400</v>
      </c>
      <c r="I5407" s="455">
        <f t="shared" ca="1" si="208"/>
        <v>-957085932252910.25</v>
      </c>
      <c r="J5407" s="455">
        <f t="array" ref="J5407">IFERROR(INDEX('Retirement Calculator'!J:J,MATCH('Isaac 401k'!N5407,'Retirement Calculator'!A:A,0),0),0)</f>
        <v>0</v>
      </c>
      <c r="K5407" s="455">
        <f t="shared" ca="1" si="206"/>
        <v>-3987858051053.7925</v>
      </c>
      <c r="L5407" s="455">
        <f t="shared" ca="1" si="207"/>
        <v>-961073790303964</v>
      </c>
      <c r="M5407" s="471">
        <f t="shared" si="209"/>
        <v>0.05</v>
      </c>
      <c r="N5407" s="475">
        <f t="shared" si="210"/>
        <v>215616</v>
      </c>
    </row>
    <row r="5408" spans="7:14" ht="11.25" customHeight="1" x14ac:dyDescent="0.3">
      <c r="G5408" s="470"/>
      <c r="H5408" s="470">
        <v>5401</v>
      </c>
      <c r="I5408" s="455">
        <f t="shared" ca="1" si="208"/>
        <v>-961073790303964</v>
      </c>
      <c r="J5408" s="455">
        <f t="array" ref="J5408">IFERROR(INDEX('Retirement Calculator'!J:J,MATCH('Isaac 401k'!N5408,'Retirement Calculator'!A:A,0),0),0)</f>
        <v>0</v>
      </c>
      <c r="K5408" s="455">
        <f t="shared" ca="1" si="206"/>
        <v>-4004474126266.5161</v>
      </c>
      <c r="L5408" s="455">
        <f t="shared" ca="1" si="207"/>
        <v>-965078264430230.5</v>
      </c>
      <c r="M5408" s="471">
        <f t="shared" si="209"/>
        <v>0.05</v>
      </c>
      <c r="N5408" s="475">
        <f t="shared" si="210"/>
        <v>215647</v>
      </c>
    </row>
    <row r="5409" spans="7:14" ht="11.25" customHeight="1" x14ac:dyDescent="0.3">
      <c r="G5409" s="470"/>
      <c r="H5409" s="470">
        <v>5402</v>
      </c>
      <c r="I5409" s="455">
        <f t="shared" ca="1" si="208"/>
        <v>-965078264430230.5</v>
      </c>
      <c r="J5409" s="455">
        <f t="array" ref="J5409">IFERROR(INDEX('Retirement Calculator'!J:J,MATCH('Isaac 401k'!N5409,'Retirement Calculator'!A:A,0),0),0)</f>
        <v>0</v>
      </c>
      <c r="K5409" s="455">
        <f t="shared" ca="1" si="206"/>
        <v>-4021159435125.96</v>
      </c>
      <c r="L5409" s="455">
        <f t="shared" ca="1" si="207"/>
        <v>-969099423865356.5</v>
      </c>
      <c r="M5409" s="471">
        <f t="shared" si="209"/>
        <v>0.05</v>
      </c>
      <c r="N5409" s="475">
        <f t="shared" si="210"/>
        <v>215677</v>
      </c>
    </row>
    <row r="5410" spans="7:14" ht="11.25" customHeight="1" x14ac:dyDescent="0.3">
      <c r="G5410" s="470"/>
      <c r="H5410" s="470">
        <v>5403</v>
      </c>
      <c r="I5410" s="455">
        <f t="shared" ca="1" si="208"/>
        <v>-969099423865356.5</v>
      </c>
      <c r="J5410" s="455">
        <f t="array" ref="J5410">IFERROR(INDEX('Retirement Calculator'!J:J,MATCH('Isaac 401k'!N5410,'Retirement Calculator'!A:A,0),0),0)</f>
        <v>0</v>
      </c>
      <c r="K5410" s="455">
        <f t="shared" ca="1" si="206"/>
        <v>-4037914266105.6523</v>
      </c>
      <c r="L5410" s="455">
        <f t="shared" ca="1" si="207"/>
        <v>-973137338131462.13</v>
      </c>
      <c r="M5410" s="471">
        <f t="shared" si="209"/>
        <v>0.05</v>
      </c>
      <c r="N5410" s="475">
        <f t="shared" si="210"/>
        <v>215708</v>
      </c>
    </row>
    <row r="5411" spans="7:14" ht="11.25" customHeight="1" x14ac:dyDescent="0.3">
      <c r="G5411" s="470"/>
      <c r="H5411" s="470">
        <v>5404</v>
      </c>
      <c r="I5411" s="455">
        <f t="shared" ca="1" si="208"/>
        <v>-973137338131462.13</v>
      </c>
      <c r="J5411" s="455">
        <f t="array" ref="J5411">IFERROR(INDEX('Retirement Calculator'!J:J,MATCH('Isaac 401k'!N5411,'Retirement Calculator'!A:A,0),0),0)</f>
        <v>0</v>
      </c>
      <c r="K5411" s="455">
        <f t="shared" ca="1" si="206"/>
        <v>-4054738908881.0918</v>
      </c>
      <c r="L5411" s="455">
        <f t="shared" ca="1" si="207"/>
        <v>-977192077040343.25</v>
      </c>
      <c r="M5411" s="471">
        <f t="shared" si="209"/>
        <v>0.05</v>
      </c>
      <c r="N5411" s="475">
        <f t="shared" si="210"/>
        <v>215739</v>
      </c>
    </row>
    <row r="5412" spans="7:14" ht="11.25" customHeight="1" x14ac:dyDescent="0.3">
      <c r="G5412" s="470"/>
      <c r="H5412" s="470">
        <v>5405</v>
      </c>
      <c r="I5412" s="455">
        <f t="shared" ca="1" si="208"/>
        <v>-977192077040343.25</v>
      </c>
      <c r="J5412" s="455">
        <f t="array" ref="J5412">IFERROR(INDEX('Retirement Calculator'!J:J,MATCH('Isaac 401k'!N5412,'Retirement Calculator'!A:A,0),0),0)</f>
        <v>0</v>
      </c>
      <c r="K5412" s="455">
        <f t="shared" ca="1" si="206"/>
        <v>-4071633654334.7637</v>
      </c>
      <c r="L5412" s="455">
        <f t="shared" ca="1" si="207"/>
        <v>-981263710694678</v>
      </c>
      <c r="M5412" s="471">
        <f t="shared" si="209"/>
        <v>0.05</v>
      </c>
      <c r="N5412" s="475">
        <f t="shared" si="210"/>
        <v>215769</v>
      </c>
    </row>
    <row r="5413" spans="7:14" ht="11.25" customHeight="1" x14ac:dyDescent="0.3">
      <c r="G5413" s="470"/>
      <c r="H5413" s="470">
        <v>5406</v>
      </c>
      <c r="I5413" s="455">
        <f t="shared" ca="1" si="208"/>
        <v>-981263710694678</v>
      </c>
      <c r="J5413" s="455">
        <f t="array" ref="J5413">IFERROR(INDEX('Retirement Calculator'!J:J,MATCH('Isaac 401k'!N5413,'Retirement Calculator'!A:A,0),0),0)</f>
        <v>0</v>
      </c>
      <c r="K5413" s="455">
        <f t="shared" ca="1" si="206"/>
        <v>-4088598794561.1577</v>
      </c>
      <c r="L5413" s="455">
        <f t="shared" ca="1" si="207"/>
        <v>-985352309489239.13</v>
      </c>
      <c r="M5413" s="471">
        <f t="shared" si="209"/>
        <v>0.05</v>
      </c>
      <c r="N5413" s="475">
        <f t="shared" si="210"/>
        <v>215800</v>
      </c>
    </row>
    <row r="5414" spans="7:14" ht="11.25" customHeight="1" x14ac:dyDescent="0.3">
      <c r="G5414" s="470"/>
      <c r="H5414" s="470">
        <v>5407</v>
      </c>
      <c r="I5414" s="455">
        <f t="shared" ca="1" si="208"/>
        <v>-985352309489239.13</v>
      </c>
      <c r="J5414" s="455">
        <f t="array" ref="J5414">IFERROR(INDEX('Retirement Calculator'!J:J,MATCH('Isaac 401k'!N5414,'Retirement Calculator'!A:A,0),0),0)</f>
        <v>0</v>
      </c>
      <c r="K5414" s="455">
        <f t="shared" ca="1" si="206"/>
        <v>-4105634622871.8296</v>
      </c>
      <c r="L5414" s="455">
        <f t="shared" ca="1" si="207"/>
        <v>-989457944112111</v>
      </c>
      <c r="M5414" s="471">
        <f t="shared" si="209"/>
        <v>0.05</v>
      </c>
      <c r="N5414" s="475">
        <f t="shared" si="210"/>
        <v>215830</v>
      </c>
    </row>
    <row r="5415" spans="7:14" ht="11.25" customHeight="1" x14ac:dyDescent="0.3">
      <c r="G5415" s="470"/>
      <c r="H5415" s="470">
        <v>5408</v>
      </c>
      <c r="I5415" s="455">
        <f t="shared" ca="1" si="208"/>
        <v>-989457944112111</v>
      </c>
      <c r="J5415" s="455">
        <f t="array" ref="J5415">IFERROR(INDEX('Retirement Calculator'!J:J,MATCH('Isaac 401k'!N5415,'Retirement Calculator'!A:A,0),0),0)</f>
        <v>0</v>
      </c>
      <c r="K5415" s="455">
        <f t="shared" ca="1" si="206"/>
        <v>-4122741433800.4624</v>
      </c>
      <c r="L5415" s="455">
        <f t="shared" ca="1" si="207"/>
        <v>-993580685545911.5</v>
      </c>
      <c r="M5415" s="471">
        <f t="shared" si="209"/>
        <v>0.05</v>
      </c>
      <c r="N5415" s="475">
        <f t="shared" si="210"/>
        <v>215861</v>
      </c>
    </row>
    <row r="5416" spans="7:14" ht="11.25" customHeight="1" x14ac:dyDescent="0.3">
      <c r="G5416" s="470"/>
      <c r="H5416" s="470">
        <v>5409</v>
      </c>
      <c r="I5416" s="455">
        <f t="shared" ca="1" si="208"/>
        <v>-993580685545911.5</v>
      </c>
      <c r="J5416" s="455">
        <f t="array" ref="J5416">IFERROR(INDEX('Retirement Calculator'!J:J,MATCH('Isaac 401k'!N5416,'Retirement Calculator'!A:A,0),0),0)</f>
        <v>0</v>
      </c>
      <c r="K5416" s="455">
        <f t="shared" ca="1" si="206"/>
        <v>-4139919523107.9644</v>
      </c>
      <c r="L5416" s="455">
        <f t="shared" ca="1" si="207"/>
        <v>-997720605069019.5</v>
      </c>
      <c r="M5416" s="471">
        <f t="shared" si="209"/>
        <v>0.05</v>
      </c>
      <c r="N5416" s="475">
        <f t="shared" si="210"/>
        <v>215892</v>
      </c>
    </row>
    <row r="5417" spans="7:14" ht="11.25" customHeight="1" x14ac:dyDescent="0.3">
      <c r="G5417" s="470"/>
      <c r="H5417" s="470">
        <v>5410</v>
      </c>
      <c r="I5417" s="455">
        <f t="shared" ca="1" si="208"/>
        <v>-997720605069019.5</v>
      </c>
      <c r="J5417" s="455">
        <f t="array" ref="J5417">IFERROR(INDEX('Retirement Calculator'!J:J,MATCH('Isaac 401k'!N5417,'Retirement Calculator'!A:A,0),0),0)</f>
        <v>0</v>
      </c>
      <c r="K5417" s="455">
        <f t="shared" ca="1" si="206"/>
        <v>-4157169187787.5815</v>
      </c>
      <c r="L5417" s="455">
        <f t="shared" ca="1" si="207"/>
        <v>-1001877774256807.1</v>
      </c>
      <c r="M5417" s="471">
        <f t="shared" si="209"/>
        <v>0.05</v>
      </c>
      <c r="N5417" s="475">
        <f t="shared" si="210"/>
        <v>215920</v>
      </c>
    </row>
    <row r="5418" spans="7:14" ht="11.25" customHeight="1" x14ac:dyDescent="0.3">
      <c r="G5418" s="470"/>
      <c r="H5418" s="470">
        <v>5411</v>
      </c>
      <c r="I5418" s="455">
        <f t="shared" ca="1" si="208"/>
        <v>-1001877774256807.1</v>
      </c>
      <c r="J5418" s="455">
        <f t="array" ref="J5418">IFERROR(INDEX('Retirement Calculator'!J:J,MATCH('Isaac 401k'!N5418,'Retirement Calculator'!A:A,0),0),0)</f>
        <v>0</v>
      </c>
      <c r="K5418" s="455">
        <f t="shared" ca="1" si="206"/>
        <v>-4174490726070.0298</v>
      </c>
      <c r="L5418" s="455">
        <f t="shared" ca="1" si="207"/>
        <v>-1006052264982877.1</v>
      </c>
      <c r="M5418" s="471">
        <f t="shared" si="209"/>
        <v>0.05</v>
      </c>
      <c r="N5418" s="475">
        <f t="shared" si="210"/>
        <v>215951</v>
      </c>
    </row>
    <row r="5419" spans="7:14" ht="11.25" customHeight="1" x14ac:dyDescent="0.3">
      <c r="G5419" s="470"/>
      <c r="H5419" s="470">
        <v>5412</v>
      </c>
      <c r="I5419" s="455">
        <f t="shared" ca="1" si="208"/>
        <v>-1006052264982877.1</v>
      </c>
      <c r="J5419" s="455">
        <f t="array" ref="J5419">IFERROR(INDEX('Retirement Calculator'!J:J,MATCH('Isaac 401k'!N5419,'Retirement Calculator'!A:A,0),0),0)</f>
        <v>0</v>
      </c>
      <c r="K5419" s="455">
        <f t="shared" ca="1" si="206"/>
        <v>-4191884437428.6553</v>
      </c>
      <c r="L5419" s="455">
        <f t="shared" ca="1" si="207"/>
        <v>-1010244149420305.8</v>
      </c>
      <c r="M5419" s="471">
        <f t="shared" si="209"/>
        <v>0.05</v>
      </c>
      <c r="N5419" s="475">
        <f t="shared" si="210"/>
        <v>215981</v>
      </c>
    </row>
    <row r="5420" spans="7:14" ht="11.25" customHeight="1" x14ac:dyDescent="0.3">
      <c r="G5420" s="470"/>
      <c r="H5420" s="470">
        <v>5413</v>
      </c>
      <c r="I5420" s="455">
        <f t="shared" ca="1" si="208"/>
        <v>-1010244149420305.8</v>
      </c>
      <c r="J5420" s="455">
        <f t="array" ref="J5420">IFERROR(INDEX('Retirement Calculator'!J:J,MATCH('Isaac 401k'!N5420,'Retirement Calculator'!A:A,0),0),0)</f>
        <v>0</v>
      </c>
      <c r="K5420" s="455">
        <f t="shared" ca="1" si="206"/>
        <v>-4209350622584.6069</v>
      </c>
      <c r="L5420" s="455">
        <f t="shared" ca="1" si="207"/>
        <v>-1014453500042890.4</v>
      </c>
      <c r="M5420" s="471">
        <f t="shared" si="209"/>
        <v>0.05</v>
      </c>
      <c r="N5420" s="475">
        <f t="shared" si="210"/>
        <v>216012</v>
      </c>
    </row>
    <row r="5421" spans="7:14" ht="11.25" customHeight="1" x14ac:dyDescent="0.3">
      <c r="G5421" s="470"/>
      <c r="H5421" s="470">
        <v>5414</v>
      </c>
      <c r="I5421" s="455">
        <f t="shared" ca="1" si="208"/>
        <v>-1014453500042890.4</v>
      </c>
      <c r="J5421" s="455">
        <f t="array" ref="J5421">IFERROR(INDEX('Retirement Calculator'!J:J,MATCH('Isaac 401k'!N5421,'Retirement Calculator'!A:A,0),0),0)</f>
        <v>0</v>
      </c>
      <c r="K5421" s="455">
        <f t="shared" ca="1" si="206"/>
        <v>-4226889583512.0435</v>
      </c>
      <c r="L5421" s="455">
        <f t="shared" ca="1" si="207"/>
        <v>-1018680389626402.4</v>
      </c>
      <c r="M5421" s="471">
        <f t="shared" si="209"/>
        <v>0.05</v>
      </c>
      <c r="N5421" s="475">
        <f t="shared" si="210"/>
        <v>216042</v>
      </c>
    </row>
    <row r="5422" spans="7:14" ht="11.25" customHeight="1" x14ac:dyDescent="0.3">
      <c r="G5422" s="470"/>
      <c r="H5422" s="470">
        <v>5415</v>
      </c>
      <c r="I5422" s="455">
        <f t="shared" ca="1" si="208"/>
        <v>-1018680389626402.4</v>
      </c>
      <c r="J5422" s="455">
        <f t="array" ref="J5422">IFERROR(INDEX('Retirement Calculator'!J:J,MATCH('Isaac 401k'!N5422,'Retirement Calculator'!A:A,0),0),0)</f>
        <v>0</v>
      </c>
      <c r="K5422" s="455">
        <f t="shared" ca="1" si="206"/>
        <v>-4244501623443.3428</v>
      </c>
      <c r="L5422" s="455">
        <f t="shared" ca="1" si="207"/>
        <v>-1022924891249845.8</v>
      </c>
      <c r="M5422" s="471">
        <f t="shared" si="209"/>
        <v>0.05</v>
      </c>
      <c r="N5422" s="475">
        <f t="shared" si="210"/>
        <v>216073</v>
      </c>
    </row>
    <row r="5423" spans="7:14" ht="11.25" customHeight="1" x14ac:dyDescent="0.3">
      <c r="G5423" s="470"/>
      <c r="H5423" s="470">
        <v>5416</v>
      </c>
      <c r="I5423" s="455">
        <f t="shared" ca="1" si="208"/>
        <v>-1022924891249845.8</v>
      </c>
      <c r="J5423" s="455">
        <f t="array" ref="J5423">IFERROR(INDEX('Retirement Calculator'!J:J,MATCH('Isaac 401k'!N5423,'Retirement Calculator'!A:A,0),0),0)</f>
        <v>0</v>
      </c>
      <c r="K5423" s="455">
        <f t="shared" ca="1" si="206"/>
        <v>-4262187046874.3569</v>
      </c>
      <c r="L5423" s="455">
        <f t="shared" ca="1" si="207"/>
        <v>-1027187078296720.1</v>
      </c>
      <c r="M5423" s="471">
        <f t="shared" si="209"/>
        <v>0.05</v>
      </c>
      <c r="N5423" s="475">
        <f t="shared" si="210"/>
        <v>216104</v>
      </c>
    </row>
    <row r="5424" spans="7:14" ht="11.25" customHeight="1" x14ac:dyDescent="0.3">
      <c r="G5424" s="470"/>
      <c r="H5424" s="470">
        <v>5417</v>
      </c>
      <c r="I5424" s="455">
        <f t="shared" ca="1" si="208"/>
        <v>-1027187078296720.1</v>
      </c>
      <c r="J5424" s="455">
        <f t="array" ref="J5424">IFERROR(INDEX('Retirement Calculator'!J:J,MATCH('Isaac 401k'!N5424,'Retirement Calculator'!A:A,0),0),0)</f>
        <v>0</v>
      </c>
      <c r="K5424" s="455">
        <f t="shared" ca="1" si="206"/>
        <v>-4279946159569.6675</v>
      </c>
      <c r="L5424" s="455">
        <f t="shared" ca="1" si="207"/>
        <v>-1031467024456289.8</v>
      </c>
      <c r="M5424" s="471">
        <f t="shared" si="209"/>
        <v>0.05</v>
      </c>
      <c r="N5424" s="475">
        <f t="shared" si="210"/>
        <v>216134</v>
      </c>
    </row>
    <row r="5425" spans="7:14" ht="11.25" customHeight="1" x14ac:dyDescent="0.3">
      <c r="G5425" s="470"/>
      <c r="H5425" s="470">
        <v>5418</v>
      </c>
      <c r="I5425" s="455">
        <f t="shared" ca="1" si="208"/>
        <v>-1031467024456289.8</v>
      </c>
      <c r="J5425" s="455">
        <f t="array" ref="J5425">IFERROR(INDEX('Retirement Calculator'!J:J,MATCH('Isaac 401k'!N5425,'Retirement Calculator'!A:A,0),0),0)</f>
        <v>0</v>
      </c>
      <c r="K5425" s="455">
        <f t="shared" ca="1" si="206"/>
        <v>-4297779268567.874</v>
      </c>
      <c r="L5425" s="455">
        <f t="shared" ca="1" si="207"/>
        <v>-1035764803724857.6</v>
      </c>
      <c r="M5425" s="471">
        <f t="shared" si="209"/>
        <v>0.05</v>
      </c>
      <c r="N5425" s="475">
        <f t="shared" si="210"/>
        <v>216165</v>
      </c>
    </row>
    <row r="5426" spans="7:14" ht="11.25" customHeight="1" x14ac:dyDescent="0.3">
      <c r="G5426" s="470"/>
      <c r="H5426" s="470">
        <v>5419</v>
      </c>
      <c r="I5426" s="455">
        <f t="shared" ca="1" si="208"/>
        <v>-1035764803724857.6</v>
      </c>
      <c r="J5426" s="455">
        <f t="array" ref="J5426">IFERROR(INDEX('Retirement Calculator'!J:J,MATCH('Isaac 401k'!N5426,'Retirement Calculator'!A:A,0),0),0)</f>
        <v>0</v>
      </c>
      <c r="K5426" s="455">
        <f t="shared" ca="1" si="206"/>
        <v>-4315686682186.9067</v>
      </c>
      <c r="L5426" s="455">
        <f t="shared" ca="1" si="207"/>
        <v>-1040080490407044.5</v>
      </c>
      <c r="M5426" s="471">
        <f t="shared" si="209"/>
        <v>0.05</v>
      </c>
      <c r="N5426" s="475">
        <f t="shared" si="210"/>
        <v>216195</v>
      </c>
    </row>
    <row r="5427" spans="7:14" ht="11.25" customHeight="1" x14ac:dyDescent="0.3">
      <c r="G5427" s="470"/>
      <c r="H5427" s="470">
        <v>5420</v>
      </c>
      <c r="I5427" s="455">
        <f t="shared" ca="1" si="208"/>
        <v>-1040080490407044.5</v>
      </c>
      <c r="J5427" s="455">
        <f t="array" ref="J5427">IFERROR(INDEX('Retirement Calculator'!J:J,MATCH('Isaac 401k'!N5427,'Retirement Calculator'!A:A,0),0),0)</f>
        <v>0</v>
      </c>
      <c r="K5427" s="455">
        <f t="shared" ca="1" si="206"/>
        <v>-4333668710029.3516</v>
      </c>
      <c r="L5427" s="455">
        <f t="shared" ca="1" si="207"/>
        <v>-1044414159117073.9</v>
      </c>
      <c r="M5427" s="471">
        <f t="shared" si="209"/>
        <v>0.05</v>
      </c>
      <c r="N5427" s="475">
        <f t="shared" si="210"/>
        <v>216226</v>
      </c>
    </row>
    <row r="5428" spans="7:14" ht="11.25" customHeight="1" x14ac:dyDescent="0.3">
      <c r="G5428" s="470"/>
      <c r="H5428" s="470">
        <v>5421</v>
      </c>
      <c r="I5428" s="455">
        <f t="shared" ca="1" si="208"/>
        <v>-1044414159117073.9</v>
      </c>
      <c r="J5428" s="455">
        <f t="array" ref="J5428">IFERROR(INDEX('Retirement Calculator'!J:J,MATCH('Isaac 401k'!N5428,'Retirement Calculator'!A:A,0),0),0)</f>
        <v>0</v>
      </c>
      <c r="K5428" s="455">
        <f t="shared" ca="1" si="206"/>
        <v>-4351725662987.8076</v>
      </c>
      <c r="L5428" s="455">
        <f t="shared" ca="1" si="207"/>
        <v>-1048765884780061.6</v>
      </c>
      <c r="M5428" s="471">
        <f t="shared" si="209"/>
        <v>0.05</v>
      </c>
      <c r="N5428" s="475">
        <f t="shared" si="210"/>
        <v>216257</v>
      </c>
    </row>
    <row r="5429" spans="7:14" ht="11.25" customHeight="1" x14ac:dyDescent="0.3">
      <c r="G5429" s="470"/>
      <c r="H5429" s="470">
        <v>5422</v>
      </c>
      <c r="I5429" s="455">
        <f t="shared" ca="1" si="208"/>
        <v>-1048765884780061.6</v>
      </c>
      <c r="J5429" s="455">
        <f t="array" ref="J5429">IFERROR(INDEX('Retirement Calculator'!J:J,MATCH('Isaac 401k'!N5429,'Retirement Calculator'!A:A,0),0),0)</f>
        <v>0</v>
      </c>
      <c r="K5429" s="455">
        <f t="shared" ca="1" si="206"/>
        <v>-4369857853250.2563</v>
      </c>
      <c r="L5429" s="455">
        <f t="shared" ca="1" si="207"/>
        <v>-1053135742633311.9</v>
      </c>
      <c r="M5429" s="471">
        <f t="shared" si="209"/>
        <v>0.05</v>
      </c>
      <c r="N5429" s="475">
        <f t="shared" si="210"/>
        <v>216286</v>
      </c>
    </row>
    <row r="5430" spans="7:14" ht="11.25" customHeight="1" x14ac:dyDescent="0.3">
      <c r="G5430" s="470"/>
      <c r="H5430" s="470">
        <v>5423</v>
      </c>
      <c r="I5430" s="455">
        <f t="shared" ca="1" si="208"/>
        <v>-1053135742633311.9</v>
      </c>
      <c r="J5430" s="455">
        <f t="array" ref="J5430">IFERROR(INDEX('Retirement Calculator'!J:J,MATCH('Isaac 401k'!N5430,'Retirement Calculator'!A:A,0),0),0)</f>
        <v>0</v>
      </c>
      <c r="K5430" s="455">
        <f t="shared" ca="1" si="206"/>
        <v>-4388065594305.4663</v>
      </c>
      <c r="L5430" s="455">
        <f t="shared" ca="1" si="207"/>
        <v>-1057523808227617.4</v>
      </c>
      <c r="M5430" s="471">
        <f t="shared" si="209"/>
        <v>0.05</v>
      </c>
      <c r="N5430" s="475">
        <f t="shared" si="210"/>
        <v>216317</v>
      </c>
    </row>
    <row r="5431" spans="7:14" ht="11.25" customHeight="1" x14ac:dyDescent="0.3">
      <c r="G5431" s="470"/>
      <c r="H5431" s="470">
        <v>5424</v>
      </c>
      <c r="I5431" s="455">
        <f t="shared" ca="1" si="208"/>
        <v>-1057523808227617.4</v>
      </c>
      <c r="J5431" s="455">
        <f t="array" ref="J5431">IFERROR(INDEX('Retirement Calculator'!J:J,MATCH('Isaac 401k'!N5431,'Retirement Calculator'!A:A,0),0),0)</f>
        <v>0</v>
      </c>
      <c r="K5431" s="455">
        <f t="shared" ca="1" si="206"/>
        <v>-4406349200948.4063</v>
      </c>
      <c r="L5431" s="455">
        <f t="shared" ca="1" si="207"/>
        <v>-1061930157428565.8</v>
      </c>
      <c r="M5431" s="471">
        <f t="shared" si="209"/>
        <v>0.05</v>
      </c>
      <c r="N5431" s="475">
        <f t="shared" si="210"/>
        <v>216347</v>
      </c>
    </row>
    <row r="5432" spans="7:14" ht="11.25" customHeight="1" x14ac:dyDescent="0.3">
      <c r="G5432" s="470"/>
      <c r="H5432" s="470">
        <v>5425</v>
      </c>
      <c r="I5432" s="455">
        <f t="shared" ca="1" si="208"/>
        <v>-1061930157428565.8</v>
      </c>
      <c r="J5432" s="455">
        <f t="array" ref="J5432">IFERROR(INDEX('Retirement Calculator'!J:J,MATCH('Isaac 401k'!N5432,'Retirement Calculator'!A:A,0),0),0)</f>
        <v>0</v>
      </c>
      <c r="K5432" s="455">
        <f t="shared" ca="1" si="206"/>
        <v>-4424708989285.6904</v>
      </c>
      <c r="L5432" s="455">
        <f t="shared" ca="1" si="207"/>
        <v>-1066354866417851.5</v>
      </c>
      <c r="M5432" s="471">
        <f t="shared" si="209"/>
        <v>0.05</v>
      </c>
      <c r="N5432" s="475">
        <f t="shared" si="210"/>
        <v>216378</v>
      </c>
    </row>
    <row r="5433" spans="7:14" ht="11.25" customHeight="1" x14ac:dyDescent="0.3">
      <c r="G5433" s="470"/>
      <c r="H5433" s="470">
        <v>5426</v>
      </c>
      <c r="I5433" s="455">
        <f t="shared" ca="1" si="208"/>
        <v>-1066354866417851.5</v>
      </c>
      <c r="J5433" s="455">
        <f t="array" ref="J5433">IFERROR(INDEX('Retirement Calculator'!J:J,MATCH('Isaac 401k'!N5433,'Retirement Calculator'!A:A,0),0),0)</f>
        <v>0</v>
      </c>
      <c r="K5433" s="455">
        <f t="shared" ca="1" si="206"/>
        <v>-4443145276741.0479</v>
      </c>
      <c r="L5433" s="455">
        <f t="shared" ca="1" si="207"/>
        <v>-1070798011694592.5</v>
      </c>
      <c r="M5433" s="471">
        <f t="shared" si="209"/>
        <v>0.05</v>
      </c>
      <c r="N5433" s="475">
        <f t="shared" si="210"/>
        <v>216408</v>
      </c>
    </row>
    <row r="5434" spans="7:14" ht="11.25" customHeight="1" x14ac:dyDescent="0.3">
      <c r="G5434" s="470"/>
      <c r="H5434" s="470">
        <v>5427</v>
      </c>
      <c r="I5434" s="455">
        <f t="shared" ca="1" si="208"/>
        <v>-1070798011694592.5</v>
      </c>
      <c r="J5434" s="455">
        <f t="array" ref="J5434">IFERROR(INDEX('Retirement Calculator'!J:J,MATCH('Isaac 401k'!N5434,'Retirement Calculator'!A:A,0),0),0)</f>
        <v>0</v>
      </c>
      <c r="K5434" s="455">
        <f t="shared" ca="1" si="206"/>
        <v>-4461658382060.8018</v>
      </c>
      <c r="L5434" s="455">
        <f t="shared" ca="1" si="207"/>
        <v>-1075259670076653.3</v>
      </c>
      <c r="M5434" s="471">
        <f t="shared" si="209"/>
        <v>0.05</v>
      </c>
      <c r="N5434" s="475">
        <f t="shared" si="210"/>
        <v>216439</v>
      </c>
    </row>
    <row r="5435" spans="7:14" ht="11.25" customHeight="1" x14ac:dyDescent="0.3">
      <c r="G5435" s="470"/>
      <c r="H5435" s="470">
        <v>5428</v>
      </c>
      <c r="I5435" s="455">
        <f t="shared" ca="1" si="208"/>
        <v>-1075259670076653.3</v>
      </c>
      <c r="J5435" s="455">
        <f t="array" ref="J5435">IFERROR(INDEX('Retirement Calculator'!J:J,MATCH('Isaac 401k'!N5435,'Retirement Calculator'!A:A,0),0),0)</f>
        <v>0</v>
      </c>
      <c r="K5435" s="455">
        <f t="shared" ca="1" si="206"/>
        <v>-4480248625319.3887</v>
      </c>
      <c r="L5435" s="455">
        <f t="shared" ca="1" si="207"/>
        <v>-1079739918701972.6</v>
      </c>
      <c r="M5435" s="471">
        <f t="shared" si="209"/>
        <v>0.05</v>
      </c>
      <c r="N5435" s="475">
        <f t="shared" si="210"/>
        <v>216470</v>
      </c>
    </row>
    <row r="5436" spans="7:14" ht="11.25" customHeight="1" x14ac:dyDescent="0.3">
      <c r="G5436" s="470"/>
      <c r="H5436" s="470">
        <v>5429</v>
      </c>
      <c r="I5436" s="455">
        <f t="shared" ca="1" si="208"/>
        <v>-1079739918701972.6</v>
      </c>
      <c r="J5436" s="455">
        <f t="array" ref="J5436">IFERROR(INDEX('Retirement Calculator'!J:J,MATCH('Isaac 401k'!N5436,'Retirement Calculator'!A:A,0),0),0)</f>
        <v>0</v>
      </c>
      <c r="K5436" s="455">
        <f t="shared" ca="1" si="206"/>
        <v>-4498916327924.8857</v>
      </c>
      <c r="L5436" s="455">
        <f t="shared" ca="1" si="207"/>
        <v>-1084238835029897.5</v>
      </c>
      <c r="M5436" s="471">
        <f t="shared" si="209"/>
        <v>0.05</v>
      </c>
      <c r="N5436" s="475">
        <f t="shared" si="210"/>
        <v>216500</v>
      </c>
    </row>
    <row r="5437" spans="7:14" ht="11.25" customHeight="1" x14ac:dyDescent="0.3">
      <c r="G5437" s="470"/>
      <c r="H5437" s="470">
        <v>5430</v>
      </c>
      <c r="I5437" s="455">
        <f t="shared" ca="1" si="208"/>
        <v>-1084238835029897.5</v>
      </c>
      <c r="J5437" s="455">
        <f t="array" ref="J5437">IFERROR(INDEX('Retirement Calculator'!J:J,MATCH('Isaac 401k'!N5437,'Retirement Calculator'!A:A,0),0),0)</f>
        <v>0</v>
      </c>
      <c r="K5437" s="455">
        <f t="shared" ca="1" si="206"/>
        <v>-4517661812624.5732</v>
      </c>
      <c r="L5437" s="455">
        <f t="shared" ca="1" si="207"/>
        <v>-1088756496842522.1</v>
      </c>
      <c r="M5437" s="471">
        <f t="shared" si="209"/>
        <v>0.05</v>
      </c>
      <c r="N5437" s="475">
        <f t="shared" si="210"/>
        <v>216531</v>
      </c>
    </row>
    <row r="5438" spans="7:14" ht="11.25" customHeight="1" x14ac:dyDescent="0.3">
      <c r="G5438" s="470"/>
      <c r="H5438" s="470">
        <v>5431</v>
      </c>
      <c r="I5438" s="455">
        <f t="shared" ca="1" si="208"/>
        <v>-1088756496842522.1</v>
      </c>
      <c r="J5438" s="455">
        <f t="array" ref="J5438">IFERROR(INDEX('Retirement Calculator'!J:J,MATCH('Isaac 401k'!N5438,'Retirement Calculator'!A:A,0),0),0)</f>
        <v>0</v>
      </c>
      <c r="K5438" s="455">
        <f t="shared" ca="1" si="206"/>
        <v>-4536485403510.5088</v>
      </c>
      <c r="L5438" s="455">
        <f t="shared" ca="1" si="207"/>
        <v>-1093292982246032.6</v>
      </c>
      <c r="M5438" s="471">
        <f t="shared" si="209"/>
        <v>0.05</v>
      </c>
      <c r="N5438" s="475">
        <f t="shared" si="210"/>
        <v>216561</v>
      </c>
    </row>
    <row r="5439" spans="7:14" ht="11.25" customHeight="1" x14ac:dyDescent="0.3">
      <c r="G5439" s="470"/>
      <c r="H5439" s="470">
        <v>5432</v>
      </c>
      <c r="I5439" s="455">
        <f t="shared" ca="1" si="208"/>
        <v>-1093292982246032.6</v>
      </c>
      <c r="J5439" s="455">
        <f t="array" ref="J5439">IFERROR(INDEX('Retirement Calculator'!J:J,MATCH('Isaac 401k'!N5439,'Retirement Calculator'!A:A,0),0),0)</f>
        <v>0</v>
      </c>
      <c r="K5439" s="455">
        <f t="shared" ca="1" si="206"/>
        <v>-4555387426025.1357</v>
      </c>
      <c r="L5439" s="455">
        <f t="shared" ca="1" si="207"/>
        <v>-1097848369672057.8</v>
      </c>
      <c r="M5439" s="471">
        <f t="shared" si="209"/>
        <v>0.05</v>
      </c>
      <c r="N5439" s="475">
        <f t="shared" si="210"/>
        <v>216592</v>
      </c>
    </row>
    <row r="5440" spans="7:14" ht="11.25" customHeight="1" x14ac:dyDescent="0.3">
      <c r="G5440" s="470"/>
      <c r="H5440" s="470">
        <v>5433</v>
      </c>
      <c r="I5440" s="455">
        <f t="shared" ca="1" si="208"/>
        <v>-1097848369672057.8</v>
      </c>
      <c r="J5440" s="455">
        <f t="array" ref="J5440">IFERROR(INDEX('Retirement Calculator'!J:J,MATCH('Isaac 401k'!N5440,'Retirement Calculator'!A:A,0),0),0)</f>
        <v>0</v>
      </c>
      <c r="K5440" s="455">
        <f t="shared" ca="1" si="206"/>
        <v>-4574368206966.9072</v>
      </c>
      <c r="L5440" s="455">
        <f t="shared" ca="1" si="207"/>
        <v>-1102422737879024.6</v>
      </c>
      <c r="M5440" s="471">
        <f t="shared" si="209"/>
        <v>0.05</v>
      </c>
      <c r="N5440" s="475">
        <f t="shared" si="210"/>
        <v>216623</v>
      </c>
    </row>
    <row r="5441" spans="7:14" ht="11.25" customHeight="1" x14ac:dyDescent="0.3">
      <c r="G5441" s="470"/>
      <c r="H5441" s="470">
        <v>5434</v>
      </c>
      <c r="I5441" s="455">
        <f t="shared" ca="1" si="208"/>
        <v>-1102422737879024.6</v>
      </c>
      <c r="J5441" s="455">
        <f t="array" ref="J5441">IFERROR(INDEX('Retirement Calculator'!J:J,MATCH('Isaac 401k'!N5441,'Retirement Calculator'!A:A,0),0),0)</f>
        <v>0</v>
      </c>
      <c r="K5441" s="455">
        <f t="shared" ca="1" si="206"/>
        <v>-4593428074495.9355</v>
      </c>
      <c r="L5441" s="455">
        <f t="shared" ca="1" si="207"/>
        <v>-1107016165953520.5</v>
      </c>
      <c r="M5441" s="471">
        <f t="shared" si="209"/>
        <v>0.05</v>
      </c>
      <c r="N5441" s="475">
        <f t="shared" si="210"/>
        <v>216651</v>
      </c>
    </row>
    <row r="5442" spans="7:14" ht="11.25" customHeight="1" x14ac:dyDescent="0.3">
      <c r="G5442" s="470"/>
      <c r="H5442" s="470">
        <v>5435</v>
      </c>
      <c r="I5442" s="455">
        <f t="shared" ca="1" si="208"/>
        <v>-1107016165953520.5</v>
      </c>
      <c r="J5442" s="455">
        <f t="array" ref="J5442">IFERROR(INDEX('Retirement Calculator'!J:J,MATCH('Isaac 401k'!N5442,'Retirement Calculator'!A:A,0),0),0)</f>
        <v>0</v>
      </c>
      <c r="K5442" s="455">
        <f t="shared" ca="1" si="206"/>
        <v>-4612567358139.6689</v>
      </c>
      <c r="L5442" s="455">
        <f t="shared" ca="1" si="207"/>
        <v>-1111628733311660.1</v>
      </c>
      <c r="M5442" s="471">
        <f t="shared" si="209"/>
        <v>0.05</v>
      </c>
      <c r="N5442" s="475">
        <f t="shared" si="210"/>
        <v>216682</v>
      </c>
    </row>
    <row r="5443" spans="7:14" ht="11.25" customHeight="1" x14ac:dyDescent="0.3">
      <c r="G5443" s="470"/>
      <c r="H5443" s="470">
        <v>5436</v>
      </c>
      <c r="I5443" s="455">
        <f t="shared" ca="1" si="208"/>
        <v>-1111628733311660.1</v>
      </c>
      <c r="J5443" s="455">
        <f t="array" ref="J5443">IFERROR(INDEX('Retirement Calculator'!J:J,MATCH('Isaac 401k'!N5443,'Retirement Calculator'!A:A,0),0),0)</f>
        <v>0</v>
      </c>
      <c r="K5443" s="455">
        <f t="shared" ca="1" si="206"/>
        <v>-4631786388798.584</v>
      </c>
      <c r="L5443" s="455">
        <f t="shared" ca="1" si="207"/>
        <v>-1116260519700458.8</v>
      </c>
      <c r="M5443" s="471">
        <f t="shared" si="209"/>
        <v>0.05</v>
      </c>
      <c r="N5443" s="475">
        <f t="shared" si="210"/>
        <v>216712</v>
      </c>
    </row>
    <row r="5444" spans="7:14" ht="11.25" customHeight="1" x14ac:dyDescent="0.3">
      <c r="G5444" s="470"/>
      <c r="H5444" s="470">
        <v>5437</v>
      </c>
      <c r="I5444" s="455">
        <f t="shared" ca="1" si="208"/>
        <v>-1116260519700458.8</v>
      </c>
      <c r="J5444" s="455">
        <f t="array" ref="J5444">IFERROR(INDEX('Retirement Calculator'!J:J,MATCH('Isaac 401k'!N5444,'Retirement Calculator'!A:A,0),0),0)</f>
        <v>0</v>
      </c>
      <c r="K5444" s="455">
        <f t="shared" ca="1" si="206"/>
        <v>-4651085498751.9121</v>
      </c>
      <c r="L5444" s="455">
        <f t="shared" ca="1" si="207"/>
        <v>-1120911605199210.6</v>
      </c>
      <c r="M5444" s="471">
        <f t="shared" si="209"/>
        <v>0.05</v>
      </c>
      <c r="N5444" s="475">
        <f t="shared" si="210"/>
        <v>216743</v>
      </c>
    </row>
    <row r="5445" spans="7:14" ht="11.25" customHeight="1" x14ac:dyDescent="0.3">
      <c r="G5445" s="470"/>
      <c r="H5445" s="470">
        <v>5438</v>
      </c>
      <c r="I5445" s="455">
        <f t="shared" ca="1" si="208"/>
        <v>-1120911605199210.6</v>
      </c>
      <c r="J5445" s="455">
        <f t="array" ref="J5445">IFERROR(INDEX('Retirement Calculator'!J:J,MATCH('Isaac 401k'!N5445,'Retirement Calculator'!A:A,0),0),0)</f>
        <v>0</v>
      </c>
      <c r="K5445" s="455">
        <f t="shared" ca="1" si="206"/>
        <v>-4670465021663.3779</v>
      </c>
      <c r="L5445" s="455">
        <f t="shared" ca="1" si="207"/>
        <v>-1125582070220874</v>
      </c>
      <c r="M5445" s="471">
        <f t="shared" si="209"/>
        <v>0.05</v>
      </c>
      <c r="N5445" s="475">
        <f t="shared" si="210"/>
        <v>216773</v>
      </c>
    </row>
    <row r="5446" spans="7:14" ht="11.25" customHeight="1" x14ac:dyDescent="0.3">
      <c r="G5446" s="470"/>
      <c r="H5446" s="470">
        <v>5439</v>
      </c>
      <c r="I5446" s="455">
        <f t="shared" ca="1" si="208"/>
        <v>-1125582070220874</v>
      </c>
      <c r="J5446" s="455">
        <f t="array" ref="J5446">IFERROR(INDEX('Retirement Calculator'!J:J,MATCH('Isaac 401k'!N5446,'Retirement Calculator'!A:A,0),0),0)</f>
        <v>0</v>
      </c>
      <c r="K5446" s="455">
        <f t="shared" ca="1" si="206"/>
        <v>-4689925292586.9746</v>
      </c>
      <c r="L5446" s="455">
        <f t="shared" ca="1" si="207"/>
        <v>-1130271995513461</v>
      </c>
      <c r="M5446" s="471">
        <f t="shared" si="209"/>
        <v>0.05</v>
      </c>
      <c r="N5446" s="475">
        <f t="shared" si="210"/>
        <v>216804</v>
      </c>
    </row>
    <row r="5447" spans="7:14" ht="11.25" customHeight="1" x14ac:dyDescent="0.3">
      <c r="G5447" s="470"/>
      <c r="H5447" s="470">
        <v>5440</v>
      </c>
      <c r="I5447" s="455">
        <f t="shared" ca="1" si="208"/>
        <v>-1130271995513461</v>
      </c>
      <c r="J5447" s="455">
        <f t="array" ref="J5447">IFERROR(INDEX('Retirement Calculator'!J:J,MATCH('Isaac 401k'!N5447,'Retirement Calculator'!A:A,0),0),0)</f>
        <v>0</v>
      </c>
      <c r="K5447" s="455">
        <f t="shared" ca="1" si="206"/>
        <v>-4709466647972.7539</v>
      </c>
      <c r="L5447" s="455">
        <f t="shared" ca="1" si="207"/>
        <v>-1134981462161433.8</v>
      </c>
      <c r="M5447" s="471">
        <f t="shared" si="209"/>
        <v>0.05</v>
      </c>
      <c r="N5447" s="475">
        <f t="shared" si="210"/>
        <v>216835</v>
      </c>
    </row>
    <row r="5448" spans="7:14" ht="11.25" customHeight="1" x14ac:dyDescent="0.3">
      <c r="G5448" s="470"/>
      <c r="H5448" s="470">
        <v>5441</v>
      </c>
      <c r="I5448" s="455">
        <f t="shared" ca="1" si="208"/>
        <v>-1134981462161433.8</v>
      </c>
      <c r="J5448" s="455">
        <f t="array" ref="J5448">IFERROR(INDEX('Retirement Calculator'!J:J,MATCH('Isaac 401k'!N5448,'Retirement Calculator'!A:A,0),0),0)</f>
        <v>0</v>
      </c>
      <c r="K5448" s="455">
        <f t="shared" ca="1" si="206"/>
        <v>-4729089425672.6406</v>
      </c>
      <c r="L5448" s="455">
        <f t="shared" ca="1" si="207"/>
        <v>-1139710551587106.5</v>
      </c>
      <c r="M5448" s="471">
        <f t="shared" si="209"/>
        <v>0.05</v>
      </c>
      <c r="N5448" s="475">
        <f t="shared" si="210"/>
        <v>216865</v>
      </c>
    </row>
    <row r="5449" spans="7:14" ht="11.25" customHeight="1" x14ac:dyDescent="0.3">
      <c r="G5449" s="470"/>
      <c r="H5449" s="470">
        <v>5442</v>
      </c>
      <c r="I5449" s="455">
        <f t="shared" ca="1" si="208"/>
        <v>-1139710551587106.5</v>
      </c>
      <c r="J5449" s="455">
        <f t="array" ref="J5449">IFERROR(INDEX('Retirement Calculator'!J:J,MATCH('Isaac 401k'!N5449,'Retirement Calculator'!A:A,0),0),0)</f>
        <v>0</v>
      </c>
      <c r="K5449" s="455">
        <f t="shared" ca="1" si="206"/>
        <v>-4748793964946.2773</v>
      </c>
      <c r="L5449" s="455">
        <f t="shared" ca="1" si="207"/>
        <v>-1144459345552052.8</v>
      </c>
      <c r="M5449" s="471">
        <f t="shared" si="209"/>
        <v>0.05</v>
      </c>
      <c r="N5449" s="475">
        <f t="shared" si="210"/>
        <v>216896</v>
      </c>
    </row>
    <row r="5450" spans="7:14" ht="11.25" customHeight="1" x14ac:dyDescent="0.3">
      <c r="G5450" s="470"/>
      <c r="H5450" s="470">
        <v>5443</v>
      </c>
      <c r="I5450" s="455">
        <f t="shared" ca="1" si="208"/>
        <v>-1144459345552052.8</v>
      </c>
      <c r="J5450" s="455">
        <f t="array" ref="J5450">IFERROR(INDEX('Retirement Calculator'!J:J,MATCH('Isaac 401k'!N5450,'Retirement Calculator'!A:A,0),0),0)</f>
        <v>0</v>
      </c>
      <c r="K5450" s="455">
        <f t="shared" ca="1" si="206"/>
        <v>-4768580606466.8867</v>
      </c>
      <c r="L5450" s="455">
        <f t="shared" ca="1" si="207"/>
        <v>-1149227926158519.8</v>
      </c>
      <c r="M5450" s="471">
        <f t="shared" si="209"/>
        <v>0.05</v>
      </c>
      <c r="N5450" s="475">
        <f t="shared" si="210"/>
        <v>216926</v>
      </c>
    </row>
    <row r="5451" spans="7:14" ht="11.25" customHeight="1" x14ac:dyDescent="0.3">
      <c r="G5451" s="470"/>
      <c r="H5451" s="470">
        <v>5444</v>
      </c>
      <c r="I5451" s="455">
        <f t="shared" ca="1" si="208"/>
        <v>-1149227926158519.8</v>
      </c>
      <c r="J5451" s="455">
        <f t="array" ref="J5451">IFERROR(INDEX('Retirement Calculator'!J:J,MATCH('Isaac 401k'!N5451,'Retirement Calculator'!A:A,0),0),0)</f>
        <v>0</v>
      </c>
      <c r="K5451" s="455">
        <f t="shared" ca="1" si="206"/>
        <v>-4788449692327.166</v>
      </c>
      <c r="L5451" s="455">
        <f t="shared" ca="1" si="207"/>
        <v>-1154016375850847</v>
      </c>
      <c r="M5451" s="471">
        <f t="shared" si="209"/>
        <v>0.05</v>
      </c>
      <c r="N5451" s="475">
        <f t="shared" si="210"/>
        <v>216957</v>
      </c>
    </row>
    <row r="5452" spans="7:14" ht="11.25" customHeight="1" x14ac:dyDescent="0.3">
      <c r="G5452" s="470"/>
      <c r="H5452" s="470">
        <v>5445</v>
      </c>
      <c r="I5452" s="455">
        <f t="shared" ca="1" si="208"/>
        <v>-1154016375850847</v>
      </c>
      <c r="J5452" s="455">
        <f t="array" ref="J5452">IFERROR(INDEX('Retirement Calculator'!J:J,MATCH('Isaac 401k'!N5452,'Retirement Calculator'!A:A,0),0),0)</f>
        <v>0</v>
      </c>
      <c r="K5452" s="455">
        <f t="shared" ca="1" si="206"/>
        <v>-4808401566045.1953</v>
      </c>
      <c r="L5452" s="455">
        <f t="shared" ca="1" si="207"/>
        <v>-1158824777416892.3</v>
      </c>
      <c r="M5452" s="471">
        <f t="shared" si="209"/>
        <v>0.05</v>
      </c>
      <c r="N5452" s="475">
        <f t="shared" si="210"/>
        <v>216988</v>
      </c>
    </row>
    <row r="5453" spans="7:14" ht="11.25" customHeight="1" x14ac:dyDescent="0.3">
      <c r="G5453" s="470"/>
      <c r="H5453" s="470">
        <v>5446</v>
      </c>
      <c r="I5453" s="455">
        <f t="shared" ca="1" si="208"/>
        <v>-1158824777416892.3</v>
      </c>
      <c r="J5453" s="455">
        <f t="array" ref="J5453">IFERROR(INDEX('Retirement Calculator'!J:J,MATCH('Isaac 401k'!N5453,'Retirement Calculator'!A:A,0),0),0)</f>
        <v>0</v>
      </c>
      <c r="K5453" s="455">
        <f t="shared" ca="1" si="206"/>
        <v>-4828436572570.3848</v>
      </c>
      <c r="L5453" s="455">
        <f t="shared" ca="1" si="207"/>
        <v>-1163653213989462.8</v>
      </c>
      <c r="M5453" s="471">
        <f t="shared" si="209"/>
        <v>0.05</v>
      </c>
      <c r="N5453" s="475">
        <f t="shared" si="210"/>
        <v>217016</v>
      </c>
    </row>
    <row r="5454" spans="7:14" ht="11.25" customHeight="1" x14ac:dyDescent="0.3">
      <c r="G5454" s="470"/>
      <c r="H5454" s="470">
        <v>5447</v>
      </c>
      <c r="I5454" s="455">
        <f t="shared" ca="1" si="208"/>
        <v>-1163653213989462.8</v>
      </c>
      <c r="J5454" s="455">
        <f t="array" ref="J5454">IFERROR(INDEX('Retirement Calculator'!J:J,MATCH('Isaac 401k'!N5454,'Retirement Calculator'!A:A,0),0),0)</f>
        <v>0</v>
      </c>
      <c r="K5454" s="455">
        <f t="shared" ca="1" si="206"/>
        <v>-4848555058289.4277</v>
      </c>
      <c r="L5454" s="455">
        <f t="shared" ca="1" si="207"/>
        <v>-1168501769047752.3</v>
      </c>
      <c r="M5454" s="471">
        <f t="shared" si="209"/>
        <v>0.05</v>
      </c>
      <c r="N5454" s="475">
        <f t="shared" si="210"/>
        <v>217047</v>
      </c>
    </row>
    <row r="5455" spans="7:14" ht="11.25" customHeight="1" x14ac:dyDescent="0.3">
      <c r="G5455" s="470"/>
      <c r="H5455" s="470">
        <v>5448</v>
      </c>
      <c r="I5455" s="455">
        <f t="shared" ca="1" si="208"/>
        <v>-1168501769047752.3</v>
      </c>
      <c r="J5455" s="455">
        <f t="array" ref="J5455">IFERROR(INDEX('Retirement Calculator'!J:J,MATCH('Isaac 401k'!N5455,'Retirement Calculator'!A:A,0),0),0)</f>
        <v>0</v>
      </c>
      <c r="K5455" s="455">
        <f t="shared" ca="1" si="206"/>
        <v>-4868757371032.3008</v>
      </c>
      <c r="L5455" s="455">
        <f t="shared" ca="1" si="207"/>
        <v>-1173370526418784.5</v>
      </c>
      <c r="M5455" s="471">
        <f t="shared" si="209"/>
        <v>0.05</v>
      </c>
      <c r="N5455" s="475">
        <f t="shared" si="210"/>
        <v>217077</v>
      </c>
    </row>
    <row r="5456" spans="7:14" ht="11.25" customHeight="1" x14ac:dyDescent="0.3">
      <c r="G5456" s="470"/>
      <c r="H5456" s="470">
        <v>5449</v>
      </c>
      <c r="I5456" s="455">
        <f t="shared" ca="1" si="208"/>
        <v>-1173370526418784.5</v>
      </c>
      <c r="J5456" s="455">
        <f t="array" ref="J5456">IFERROR(INDEX('Retirement Calculator'!J:J,MATCH('Isaac 401k'!N5456,'Retirement Calculator'!A:A,0),0),0)</f>
        <v>0</v>
      </c>
      <c r="K5456" s="455">
        <f t="shared" ca="1" si="206"/>
        <v>-4889043860078.2686</v>
      </c>
      <c r="L5456" s="455">
        <f t="shared" ca="1" si="207"/>
        <v>-1178259570278862.8</v>
      </c>
      <c r="M5456" s="471">
        <f t="shared" si="209"/>
        <v>0.05</v>
      </c>
      <c r="N5456" s="475">
        <f t="shared" si="210"/>
        <v>217108</v>
      </c>
    </row>
    <row r="5457" spans="7:14" ht="11.25" customHeight="1" x14ac:dyDescent="0.3">
      <c r="G5457" s="470"/>
      <c r="H5457" s="470">
        <v>5450</v>
      </c>
      <c r="I5457" s="455">
        <f t="shared" ca="1" si="208"/>
        <v>-1178259570278862.8</v>
      </c>
      <c r="J5457" s="455">
        <f t="array" ref="J5457">IFERROR(INDEX('Retirement Calculator'!J:J,MATCH('Isaac 401k'!N5457,'Retirement Calculator'!A:A,0),0),0)</f>
        <v>0</v>
      </c>
      <c r="K5457" s="455">
        <f t="shared" ca="1" si="206"/>
        <v>-4909414876161.9277</v>
      </c>
      <c r="L5457" s="455">
        <f t="shared" ca="1" si="207"/>
        <v>-1183168985155024.8</v>
      </c>
      <c r="M5457" s="471">
        <f t="shared" si="209"/>
        <v>0.05</v>
      </c>
      <c r="N5457" s="475">
        <f t="shared" si="210"/>
        <v>217138</v>
      </c>
    </row>
    <row r="5458" spans="7:14" ht="11.25" customHeight="1" x14ac:dyDescent="0.3">
      <c r="G5458" s="470"/>
      <c r="H5458" s="470">
        <v>5451</v>
      </c>
      <c r="I5458" s="455">
        <f t="shared" ca="1" si="208"/>
        <v>-1183168985155024.8</v>
      </c>
      <c r="J5458" s="455">
        <f t="array" ref="J5458">IFERROR(INDEX('Retirement Calculator'!J:J,MATCH('Isaac 401k'!N5458,'Retirement Calculator'!A:A,0),0),0)</f>
        <v>0</v>
      </c>
      <c r="K5458" s="455">
        <f t="shared" ca="1" si="206"/>
        <v>-4929870771479.2695</v>
      </c>
      <c r="L5458" s="455">
        <f t="shared" ca="1" si="207"/>
        <v>-1188098855926504</v>
      </c>
      <c r="M5458" s="471">
        <f t="shared" si="209"/>
        <v>0.05</v>
      </c>
      <c r="N5458" s="475">
        <f t="shared" si="210"/>
        <v>217169</v>
      </c>
    </row>
    <row r="5459" spans="7:14" ht="11.25" customHeight="1" x14ac:dyDescent="0.3">
      <c r="G5459" s="470"/>
      <c r="H5459" s="470">
        <v>5452</v>
      </c>
      <c r="I5459" s="455">
        <f t="shared" ca="1" si="208"/>
        <v>-1188098855926504</v>
      </c>
      <c r="J5459" s="455">
        <f t="array" ref="J5459">IFERROR(INDEX('Retirement Calculator'!J:J,MATCH('Isaac 401k'!N5459,'Retirement Calculator'!A:A,0),0),0)</f>
        <v>0</v>
      </c>
      <c r="K5459" s="455">
        <f t="shared" ca="1" si="206"/>
        <v>-4950411899693.7666</v>
      </c>
      <c r="L5459" s="455">
        <f t="shared" ca="1" si="207"/>
        <v>-1193049267826197.8</v>
      </c>
      <c r="M5459" s="471">
        <f t="shared" si="209"/>
        <v>0.05</v>
      </c>
      <c r="N5459" s="475">
        <f t="shared" si="210"/>
        <v>217200</v>
      </c>
    </row>
    <row r="5460" spans="7:14" ht="11.25" customHeight="1" x14ac:dyDescent="0.3">
      <c r="G5460" s="470"/>
      <c r="H5460" s="470">
        <v>5453</v>
      </c>
      <c r="I5460" s="455">
        <f t="shared" ca="1" si="208"/>
        <v>-1193049267826197.8</v>
      </c>
      <c r="J5460" s="455">
        <f t="array" ref="J5460">IFERROR(INDEX('Retirement Calculator'!J:J,MATCH('Isaac 401k'!N5460,'Retirement Calculator'!A:A,0),0),0)</f>
        <v>0</v>
      </c>
      <c r="K5460" s="455">
        <f t="shared" ca="1" si="206"/>
        <v>-4971038615942.4902</v>
      </c>
      <c r="L5460" s="455">
        <f t="shared" ca="1" si="207"/>
        <v>-1198020306442140.3</v>
      </c>
      <c r="M5460" s="471">
        <f t="shared" si="209"/>
        <v>0.05</v>
      </c>
      <c r="N5460" s="475">
        <f t="shared" si="210"/>
        <v>217230</v>
      </c>
    </row>
    <row r="5461" spans="7:14" ht="11.25" customHeight="1" x14ac:dyDescent="0.3">
      <c r="G5461" s="470"/>
      <c r="H5461" s="470">
        <v>5454</v>
      </c>
      <c r="I5461" s="455">
        <f t="shared" ca="1" si="208"/>
        <v>-1198020306442140.3</v>
      </c>
      <c r="J5461" s="455">
        <f t="array" ref="J5461">IFERROR(INDEX('Retirement Calculator'!J:J,MATCH('Isaac 401k'!N5461,'Retirement Calculator'!A:A,0),0),0)</f>
        <v>0</v>
      </c>
      <c r="K5461" s="455">
        <f t="shared" ca="1" si="206"/>
        <v>-4991751276842.251</v>
      </c>
      <c r="L5461" s="455">
        <f t="shared" ca="1" si="207"/>
        <v>-1203012057718982.5</v>
      </c>
      <c r="M5461" s="471">
        <f t="shared" si="209"/>
        <v>0.05</v>
      </c>
      <c r="N5461" s="475">
        <f t="shared" si="210"/>
        <v>217261</v>
      </c>
    </row>
    <row r="5462" spans="7:14" ht="11.25" customHeight="1" x14ac:dyDescent="0.3">
      <c r="G5462" s="470"/>
      <c r="H5462" s="470">
        <v>5455</v>
      </c>
      <c r="I5462" s="455">
        <f t="shared" ca="1" si="208"/>
        <v>-1203012057718982.5</v>
      </c>
      <c r="J5462" s="455">
        <f t="array" ref="J5462">IFERROR(INDEX('Retirement Calculator'!J:J,MATCH('Isaac 401k'!N5462,'Retirement Calculator'!A:A,0),0),0)</f>
        <v>0</v>
      </c>
      <c r="K5462" s="455">
        <f t="shared" ca="1" si="206"/>
        <v>-5012550240495.7607</v>
      </c>
      <c r="L5462" s="455">
        <f t="shared" ca="1" si="207"/>
        <v>-1208024607959478.3</v>
      </c>
      <c r="M5462" s="471">
        <f t="shared" si="209"/>
        <v>0.05</v>
      </c>
      <c r="N5462" s="475">
        <f t="shared" si="210"/>
        <v>217291</v>
      </c>
    </row>
    <row r="5463" spans="7:14" ht="11.25" customHeight="1" x14ac:dyDescent="0.3">
      <c r="G5463" s="470"/>
      <c r="H5463" s="470">
        <v>5456</v>
      </c>
      <c r="I5463" s="455">
        <f t="shared" ca="1" si="208"/>
        <v>-1208024607959478.3</v>
      </c>
      <c r="J5463" s="455">
        <f t="array" ref="J5463">IFERROR(INDEX('Retirement Calculator'!J:J,MATCH('Isaac 401k'!N5463,'Retirement Calculator'!A:A,0),0),0)</f>
        <v>0</v>
      </c>
      <c r="K5463" s="455">
        <f t="shared" ca="1" si="206"/>
        <v>-5033435866497.8262</v>
      </c>
      <c r="L5463" s="455">
        <f t="shared" ca="1" si="207"/>
        <v>-1213058043825976</v>
      </c>
      <c r="M5463" s="471">
        <f t="shared" si="209"/>
        <v>0.05</v>
      </c>
      <c r="N5463" s="475">
        <f t="shared" si="210"/>
        <v>217322</v>
      </c>
    </row>
    <row r="5464" spans="7:14" ht="11.25" customHeight="1" x14ac:dyDescent="0.3">
      <c r="G5464" s="470"/>
      <c r="H5464" s="470">
        <v>5457</v>
      </c>
      <c r="I5464" s="455">
        <f t="shared" ca="1" si="208"/>
        <v>-1213058043825976</v>
      </c>
      <c r="J5464" s="455">
        <f t="array" ref="J5464">IFERROR(INDEX('Retirement Calculator'!J:J,MATCH('Isaac 401k'!N5464,'Retirement Calculator'!A:A,0),0),0)</f>
        <v>0</v>
      </c>
      <c r="K5464" s="455">
        <f t="shared" ca="1" si="206"/>
        <v>-5054408515941.5664</v>
      </c>
      <c r="L5464" s="455">
        <f t="shared" ca="1" si="207"/>
        <v>-1218112452341917.5</v>
      </c>
      <c r="M5464" s="471">
        <f t="shared" si="209"/>
        <v>0.05</v>
      </c>
      <c r="N5464" s="475">
        <f t="shared" si="210"/>
        <v>217353</v>
      </c>
    </row>
    <row r="5465" spans="7:14" ht="11.25" customHeight="1" x14ac:dyDescent="0.3">
      <c r="G5465" s="470"/>
      <c r="H5465" s="470">
        <v>5458</v>
      </c>
      <c r="I5465" s="455">
        <f t="shared" ca="1" si="208"/>
        <v>-1218112452341917.5</v>
      </c>
      <c r="J5465" s="455">
        <f t="array" ref="J5465">IFERROR(INDEX('Retirement Calculator'!J:J,MATCH('Isaac 401k'!N5465,'Retirement Calculator'!A:A,0),0),0)</f>
        <v>0</v>
      </c>
      <c r="K5465" s="455">
        <f t="shared" ca="1" si="206"/>
        <v>-5075468551424.6563</v>
      </c>
      <c r="L5465" s="455">
        <f t="shared" ca="1" si="207"/>
        <v>-1223187920893342.3</v>
      </c>
      <c r="M5465" s="471">
        <f t="shared" si="209"/>
        <v>0.05</v>
      </c>
      <c r="N5465" s="475">
        <f t="shared" si="210"/>
        <v>217381</v>
      </c>
    </row>
    <row r="5466" spans="7:14" ht="11.25" customHeight="1" x14ac:dyDescent="0.3">
      <c r="G5466" s="470"/>
      <c r="H5466" s="470">
        <v>5459</v>
      </c>
      <c r="I5466" s="455">
        <f t="shared" ca="1" si="208"/>
        <v>-1223187920893342.3</v>
      </c>
      <c r="J5466" s="455">
        <f t="array" ref="J5466">IFERROR(INDEX('Retirement Calculator'!J:J,MATCH('Isaac 401k'!N5466,'Retirement Calculator'!A:A,0),0),0)</f>
        <v>0</v>
      </c>
      <c r="K5466" s="455">
        <f t="shared" ca="1" si="206"/>
        <v>-5096616337055.5928</v>
      </c>
      <c r="L5466" s="455">
        <f t="shared" ca="1" si="207"/>
        <v>-1228284537230397.8</v>
      </c>
      <c r="M5466" s="471">
        <f t="shared" si="209"/>
        <v>0.05</v>
      </c>
      <c r="N5466" s="475">
        <f t="shared" si="210"/>
        <v>217412</v>
      </c>
    </row>
    <row r="5467" spans="7:14" ht="11.25" customHeight="1" x14ac:dyDescent="0.3">
      <c r="G5467" s="470"/>
      <c r="H5467" s="470">
        <v>5460</v>
      </c>
      <c r="I5467" s="455">
        <f t="shared" ca="1" si="208"/>
        <v>-1228284537230397.8</v>
      </c>
      <c r="J5467" s="455">
        <f t="array" ref="J5467">IFERROR(INDEX('Retirement Calculator'!J:J,MATCH('Isaac 401k'!N5467,'Retirement Calculator'!A:A,0),0),0)</f>
        <v>0</v>
      </c>
      <c r="K5467" s="455">
        <f t="shared" ca="1" si="206"/>
        <v>-5117852238459.9902</v>
      </c>
      <c r="L5467" s="455">
        <f t="shared" ca="1" si="207"/>
        <v>-1233402389468857.8</v>
      </c>
      <c r="M5467" s="471">
        <f t="shared" si="209"/>
        <v>0.05</v>
      </c>
      <c r="N5467" s="475">
        <f t="shared" si="210"/>
        <v>217442</v>
      </c>
    </row>
    <row r="5468" spans="7:14" ht="11.25" customHeight="1" x14ac:dyDescent="0.3">
      <c r="G5468" s="470"/>
      <c r="H5468" s="470">
        <v>5461</v>
      </c>
      <c r="I5468" s="455">
        <f t="shared" ca="1" si="208"/>
        <v>-1233402389468857.8</v>
      </c>
      <c r="J5468" s="455">
        <f t="array" ref="J5468">IFERROR(INDEX('Retirement Calculator'!J:J,MATCH('Isaac 401k'!N5468,'Retirement Calculator'!A:A,0),0),0)</f>
        <v>0</v>
      </c>
      <c r="K5468" s="455">
        <f t="shared" ca="1" si="206"/>
        <v>-5139176622786.9072</v>
      </c>
      <c r="L5468" s="455">
        <f t="shared" ca="1" si="207"/>
        <v>-1238541566091644.8</v>
      </c>
      <c r="M5468" s="471">
        <f t="shared" si="209"/>
        <v>0.05</v>
      </c>
      <c r="N5468" s="475">
        <f t="shared" si="210"/>
        <v>217473</v>
      </c>
    </row>
    <row r="5469" spans="7:14" ht="11.25" customHeight="1" x14ac:dyDescent="0.3">
      <c r="G5469" s="470"/>
      <c r="H5469" s="470">
        <v>5462</v>
      </c>
      <c r="I5469" s="455">
        <f t="shared" ca="1" si="208"/>
        <v>-1238541566091644.8</v>
      </c>
      <c r="J5469" s="455">
        <f t="array" ref="J5469">IFERROR(INDEX('Retirement Calculator'!J:J,MATCH('Isaac 401k'!N5469,'Retirement Calculator'!A:A,0),0),0)</f>
        <v>0</v>
      </c>
      <c r="K5469" s="455">
        <f t="shared" ca="1" si="206"/>
        <v>-5160589858715.1865</v>
      </c>
      <c r="L5469" s="455">
        <f t="shared" ca="1" si="207"/>
        <v>-1243702155950360</v>
      </c>
      <c r="M5469" s="471">
        <f t="shared" si="209"/>
        <v>0.05</v>
      </c>
      <c r="N5469" s="475">
        <f t="shared" si="210"/>
        <v>217503</v>
      </c>
    </row>
    <row r="5470" spans="7:14" ht="11.25" customHeight="1" x14ac:dyDescent="0.3">
      <c r="G5470" s="470"/>
      <c r="H5470" s="470">
        <v>5463</v>
      </c>
      <c r="I5470" s="455">
        <f t="shared" ca="1" si="208"/>
        <v>-1243702155950360</v>
      </c>
      <c r="J5470" s="455">
        <f t="array" ref="J5470">IFERROR(INDEX('Retirement Calculator'!J:J,MATCH('Isaac 401k'!N5470,'Retirement Calculator'!A:A,0),0),0)</f>
        <v>0</v>
      </c>
      <c r="K5470" s="455">
        <f t="shared" ca="1" si="206"/>
        <v>-5182092316459.833</v>
      </c>
      <c r="L5470" s="455">
        <f t="shared" ca="1" si="207"/>
        <v>-1248884248266819.8</v>
      </c>
      <c r="M5470" s="471">
        <f t="shared" si="209"/>
        <v>0.05</v>
      </c>
      <c r="N5470" s="475">
        <f t="shared" si="210"/>
        <v>217534</v>
      </c>
    </row>
    <row r="5471" spans="7:14" ht="11.25" customHeight="1" x14ac:dyDescent="0.3">
      <c r="G5471" s="470"/>
      <c r="H5471" s="470">
        <v>5464</v>
      </c>
      <c r="I5471" s="455">
        <f t="shared" ca="1" si="208"/>
        <v>-1248884248266819.8</v>
      </c>
      <c r="J5471" s="455">
        <f t="array" ref="J5471">IFERROR(INDEX('Retirement Calculator'!J:J,MATCH('Isaac 401k'!N5471,'Retirement Calculator'!A:A,0),0),0)</f>
        <v>0</v>
      </c>
      <c r="K5471" s="455">
        <f t="shared" ca="1" si="206"/>
        <v>-5203684367778.416</v>
      </c>
      <c r="L5471" s="455">
        <f t="shared" ca="1" si="207"/>
        <v>-1254087932634598.3</v>
      </c>
      <c r="M5471" s="471">
        <f t="shared" si="209"/>
        <v>0.05</v>
      </c>
      <c r="N5471" s="475">
        <f t="shared" si="210"/>
        <v>217565</v>
      </c>
    </row>
    <row r="5472" spans="7:14" ht="11.25" customHeight="1" x14ac:dyDescent="0.3">
      <c r="G5472" s="470"/>
      <c r="H5472" s="470">
        <v>5465</v>
      </c>
      <c r="I5472" s="455">
        <f t="shared" ca="1" si="208"/>
        <v>-1254087932634598.3</v>
      </c>
      <c r="J5472" s="455">
        <f t="array" ref="J5472">IFERROR(INDEX('Retirement Calculator'!J:J,MATCH('Isaac 401k'!N5472,'Retirement Calculator'!A:A,0),0),0)</f>
        <v>0</v>
      </c>
      <c r="K5472" s="455">
        <f t="shared" ca="1" si="206"/>
        <v>-5225366385977.4922</v>
      </c>
      <c r="L5472" s="455">
        <f t="shared" ca="1" si="207"/>
        <v>-1259313299020575.8</v>
      </c>
      <c r="M5472" s="471">
        <f t="shared" si="209"/>
        <v>0.05</v>
      </c>
      <c r="N5472" s="475">
        <f t="shared" si="210"/>
        <v>217595</v>
      </c>
    </row>
    <row r="5473" spans="7:14" ht="11.25" customHeight="1" x14ac:dyDescent="0.3">
      <c r="G5473" s="470"/>
      <c r="H5473" s="470">
        <v>5466</v>
      </c>
      <c r="I5473" s="455">
        <f t="shared" ca="1" si="208"/>
        <v>-1259313299020575.8</v>
      </c>
      <c r="J5473" s="455">
        <f t="array" ref="J5473">IFERROR(INDEX('Retirement Calculator'!J:J,MATCH('Isaac 401k'!N5473,'Retirement Calculator'!A:A,0),0),0)</f>
        <v>0</v>
      </c>
      <c r="K5473" s="455">
        <f t="shared" ca="1" si="206"/>
        <v>-5247138745919.0654</v>
      </c>
      <c r="L5473" s="455">
        <f t="shared" ca="1" si="207"/>
        <v>-1264560437766494.8</v>
      </c>
      <c r="M5473" s="471">
        <f t="shared" si="209"/>
        <v>0.05</v>
      </c>
      <c r="N5473" s="475">
        <f t="shared" si="210"/>
        <v>217626</v>
      </c>
    </row>
    <row r="5474" spans="7:14" ht="11.25" customHeight="1" x14ac:dyDescent="0.3">
      <c r="G5474" s="470"/>
      <c r="H5474" s="470">
        <v>5467</v>
      </c>
      <c r="I5474" s="455">
        <f t="shared" ca="1" si="208"/>
        <v>-1264560437766494.8</v>
      </c>
      <c r="J5474" s="455">
        <f t="array" ref="J5474">IFERROR(INDEX('Retirement Calculator'!J:J,MATCH('Isaac 401k'!N5474,'Retirement Calculator'!A:A,0),0),0)</f>
        <v>0</v>
      </c>
      <c r="K5474" s="455">
        <f t="shared" ca="1" si="206"/>
        <v>-5269001824027.0615</v>
      </c>
      <c r="L5474" s="455">
        <f t="shared" ca="1" si="207"/>
        <v>-1269829439590521.8</v>
      </c>
      <c r="M5474" s="471">
        <f t="shared" si="209"/>
        <v>0.05</v>
      </c>
      <c r="N5474" s="475">
        <f t="shared" si="210"/>
        <v>217656</v>
      </c>
    </row>
    <row r="5475" spans="7:14" ht="11.25" customHeight="1" x14ac:dyDescent="0.3">
      <c r="G5475" s="470"/>
      <c r="H5475" s="470">
        <v>5468</v>
      </c>
      <c r="I5475" s="455">
        <f t="shared" ca="1" si="208"/>
        <v>-1269829439590521.8</v>
      </c>
      <c r="J5475" s="455">
        <f t="array" ref="J5475">IFERROR(INDEX('Retirement Calculator'!J:J,MATCH('Isaac 401k'!N5475,'Retirement Calculator'!A:A,0),0),0)</f>
        <v>0</v>
      </c>
      <c r="K5475" s="455">
        <f t="shared" ca="1" si="206"/>
        <v>-5290955998293.8408</v>
      </c>
      <c r="L5475" s="455">
        <f t="shared" ca="1" si="207"/>
        <v>-1275120395588815.5</v>
      </c>
      <c r="M5475" s="471">
        <f t="shared" si="209"/>
        <v>0.05</v>
      </c>
      <c r="N5475" s="475">
        <f t="shared" si="210"/>
        <v>217687</v>
      </c>
    </row>
    <row r="5476" spans="7:14" ht="11.25" customHeight="1" x14ac:dyDescent="0.3">
      <c r="G5476" s="470"/>
      <c r="H5476" s="470">
        <v>5469</v>
      </c>
      <c r="I5476" s="455">
        <f t="shared" ca="1" si="208"/>
        <v>-1275120395588815.5</v>
      </c>
      <c r="J5476" s="455">
        <f t="array" ref="J5476">IFERROR(INDEX('Retirement Calculator'!J:J,MATCH('Isaac 401k'!N5476,'Retirement Calculator'!A:A,0),0),0)</f>
        <v>0</v>
      </c>
      <c r="K5476" s="455">
        <f t="shared" ca="1" si="206"/>
        <v>-5313001648286.7314</v>
      </c>
      <c r="L5476" s="455">
        <f t="shared" ca="1" si="207"/>
        <v>-1280433397237102.3</v>
      </c>
      <c r="M5476" s="471">
        <f t="shared" si="209"/>
        <v>0.05</v>
      </c>
      <c r="N5476" s="475">
        <f t="shared" si="210"/>
        <v>217718</v>
      </c>
    </row>
    <row r="5477" spans="7:14" ht="11.25" customHeight="1" x14ac:dyDescent="0.3">
      <c r="G5477" s="470"/>
      <c r="H5477" s="470">
        <v>5470</v>
      </c>
      <c r="I5477" s="455">
        <f t="shared" ca="1" si="208"/>
        <v>-1280433397237102.3</v>
      </c>
      <c r="J5477" s="455">
        <f t="array" ref="J5477">IFERROR(INDEX('Retirement Calculator'!J:J,MATCH('Isaac 401k'!N5477,'Retirement Calculator'!A:A,0),0),0)</f>
        <v>0</v>
      </c>
      <c r="K5477" s="455">
        <f t="shared" ca="1" si="206"/>
        <v>-5335139155154.5928</v>
      </c>
      <c r="L5477" s="455">
        <f t="shared" ca="1" si="207"/>
        <v>-1285768536392256.8</v>
      </c>
      <c r="M5477" s="471">
        <f t="shared" si="209"/>
        <v>0.05</v>
      </c>
      <c r="N5477" s="475">
        <f t="shared" si="210"/>
        <v>217747</v>
      </c>
    </row>
    <row r="5478" spans="7:14" ht="11.25" customHeight="1" x14ac:dyDescent="0.3">
      <c r="G5478" s="470"/>
      <c r="H5478" s="470">
        <v>5471</v>
      </c>
      <c r="I5478" s="455">
        <f t="shared" ca="1" si="208"/>
        <v>-1285768536392256.8</v>
      </c>
      <c r="J5478" s="455">
        <f t="array" ref="J5478">IFERROR(INDEX('Retirement Calculator'!J:J,MATCH('Isaac 401k'!N5478,'Retirement Calculator'!A:A,0),0),0)</f>
        <v>0</v>
      </c>
      <c r="K5478" s="455">
        <f t="shared" ca="1" si="206"/>
        <v>-5357368901634.4033</v>
      </c>
      <c r="L5478" s="455">
        <f t="shared" ca="1" si="207"/>
        <v>-1291125905293891.3</v>
      </c>
      <c r="M5478" s="471">
        <f t="shared" si="209"/>
        <v>0.05</v>
      </c>
      <c r="N5478" s="475">
        <f t="shared" si="210"/>
        <v>217778</v>
      </c>
    </row>
    <row r="5479" spans="7:14" ht="11.25" customHeight="1" x14ac:dyDescent="0.3">
      <c r="G5479" s="470"/>
      <c r="H5479" s="470">
        <v>5472</v>
      </c>
      <c r="I5479" s="455">
        <f t="shared" ca="1" si="208"/>
        <v>-1291125905293891.3</v>
      </c>
      <c r="J5479" s="455">
        <f t="array" ref="J5479">IFERROR(INDEX('Retirement Calculator'!J:J,MATCH('Isaac 401k'!N5479,'Retirement Calculator'!A:A,0),0),0)</f>
        <v>0</v>
      </c>
      <c r="K5479" s="455">
        <f t="shared" ca="1" si="206"/>
        <v>-5379691272057.8799</v>
      </c>
      <c r="L5479" s="455">
        <f t="shared" ca="1" si="207"/>
        <v>-1296505596565949.3</v>
      </c>
      <c r="M5479" s="471">
        <f t="shared" si="209"/>
        <v>0.05</v>
      </c>
      <c r="N5479" s="475">
        <f t="shared" si="210"/>
        <v>217808</v>
      </c>
    </row>
    <row r="5480" spans="7:14" ht="11.25" customHeight="1" x14ac:dyDescent="0.3">
      <c r="G5480" s="470"/>
      <c r="H5480" s="470">
        <v>5473</v>
      </c>
      <c r="I5480" s="455">
        <f t="shared" ca="1" si="208"/>
        <v>-1296505596565949.3</v>
      </c>
      <c r="J5480" s="455">
        <f t="array" ref="J5480">IFERROR(INDEX('Retirement Calculator'!J:J,MATCH('Isaac 401k'!N5480,'Retirement Calculator'!A:A,0),0),0)</f>
        <v>0</v>
      </c>
      <c r="K5480" s="455">
        <f t="shared" ca="1" si="206"/>
        <v>-5402106652358.1221</v>
      </c>
      <c r="L5480" s="455">
        <f t="shared" ca="1" si="207"/>
        <v>-1301907703218307.3</v>
      </c>
      <c r="M5480" s="471">
        <f t="shared" si="209"/>
        <v>0.05</v>
      </c>
      <c r="N5480" s="475">
        <f t="shared" si="210"/>
        <v>217839</v>
      </c>
    </row>
    <row r="5481" spans="7:14" ht="11.25" customHeight="1" x14ac:dyDescent="0.3">
      <c r="G5481" s="470"/>
      <c r="H5481" s="470">
        <v>5474</v>
      </c>
      <c r="I5481" s="455">
        <f t="shared" ca="1" si="208"/>
        <v>-1301907703218307.3</v>
      </c>
      <c r="J5481" s="455">
        <f t="array" ref="J5481">IFERROR(INDEX('Retirement Calculator'!J:J,MATCH('Isaac 401k'!N5481,'Retirement Calculator'!A:A,0),0),0)</f>
        <v>0</v>
      </c>
      <c r="K5481" s="455">
        <f t="shared" ca="1" si="206"/>
        <v>-5424615430076.2803</v>
      </c>
      <c r="L5481" s="455">
        <f t="shared" ca="1" si="207"/>
        <v>-1307332318648383.5</v>
      </c>
      <c r="M5481" s="471">
        <f t="shared" si="209"/>
        <v>0.05</v>
      </c>
      <c r="N5481" s="475">
        <f t="shared" si="210"/>
        <v>217869</v>
      </c>
    </row>
    <row r="5482" spans="7:14" ht="11.25" customHeight="1" x14ac:dyDescent="0.3">
      <c r="G5482" s="470"/>
      <c r="H5482" s="470">
        <v>5475</v>
      </c>
      <c r="I5482" s="455">
        <f t="shared" ca="1" si="208"/>
        <v>-1307332318648383.5</v>
      </c>
      <c r="J5482" s="455">
        <f t="array" ref="J5482">IFERROR(INDEX('Retirement Calculator'!J:J,MATCH('Isaac 401k'!N5482,'Retirement Calculator'!A:A,0),0),0)</f>
        <v>0</v>
      </c>
      <c r="K5482" s="455">
        <f t="shared" ca="1" si="206"/>
        <v>-5447217994368.2646</v>
      </c>
      <c r="L5482" s="455">
        <f t="shared" ca="1" si="207"/>
        <v>-1312779536642751.8</v>
      </c>
      <c r="M5482" s="471">
        <f t="shared" si="209"/>
        <v>0.05</v>
      </c>
      <c r="N5482" s="475">
        <f t="shared" si="210"/>
        <v>217900</v>
      </c>
    </row>
    <row r="5483" spans="7:14" ht="11.25" customHeight="1" x14ac:dyDescent="0.3">
      <c r="G5483" s="470"/>
      <c r="H5483" s="470">
        <v>5476</v>
      </c>
      <c r="I5483" s="455">
        <f t="shared" ca="1" si="208"/>
        <v>-1312779536642751.8</v>
      </c>
      <c r="J5483" s="455">
        <f t="array" ref="J5483">IFERROR(INDEX('Retirement Calculator'!J:J,MATCH('Isaac 401k'!N5483,'Retirement Calculator'!A:A,0),0),0)</f>
        <v>0</v>
      </c>
      <c r="K5483" s="455">
        <f t="shared" ca="1" si="206"/>
        <v>-5469914736011.4658</v>
      </c>
      <c r="L5483" s="455">
        <f t="shared" ca="1" si="207"/>
        <v>-1318249451378763.3</v>
      </c>
      <c r="M5483" s="471">
        <f t="shared" si="209"/>
        <v>0.05</v>
      </c>
      <c r="N5483" s="475">
        <f t="shared" si="210"/>
        <v>217931</v>
      </c>
    </row>
    <row r="5484" spans="7:14" ht="11.25" customHeight="1" x14ac:dyDescent="0.3">
      <c r="G5484" s="470"/>
      <c r="H5484" s="470">
        <v>5477</v>
      </c>
      <c r="I5484" s="455">
        <f t="shared" ca="1" si="208"/>
        <v>-1318249451378763.3</v>
      </c>
      <c r="J5484" s="455">
        <f t="array" ref="J5484">IFERROR(INDEX('Retirement Calculator'!J:J,MATCH('Isaac 401k'!N5484,'Retirement Calculator'!A:A,0),0),0)</f>
        <v>0</v>
      </c>
      <c r="K5484" s="455">
        <f t="shared" ca="1" si="206"/>
        <v>-5492706047411.5137</v>
      </c>
      <c r="L5484" s="455">
        <f t="shared" ca="1" si="207"/>
        <v>-1323742157426174.8</v>
      </c>
      <c r="M5484" s="471">
        <f t="shared" si="209"/>
        <v>0.05</v>
      </c>
      <c r="N5484" s="475">
        <f t="shared" si="210"/>
        <v>217961</v>
      </c>
    </row>
    <row r="5485" spans="7:14" ht="11.25" customHeight="1" x14ac:dyDescent="0.3">
      <c r="G5485" s="470"/>
      <c r="H5485" s="470">
        <v>5478</v>
      </c>
      <c r="I5485" s="455">
        <f t="shared" ca="1" si="208"/>
        <v>-1323742157426174.8</v>
      </c>
      <c r="J5485" s="455">
        <f t="array" ref="J5485">IFERROR(INDEX('Retirement Calculator'!J:J,MATCH('Isaac 401k'!N5485,'Retirement Calculator'!A:A,0),0),0)</f>
        <v>0</v>
      </c>
      <c r="K5485" s="455">
        <f t="shared" ca="1" si="206"/>
        <v>-5515592322609.0615</v>
      </c>
      <c r="L5485" s="455">
        <f t="shared" ca="1" si="207"/>
        <v>-1329257749748783.8</v>
      </c>
      <c r="M5485" s="471">
        <f t="shared" si="209"/>
        <v>0.05</v>
      </c>
      <c r="N5485" s="475">
        <f t="shared" si="210"/>
        <v>217992</v>
      </c>
    </row>
    <row r="5486" spans="7:14" ht="11.25" customHeight="1" x14ac:dyDescent="0.3">
      <c r="G5486" s="470"/>
      <c r="H5486" s="470">
        <v>5479</v>
      </c>
      <c r="I5486" s="455">
        <f t="shared" ca="1" si="208"/>
        <v>-1329257749748783.8</v>
      </c>
      <c r="J5486" s="455">
        <f t="array" ref="J5486">IFERROR(INDEX('Retirement Calculator'!J:J,MATCH('Isaac 401k'!N5486,'Retirement Calculator'!A:A,0),0),0)</f>
        <v>0</v>
      </c>
      <c r="K5486" s="455">
        <f t="shared" ca="1" si="206"/>
        <v>-5538573957286.5986</v>
      </c>
      <c r="L5486" s="455">
        <f t="shared" ca="1" si="207"/>
        <v>-1334796323706070.3</v>
      </c>
      <c r="M5486" s="471">
        <f t="shared" si="209"/>
        <v>0.05</v>
      </c>
      <c r="N5486" s="475">
        <f t="shared" si="210"/>
        <v>218022</v>
      </c>
    </row>
    <row r="5487" spans="7:14" ht="11.25" customHeight="1" x14ac:dyDescent="0.3">
      <c r="G5487" s="470"/>
      <c r="H5487" s="470">
        <v>5480</v>
      </c>
      <c r="I5487" s="455">
        <f t="shared" ca="1" si="208"/>
        <v>-1334796323706070.3</v>
      </c>
      <c r="J5487" s="455">
        <f t="array" ref="J5487">IFERROR(INDEX('Retirement Calculator'!J:J,MATCH('Isaac 401k'!N5487,'Retirement Calculator'!A:A,0),0),0)</f>
        <v>0</v>
      </c>
      <c r="K5487" s="455">
        <f t="shared" ca="1" si="206"/>
        <v>-5561651348775.293</v>
      </c>
      <c r="L5487" s="455">
        <f t="shared" ca="1" si="207"/>
        <v>-1340357975054845.5</v>
      </c>
      <c r="M5487" s="471">
        <f t="shared" si="209"/>
        <v>0.05</v>
      </c>
      <c r="N5487" s="475">
        <f t="shared" si="210"/>
        <v>218053</v>
      </c>
    </row>
    <row r="5488" spans="7:14" ht="11.25" customHeight="1" x14ac:dyDescent="0.3">
      <c r="G5488" s="470"/>
      <c r="H5488" s="470">
        <v>5481</v>
      </c>
      <c r="I5488" s="455">
        <f t="shared" ca="1" si="208"/>
        <v>-1340357975054845.5</v>
      </c>
      <c r="J5488" s="455">
        <f t="array" ref="J5488">IFERROR(INDEX('Retirement Calculator'!J:J,MATCH('Isaac 401k'!N5488,'Retirement Calculator'!A:A,0),0),0)</f>
        <v>0</v>
      </c>
      <c r="K5488" s="455">
        <f t="shared" ca="1" si="206"/>
        <v>-5584824896061.8564</v>
      </c>
      <c r="L5488" s="455">
        <f t="shared" ca="1" si="207"/>
        <v>-1345942799950907.3</v>
      </c>
      <c r="M5488" s="471">
        <f t="shared" si="209"/>
        <v>0.05</v>
      </c>
      <c r="N5488" s="475">
        <f t="shared" si="210"/>
        <v>218084</v>
      </c>
    </row>
    <row r="5489" spans="7:14" ht="11.25" customHeight="1" x14ac:dyDescent="0.3">
      <c r="G5489" s="470"/>
      <c r="H5489" s="470">
        <v>5482</v>
      </c>
      <c r="I5489" s="455">
        <f t="shared" ca="1" si="208"/>
        <v>-1345942799950907.3</v>
      </c>
      <c r="J5489" s="455">
        <f t="array" ref="J5489">IFERROR(INDEX('Retirement Calculator'!J:J,MATCH('Isaac 401k'!N5489,'Retirement Calculator'!A:A,0),0),0)</f>
        <v>0</v>
      </c>
      <c r="K5489" s="455">
        <f t="shared" ca="1" si="206"/>
        <v>-5608094999795.4473</v>
      </c>
      <c r="L5489" s="455">
        <f t="shared" ca="1" si="207"/>
        <v>-1351550894950702.8</v>
      </c>
      <c r="M5489" s="471">
        <f t="shared" si="209"/>
        <v>0.05</v>
      </c>
      <c r="N5489" s="475">
        <f t="shared" si="210"/>
        <v>218112</v>
      </c>
    </row>
    <row r="5490" spans="7:14" ht="11.25" customHeight="1" x14ac:dyDescent="0.3">
      <c r="G5490" s="470"/>
      <c r="H5490" s="470">
        <v>5483</v>
      </c>
      <c r="I5490" s="455">
        <f t="shared" ca="1" si="208"/>
        <v>-1351550894950702.8</v>
      </c>
      <c r="J5490" s="455">
        <f t="array" ref="J5490">IFERROR(INDEX('Retirement Calculator'!J:J,MATCH('Isaac 401k'!N5490,'Retirement Calculator'!A:A,0),0),0)</f>
        <v>0</v>
      </c>
      <c r="K5490" s="455">
        <f t="shared" ca="1" si="206"/>
        <v>-5631462062294.5947</v>
      </c>
      <c r="L5490" s="455">
        <f t="shared" ca="1" si="207"/>
        <v>-1357182357012997.3</v>
      </c>
      <c r="M5490" s="471">
        <f t="shared" si="209"/>
        <v>0.05</v>
      </c>
      <c r="N5490" s="475">
        <f t="shared" si="210"/>
        <v>218143</v>
      </c>
    </row>
    <row r="5491" spans="7:14" ht="11.25" customHeight="1" x14ac:dyDescent="0.3">
      <c r="G5491" s="470"/>
      <c r="H5491" s="470">
        <v>5484</v>
      </c>
      <c r="I5491" s="455">
        <f t="shared" ca="1" si="208"/>
        <v>-1357182357012997.3</v>
      </c>
      <c r="J5491" s="455">
        <f t="array" ref="J5491">IFERROR(INDEX('Retirement Calculator'!J:J,MATCH('Isaac 401k'!N5491,'Retirement Calculator'!A:A,0),0),0)</f>
        <v>0</v>
      </c>
      <c r="K5491" s="455">
        <f t="shared" ca="1" si="206"/>
        <v>-5654926487554.1553</v>
      </c>
      <c r="L5491" s="455">
        <f t="shared" ca="1" si="207"/>
        <v>-1362837283500551.5</v>
      </c>
      <c r="M5491" s="471">
        <f t="shared" si="209"/>
        <v>0.05</v>
      </c>
      <c r="N5491" s="475">
        <f t="shared" si="210"/>
        <v>218173</v>
      </c>
    </row>
    <row r="5492" spans="7:14" ht="11.25" customHeight="1" x14ac:dyDescent="0.3">
      <c r="G5492" s="470"/>
      <c r="H5492" s="470">
        <v>5485</v>
      </c>
      <c r="I5492" s="455">
        <f t="shared" ca="1" si="208"/>
        <v>-1362837283500551.5</v>
      </c>
      <c r="J5492" s="455">
        <f t="array" ref="J5492">IFERROR(INDEX('Retirement Calculator'!J:J,MATCH('Isaac 401k'!N5492,'Retirement Calculator'!A:A,0),0),0)</f>
        <v>0</v>
      </c>
      <c r="K5492" s="455">
        <f t="shared" ca="1" si="206"/>
        <v>-5678488681252.2979</v>
      </c>
      <c r="L5492" s="455">
        <f t="shared" ca="1" si="207"/>
        <v>-1368515772181803.8</v>
      </c>
      <c r="M5492" s="471">
        <f t="shared" si="209"/>
        <v>0.05</v>
      </c>
      <c r="N5492" s="475">
        <f t="shared" si="210"/>
        <v>218204</v>
      </c>
    </row>
    <row r="5493" spans="7:14" ht="11.25" customHeight="1" x14ac:dyDescent="0.3">
      <c r="G5493" s="470"/>
      <c r="H5493" s="470">
        <v>5486</v>
      </c>
      <c r="I5493" s="455">
        <f t="shared" ca="1" si="208"/>
        <v>-1368515772181803.8</v>
      </c>
      <c r="J5493" s="455">
        <f t="array" ref="J5493">IFERROR(INDEX('Retirement Calculator'!J:J,MATCH('Isaac 401k'!N5493,'Retirement Calculator'!A:A,0),0),0)</f>
        <v>0</v>
      </c>
      <c r="K5493" s="455">
        <f t="shared" ca="1" si="206"/>
        <v>-5702149050757.5156</v>
      </c>
      <c r="L5493" s="455">
        <f t="shared" ca="1" si="207"/>
        <v>-1374217921232561.3</v>
      </c>
      <c r="M5493" s="471">
        <f t="shared" si="209"/>
        <v>0.05</v>
      </c>
      <c r="N5493" s="475">
        <f t="shared" si="210"/>
        <v>218234</v>
      </c>
    </row>
    <row r="5494" spans="7:14" ht="11.25" customHeight="1" x14ac:dyDescent="0.3">
      <c r="G5494" s="470"/>
      <c r="H5494" s="470">
        <v>5487</v>
      </c>
      <c r="I5494" s="455">
        <f t="shared" ca="1" si="208"/>
        <v>-1374217921232561.3</v>
      </c>
      <c r="J5494" s="455">
        <f t="array" ref="J5494">IFERROR(INDEX('Retirement Calculator'!J:J,MATCH('Isaac 401k'!N5494,'Retirement Calculator'!A:A,0),0),0)</f>
        <v>0</v>
      </c>
      <c r="K5494" s="455">
        <f t="shared" ca="1" si="206"/>
        <v>-5725908005135.6719</v>
      </c>
      <c r="L5494" s="455">
        <f t="shared" ca="1" si="207"/>
        <v>-1379943829237697</v>
      </c>
      <c r="M5494" s="471">
        <f t="shared" si="209"/>
        <v>0.05</v>
      </c>
      <c r="N5494" s="475">
        <f t="shared" si="210"/>
        <v>218265</v>
      </c>
    </row>
    <row r="5495" spans="7:14" ht="11.25" customHeight="1" x14ac:dyDescent="0.3">
      <c r="G5495" s="470"/>
      <c r="H5495" s="470">
        <v>5488</v>
      </c>
      <c r="I5495" s="455">
        <f t="shared" ca="1" si="208"/>
        <v>-1379943829237697</v>
      </c>
      <c r="J5495" s="455">
        <f t="array" ref="J5495">IFERROR(INDEX('Retirement Calculator'!J:J,MATCH('Isaac 401k'!N5495,'Retirement Calculator'!A:A,0),0),0)</f>
        <v>0</v>
      </c>
      <c r="K5495" s="455">
        <f t="shared" ca="1" si="206"/>
        <v>-5749765955157.0703</v>
      </c>
      <c r="L5495" s="455">
        <f t="shared" ca="1" si="207"/>
        <v>-1385693595192854</v>
      </c>
      <c r="M5495" s="471">
        <f t="shared" si="209"/>
        <v>0.05</v>
      </c>
      <c r="N5495" s="475">
        <f t="shared" si="210"/>
        <v>218296</v>
      </c>
    </row>
    <row r="5496" spans="7:14" ht="11.25" customHeight="1" x14ac:dyDescent="0.3">
      <c r="G5496" s="470"/>
      <c r="H5496" s="470">
        <v>5489</v>
      </c>
      <c r="I5496" s="455">
        <f t="shared" ca="1" si="208"/>
        <v>-1385693595192854</v>
      </c>
      <c r="J5496" s="455">
        <f t="array" ref="J5496">IFERROR(INDEX('Retirement Calculator'!J:J,MATCH('Isaac 401k'!N5496,'Retirement Calculator'!A:A,0),0),0)</f>
        <v>0</v>
      </c>
      <c r="K5496" s="455">
        <f t="shared" ca="1" si="206"/>
        <v>-5773723313303.5586</v>
      </c>
      <c r="L5496" s="455">
        <f t="shared" ca="1" si="207"/>
        <v>-1391467318506157.5</v>
      </c>
      <c r="M5496" s="471">
        <f t="shared" si="209"/>
        <v>0.05</v>
      </c>
      <c r="N5496" s="475">
        <f t="shared" si="210"/>
        <v>218326</v>
      </c>
    </row>
    <row r="5497" spans="7:14" ht="11.25" customHeight="1" x14ac:dyDescent="0.3">
      <c r="G5497" s="470"/>
      <c r="H5497" s="470">
        <v>5490</v>
      </c>
      <c r="I5497" s="455">
        <f t="shared" ca="1" si="208"/>
        <v>-1391467318506157.5</v>
      </c>
      <c r="J5497" s="455">
        <f t="array" ref="J5497">IFERROR(INDEX('Retirement Calculator'!J:J,MATCH('Isaac 401k'!N5497,'Retirement Calculator'!A:A,0),0),0)</f>
        <v>0</v>
      </c>
      <c r="K5497" s="455">
        <f t="shared" ca="1" si="206"/>
        <v>-5797780493775.6563</v>
      </c>
      <c r="L5497" s="455">
        <f t="shared" ca="1" si="207"/>
        <v>-1397265098999933.3</v>
      </c>
      <c r="M5497" s="471">
        <f t="shared" si="209"/>
        <v>0.05</v>
      </c>
      <c r="N5497" s="475">
        <f t="shared" si="210"/>
        <v>218357</v>
      </c>
    </row>
    <row r="5498" spans="7:14" ht="11.25" customHeight="1" x14ac:dyDescent="0.3">
      <c r="G5498" s="470"/>
      <c r="H5498" s="470">
        <v>5491</v>
      </c>
      <c r="I5498" s="455">
        <f t="shared" ca="1" si="208"/>
        <v>-1397265098999933.3</v>
      </c>
      <c r="J5498" s="455">
        <f t="array" ref="J5498">IFERROR(INDEX('Retirement Calculator'!J:J,MATCH('Isaac 401k'!N5498,'Retirement Calculator'!A:A,0),0),0)</f>
        <v>0</v>
      </c>
      <c r="K5498" s="455">
        <f t="shared" ca="1" si="206"/>
        <v>-5821937912499.7217</v>
      </c>
      <c r="L5498" s="455">
        <f t="shared" ca="1" si="207"/>
        <v>-1403087036912433</v>
      </c>
      <c r="M5498" s="471">
        <f t="shared" si="209"/>
        <v>0.05</v>
      </c>
      <c r="N5498" s="475">
        <f t="shared" si="210"/>
        <v>218387</v>
      </c>
    </row>
    <row r="5499" spans="7:14" ht="11.25" customHeight="1" x14ac:dyDescent="0.3">
      <c r="G5499" s="470"/>
      <c r="H5499" s="470">
        <v>5492</v>
      </c>
      <c r="I5499" s="455">
        <f t="shared" ca="1" si="208"/>
        <v>-1403087036912433</v>
      </c>
      <c r="J5499" s="455">
        <f t="array" ref="J5499">IFERROR(INDEX('Retirement Calculator'!J:J,MATCH('Isaac 401k'!N5499,'Retirement Calculator'!A:A,0),0),0)</f>
        <v>0</v>
      </c>
      <c r="K5499" s="455">
        <f t="shared" ca="1" si="206"/>
        <v>-5846195987135.1377</v>
      </c>
      <c r="L5499" s="455">
        <f t="shared" ca="1" si="207"/>
        <v>-1408933232899568.3</v>
      </c>
      <c r="M5499" s="471">
        <f t="shared" si="209"/>
        <v>0.05</v>
      </c>
      <c r="N5499" s="475">
        <f t="shared" si="210"/>
        <v>218418</v>
      </c>
    </row>
    <row r="5500" spans="7:14" ht="11.25" customHeight="1" x14ac:dyDescent="0.3">
      <c r="G5500" s="470"/>
      <c r="H5500" s="470">
        <v>5493</v>
      </c>
      <c r="I5500" s="455">
        <f t="shared" ca="1" si="208"/>
        <v>-1408933232899568.3</v>
      </c>
      <c r="J5500" s="455">
        <f t="array" ref="J5500">IFERROR(INDEX('Retirement Calculator'!J:J,MATCH('Isaac 401k'!N5500,'Retirement Calculator'!A:A,0),0),0)</f>
        <v>0</v>
      </c>
      <c r="K5500" s="455">
        <f t="shared" ca="1" si="206"/>
        <v>-5870555137081.5342</v>
      </c>
      <c r="L5500" s="455">
        <f t="shared" ca="1" si="207"/>
        <v>-1414803788036649.8</v>
      </c>
      <c r="M5500" s="471">
        <f t="shared" si="209"/>
        <v>0.05</v>
      </c>
      <c r="N5500" s="475">
        <f t="shared" si="210"/>
        <v>218449</v>
      </c>
    </row>
    <row r="5501" spans="7:14" ht="11.25" customHeight="1" x14ac:dyDescent="0.3">
      <c r="G5501" s="470"/>
      <c r="H5501" s="470">
        <v>5494</v>
      </c>
      <c r="I5501" s="455">
        <f t="shared" ca="1" si="208"/>
        <v>-1414803788036649.8</v>
      </c>
      <c r="J5501" s="455">
        <f t="array" ref="J5501">IFERROR(INDEX('Retirement Calculator'!J:J,MATCH('Isaac 401k'!N5501,'Retirement Calculator'!A:A,0),0),0)</f>
        <v>0</v>
      </c>
      <c r="K5501" s="455">
        <f t="shared" ca="1" si="206"/>
        <v>-5895015783486.041</v>
      </c>
      <c r="L5501" s="455">
        <f t="shared" ca="1" si="207"/>
        <v>-1420698803820135.8</v>
      </c>
      <c r="M5501" s="471">
        <f t="shared" si="209"/>
        <v>0.05</v>
      </c>
      <c r="N5501" s="475">
        <f t="shared" si="210"/>
        <v>218477</v>
      </c>
    </row>
    <row r="5502" spans="7:14" ht="11.25" customHeight="1" x14ac:dyDescent="0.3">
      <c r="G5502" s="470"/>
      <c r="H5502" s="470">
        <v>5495</v>
      </c>
      <c r="I5502" s="455">
        <f t="shared" ca="1" si="208"/>
        <v>-1420698803820135.8</v>
      </c>
      <c r="J5502" s="455">
        <f t="array" ref="J5502">IFERROR(INDEX('Retirement Calculator'!J:J,MATCH('Isaac 401k'!N5502,'Retirement Calculator'!A:A,0),0),0)</f>
        <v>0</v>
      </c>
      <c r="K5502" s="455">
        <f t="shared" ca="1" si="206"/>
        <v>-5919578349250.5654</v>
      </c>
      <c r="L5502" s="455">
        <f t="shared" ca="1" si="207"/>
        <v>-1426618382169386.3</v>
      </c>
      <c r="M5502" s="471">
        <f t="shared" si="209"/>
        <v>0.05</v>
      </c>
      <c r="N5502" s="475">
        <f t="shared" si="210"/>
        <v>218508</v>
      </c>
    </row>
    <row r="5503" spans="7:14" ht="11.25" customHeight="1" x14ac:dyDescent="0.3">
      <c r="G5503" s="470"/>
      <c r="H5503" s="470">
        <v>5496</v>
      </c>
      <c r="I5503" s="455">
        <f t="shared" ca="1" si="208"/>
        <v>-1426618382169386.3</v>
      </c>
      <c r="J5503" s="455">
        <f t="array" ref="J5503">IFERROR(INDEX('Retirement Calculator'!J:J,MATCH('Isaac 401k'!N5503,'Retirement Calculator'!A:A,0),0),0)</f>
        <v>0</v>
      </c>
      <c r="K5503" s="455">
        <f t="shared" ca="1" si="206"/>
        <v>-5944243259039.1094</v>
      </c>
      <c r="L5503" s="455">
        <f t="shared" ca="1" si="207"/>
        <v>-1432562625428425.3</v>
      </c>
      <c r="M5503" s="471">
        <f t="shared" si="209"/>
        <v>0.05</v>
      </c>
      <c r="N5503" s="475">
        <f t="shared" si="210"/>
        <v>218538</v>
      </c>
    </row>
    <row r="5504" spans="7:14" ht="11.25" customHeight="1" x14ac:dyDescent="0.3">
      <c r="G5504" s="470"/>
      <c r="H5504" s="470">
        <v>5497</v>
      </c>
      <c r="I5504" s="455">
        <f t="shared" ca="1" si="208"/>
        <v>-1432562625428425.3</v>
      </c>
      <c r="J5504" s="455">
        <f t="array" ref="J5504">IFERROR(INDEX('Retirement Calculator'!J:J,MATCH('Isaac 401k'!N5504,'Retirement Calculator'!A:A,0),0),0)</f>
        <v>0</v>
      </c>
      <c r="K5504" s="455">
        <f t="shared" ca="1" si="206"/>
        <v>-5969010939285.1055</v>
      </c>
      <c r="L5504" s="455">
        <f t="shared" ca="1" si="207"/>
        <v>-1438531636367710.3</v>
      </c>
      <c r="M5504" s="471">
        <f t="shared" si="209"/>
        <v>0.05</v>
      </c>
      <c r="N5504" s="475">
        <f t="shared" si="210"/>
        <v>218569</v>
      </c>
    </row>
    <row r="5505" spans="7:14" ht="11.25" customHeight="1" x14ac:dyDescent="0.3">
      <c r="G5505" s="470"/>
      <c r="H5505" s="470">
        <v>5498</v>
      </c>
      <c r="I5505" s="455">
        <f t="shared" ca="1" si="208"/>
        <v>-1438531636367710.3</v>
      </c>
      <c r="J5505" s="455">
        <f t="array" ref="J5505">IFERROR(INDEX('Retirement Calculator'!J:J,MATCH('Isaac 401k'!N5505,'Retirement Calculator'!A:A,0),0),0)</f>
        <v>0</v>
      </c>
      <c r="K5505" s="455">
        <f t="shared" ca="1" si="206"/>
        <v>-5993881818198.793</v>
      </c>
      <c r="L5505" s="455">
        <f t="shared" ca="1" si="207"/>
        <v>-1444525518185909</v>
      </c>
      <c r="M5505" s="471">
        <f t="shared" si="209"/>
        <v>0.05</v>
      </c>
      <c r="N5505" s="475">
        <f t="shared" si="210"/>
        <v>218599</v>
      </c>
    </row>
    <row r="5506" spans="7:14" ht="11.25" customHeight="1" x14ac:dyDescent="0.3">
      <c r="G5506" s="470"/>
      <c r="H5506" s="470">
        <v>5499</v>
      </c>
      <c r="I5506" s="455">
        <f t="shared" ca="1" si="208"/>
        <v>-1444525518185909</v>
      </c>
      <c r="J5506" s="455">
        <f t="array" ref="J5506">IFERROR(INDEX('Retirement Calculator'!J:J,MATCH('Isaac 401k'!N5506,'Retirement Calculator'!A:A,0),0),0)</f>
        <v>0</v>
      </c>
      <c r="K5506" s="455">
        <f t="shared" ca="1" si="206"/>
        <v>-6018856325774.6211</v>
      </c>
      <c r="L5506" s="455">
        <f t="shared" ca="1" si="207"/>
        <v>-1450544374511683.5</v>
      </c>
      <c r="M5506" s="471">
        <f t="shared" si="209"/>
        <v>0.05</v>
      </c>
      <c r="N5506" s="475">
        <f t="shared" si="210"/>
        <v>218630</v>
      </c>
    </row>
    <row r="5507" spans="7:14" ht="11.25" customHeight="1" x14ac:dyDescent="0.3">
      <c r="G5507" s="470"/>
      <c r="H5507" s="470">
        <v>5500</v>
      </c>
      <c r="I5507" s="455">
        <f t="shared" ca="1" si="208"/>
        <v>-1450544374511683.5</v>
      </c>
      <c r="J5507" s="455">
        <f t="array" ref="J5507">IFERROR(INDEX('Retirement Calculator'!J:J,MATCH('Isaac 401k'!N5507,'Retirement Calculator'!A:A,0),0),0)</f>
        <v>0</v>
      </c>
      <c r="K5507" s="455">
        <f t="shared" ca="1" si="206"/>
        <v>-6043934893798.6816</v>
      </c>
      <c r="L5507" s="455">
        <f t="shared" ca="1" si="207"/>
        <v>-1456588309405482.3</v>
      </c>
      <c r="M5507" s="471">
        <f t="shared" si="209"/>
        <v>0.05</v>
      </c>
      <c r="N5507" s="475">
        <f t="shared" si="210"/>
        <v>218661</v>
      </c>
    </row>
    <row r="5508" spans="7:14" ht="11.25" customHeight="1" x14ac:dyDescent="0.3">
      <c r="G5508" s="470"/>
      <c r="H5508" s="470">
        <v>5501</v>
      </c>
      <c r="I5508" s="455">
        <f t="shared" ca="1" si="208"/>
        <v>-1456588309405482.3</v>
      </c>
      <c r="J5508" s="455">
        <f t="array" ref="J5508">IFERROR(INDEX('Retirement Calculator'!J:J,MATCH('Isaac 401k'!N5508,'Retirement Calculator'!A:A,0),0),0)</f>
        <v>0</v>
      </c>
      <c r="K5508" s="455">
        <f t="shared" ca="1" si="206"/>
        <v>-6069117955856.1758</v>
      </c>
      <c r="L5508" s="455">
        <f t="shared" ca="1" si="207"/>
        <v>-1462657427361338.5</v>
      </c>
      <c r="M5508" s="471">
        <f t="shared" si="209"/>
        <v>0.05</v>
      </c>
      <c r="N5508" s="475">
        <f t="shared" si="210"/>
        <v>218691</v>
      </c>
    </row>
    <row r="5509" spans="7:14" ht="11.25" customHeight="1" x14ac:dyDescent="0.3">
      <c r="G5509" s="470"/>
      <c r="H5509" s="470">
        <v>5502</v>
      </c>
      <c r="I5509" s="455">
        <f t="shared" ca="1" si="208"/>
        <v>-1462657427361338.5</v>
      </c>
      <c r="J5509" s="455">
        <f t="array" ref="J5509">IFERROR(INDEX('Retirement Calculator'!J:J,MATCH('Isaac 401k'!N5509,'Retirement Calculator'!A:A,0),0),0)</f>
        <v>0</v>
      </c>
      <c r="K5509" s="455">
        <f t="shared" ca="1" si="206"/>
        <v>-6094405947338.9102</v>
      </c>
      <c r="L5509" s="455">
        <f t="shared" ca="1" si="207"/>
        <v>-1468751833308677.5</v>
      </c>
      <c r="M5509" s="471">
        <f t="shared" si="209"/>
        <v>0.05</v>
      </c>
      <c r="N5509" s="475">
        <f t="shared" si="210"/>
        <v>218722</v>
      </c>
    </row>
    <row r="5510" spans="7:14" ht="11.25" customHeight="1" x14ac:dyDescent="0.3">
      <c r="G5510" s="470"/>
      <c r="H5510" s="470">
        <v>5503</v>
      </c>
      <c r="I5510" s="455">
        <f t="shared" ca="1" si="208"/>
        <v>-1468751833308677.5</v>
      </c>
      <c r="J5510" s="455">
        <f t="array" ref="J5510">IFERROR(INDEX('Retirement Calculator'!J:J,MATCH('Isaac 401k'!N5510,'Retirement Calculator'!A:A,0),0),0)</f>
        <v>0</v>
      </c>
      <c r="K5510" s="455">
        <f t="shared" ca="1" si="206"/>
        <v>-6119799305452.8232</v>
      </c>
      <c r="L5510" s="455">
        <f t="shared" ca="1" si="207"/>
        <v>-1474871632614130.3</v>
      </c>
      <c r="M5510" s="471">
        <f t="shared" si="209"/>
        <v>0.05</v>
      </c>
      <c r="N5510" s="475">
        <f t="shared" si="210"/>
        <v>218752</v>
      </c>
    </row>
    <row r="5511" spans="7:14" ht="11.25" customHeight="1" x14ac:dyDescent="0.3">
      <c r="G5511" s="470"/>
      <c r="H5511" s="470">
        <v>5504</v>
      </c>
      <c r="I5511" s="455">
        <f t="shared" ca="1" si="208"/>
        <v>-1474871632614130.3</v>
      </c>
      <c r="J5511" s="455">
        <f t="array" ref="J5511">IFERROR(INDEX('Retirement Calculator'!J:J,MATCH('Isaac 401k'!N5511,'Retirement Calculator'!A:A,0),0),0)</f>
        <v>0</v>
      </c>
      <c r="K5511" s="455">
        <f t="shared" ca="1" si="206"/>
        <v>-6145298469225.543</v>
      </c>
      <c r="L5511" s="455">
        <f t="shared" ca="1" si="207"/>
        <v>-1481016931083355.8</v>
      </c>
      <c r="M5511" s="471">
        <f t="shared" si="209"/>
        <v>0.05</v>
      </c>
      <c r="N5511" s="475">
        <f t="shared" si="210"/>
        <v>218783</v>
      </c>
    </row>
    <row r="5512" spans="7:14" ht="11.25" customHeight="1" x14ac:dyDescent="0.3">
      <c r="G5512" s="470"/>
      <c r="H5512" s="470">
        <v>5505</v>
      </c>
      <c r="I5512" s="455">
        <f t="shared" ca="1" si="208"/>
        <v>-1481016931083355.8</v>
      </c>
      <c r="J5512" s="455">
        <f t="array" ref="J5512">IFERROR(INDEX('Retirement Calculator'!J:J,MATCH('Isaac 401k'!N5512,'Retirement Calculator'!A:A,0),0),0)</f>
        <v>0</v>
      </c>
      <c r="K5512" s="455">
        <f t="shared" ca="1" si="206"/>
        <v>-6170903879513.9824</v>
      </c>
      <c r="L5512" s="455">
        <f t="shared" ca="1" si="207"/>
        <v>-1487187834962869.8</v>
      </c>
      <c r="M5512" s="471">
        <f t="shared" si="209"/>
        <v>0.05</v>
      </c>
      <c r="N5512" s="475">
        <f t="shared" si="210"/>
        <v>218814</v>
      </c>
    </row>
    <row r="5513" spans="7:14" ht="11.25" customHeight="1" x14ac:dyDescent="0.3">
      <c r="G5513" s="470"/>
      <c r="H5513" s="470">
        <v>5506</v>
      </c>
      <c r="I5513" s="455">
        <f t="shared" ca="1" si="208"/>
        <v>-1487187834962869.8</v>
      </c>
      <c r="J5513" s="455">
        <f t="array" ref="J5513">IFERROR(INDEX('Retirement Calculator'!J:J,MATCH('Isaac 401k'!N5513,'Retirement Calculator'!A:A,0),0),0)</f>
        <v>0</v>
      </c>
      <c r="K5513" s="455">
        <f t="shared" ca="1" si="206"/>
        <v>-6196615979011.957</v>
      </c>
      <c r="L5513" s="455">
        <f t="shared" ca="1" si="207"/>
        <v>-1493384450941881.8</v>
      </c>
      <c r="M5513" s="471">
        <f t="shared" si="209"/>
        <v>0.05</v>
      </c>
      <c r="N5513" s="475">
        <f t="shared" si="210"/>
        <v>218842</v>
      </c>
    </row>
    <row r="5514" spans="7:14" ht="11.25" customHeight="1" x14ac:dyDescent="0.3">
      <c r="G5514" s="470"/>
      <c r="H5514" s="470">
        <v>5507</v>
      </c>
      <c r="I5514" s="455">
        <f t="shared" ca="1" si="208"/>
        <v>-1493384450941881.8</v>
      </c>
      <c r="J5514" s="455">
        <f t="array" ref="J5514">IFERROR(INDEX('Retirement Calculator'!J:J,MATCH('Isaac 401k'!N5514,'Retirement Calculator'!A:A,0),0),0)</f>
        <v>0</v>
      </c>
      <c r="K5514" s="455">
        <f t="shared" ca="1" si="206"/>
        <v>-6222435212257.8408</v>
      </c>
      <c r="L5514" s="455">
        <f t="shared" ca="1" si="207"/>
        <v>-1499606886154139.5</v>
      </c>
      <c r="M5514" s="471">
        <f t="shared" si="209"/>
        <v>0.05</v>
      </c>
      <c r="N5514" s="475">
        <f t="shared" si="210"/>
        <v>218873</v>
      </c>
    </row>
    <row r="5515" spans="7:14" ht="11.25" customHeight="1" x14ac:dyDescent="0.3">
      <c r="G5515" s="470"/>
      <c r="H5515" s="470">
        <v>5508</v>
      </c>
      <c r="I5515" s="455">
        <f t="shared" ca="1" si="208"/>
        <v>-1499606886154139.5</v>
      </c>
      <c r="J5515" s="455">
        <f t="array" ref="J5515">IFERROR(INDEX('Retirement Calculator'!J:J,MATCH('Isaac 401k'!N5515,'Retirement Calculator'!A:A,0),0),0)</f>
        <v>0</v>
      </c>
      <c r="K5515" s="455">
        <f t="shared" ca="1" si="206"/>
        <v>-6248362025642.248</v>
      </c>
      <c r="L5515" s="455">
        <f t="shared" ca="1" si="207"/>
        <v>-1505855248179781.8</v>
      </c>
      <c r="M5515" s="471">
        <f t="shared" si="209"/>
        <v>0.05</v>
      </c>
      <c r="N5515" s="475">
        <f t="shared" si="210"/>
        <v>218903</v>
      </c>
    </row>
    <row r="5516" spans="7:14" ht="11.25" customHeight="1" x14ac:dyDescent="0.3">
      <c r="G5516" s="470"/>
      <c r="H5516" s="470">
        <v>5509</v>
      </c>
      <c r="I5516" s="455">
        <f t="shared" ca="1" si="208"/>
        <v>-1505855248179781.8</v>
      </c>
      <c r="J5516" s="455">
        <f t="array" ref="J5516">IFERROR(INDEX('Retirement Calculator'!J:J,MATCH('Isaac 401k'!N5516,'Retirement Calculator'!A:A,0),0),0)</f>
        <v>0</v>
      </c>
      <c r="K5516" s="455">
        <f t="shared" ca="1" si="206"/>
        <v>-6274396867415.7568</v>
      </c>
      <c r="L5516" s="455">
        <f t="shared" ca="1" si="207"/>
        <v>-1512129645047197.5</v>
      </c>
      <c r="M5516" s="471">
        <f t="shared" si="209"/>
        <v>0.05</v>
      </c>
      <c r="N5516" s="475">
        <f t="shared" si="210"/>
        <v>218934</v>
      </c>
    </row>
    <row r="5517" spans="7:14" ht="11.25" customHeight="1" x14ac:dyDescent="0.3">
      <c r="G5517" s="470"/>
      <c r="H5517" s="470">
        <v>5510</v>
      </c>
      <c r="I5517" s="455">
        <f t="shared" ca="1" si="208"/>
        <v>-1512129645047197.5</v>
      </c>
      <c r="J5517" s="455">
        <f t="array" ref="J5517">IFERROR(INDEX('Retirement Calculator'!J:J,MATCH('Isaac 401k'!N5517,'Retirement Calculator'!A:A,0),0),0)</f>
        <v>0</v>
      </c>
      <c r="K5517" s="455">
        <f t="shared" ca="1" si="206"/>
        <v>-6300540187696.6563</v>
      </c>
      <c r="L5517" s="455">
        <f t="shared" ca="1" si="207"/>
        <v>-1518430185234894.3</v>
      </c>
      <c r="M5517" s="471">
        <f t="shared" si="209"/>
        <v>0.05</v>
      </c>
      <c r="N5517" s="475">
        <f t="shared" si="210"/>
        <v>218964</v>
      </c>
    </row>
    <row r="5518" spans="7:14" ht="11.25" customHeight="1" x14ac:dyDescent="0.3">
      <c r="G5518" s="470"/>
      <c r="H5518" s="470">
        <v>5511</v>
      </c>
      <c r="I5518" s="455">
        <f t="shared" ca="1" si="208"/>
        <v>-1518430185234894.3</v>
      </c>
      <c r="J5518" s="455">
        <f t="array" ref="J5518">IFERROR(INDEX('Retirement Calculator'!J:J,MATCH('Isaac 401k'!N5518,'Retirement Calculator'!A:A,0),0),0)</f>
        <v>0</v>
      </c>
      <c r="K5518" s="455">
        <f t="shared" ca="1" si="206"/>
        <v>-6326792438478.7256</v>
      </c>
      <c r="L5518" s="455">
        <f t="shared" ca="1" si="207"/>
        <v>-1524756977673373</v>
      </c>
      <c r="M5518" s="471">
        <f t="shared" si="209"/>
        <v>0.05</v>
      </c>
      <c r="N5518" s="475">
        <f t="shared" si="210"/>
        <v>218995</v>
      </c>
    </row>
    <row r="5519" spans="7:14" ht="11.25" customHeight="1" x14ac:dyDescent="0.3">
      <c r="G5519" s="470"/>
      <c r="H5519" s="470">
        <v>5512</v>
      </c>
      <c r="I5519" s="455">
        <f t="shared" ca="1" si="208"/>
        <v>-1524756977673373</v>
      </c>
      <c r="J5519" s="455">
        <f t="array" ref="J5519">IFERROR(INDEX('Retirement Calculator'!J:J,MATCH('Isaac 401k'!N5519,'Retirement Calculator'!A:A,0),0),0)</f>
        <v>0</v>
      </c>
      <c r="K5519" s="455">
        <f t="shared" ca="1" si="206"/>
        <v>-6353154073639.0537</v>
      </c>
      <c r="L5519" s="455">
        <f t="shared" ca="1" si="207"/>
        <v>-1531110131747012</v>
      </c>
      <c r="M5519" s="471">
        <f t="shared" si="209"/>
        <v>0.05</v>
      </c>
      <c r="N5519" s="475">
        <f t="shared" si="210"/>
        <v>219026</v>
      </c>
    </row>
    <row r="5520" spans="7:14" ht="11.25" customHeight="1" x14ac:dyDescent="0.3">
      <c r="G5520" s="470"/>
      <c r="H5520" s="470">
        <v>5513</v>
      </c>
      <c r="I5520" s="455">
        <f t="shared" ca="1" si="208"/>
        <v>-1531110131747012</v>
      </c>
      <c r="J5520" s="455">
        <f t="array" ref="J5520">IFERROR(INDEX('Retirement Calculator'!J:J,MATCH('Isaac 401k'!N5520,'Retirement Calculator'!A:A,0),0),0)</f>
        <v>0</v>
      </c>
      <c r="K5520" s="455">
        <f t="shared" ca="1" si="206"/>
        <v>-6379625548945.8828</v>
      </c>
      <c r="L5520" s="455">
        <f t="shared" ca="1" si="207"/>
        <v>-1537489757295958</v>
      </c>
      <c r="M5520" s="471">
        <f t="shared" si="209"/>
        <v>0.05</v>
      </c>
      <c r="N5520" s="475">
        <f t="shared" si="210"/>
        <v>219056</v>
      </c>
    </row>
    <row r="5521" spans="7:14" ht="11.25" customHeight="1" x14ac:dyDescent="0.3">
      <c r="G5521" s="470"/>
      <c r="H5521" s="470">
        <v>5514</v>
      </c>
      <c r="I5521" s="455">
        <f t="shared" ca="1" si="208"/>
        <v>-1537489757295958</v>
      </c>
      <c r="J5521" s="455">
        <f t="array" ref="J5521">IFERROR(INDEX('Retirement Calculator'!J:J,MATCH('Isaac 401k'!N5521,'Retirement Calculator'!A:A,0),0),0)</f>
        <v>0</v>
      </c>
      <c r="K5521" s="455">
        <f t="shared" ca="1" si="206"/>
        <v>-6406207322066.4912</v>
      </c>
      <c r="L5521" s="455">
        <f t="shared" ca="1" si="207"/>
        <v>-1543895964618024.5</v>
      </c>
      <c r="M5521" s="471">
        <f t="shared" si="209"/>
        <v>0.05</v>
      </c>
      <c r="N5521" s="475">
        <f t="shared" si="210"/>
        <v>219087</v>
      </c>
    </row>
    <row r="5522" spans="7:14" ht="11.25" customHeight="1" x14ac:dyDescent="0.3">
      <c r="G5522" s="470"/>
      <c r="H5522" s="470">
        <v>5515</v>
      </c>
      <c r="I5522" s="455">
        <f t="shared" ca="1" si="208"/>
        <v>-1543895964618024.5</v>
      </c>
      <c r="J5522" s="455">
        <f t="array" ref="J5522">IFERROR(INDEX('Retirement Calculator'!J:J,MATCH('Isaac 401k'!N5522,'Retirement Calculator'!A:A,0),0),0)</f>
        <v>0</v>
      </c>
      <c r="K5522" s="455">
        <f t="shared" ca="1" si="206"/>
        <v>-6432899852575.1016</v>
      </c>
      <c r="L5522" s="455">
        <f t="shared" ca="1" si="207"/>
        <v>-1550328864470599.5</v>
      </c>
      <c r="M5522" s="471">
        <f t="shared" si="209"/>
        <v>0.05</v>
      </c>
      <c r="N5522" s="475">
        <f t="shared" si="210"/>
        <v>219117</v>
      </c>
    </row>
    <row r="5523" spans="7:14" ht="11.25" customHeight="1" x14ac:dyDescent="0.3">
      <c r="G5523" s="470"/>
      <c r="H5523" s="470">
        <v>5516</v>
      </c>
      <c r="I5523" s="455">
        <f t="shared" ca="1" si="208"/>
        <v>-1550328864470599.5</v>
      </c>
      <c r="J5523" s="455">
        <f t="array" ref="J5523">IFERROR(INDEX('Retirement Calculator'!J:J,MATCH('Isaac 401k'!N5523,'Retirement Calculator'!A:A,0),0),0)</f>
        <v>0</v>
      </c>
      <c r="K5523" s="455">
        <f t="shared" ca="1" si="206"/>
        <v>-6459703601960.8311</v>
      </c>
      <c r="L5523" s="455">
        <f t="shared" ca="1" si="207"/>
        <v>-1556788568072560.3</v>
      </c>
      <c r="M5523" s="471">
        <f t="shared" si="209"/>
        <v>0.05</v>
      </c>
      <c r="N5523" s="475">
        <f t="shared" si="210"/>
        <v>219148</v>
      </c>
    </row>
    <row r="5524" spans="7:14" ht="11.25" customHeight="1" x14ac:dyDescent="0.3">
      <c r="G5524" s="470"/>
      <c r="H5524" s="470">
        <v>5517</v>
      </c>
      <c r="I5524" s="455">
        <f t="shared" ca="1" si="208"/>
        <v>-1556788568072560.3</v>
      </c>
      <c r="J5524" s="455">
        <f t="array" ref="J5524">IFERROR(INDEX('Retirement Calculator'!J:J,MATCH('Isaac 401k'!N5524,'Retirement Calculator'!A:A,0),0),0)</f>
        <v>0</v>
      </c>
      <c r="K5524" s="455">
        <f t="shared" ca="1" si="206"/>
        <v>-6486619033635.668</v>
      </c>
      <c r="L5524" s="455">
        <f t="shared" ca="1" si="207"/>
        <v>-1563275187106196</v>
      </c>
      <c r="M5524" s="471">
        <f t="shared" si="209"/>
        <v>0.05</v>
      </c>
      <c r="N5524" s="475">
        <f t="shared" si="210"/>
        <v>219179</v>
      </c>
    </row>
    <row r="5525" spans="7:14" ht="11.25" customHeight="1" x14ac:dyDescent="0.3">
      <c r="G5525" s="470"/>
      <c r="H5525" s="470">
        <v>5518</v>
      </c>
      <c r="I5525" s="455">
        <f t="shared" ca="1" si="208"/>
        <v>-1563275187106196</v>
      </c>
      <c r="J5525" s="455">
        <f t="array" ref="J5525">IFERROR(INDEX('Retirement Calculator'!J:J,MATCH('Isaac 401k'!N5525,'Retirement Calculator'!A:A,0),0),0)</f>
        <v>0</v>
      </c>
      <c r="K5525" s="455">
        <f t="shared" ca="1" si="206"/>
        <v>-6513646612942.4834</v>
      </c>
      <c r="L5525" s="455">
        <f t="shared" ca="1" si="207"/>
        <v>-1569788833719138.5</v>
      </c>
      <c r="M5525" s="471">
        <f t="shared" si="209"/>
        <v>0.05</v>
      </c>
      <c r="N5525" s="475">
        <f t="shared" si="210"/>
        <v>219207</v>
      </c>
    </row>
    <row r="5526" spans="7:14" ht="11.25" customHeight="1" x14ac:dyDescent="0.3">
      <c r="G5526" s="470"/>
      <c r="H5526" s="470">
        <v>5519</v>
      </c>
      <c r="I5526" s="455">
        <f t="shared" ca="1" si="208"/>
        <v>-1569788833719138.5</v>
      </c>
      <c r="J5526" s="455">
        <f t="array" ref="J5526">IFERROR(INDEX('Retirement Calculator'!J:J,MATCH('Isaac 401k'!N5526,'Retirement Calculator'!A:A,0),0),0)</f>
        <v>0</v>
      </c>
      <c r="K5526" s="455">
        <f t="shared" ca="1" si="206"/>
        <v>-6540786807163.0771</v>
      </c>
      <c r="L5526" s="455">
        <f t="shared" ca="1" si="207"/>
        <v>-1576329620526301.5</v>
      </c>
      <c r="M5526" s="471">
        <f t="shared" si="209"/>
        <v>0.05</v>
      </c>
      <c r="N5526" s="475">
        <f t="shared" si="210"/>
        <v>219238</v>
      </c>
    </row>
    <row r="5527" spans="7:14" ht="11.25" customHeight="1" x14ac:dyDescent="0.3">
      <c r="G5527" s="470"/>
      <c r="H5527" s="470">
        <v>5520</v>
      </c>
      <c r="I5527" s="455">
        <f t="shared" ca="1" si="208"/>
        <v>-1576329620526301.5</v>
      </c>
      <c r="J5527" s="455">
        <f t="array" ref="J5527">IFERROR(INDEX('Retirement Calculator'!J:J,MATCH('Isaac 401k'!N5527,'Retirement Calculator'!A:A,0),0),0)</f>
        <v>0</v>
      </c>
      <c r="K5527" s="455">
        <f t="shared" ca="1" si="206"/>
        <v>-6568040085526.2559</v>
      </c>
      <c r="L5527" s="455">
        <f t="shared" ca="1" si="207"/>
        <v>-1582897660611827.8</v>
      </c>
      <c r="M5527" s="471">
        <f t="shared" si="209"/>
        <v>0.05</v>
      </c>
      <c r="N5527" s="475">
        <f t="shared" si="210"/>
        <v>219268</v>
      </c>
    </row>
    <row r="5528" spans="7:14" ht="11.25" customHeight="1" x14ac:dyDescent="0.3">
      <c r="G5528" s="470"/>
      <c r="H5528" s="470">
        <v>5521</v>
      </c>
      <c r="I5528" s="455">
        <f t="shared" ca="1" si="208"/>
        <v>-1582897660611827.8</v>
      </c>
      <c r="J5528" s="455">
        <f t="array" ref="J5528">IFERROR(INDEX('Retirement Calculator'!J:J,MATCH('Isaac 401k'!N5528,'Retirement Calculator'!A:A,0),0),0)</f>
        <v>0</v>
      </c>
      <c r="K5528" s="455">
        <f t="shared" ca="1" si="206"/>
        <v>-6595406919215.9492</v>
      </c>
      <c r="L5528" s="455">
        <f t="shared" ca="1" si="207"/>
        <v>-1589493067531043.8</v>
      </c>
      <c r="M5528" s="471">
        <f t="shared" si="209"/>
        <v>0.05</v>
      </c>
      <c r="N5528" s="475">
        <f t="shared" si="210"/>
        <v>219299</v>
      </c>
    </row>
    <row r="5529" spans="7:14" ht="11.25" customHeight="1" x14ac:dyDescent="0.3">
      <c r="G5529" s="470"/>
      <c r="H5529" s="470">
        <v>5522</v>
      </c>
      <c r="I5529" s="455">
        <f t="shared" ca="1" si="208"/>
        <v>-1589493067531043.8</v>
      </c>
      <c r="J5529" s="455">
        <f t="array" ref="J5529">IFERROR(INDEX('Retirement Calculator'!J:J,MATCH('Isaac 401k'!N5529,'Retirement Calculator'!A:A,0),0),0)</f>
        <v>0</v>
      </c>
      <c r="K5529" s="455">
        <f t="shared" ca="1" si="206"/>
        <v>-6622887781379.3486</v>
      </c>
      <c r="L5529" s="455">
        <f t="shared" ca="1" si="207"/>
        <v>-1596115955312423</v>
      </c>
      <c r="M5529" s="471">
        <f t="shared" si="209"/>
        <v>0.05</v>
      </c>
      <c r="N5529" s="475">
        <f t="shared" si="210"/>
        <v>219329</v>
      </c>
    </row>
    <row r="5530" spans="7:14" ht="11.25" customHeight="1" x14ac:dyDescent="0.3">
      <c r="G5530" s="470"/>
      <c r="H5530" s="470">
        <v>5523</v>
      </c>
      <c r="I5530" s="455">
        <f t="shared" ca="1" si="208"/>
        <v>-1596115955312423</v>
      </c>
      <c r="J5530" s="455">
        <f t="array" ref="J5530">IFERROR(INDEX('Retirement Calculator'!J:J,MATCH('Isaac 401k'!N5530,'Retirement Calculator'!A:A,0),0),0)</f>
        <v>0</v>
      </c>
      <c r="K5530" s="455">
        <f t="shared" ca="1" si="206"/>
        <v>-6650483147135.0957</v>
      </c>
      <c r="L5530" s="455">
        <f t="shared" ca="1" si="207"/>
        <v>-1602766438459558</v>
      </c>
      <c r="M5530" s="471">
        <f t="shared" si="209"/>
        <v>0.05</v>
      </c>
      <c r="N5530" s="475">
        <f t="shared" si="210"/>
        <v>219360</v>
      </c>
    </row>
    <row r="5531" spans="7:14" ht="11.25" customHeight="1" x14ac:dyDescent="0.3">
      <c r="G5531" s="470"/>
      <c r="H5531" s="470">
        <v>5524</v>
      </c>
      <c r="I5531" s="455">
        <f t="shared" ca="1" si="208"/>
        <v>-1602766438459558</v>
      </c>
      <c r="J5531" s="455">
        <f t="array" ref="J5531">IFERROR(INDEX('Retirement Calculator'!J:J,MATCH('Isaac 401k'!N5531,'Retirement Calculator'!A:A,0),0),0)</f>
        <v>0</v>
      </c>
      <c r="K5531" s="455">
        <f t="shared" ca="1" si="206"/>
        <v>-6678193493581.4912</v>
      </c>
      <c r="L5531" s="455">
        <f t="shared" ca="1" si="207"/>
        <v>-1609444631953139.5</v>
      </c>
      <c r="M5531" s="471">
        <f t="shared" si="209"/>
        <v>0.05</v>
      </c>
      <c r="N5531" s="475">
        <f t="shared" si="210"/>
        <v>219391</v>
      </c>
    </row>
    <row r="5532" spans="7:14" ht="11.25" customHeight="1" x14ac:dyDescent="0.3">
      <c r="G5532" s="470"/>
      <c r="H5532" s="470">
        <v>5525</v>
      </c>
      <c r="I5532" s="455">
        <f t="shared" ca="1" si="208"/>
        <v>-1609444631953139.5</v>
      </c>
      <c r="J5532" s="455">
        <f t="array" ref="J5532">IFERROR(INDEX('Retirement Calculator'!J:J,MATCH('Isaac 401k'!N5532,'Retirement Calculator'!A:A,0),0),0)</f>
        <v>0</v>
      </c>
      <c r="K5532" s="455">
        <f t="shared" ca="1" si="206"/>
        <v>-6706019299804.748</v>
      </c>
      <c r="L5532" s="455">
        <f t="shared" ca="1" si="207"/>
        <v>-1616150651252944.3</v>
      </c>
      <c r="M5532" s="471">
        <f t="shared" si="209"/>
        <v>0.05</v>
      </c>
      <c r="N5532" s="475">
        <f t="shared" si="210"/>
        <v>219421</v>
      </c>
    </row>
    <row r="5533" spans="7:14" ht="11.25" customHeight="1" x14ac:dyDescent="0.3">
      <c r="G5533" s="470"/>
      <c r="H5533" s="470">
        <v>5526</v>
      </c>
      <c r="I5533" s="455">
        <f t="shared" ca="1" si="208"/>
        <v>-1616150651252944.3</v>
      </c>
      <c r="J5533" s="455">
        <f t="array" ref="J5533">IFERROR(INDEX('Retirement Calculator'!J:J,MATCH('Isaac 401k'!N5533,'Retirement Calculator'!A:A,0),0),0)</f>
        <v>0</v>
      </c>
      <c r="K5533" s="455">
        <f t="shared" ca="1" si="206"/>
        <v>-6733961046887.2676</v>
      </c>
      <c r="L5533" s="455">
        <f t="shared" ca="1" si="207"/>
        <v>-1622884612299831.5</v>
      </c>
      <c r="M5533" s="471">
        <f t="shared" si="209"/>
        <v>0.05</v>
      </c>
      <c r="N5533" s="475">
        <f t="shared" si="210"/>
        <v>219452</v>
      </c>
    </row>
    <row r="5534" spans="7:14" ht="11.25" customHeight="1" x14ac:dyDescent="0.3">
      <c r="G5534" s="470"/>
      <c r="H5534" s="470">
        <v>5527</v>
      </c>
      <c r="I5534" s="455">
        <f t="shared" ca="1" si="208"/>
        <v>-1622884612299831.5</v>
      </c>
      <c r="J5534" s="455">
        <f t="array" ref="J5534">IFERROR(INDEX('Retirement Calculator'!J:J,MATCH('Isaac 401k'!N5534,'Retirement Calculator'!A:A,0),0),0)</f>
        <v>0</v>
      </c>
      <c r="K5534" s="455">
        <f t="shared" ca="1" si="206"/>
        <v>-6762019217915.9648</v>
      </c>
      <c r="L5534" s="455">
        <f t="shared" ca="1" si="207"/>
        <v>-1629646631517747.5</v>
      </c>
      <c r="M5534" s="471">
        <f t="shared" si="209"/>
        <v>0.05</v>
      </c>
      <c r="N5534" s="475">
        <f t="shared" si="210"/>
        <v>219482</v>
      </c>
    </row>
    <row r="5535" spans="7:14" ht="11.25" customHeight="1" x14ac:dyDescent="0.3">
      <c r="G5535" s="470"/>
      <c r="H5535" s="470">
        <v>5528</v>
      </c>
      <c r="I5535" s="455">
        <f t="shared" ca="1" si="208"/>
        <v>-1629646631517747.5</v>
      </c>
      <c r="J5535" s="455">
        <f t="array" ref="J5535">IFERROR(INDEX('Retirement Calculator'!J:J,MATCH('Isaac 401k'!N5535,'Retirement Calculator'!A:A,0),0),0)</f>
        <v>0</v>
      </c>
      <c r="K5535" s="455">
        <f t="shared" ca="1" si="206"/>
        <v>-6790194297990.6143</v>
      </c>
      <c r="L5535" s="455">
        <f t="shared" ca="1" si="207"/>
        <v>-1636436825815738</v>
      </c>
      <c r="M5535" s="471">
        <f t="shared" si="209"/>
        <v>0.05</v>
      </c>
      <c r="N5535" s="475">
        <f t="shared" si="210"/>
        <v>219513</v>
      </c>
    </row>
    <row r="5536" spans="7:14" ht="11.25" customHeight="1" x14ac:dyDescent="0.3">
      <c r="G5536" s="470"/>
      <c r="H5536" s="470">
        <v>5529</v>
      </c>
      <c r="I5536" s="455">
        <f t="shared" ca="1" si="208"/>
        <v>-1636436825815738</v>
      </c>
      <c r="J5536" s="455">
        <f t="array" ref="J5536">IFERROR(INDEX('Retirement Calculator'!J:J,MATCH('Isaac 401k'!N5536,'Retirement Calculator'!A:A,0),0),0)</f>
        <v>0</v>
      </c>
      <c r="K5536" s="455">
        <f t="shared" ca="1" si="206"/>
        <v>-6818486774232.2412</v>
      </c>
      <c r="L5536" s="455">
        <f t="shared" ca="1" si="207"/>
        <v>-1643255312589970.3</v>
      </c>
      <c r="M5536" s="471">
        <f t="shared" si="209"/>
        <v>0.05</v>
      </c>
      <c r="N5536" s="475">
        <f t="shared" si="210"/>
        <v>219544</v>
      </c>
    </row>
    <row r="5537" spans="7:14" ht="11.25" customHeight="1" x14ac:dyDescent="0.3">
      <c r="G5537" s="470"/>
      <c r="H5537" s="470">
        <v>5530</v>
      </c>
      <c r="I5537" s="455">
        <f t="shared" ca="1" si="208"/>
        <v>-1643255312589970.3</v>
      </c>
      <c r="J5537" s="455">
        <f t="array" ref="J5537">IFERROR(INDEX('Retirement Calculator'!J:J,MATCH('Isaac 401k'!N5537,'Retirement Calculator'!A:A,0),0),0)</f>
        <v>0</v>
      </c>
      <c r="K5537" s="455">
        <f t="shared" ca="1" si="206"/>
        <v>-6846897135791.543</v>
      </c>
      <c r="L5537" s="455">
        <f t="shared" ca="1" si="207"/>
        <v>-1650102209725761.8</v>
      </c>
      <c r="M5537" s="471">
        <f t="shared" si="209"/>
        <v>0.05</v>
      </c>
      <c r="N5537" s="475">
        <f t="shared" si="210"/>
        <v>219572</v>
      </c>
    </row>
    <row r="5538" spans="7:14" ht="11.25" customHeight="1" x14ac:dyDescent="0.3">
      <c r="G5538" s="470"/>
      <c r="H5538" s="470">
        <v>5531</v>
      </c>
      <c r="I5538" s="455">
        <f t="shared" ca="1" si="208"/>
        <v>-1650102209725761.8</v>
      </c>
      <c r="J5538" s="455">
        <f t="array" ref="J5538">IFERROR(INDEX('Retirement Calculator'!J:J,MATCH('Isaac 401k'!N5538,'Retirement Calculator'!A:A,0),0),0)</f>
        <v>0</v>
      </c>
      <c r="K5538" s="455">
        <f t="shared" ca="1" si="206"/>
        <v>-6875425873857.3408</v>
      </c>
      <c r="L5538" s="455">
        <f t="shared" ca="1" si="207"/>
        <v>-1656977635599619</v>
      </c>
      <c r="M5538" s="471">
        <f t="shared" si="209"/>
        <v>0.05</v>
      </c>
      <c r="N5538" s="475">
        <f t="shared" si="210"/>
        <v>219603</v>
      </c>
    </row>
    <row r="5539" spans="7:14" ht="11.25" customHeight="1" x14ac:dyDescent="0.3">
      <c r="G5539" s="470"/>
      <c r="H5539" s="470">
        <v>5532</v>
      </c>
      <c r="I5539" s="455">
        <f t="shared" ca="1" si="208"/>
        <v>-1656977635599619</v>
      </c>
      <c r="J5539" s="455">
        <f t="array" ref="J5539">IFERROR(INDEX('Retirement Calculator'!J:J,MATCH('Isaac 401k'!N5539,'Retirement Calculator'!A:A,0),0),0)</f>
        <v>0</v>
      </c>
      <c r="K5539" s="455">
        <f t="shared" ca="1" si="206"/>
        <v>-6904073481665.0791</v>
      </c>
      <c r="L5539" s="455">
        <f t="shared" ca="1" si="207"/>
        <v>-1663881709081284</v>
      </c>
      <c r="M5539" s="471">
        <f t="shared" si="209"/>
        <v>0.05</v>
      </c>
      <c r="N5539" s="475">
        <f t="shared" si="210"/>
        <v>219633</v>
      </c>
    </row>
    <row r="5540" spans="7:14" ht="11.25" customHeight="1" x14ac:dyDescent="0.3">
      <c r="G5540" s="470"/>
      <c r="H5540" s="470">
        <v>5533</v>
      </c>
      <c r="I5540" s="455">
        <f t="shared" ca="1" si="208"/>
        <v>-1663881709081284</v>
      </c>
      <c r="J5540" s="455">
        <f t="array" ref="J5540">IFERROR(INDEX('Retirement Calculator'!J:J,MATCH('Isaac 401k'!N5540,'Retirement Calculator'!A:A,0),0),0)</f>
        <v>0</v>
      </c>
      <c r="K5540" s="455">
        <f t="shared" ca="1" si="206"/>
        <v>-6932840454505.3496</v>
      </c>
      <c r="L5540" s="455">
        <f t="shared" ca="1" si="207"/>
        <v>-1670814549535789.3</v>
      </c>
      <c r="M5540" s="471">
        <f t="shared" si="209"/>
        <v>0.05</v>
      </c>
      <c r="N5540" s="475">
        <f t="shared" si="210"/>
        <v>219664</v>
      </c>
    </row>
    <row r="5541" spans="7:14" ht="11.25" customHeight="1" x14ac:dyDescent="0.3">
      <c r="G5541" s="470"/>
      <c r="H5541" s="470">
        <v>5534</v>
      </c>
      <c r="I5541" s="455">
        <f t="shared" ca="1" si="208"/>
        <v>-1670814549535789.3</v>
      </c>
      <c r="J5541" s="455">
        <f t="array" ref="J5541">IFERROR(INDEX('Retirement Calculator'!J:J,MATCH('Isaac 401k'!N5541,'Retirement Calculator'!A:A,0),0),0)</f>
        <v>0</v>
      </c>
      <c r="K5541" s="455">
        <f t="shared" ca="1" si="206"/>
        <v>-6961727289732.4551</v>
      </c>
      <c r="L5541" s="455">
        <f t="shared" ca="1" si="207"/>
        <v>-1677776276825521.8</v>
      </c>
      <c r="M5541" s="471">
        <f t="shared" si="209"/>
        <v>0.05</v>
      </c>
      <c r="N5541" s="475">
        <f t="shared" si="210"/>
        <v>219694</v>
      </c>
    </row>
    <row r="5542" spans="7:14" ht="11.25" customHeight="1" x14ac:dyDescent="0.3">
      <c r="G5542" s="470"/>
      <c r="H5542" s="470">
        <v>5535</v>
      </c>
      <c r="I5542" s="455">
        <f t="shared" ca="1" si="208"/>
        <v>-1677776276825521.8</v>
      </c>
      <c r="J5542" s="455">
        <f t="array" ref="J5542">IFERROR(INDEX('Retirement Calculator'!J:J,MATCH('Isaac 401k'!N5542,'Retirement Calculator'!A:A,0),0),0)</f>
        <v>0</v>
      </c>
      <c r="K5542" s="455">
        <f t="shared" ca="1" si="206"/>
        <v>-6990734486773.0068</v>
      </c>
      <c r="L5542" s="455">
        <f t="shared" ca="1" si="207"/>
        <v>-1684767011312294.8</v>
      </c>
      <c r="M5542" s="471">
        <f t="shared" si="209"/>
        <v>0.05</v>
      </c>
      <c r="N5542" s="475">
        <f t="shared" si="210"/>
        <v>219725</v>
      </c>
    </row>
    <row r="5543" spans="7:14" ht="11.25" customHeight="1" x14ac:dyDescent="0.3">
      <c r="G5543" s="470"/>
      <c r="H5543" s="470">
        <v>5536</v>
      </c>
      <c r="I5543" s="455">
        <f t="shared" ca="1" si="208"/>
        <v>-1684767011312294.8</v>
      </c>
      <c r="J5543" s="455">
        <f t="array" ref="J5543">IFERROR(INDEX('Retirement Calculator'!J:J,MATCH('Isaac 401k'!N5543,'Retirement Calculator'!A:A,0),0),0)</f>
        <v>0</v>
      </c>
      <c r="K5543" s="455">
        <f t="shared" ca="1" si="206"/>
        <v>-7019862547134.5615</v>
      </c>
      <c r="L5543" s="455">
        <f t="shared" ca="1" si="207"/>
        <v>-1691786873859429.3</v>
      </c>
      <c r="M5543" s="471">
        <f t="shared" si="209"/>
        <v>0.05</v>
      </c>
      <c r="N5543" s="475">
        <f t="shared" si="210"/>
        <v>219756</v>
      </c>
    </row>
    <row r="5544" spans="7:14" ht="11.25" customHeight="1" x14ac:dyDescent="0.3">
      <c r="G5544" s="470"/>
      <c r="H5544" s="470">
        <v>5537</v>
      </c>
      <c r="I5544" s="455">
        <f t="shared" ca="1" si="208"/>
        <v>-1691786873859429.3</v>
      </c>
      <c r="J5544" s="455">
        <f t="array" ref="J5544">IFERROR(INDEX('Retirement Calculator'!J:J,MATCH('Isaac 401k'!N5544,'Retirement Calculator'!A:A,0),0),0)</f>
        <v>0</v>
      </c>
      <c r="K5544" s="455">
        <f t="shared" ca="1" si="206"/>
        <v>-7049111974414.2881</v>
      </c>
      <c r="L5544" s="455">
        <f t="shared" ca="1" si="207"/>
        <v>-1698835985833843.5</v>
      </c>
      <c r="M5544" s="471">
        <f t="shared" si="209"/>
        <v>0.05</v>
      </c>
      <c r="N5544" s="475">
        <f t="shared" si="210"/>
        <v>219786</v>
      </c>
    </row>
    <row r="5545" spans="7:14" ht="11.25" customHeight="1" x14ac:dyDescent="0.3">
      <c r="G5545" s="470"/>
      <c r="H5545" s="470">
        <v>5538</v>
      </c>
      <c r="I5545" s="455">
        <f t="shared" ca="1" si="208"/>
        <v>-1698835985833843.5</v>
      </c>
      <c r="J5545" s="455">
        <f t="array" ref="J5545">IFERROR(INDEX('Retirement Calculator'!J:J,MATCH('Isaac 401k'!N5545,'Retirement Calculator'!A:A,0),0),0)</f>
        <v>0</v>
      </c>
      <c r="K5545" s="455">
        <f t="shared" ca="1" si="206"/>
        <v>-7078483274307.6807</v>
      </c>
      <c r="L5545" s="455">
        <f t="shared" ca="1" si="207"/>
        <v>-1705914469108151.3</v>
      </c>
      <c r="M5545" s="471">
        <f t="shared" si="209"/>
        <v>0.05</v>
      </c>
      <c r="N5545" s="475">
        <f t="shared" si="210"/>
        <v>219817</v>
      </c>
    </row>
    <row r="5546" spans="7:14" ht="11.25" customHeight="1" x14ac:dyDescent="0.3">
      <c r="G5546" s="470"/>
      <c r="H5546" s="470">
        <v>5539</v>
      </c>
      <c r="I5546" s="455">
        <f t="shared" ca="1" si="208"/>
        <v>-1705914469108151.3</v>
      </c>
      <c r="J5546" s="455">
        <f t="array" ref="J5546">IFERROR(INDEX('Retirement Calculator'!J:J,MATCH('Isaac 401k'!N5546,'Retirement Calculator'!A:A,0),0),0)</f>
        <v>0</v>
      </c>
      <c r="K5546" s="455">
        <f t="shared" ca="1" si="206"/>
        <v>-7107976954617.2969</v>
      </c>
      <c r="L5546" s="455">
        <f t="shared" ca="1" si="207"/>
        <v>-1713022446062768.5</v>
      </c>
      <c r="M5546" s="471">
        <f t="shared" si="209"/>
        <v>0.05</v>
      </c>
      <c r="N5546" s="475">
        <f t="shared" si="210"/>
        <v>219847</v>
      </c>
    </row>
    <row r="5547" spans="7:14" ht="11.25" customHeight="1" x14ac:dyDescent="0.3">
      <c r="G5547" s="470"/>
      <c r="H5547" s="470">
        <v>5540</v>
      </c>
      <c r="I5547" s="455">
        <f t="shared" ca="1" si="208"/>
        <v>-1713022446062768.5</v>
      </c>
      <c r="J5547" s="455">
        <f t="array" ref="J5547">IFERROR(INDEX('Retirement Calculator'!J:J,MATCH('Isaac 401k'!N5547,'Retirement Calculator'!A:A,0),0),0)</f>
        <v>0</v>
      </c>
      <c r="K5547" s="455">
        <f t="shared" ca="1" si="206"/>
        <v>-7137593525261.5352</v>
      </c>
      <c r="L5547" s="455">
        <f t="shared" ca="1" si="207"/>
        <v>-1720160039588030</v>
      </c>
      <c r="M5547" s="471">
        <f t="shared" si="209"/>
        <v>0.05</v>
      </c>
      <c r="N5547" s="475">
        <f t="shared" si="210"/>
        <v>219878</v>
      </c>
    </row>
    <row r="5548" spans="7:14" ht="11.25" customHeight="1" x14ac:dyDescent="0.3">
      <c r="G5548" s="470"/>
      <c r="H5548" s="470">
        <v>5541</v>
      </c>
      <c r="I5548" s="455">
        <f t="shared" ca="1" si="208"/>
        <v>-1720160039588030</v>
      </c>
      <c r="J5548" s="455">
        <f t="array" ref="J5548">IFERROR(INDEX('Retirement Calculator'!J:J,MATCH('Isaac 401k'!N5548,'Retirement Calculator'!A:A,0),0),0)</f>
        <v>0</v>
      </c>
      <c r="K5548" s="455">
        <f t="shared" ca="1" si="206"/>
        <v>-7167333498283.458</v>
      </c>
      <c r="L5548" s="455">
        <f t="shared" ca="1" si="207"/>
        <v>-1727327373086313.5</v>
      </c>
      <c r="M5548" s="471">
        <f t="shared" si="209"/>
        <v>0.05</v>
      </c>
      <c r="N5548" s="475">
        <f t="shared" si="210"/>
        <v>219909</v>
      </c>
    </row>
    <row r="5549" spans="7:14" ht="11.25" customHeight="1" x14ac:dyDescent="0.3">
      <c r="G5549" s="470"/>
      <c r="H5549" s="470">
        <v>5542</v>
      </c>
      <c r="I5549" s="455">
        <f t="shared" ca="1" si="208"/>
        <v>-1727327373086313.5</v>
      </c>
      <c r="J5549" s="455">
        <f t="array" ref="J5549">IFERROR(INDEX('Retirement Calculator'!J:J,MATCH('Isaac 401k'!N5549,'Retirement Calculator'!A:A,0),0),0)</f>
        <v>0</v>
      </c>
      <c r="K5549" s="455">
        <f t="shared" ca="1" si="206"/>
        <v>-7197197387859.6396</v>
      </c>
      <c r="L5549" s="455">
        <f t="shared" ca="1" si="207"/>
        <v>-1734524570474173.3</v>
      </c>
      <c r="M5549" s="471">
        <f t="shared" si="209"/>
        <v>0.05</v>
      </c>
      <c r="N5549" s="475">
        <f t="shared" si="210"/>
        <v>219937</v>
      </c>
    </row>
    <row r="5550" spans="7:14" ht="11.25" customHeight="1" x14ac:dyDescent="0.3">
      <c r="G5550" s="470"/>
      <c r="H5550" s="470">
        <v>5543</v>
      </c>
      <c r="I5550" s="455">
        <f t="shared" ca="1" si="208"/>
        <v>-1734524570474173.3</v>
      </c>
      <c r="J5550" s="455">
        <f t="array" ref="J5550">IFERROR(INDEX('Retirement Calculator'!J:J,MATCH('Isaac 401k'!N5550,'Retirement Calculator'!A:A,0),0),0)</f>
        <v>0</v>
      </c>
      <c r="K5550" s="455">
        <f t="shared" ca="1" si="206"/>
        <v>-7227185710309.0547</v>
      </c>
      <c r="L5550" s="455">
        <f t="shared" ca="1" si="207"/>
        <v>-1741751756184482.3</v>
      </c>
      <c r="M5550" s="471">
        <f t="shared" si="209"/>
        <v>0.05</v>
      </c>
      <c r="N5550" s="475">
        <f t="shared" si="210"/>
        <v>219968</v>
      </c>
    </row>
    <row r="5551" spans="7:14" ht="11.25" customHeight="1" x14ac:dyDescent="0.3">
      <c r="G5551" s="470"/>
      <c r="H5551" s="470">
        <v>5544</v>
      </c>
      <c r="I5551" s="455">
        <f t="shared" ca="1" si="208"/>
        <v>-1741751756184482.3</v>
      </c>
      <c r="J5551" s="455">
        <f t="array" ref="J5551">IFERROR(INDEX('Retirement Calculator'!J:J,MATCH('Isaac 401k'!N5551,'Retirement Calculator'!A:A,0),0),0)</f>
        <v>0</v>
      </c>
      <c r="K5551" s="455">
        <f t="shared" ca="1" si="206"/>
        <v>-7257298984102.0088</v>
      </c>
      <c r="L5551" s="455">
        <f t="shared" ca="1" si="207"/>
        <v>-1749009055168584.3</v>
      </c>
      <c r="M5551" s="471">
        <f t="shared" si="209"/>
        <v>0.05</v>
      </c>
      <c r="N5551" s="475">
        <f t="shared" si="210"/>
        <v>219998</v>
      </c>
    </row>
    <row r="5552" spans="7:14" ht="11.25" customHeight="1" x14ac:dyDescent="0.3">
      <c r="G5552" s="470"/>
      <c r="H5552" s="470">
        <v>5545</v>
      </c>
      <c r="I5552" s="455">
        <f t="shared" ca="1" si="208"/>
        <v>-1749009055168584.3</v>
      </c>
      <c r="J5552" s="455">
        <f t="array" ref="J5552">IFERROR(INDEX('Retirement Calculator'!J:J,MATCH('Isaac 401k'!N5552,'Retirement Calculator'!A:A,0),0),0)</f>
        <v>0</v>
      </c>
      <c r="K5552" s="455">
        <f t="shared" ca="1" si="206"/>
        <v>-7287537729869.1006</v>
      </c>
      <c r="L5552" s="455">
        <f t="shared" ca="1" si="207"/>
        <v>-1756296592898453.3</v>
      </c>
      <c r="M5552" s="471">
        <f t="shared" si="209"/>
        <v>0.05</v>
      </c>
      <c r="N5552" s="475">
        <f t="shared" si="210"/>
        <v>220029</v>
      </c>
    </row>
    <row r="5553" spans="7:14" ht="11.25" customHeight="1" x14ac:dyDescent="0.3">
      <c r="G5553" s="470"/>
      <c r="H5553" s="470">
        <v>5546</v>
      </c>
      <c r="I5553" s="455">
        <f t="shared" ca="1" si="208"/>
        <v>-1756296592898453.3</v>
      </c>
      <c r="J5553" s="455">
        <f t="array" ref="J5553">IFERROR(INDEX('Retirement Calculator'!J:J,MATCH('Isaac 401k'!N5553,'Retirement Calculator'!A:A,0),0),0)</f>
        <v>0</v>
      </c>
      <c r="K5553" s="455">
        <f t="shared" ca="1" si="206"/>
        <v>-7317902470410.2217</v>
      </c>
      <c r="L5553" s="455">
        <f t="shared" ca="1" si="207"/>
        <v>-1763614495368863.5</v>
      </c>
      <c r="M5553" s="471">
        <f t="shared" si="209"/>
        <v>0.05</v>
      </c>
      <c r="N5553" s="475">
        <f t="shared" si="210"/>
        <v>220059</v>
      </c>
    </row>
    <row r="5554" spans="7:14" ht="11.25" customHeight="1" x14ac:dyDescent="0.3">
      <c r="G5554" s="470"/>
      <c r="H5554" s="470">
        <v>5547</v>
      </c>
      <c r="I5554" s="455">
        <f t="shared" ca="1" si="208"/>
        <v>-1763614495368863.5</v>
      </c>
      <c r="J5554" s="455">
        <f t="array" ref="J5554">IFERROR(INDEX('Retirement Calculator'!J:J,MATCH('Isaac 401k'!N5554,'Retirement Calculator'!A:A,0),0),0)</f>
        <v>0</v>
      </c>
      <c r="K5554" s="455">
        <f t="shared" ca="1" si="206"/>
        <v>-7348393730703.5977</v>
      </c>
      <c r="L5554" s="455">
        <f t="shared" ca="1" si="207"/>
        <v>-1770962889099567</v>
      </c>
      <c r="M5554" s="471">
        <f t="shared" si="209"/>
        <v>0.05</v>
      </c>
      <c r="N5554" s="475">
        <f t="shared" si="210"/>
        <v>220090</v>
      </c>
    </row>
    <row r="5555" spans="7:14" ht="11.25" customHeight="1" x14ac:dyDescent="0.3">
      <c r="G5555" s="470"/>
      <c r="H5555" s="470">
        <v>5548</v>
      </c>
      <c r="I5555" s="455">
        <f t="shared" ca="1" si="208"/>
        <v>-1770962889099567</v>
      </c>
      <c r="J5555" s="455">
        <f t="array" ref="J5555">IFERROR(INDEX('Retirement Calculator'!J:J,MATCH('Isaac 401k'!N5555,'Retirement Calculator'!A:A,0),0),0)</f>
        <v>0</v>
      </c>
      <c r="K5555" s="455">
        <f t="shared" ca="1" si="206"/>
        <v>-7379012037914.8613</v>
      </c>
      <c r="L5555" s="455">
        <f t="shared" ca="1" si="207"/>
        <v>-1778341901137481.8</v>
      </c>
      <c r="M5555" s="471">
        <f t="shared" si="209"/>
        <v>0.05</v>
      </c>
      <c r="N5555" s="475">
        <f t="shared" si="210"/>
        <v>220121</v>
      </c>
    </row>
    <row r="5556" spans="7:14" ht="11.25" customHeight="1" x14ac:dyDescent="0.3">
      <c r="G5556" s="470"/>
      <c r="H5556" s="470">
        <v>5549</v>
      </c>
      <c r="I5556" s="455">
        <f t="shared" ca="1" si="208"/>
        <v>-1778341901137481.8</v>
      </c>
      <c r="J5556" s="455">
        <f t="array" ref="J5556">IFERROR(INDEX('Retirement Calculator'!J:J,MATCH('Isaac 401k'!N5556,'Retirement Calculator'!A:A,0),0),0)</f>
        <v>0</v>
      </c>
      <c r="K5556" s="455">
        <f t="shared" ca="1" si="206"/>
        <v>-7409757921406.1729</v>
      </c>
      <c r="L5556" s="455">
        <f t="shared" ca="1" si="207"/>
        <v>-1785751659058888</v>
      </c>
      <c r="M5556" s="471">
        <f t="shared" si="209"/>
        <v>0.05</v>
      </c>
      <c r="N5556" s="475">
        <f t="shared" si="210"/>
        <v>220151</v>
      </c>
    </row>
    <row r="5557" spans="7:14" ht="11.25" customHeight="1" x14ac:dyDescent="0.3">
      <c r="G5557" s="470"/>
      <c r="H5557" s="470">
        <v>5550</v>
      </c>
      <c r="I5557" s="455">
        <f t="shared" ca="1" si="208"/>
        <v>-1785751659058888</v>
      </c>
      <c r="J5557" s="455">
        <f t="array" ref="J5557">IFERROR(INDEX('Retirement Calculator'!J:J,MATCH('Isaac 401k'!N5557,'Retirement Calculator'!A:A,0),0),0)</f>
        <v>0</v>
      </c>
      <c r="K5557" s="455">
        <f t="shared" ca="1" si="206"/>
        <v>-7440631912745.3672</v>
      </c>
      <c r="L5557" s="455">
        <f t="shared" ca="1" si="207"/>
        <v>-1793192290971633.3</v>
      </c>
      <c r="M5557" s="471">
        <f t="shared" si="209"/>
        <v>0.05</v>
      </c>
      <c r="N5557" s="475">
        <f t="shared" si="210"/>
        <v>220182</v>
      </c>
    </row>
    <row r="5558" spans="7:14" ht="11.25" customHeight="1" x14ac:dyDescent="0.3">
      <c r="G5558" s="470"/>
      <c r="H5558" s="470">
        <v>5551</v>
      </c>
      <c r="I5558" s="455">
        <f t="shared" ca="1" si="208"/>
        <v>-1793192290971633.3</v>
      </c>
      <c r="J5558" s="455">
        <f t="array" ref="J5558">IFERROR(INDEX('Retirement Calculator'!J:J,MATCH('Isaac 401k'!N5558,'Retirement Calculator'!A:A,0),0),0)</f>
        <v>0</v>
      </c>
      <c r="K5558" s="455">
        <f t="shared" ca="1" si="206"/>
        <v>-7471634545715.1387</v>
      </c>
      <c r="L5558" s="455">
        <f t="shared" ca="1" si="207"/>
        <v>-1800663925517348.5</v>
      </c>
      <c r="M5558" s="471">
        <f t="shared" si="209"/>
        <v>0.05</v>
      </c>
      <c r="N5558" s="475">
        <f t="shared" si="210"/>
        <v>220212</v>
      </c>
    </row>
    <row r="5559" spans="7:14" ht="11.25" customHeight="1" x14ac:dyDescent="0.3">
      <c r="G5559" s="470"/>
      <c r="H5559" s="470">
        <v>5552</v>
      </c>
      <c r="I5559" s="455">
        <f t="shared" ca="1" si="208"/>
        <v>-1800663925517348.5</v>
      </c>
      <c r="J5559" s="455">
        <f t="array" ref="J5559">IFERROR(INDEX('Retirement Calculator'!J:J,MATCH('Isaac 401k'!N5559,'Retirement Calculator'!A:A,0),0),0)</f>
        <v>0</v>
      </c>
      <c r="K5559" s="455">
        <f t="shared" ca="1" si="206"/>
        <v>-7502766356322.2852</v>
      </c>
      <c r="L5559" s="455">
        <f t="shared" ca="1" si="207"/>
        <v>-1808166691873670.8</v>
      </c>
      <c r="M5559" s="471">
        <f t="shared" si="209"/>
        <v>0.05</v>
      </c>
      <c r="N5559" s="475">
        <f t="shared" si="210"/>
        <v>220243</v>
      </c>
    </row>
    <row r="5560" spans="7:14" ht="11.25" customHeight="1" x14ac:dyDescent="0.3">
      <c r="G5560" s="470"/>
      <c r="H5560" s="470">
        <v>5553</v>
      </c>
      <c r="I5560" s="455">
        <f t="shared" ca="1" si="208"/>
        <v>-1808166691873670.8</v>
      </c>
      <c r="J5560" s="455">
        <f t="array" ref="J5560">IFERROR(INDEX('Retirement Calculator'!J:J,MATCH('Isaac 401k'!N5560,'Retirement Calculator'!A:A,0),0),0)</f>
        <v>0</v>
      </c>
      <c r="K5560" s="455">
        <f t="shared" ca="1" si="206"/>
        <v>-7534027882806.9609</v>
      </c>
      <c r="L5560" s="455">
        <f t="shared" ca="1" si="207"/>
        <v>-1815700719756477.8</v>
      </c>
      <c r="M5560" s="471">
        <f t="shared" si="209"/>
        <v>0.05</v>
      </c>
      <c r="N5560" s="475">
        <f t="shared" si="210"/>
        <v>220274</v>
      </c>
    </row>
    <row r="5561" spans="7:14" ht="11.25" customHeight="1" x14ac:dyDescent="0.3">
      <c r="G5561" s="470"/>
      <c r="H5561" s="470">
        <v>5554</v>
      </c>
      <c r="I5561" s="455">
        <f t="shared" ca="1" si="208"/>
        <v>-1815700719756477.8</v>
      </c>
      <c r="J5561" s="455">
        <f t="array" ref="J5561">IFERROR(INDEX('Retirement Calculator'!J:J,MATCH('Isaac 401k'!N5561,'Retirement Calculator'!A:A,0),0),0)</f>
        <v>0</v>
      </c>
      <c r="K5561" s="455">
        <f t="shared" ca="1" si="206"/>
        <v>-7565419665651.9902</v>
      </c>
      <c r="L5561" s="455">
        <f t="shared" ca="1" si="207"/>
        <v>-1823266139422129.8</v>
      </c>
      <c r="M5561" s="471">
        <f t="shared" si="209"/>
        <v>0.05</v>
      </c>
      <c r="N5561" s="475">
        <f t="shared" si="210"/>
        <v>220302</v>
      </c>
    </row>
    <row r="5562" spans="7:14" ht="11.25" customHeight="1" x14ac:dyDescent="0.3">
      <c r="G5562" s="470"/>
      <c r="H5562" s="470">
        <v>5555</v>
      </c>
      <c r="I5562" s="455">
        <f t="shared" ca="1" si="208"/>
        <v>-1823266139422129.8</v>
      </c>
      <c r="J5562" s="455">
        <f t="array" ref="J5562">IFERROR(INDEX('Retirement Calculator'!J:J,MATCH('Isaac 401k'!N5562,'Retirement Calculator'!A:A,0),0),0)</f>
        <v>0</v>
      </c>
      <c r="K5562" s="455">
        <f t="shared" ca="1" si="206"/>
        <v>-7596942247592.207</v>
      </c>
      <c r="L5562" s="455">
        <f t="shared" ca="1" si="207"/>
        <v>-1830863081669722</v>
      </c>
      <c r="M5562" s="471">
        <f t="shared" si="209"/>
        <v>0.05</v>
      </c>
      <c r="N5562" s="475">
        <f t="shared" si="210"/>
        <v>220333</v>
      </c>
    </row>
    <row r="5563" spans="7:14" ht="11.25" customHeight="1" x14ac:dyDescent="0.3">
      <c r="G5563" s="470"/>
      <c r="H5563" s="470">
        <v>5556</v>
      </c>
      <c r="I5563" s="455">
        <f t="shared" ca="1" si="208"/>
        <v>-1830863081669722</v>
      </c>
      <c r="J5563" s="455">
        <f t="array" ref="J5563">IFERROR(INDEX('Retirement Calculator'!J:J,MATCH('Isaac 401k'!N5563,'Retirement Calculator'!A:A,0),0),0)</f>
        <v>0</v>
      </c>
      <c r="K5563" s="455">
        <f t="shared" ca="1" si="206"/>
        <v>-7628596173623.8418</v>
      </c>
      <c r="L5563" s="455">
        <f t="shared" ca="1" si="207"/>
        <v>-1838491677843345.8</v>
      </c>
      <c r="M5563" s="471">
        <f t="shared" si="209"/>
        <v>0.05</v>
      </c>
      <c r="N5563" s="475">
        <f t="shared" si="210"/>
        <v>220363</v>
      </c>
    </row>
    <row r="5564" spans="7:14" ht="11.25" customHeight="1" x14ac:dyDescent="0.3">
      <c r="G5564" s="470"/>
      <c r="H5564" s="470">
        <v>5557</v>
      </c>
      <c r="I5564" s="455">
        <f t="shared" ca="1" si="208"/>
        <v>-1838491677843345.8</v>
      </c>
      <c r="J5564" s="455">
        <f t="array" ref="J5564">IFERROR(INDEX('Retirement Calculator'!J:J,MATCH('Isaac 401k'!N5564,'Retirement Calculator'!A:A,0),0),0)</f>
        <v>0</v>
      </c>
      <c r="K5564" s="455">
        <f t="shared" ca="1" si="206"/>
        <v>-7660381991013.9404</v>
      </c>
      <c r="L5564" s="455">
        <f t="shared" ca="1" si="207"/>
        <v>-1846152059834359.8</v>
      </c>
      <c r="M5564" s="471">
        <f t="shared" si="209"/>
        <v>0.05</v>
      </c>
      <c r="N5564" s="475">
        <f t="shared" si="210"/>
        <v>220394</v>
      </c>
    </row>
    <row r="5565" spans="7:14" ht="11.25" customHeight="1" x14ac:dyDescent="0.3">
      <c r="G5565" s="470"/>
      <c r="H5565" s="470">
        <v>5558</v>
      </c>
      <c r="I5565" s="455">
        <f t="shared" ca="1" si="208"/>
        <v>-1846152059834359.8</v>
      </c>
      <c r="J5565" s="455">
        <f t="array" ref="J5565">IFERROR(INDEX('Retirement Calculator'!J:J,MATCH('Isaac 401k'!N5565,'Retirement Calculator'!A:A,0),0),0)</f>
        <v>0</v>
      </c>
      <c r="K5565" s="455">
        <f t="shared" ca="1" si="206"/>
        <v>-7692300249309.832</v>
      </c>
      <c r="L5565" s="455">
        <f t="shared" ca="1" si="207"/>
        <v>-1853844360083669.5</v>
      </c>
      <c r="M5565" s="471">
        <f t="shared" si="209"/>
        <v>0.05</v>
      </c>
      <c r="N5565" s="475">
        <f t="shared" si="210"/>
        <v>220424</v>
      </c>
    </row>
    <row r="5566" spans="7:14" ht="11.25" customHeight="1" x14ac:dyDescent="0.3">
      <c r="G5566" s="470"/>
      <c r="H5566" s="470">
        <v>5559</v>
      </c>
      <c r="I5566" s="455">
        <f t="shared" ca="1" si="208"/>
        <v>-1853844360083669.5</v>
      </c>
      <c r="J5566" s="455">
        <f t="array" ref="J5566">IFERROR(INDEX('Retirement Calculator'!J:J,MATCH('Isaac 401k'!N5566,'Retirement Calculator'!A:A,0),0),0)</f>
        <v>0</v>
      </c>
      <c r="K5566" s="455">
        <f t="shared" ca="1" si="206"/>
        <v>-7724351500348.623</v>
      </c>
      <c r="L5566" s="455">
        <f t="shared" ca="1" si="207"/>
        <v>-1861568711584018</v>
      </c>
      <c r="M5566" s="471">
        <f t="shared" si="209"/>
        <v>0.05</v>
      </c>
      <c r="N5566" s="475">
        <f t="shared" si="210"/>
        <v>220455</v>
      </c>
    </row>
    <row r="5567" spans="7:14" ht="11.25" customHeight="1" x14ac:dyDescent="0.3">
      <c r="G5567" s="470"/>
      <c r="H5567" s="470">
        <v>5560</v>
      </c>
      <c r="I5567" s="455">
        <f t="shared" ca="1" si="208"/>
        <v>-1861568711584018</v>
      </c>
      <c r="J5567" s="455">
        <f t="array" ref="J5567">IFERROR(INDEX('Retirement Calculator'!J:J,MATCH('Isaac 401k'!N5567,'Retirement Calculator'!A:A,0),0),0)</f>
        <v>0</v>
      </c>
      <c r="K5567" s="455">
        <f t="shared" ca="1" si="206"/>
        <v>-7756536298266.7412</v>
      </c>
      <c r="L5567" s="455">
        <f t="shared" ca="1" si="207"/>
        <v>-1869325247882284.8</v>
      </c>
      <c r="M5567" s="471">
        <f t="shared" si="209"/>
        <v>0.05</v>
      </c>
      <c r="N5567" s="475">
        <f t="shared" si="210"/>
        <v>220486</v>
      </c>
    </row>
    <row r="5568" spans="7:14" ht="11.25" customHeight="1" x14ac:dyDescent="0.3">
      <c r="G5568" s="470"/>
      <c r="H5568" s="470">
        <v>5561</v>
      </c>
      <c r="I5568" s="455">
        <f t="shared" ca="1" si="208"/>
        <v>-1869325247882284.8</v>
      </c>
      <c r="J5568" s="455">
        <f t="array" ref="J5568">IFERROR(INDEX('Retirement Calculator'!J:J,MATCH('Isaac 401k'!N5568,'Retirement Calculator'!A:A,0),0),0)</f>
        <v>0</v>
      </c>
      <c r="K5568" s="455">
        <f t="shared" ca="1" si="206"/>
        <v>-7788855199509.5195</v>
      </c>
      <c r="L5568" s="455">
        <f t="shared" ca="1" si="207"/>
        <v>-1877114103081794.3</v>
      </c>
      <c r="M5568" s="471">
        <f t="shared" si="209"/>
        <v>0.05</v>
      </c>
      <c r="N5568" s="475">
        <f t="shared" si="210"/>
        <v>220516</v>
      </c>
    </row>
    <row r="5569" spans="7:14" ht="11.25" customHeight="1" x14ac:dyDescent="0.3">
      <c r="G5569" s="470"/>
      <c r="H5569" s="470">
        <v>5562</v>
      </c>
      <c r="I5569" s="455">
        <f t="shared" ca="1" si="208"/>
        <v>-1877114103081794.3</v>
      </c>
      <c r="J5569" s="455">
        <f t="array" ref="J5569">IFERROR(INDEX('Retirement Calculator'!J:J,MATCH('Isaac 401k'!N5569,'Retirement Calculator'!A:A,0),0),0)</f>
        <v>0</v>
      </c>
      <c r="K5569" s="455">
        <f t="shared" ca="1" si="206"/>
        <v>-7821308762840.8086</v>
      </c>
      <c r="L5569" s="455">
        <f t="shared" ca="1" si="207"/>
        <v>-1884935411844635</v>
      </c>
      <c r="M5569" s="471">
        <f t="shared" si="209"/>
        <v>0.05</v>
      </c>
      <c r="N5569" s="475">
        <f t="shared" si="210"/>
        <v>220547</v>
      </c>
    </row>
    <row r="5570" spans="7:14" ht="11.25" customHeight="1" x14ac:dyDescent="0.3">
      <c r="G5570" s="470"/>
      <c r="H5570" s="470">
        <v>5563</v>
      </c>
      <c r="I5570" s="455">
        <f t="shared" ca="1" si="208"/>
        <v>-1884935411844635</v>
      </c>
      <c r="J5570" s="455">
        <f t="array" ref="J5570">IFERROR(INDEX('Retirement Calculator'!J:J,MATCH('Isaac 401k'!N5570,'Retirement Calculator'!A:A,0),0),0)</f>
        <v>0</v>
      </c>
      <c r="K5570" s="455">
        <f t="shared" ca="1" si="206"/>
        <v>-7853897549352.6445</v>
      </c>
      <c r="L5570" s="455">
        <f t="shared" ca="1" si="207"/>
        <v>-1892789309393987.8</v>
      </c>
      <c r="M5570" s="471">
        <f t="shared" si="209"/>
        <v>0.05</v>
      </c>
      <c r="N5570" s="475">
        <f t="shared" si="210"/>
        <v>220577</v>
      </c>
    </row>
    <row r="5571" spans="7:14" ht="11.25" customHeight="1" x14ac:dyDescent="0.3">
      <c r="G5571" s="470"/>
      <c r="H5571" s="470">
        <v>5564</v>
      </c>
      <c r="I5571" s="455">
        <f t="shared" ca="1" si="208"/>
        <v>-1892789309393987.8</v>
      </c>
      <c r="J5571" s="455">
        <f t="array" ref="J5571">IFERROR(INDEX('Retirement Calculator'!J:J,MATCH('Isaac 401k'!N5571,'Retirement Calculator'!A:A,0),0),0)</f>
        <v>0</v>
      </c>
      <c r="K5571" s="455">
        <f t="shared" ca="1" si="206"/>
        <v>-7886622122474.9482</v>
      </c>
      <c r="L5571" s="455">
        <f t="shared" ca="1" si="207"/>
        <v>-1900675931516462.8</v>
      </c>
      <c r="M5571" s="471">
        <f t="shared" si="209"/>
        <v>0.05</v>
      </c>
      <c r="N5571" s="475">
        <f t="shared" si="210"/>
        <v>220608</v>
      </c>
    </row>
    <row r="5572" spans="7:14" ht="11.25" customHeight="1" x14ac:dyDescent="0.3">
      <c r="G5572" s="470"/>
      <c r="H5572" s="470">
        <v>5565</v>
      </c>
      <c r="I5572" s="455">
        <f t="shared" ca="1" si="208"/>
        <v>-1900675931516462.8</v>
      </c>
      <c r="J5572" s="455">
        <f t="array" ref="J5572">IFERROR(INDEX('Retirement Calculator'!J:J,MATCH('Isaac 401k'!N5572,'Retirement Calculator'!A:A,0),0),0)</f>
        <v>0</v>
      </c>
      <c r="K5572" s="455">
        <f t="shared" ca="1" si="206"/>
        <v>-7919483047985.2607</v>
      </c>
      <c r="L5572" s="455">
        <f t="shared" ca="1" si="207"/>
        <v>-1908595414564448</v>
      </c>
      <c r="M5572" s="471">
        <f t="shared" si="209"/>
        <v>0.05</v>
      </c>
      <c r="N5572" s="475">
        <f t="shared" si="210"/>
        <v>220639</v>
      </c>
    </row>
    <row r="5573" spans="7:14" ht="11.25" customHeight="1" x14ac:dyDescent="0.3">
      <c r="G5573" s="470"/>
      <c r="H5573" s="470">
        <v>5566</v>
      </c>
      <c r="I5573" s="455">
        <f t="shared" ca="1" si="208"/>
        <v>-1908595414564448</v>
      </c>
      <c r="J5573" s="455">
        <f t="array" ref="J5573">IFERROR(INDEX('Retirement Calculator'!J:J,MATCH('Isaac 401k'!N5573,'Retirement Calculator'!A:A,0),0),0)</f>
        <v>0</v>
      </c>
      <c r="K5573" s="455">
        <f t="shared" ca="1" si="206"/>
        <v>-7952480894018.5342</v>
      </c>
      <c r="L5573" s="455">
        <f t="shared" ca="1" si="207"/>
        <v>-1916547895458466.5</v>
      </c>
      <c r="M5573" s="471">
        <f t="shared" si="209"/>
        <v>0.05</v>
      </c>
      <c r="N5573" s="475">
        <f t="shared" si="210"/>
        <v>220668</v>
      </c>
    </row>
    <row r="5574" spans="7:14" ht="11.25" customHeight="1" x14ac:dyDescent="0.3">
      <c r="G5574" s="470"/>
      <c r="H5574" s="470">
        <v>5567</v>
      </c>
      <c r="I5574" s="455">
        <f t="shared" ca="1" si="208"/>
        <v>-1916547895458466.5</v>
      </c>
      <c r="J5574" s="455">
        <f t="array" ref="J5574">IFERROR(INDEX('Retirement Calculator'!J:J,MATCH('Isaac 401k'!N5574,'Retirement Calculator'!A:A,0),0),0)</f>
        <v>0</v>
      </c>
      <c r="K5574" s="455">
        <f t="shared" ca="1" si="206"/>
        <v>-7985616231076.9434</v>
      </c>
      <c r="L5574" s="455">
        <f t="shared" ca="1" si="207"/>
        <v>-1924533511689543.5</v>
      </c>
      <c r="M5574" s="471">
        <f t="shared" si="209"/>
        <v>0.05</v>
      </c>
      <c r="N5574" s="475">
        <f t="shared" si="210"/>
        <v>220699</v>
      </c>
    </row>
    <row r="5575" spans="7:14" ht="11.25" customHeight="1" x14ac:dyDescent="0.3">
      <c r="G5575" s="470"/>
      <c r="H5575" s="470">
        <v>5568</v>
      </c>
      <c r="I5575" s="455">
        <f t="shared" ca="1" si="208"/>
        <v>-1924533511689543.5</v>
      </c>
      <c r="J5575" s="455">
        <f t="array" ref="J5575">IFERROR(INDEX('Retirement Calculator'!J:J,MATCH('Isaac 401k'!N5575,'Retirement Calculator'!A:A,0),0),0)</f>
        <v>0</v>
      </c>
      <c r="K5575" s="455">
        <f t="shared" ca="1" si="206"/>
        <v>-8018889632039.7656</v>
      </c>
      <c r="L5575" s="455">
        <f t="shared" ca="1" si="207"/>
        <v>-1932552401321583.3</v>
      </c>
      <c r="M5575" s="471">
        <f t="shared" si="209"/>
        <v>0.05</v>
      </c>
      <c r="N5575" s="475">
        <f t="shared" si="210"/>
        <v>220729</v>
      </c>
    </row>
    <row r="5576" spans="7:14" ht="11.25" customHeight="1" x14ac:dyDescent="0.3">
      <c r="G5576" s="470"/>
      <c r="H5576" s="470">
        <v>5569</v>
      </c>
      <c r="I5576" s="455">
        <f t="shared" ca="1" si="208"/>
        <v>-1932552401321583.3</v>
      </c>
      <c r="J5576" s="455">
        <f t="array" ref="J5576">IFERROR(INDEX('Retirement Calculator'!J:J,MATCH('Isaac 401k'!N5576,'Retirement Calculator'!A:A,0),0),0)</f>
        <v>0</v>
      </c>
      <c r="K5576" s="455">
        <f t="shared" ca="1" si="206"/>
        <v>-8052301672173.2637</v>
      </c>
      <c r="L5576" s="455">
        <f t="shared" ca="1" si="207"/>
        <v>-1940604702993756.5</v>
      </c>
      <c r="M5576" s="471">
        <f t="shared" si="209"/>
        <v>0.05</v>
      </c>
      <c r="N5576" s="475">
        <f t="shared" si="210"/>
        <v>220760</v>
      </c>
    </row>
    <row r="5577" spans="7:14" ht="11.25" customHeight="1" x14ac:dyDescent="0.3">
      <c r="G5577" s="470"/>
      <c r="H5577" s="470">
        <v>5570</v>
      </c>
      <c r="I5577" s="455">
        <f t="shared" ca="1" si="208"/>
        <v>-1940604702993756.5</v>
      </c>
      <c r="J5577" s="455">
        <f t="array" ref="J5577">IFERROR(INDEX('Retirement Calculator'!J:J,MATCH('Isaac 401k'!N5577,'Retirement Calculator'!A:A,0),0),0)</f>
        <v>0</v>
      </c>
      <c r="K5577" s="455">
        <f t="shared" ca="1" si="206"/>
        <v>-8085852929140.6523</v>
      </c>
      <c r="L5577" s="455">
        <f t="shared" ca="1" si="207"/>
        <v>-1948690555922897.3</v>
      </c>
      <c r="M5577" s="471">
        <f t="shared" si="209"/>
        <v>0.05</v>
      </c>
      <c r="N5577" s="475">
        <f t="shared" si="210"/>
        <v>220790</v>
      </c>
    </row>
    <row r="5578" spans="7:14" ht="11.25" customHeight="1" x14ac:dyDescent="0.3">
      <c r="G5578" s="470"/>
      <c r="H5578" s="470">
        <v>5571</v>
      </c>
      <c r="I5578" s="455">
        <f t="shared" ca="1" si="208"/>
        <v>-1948690555922897.3</v>
      </c>
      <c r="J5578" s="455">
        <f t="array" ref="J5578">IFERROR(INDEX('Retirement Calculator'!J:J,MATCH('Isaac 401k'!N5578,'Retirement Calculator'!A:A,0),0),0)</f>
        <v>0</v>
      </c>
      <c r="K5578" s="455">
        <f t="shared" ca="1" si="206"/>
        <v>-8119543983012.0703</v>
      </c>
      <c r="L5578" s="455">
        <f t="shared" ca="1" si="207"/>
        <v>-1956810099905909.3</v>
      </c>
      <c r="M5578" s="471">
        <f t="shared" si="209"/>
        <v>0.05</v>
      </c>
      <c r="N5578" s="475">
        <f t="shared" si="210"/>
        <v>220821</v>
      </c>
    </row>
    <row r="5579" spans="7:14" ht="11.25" customHeight="1" x14ac:dyDescent="0.3">
      <c r="G5579" s="470"/>
      <c r="H5579" s="470">
        <v>5572</v>
      </c>
      <c r="I5579" s="455">
        <f t="shared" ca="1" si="208"/>
        <v>-1956810099905909.3</v>
      </c>
      <c r="J5579" s="455">
        <f t="array" ref="J5579">IFERROR(INDEX('Retirement Calculator'!J:J,MATCH('Isaac 401k'!N5579,'Retirement Calculator'!A:A,0),0),0)</f>
        <v>0</v>
      </c>
      <c r="K5579" s="455">
        <f t="shared" ca="1" si="206"/>
        <v>-8153375416274.6221</v>
      </c>
      <c r="L5579" s="455">
        <f t="shared" ca="1" si="207"/>
        <v>-1964963475322183.8</v>
      </c>
      <c r="M5579" s="471">
        <f t="shared" si="209"/>
        <v>0.05</v>
      </c>
      <c r="N5579" s="475">
        <f t="shared" si="210"/>
        <v>220852</v>
      </c>
    </row>
    <row r="5580" spans="7:14" ht="11.25" customHeight="1" x14ac:dyDescent="0.3">
      <c r="G5580" s="470"/>
      <c r="H5580" s="470">
        <v>5573</v>
      </c>
      <c r="I5580" s="455">
        <f t="shared" ca="1" si="208"/>
        <v>-1964963475322183.8</v>
      </c>
      <c r="J5580" s="455">
        <f t="array" ref="J5580">IFERROR(INDEX('Retirement Calculator'!J:J,MATCH('Isaac 401k'!N5580,'Retirement Calculator'!A:A,0),0),0)</f>
        <v>0</v>
      </c>
      <c r="K5580" s="455">
        <f t="shared" ca="1" si="206"/>
        <v>-8187347813842.4326</v>
      </c>
      <c r="L5580" s="455">
        <f t="shared" ca="1" si="207"/>
        <v>-1973150823136026.3</v>
      </c>
      <c r="M5580" s="471">
        <f t="shared" si="209"/>
        <v>0.05</v>
      </c>
      <c r="N5580" s="475">
        <f t="shared" si="210"/>
        <v>220882</v>
      </c>
    </row>
    <row r="5581" spans="7:14" ht="11.25" customHeight="1" x14ac:dyDescent="0.3">
      <c r="G5581" s="470"/>
      <c r="H5581" s="470">
        <v>5574</v>
      </c>
      <c r="I5581" s="455">
        <f t="shared" ca="1" si="208"/>
        <v>-1973150823136026.3</v>
      </c>
      <c r="J5581" s="455">
        <f t="array" ref="J5581">IFERROR(INDEX('Retirement Calculator'!J:J,MATCH('Isaac 401k'!N5581,'Retirement Calculator'!A:A,0),0),0)</f>
        <v>0</v>
      </c>
      <c r="K5581" s="455">
        <f t="shared" ca="1" si="206"/>
        <v>-8221461763066.7764</v>
      </c>
      <c r="L5581" s="455">
        <f t="shared" ca="1" si="207"/>
        <v>-1981372284899093</v>
      </c>
      <c r="M5581" s="471">
        <f t="shared" si="209"/>
        <v>0.05</v>
      </c>
      <c r="N5581" s="475">
        <f t="shared" si="210"/>
        <v>220913</v>
      </c>
    </row>
    <row r="5582" spans="7:14" ht="11.25" customHeight="1" x14ac:dyDescent="0.3">
      <c r="G5582" s="470"/>
      <c r="H5582" s="470">
        <v>5575</v>
      </c>
      <c r="I5582" s="455">
        <f t="shared" ca="1" si="208"/>
        <v>-1981372284899093</v>
      </c>
      <c r="J5582" s="455">
        <f t="array" ref="J5582">IFERROR(INDEX('Retirement Calculator'!J:J,MATCH('Isaac 401k'!N5582,'Retirement Calculator'!A:A,0),0),0)</f>
        <v>0</v>
      </c>
      <c r="K5582" s="455">
        <f t="shared" ca="1" si="206"/>
        <v>-8255717853746.2207</v>
      </c>
      <c r="L5582" s="455">
        <f t="shared" ca="1" si="207"/>
        <v>-1989628002752839.3</v>
      </c>
      <c r="M5582" s="471">
        <f t="shared" si="209"/>
        <v>0.05</v>
      </c>
      <c r="N5582" s="475">
        <f t="shared" si="210"/>
        <v>220943</v>
      </c>
    </row>
    <row r="5583" spans="7:14" ht="11.25" customHeight="1" x14ac:dyDescent="0.3">
      <c r="G5583" s="470"/>
      <c r="H5583" s="470">
        <v>5576</v>
      </c>
      <c r="I5583" s="455">
        <f t="shared" ca="1" si="208"/>
        <v>-1989628002752839.3</v>
      </c>
      <c r="J5583" s="455">
        <f t="array" ref="J5583">IFERROR(INDEX('Retirement Calculator'!J:J,MATCH('Isaac 401k'!N5583,'Retirement Calculator'!A:A,0),0),0)</f>
        <v>0</v>
      </c>
      <c r="K5583" s="455">
        <f t="shared" ca="1" si="206"/>
        <v>-8290116678136.8291</v>
      </c>
      <c r="L5583" s="455">
        <f t="shared" ca="1" si="207"/>
        <v>-1997918119430976</v>
      </c>
      <c r="M5583" s="471">
        <f t="shared" si="209"/>
        <v>0.05</v>
      </c>
      <c r="N5583" s="475">
        <f t="shared" si="210"/>
        <v>220974</v>
      </c>
    </row>
    <row r="5584" spans="7:14" ht="11.25" customHeight="1" x14ac:dyDescent="0.3">
      <c r="G5584" s="470"/>
      <c r="H5584" s="470">
        <v>5577</v>
      </c>
      <c r="I5584" s="455">
        <f t="shared" ca="1" si="208"/>
        <v>-1997918119430976</v>
      </c>
      <c r="J5584" s="455">
        <f t="array" ref="J5584">IFERROR(INDEX('Retirement Calculator'!J:J,MATCH('Isaac 401k'!N5584,'Retirement Calculator'!A:A,0),0),0)</f>
        <v>0</v>
      </c>
      <c r="K5584" s="455">
        <f t="shared" ca="1" si="206"/>
        <v>-8324658830962.3994</v>
      </c>
      <c r="L5584" s="455">
        <f t="shared" ca="1" si="207"/>
        <v>-2006242778261938.5</v>
      </c>
      <c r="M5584" s="471">
        <f t="shared" si="209"/>
        <v>0.05</v>
      </c>
      <c r="N5584" s="475">
        <f t="shared" si="210"/>
        <v>221005</v>
      </c>
    </row>
    <row r="5585" spans="7:14" ht="11.25" customHeight="1" x14ac:dyDescent="0.3">
      <c r="G5585" s="470"/>
      <c r="H5585" s="470">
        <v>5578</v>
      </c>
      <c r="I5585" s="455">
        <f t="shared" ca="1" si="208"/>
        <v>-2006242778261938.5</v>
      </c>
      <c r="J5585" s="455">
        <f t="array" ref="J5585">IFERROR(INDEX('Retirement Calculator'!J:J,MATCH('Isaac 401k'!N5585,'Retirement Calculator'!A:A,0),0),0)</f>
        <v>0</v>
      </c>
      <c r="K5585" s="455">
        <f t="shared" ca="1" si="206"/>
        <v>-8359344909424.7432</v>
      </c>
      <c r="L5585" s="455">
        <f t="shared" ca="1" si="207"/>
        <v>-2014602123171363.3</v>
      </c>
      <c r="M5585" s="471">
        <f t="shared" si="209"/>
        <v>0.05</v>
      </c>
      <c r="N5585" s="475">
        <f t="shared" si="210"/>
        <v>221033</v>
      </c>
    </row>
    <row r="5586" spans="7:14" ht="11.25" customHeight="1" x14ac:dyDescent="0.3">
      <c r="G5586" s="470"/>
      <c r="H5586" s="470">
        <v>5579</v>
      </c>
      <c r="I5586" s="455">
        <f t="shared" ca="1" si="208"/>
        <v>-2014602123171363.3</v>
      </c>
      <c r="J5586" s="455">
        <f t="array" ref="J5586">IFERROR(INDEX('Retirement Calculator'!J:J,MATCH('Isaac 401k'!N5586,'Retirement Calculator'!A:A,0),0),0)</f>
        <v>0</v>
      </c>
      <c r="K5586" s="455">
        <f t="shared" ca="1" si="206"/>
        <v>-8394175513214.0137</v>
      </c>
      <c r="L5586" s="455">
        <f t="shared" ca="1" si="207"/>
        <v>-2022996298684577.3</v>
      </c>
      <c r="M5586" s="471">
        <f t="shared" si="209"/>
        <v>0.05</v>
      </c>
      <c r="N5586" s="475">
        <f t="shared" si="210"/>
        <v>221064</v>
      </c>
    </row>
    <row r="5587" spans="7:14" ht="11.25" customHeight="1" x14ac:dyDescent="0.3">
      <c r="G5587" s="470"/>
      <c r="H5587" s="470">
        <v>5580</v>
      </c>
      <c r="I5587" s="455">
        <f t="shared" ca="1" si="208"/>
        <v>-2022996298684577.3</v>
      </c>
      <c r="J5587" s="455">
        <f t="array" ref="J5587">IFERROR(INDEX('Retirement Calculator'!J:J,MATCH('Isaac 401k'!N5587,'Retirement Calculator'!A:A,0),0),0)</f>
        <v>0</v>
      </c>
      <c r="K5587" s="455">
        <f t="shared" ca="1" si="206"/>
        <v>-8429151244519.0713</v>
      </c>
      <c r="L5587" s="455">
        <f t="shared" ca="1" si="207"/>
        <v>-2031425449929096.3</v>
      </c>
      <c r="M5587" s="471">
        <f t="shared" si="209"/>
        <v>0.05</v>
      </c>
      <c r="N5587" s="475">
        <f t="shared" si="210"/>
        <v>221094</v>
      </c>
    </row>
    <row r="5588" spans="7:14" ht="11.25" customHeight="1" x14ac:dyDescent="0.3">
      <c r="G5588" s="470"/>
      <c r="H5588" s="470">
        <v>5581</v>
      </c>
      <c r="I5588" s="455">
        <f t="shared" ca="1" si="208"/>
        <v>-2031425449929096.3</v>
      </c>
      <c r="J5588" s="455">
        <f t="array" ref="J5588">IFERROR(INDEX('Retirement Calculator'!J:J,MATCH('Isaac 401k'!N5588,'Retirement Calculator'!A:A,0),0),0)</f>
        <v>0</v>
      </c>
      <c r="K5588" s="455">
        <f t="shared" ca="1" si="206"/>
        <v>-8464272708037.9023</v>
      </c>
      <c r="L5588" s="455">
        <f t="shared" ca="1" si="207"/>
        <v>-2039889722637134.3</v>
      </c>
      <c r="M5588" s="471">
        <f t="shared" si="209"/>
        <v>0.05</v>
      </c>
      <c r="N5588" s="475">
        <f t="shared" si="210"/>
        <v>221125</v>
      </c>
    </row>
    <row r="5589" spans="7:14" ht="11.25" customHeight="1" x14ac:dyDescent="0.3">
      <c r="G5589" s="470"/>
      <c r="H5589" s="470">
        <v>5582</v>
      </c>
      <c r="I5589" s="455">
        <f t="shared" ca="1" si="208"/>
        <v>-2039889722637134.3</v>
      </c>
      <c r="J5589" s="455">
        <f t="array" ref="J5589">IFERROR(INDEX('Retirement Calculator'!J:J,MATCH('Isaac 401k'!N5589,'Retirement Calculator'!A:A,0),0),0)</f>
        <v>0</v>
      </c>
      <c r="K5589" s="455">
        <f t="shared" ca="1" si="206"/>
        <v>-8499540510988.0596</v>
      </c>
      <c r="L5589" s="455">
        <f t="shared" ca="1" si="207"/>
        <v>-2048389263148122.3</v>
      </c>
      <c r="M5589" s="471">
        <f t="shared" si="209"/>
        <v>0.05</v>
      </c>
      <c r="N5589" s="475">
        <f t="shared" si="210"/>
        <v>221155</v>
      </c>
    </row>
    <row r="5590" spans="7:14" ht="11.25" customHeight="1" x14ac:dyDescent="0.3">
      <c r="G5590" s="470"/>
      <c r="H5590" s="470">
        <v>5583</v>
      </c>
      <c r="I5590" s="455">
        <f t="shared" ca="1" si="208"/>
        <v>-2048389263148122.3</v>
      </c>
      <c r="J5590" s="455">
        <f t="array" ref="J5590">IFERROR(INDEX('Retirement Calculator'!J:J,MATCH('Isaac 401k'!N5590,'Retirement Calculator'!A:A,0),0),0)</f>
        <v>0</v>
      </c>
      <c r="K5590" s="455">
        <f t="shared" ca="1" si="206"/>
        <v>-8534955263117.1748</v>
      </c>
      <c r="L5590" s="455">
        <f t="shared" ca="1" si="207"/>
        <v>-2056924218411239.5</v>
      </c>
      <c r="M5590" s="471">
        <f t="shared" si="209"/>
        <v>0.05</v>
      </c>
      <c r="N5590" s="475">
        <f t="shared" si="210"/>
        <v>221186</v>
      </c>
    </row>
    <row r="5591" spans="7:14" ht="11.25" customHeight="1" x14ac:dyDescent="0.3">
      <c r="G5591" s="470"/>
      <c r="H5591" s="470">
        <v>5584</v>
      </c>
      <c r="I5591" s="455">
        <f t="shared" ca="1" si="208"/>
        <v>-2056924218411239.5</v>
      </c>
      <c r="J5591" s="455">
        <f t="array" ref="J5591">IFERROR(INDEX('Retirement Calculator'!J:J,MATCH('Isaac 401k'!N5591,'Retirement Calculator'!A:A,0),0),0)</f>
        <v>0</v>
      </c>
      <c r="K5591" s="455">
        <f t="shared" ca="1" si="206"/>
        <v>-8570517576713.498</v>
      </c>
      <c r="L5591" s="455">
        <f t="shared" ca="1" si="207"/>
        <v>-2065494735987953</v>
      </c>
      <c r="M5591" s="471">
        <f t="shared" si="209"/>
        <v>0.05</v>
      </c>
      <c r="N5591" s="475">
        <f t="shared" si="210"/>
        <v>221217</v>
      </c>
    </row>
    <row r="5592" spans="7:14" ht="11.25" customHeight="1" x14ac:dyDescent="0.3">
      <c r="G5592" s="470"/>
      <c r="H5592" s="470">
        <v>5585</v>
      </c>
      <c r="I5592" s="455">
        <f t="shared" ca="1" si="208"/>
        <v>-2065494735987953</v>
      </c>
      <c r="J5592" s="455">
        <f t="array" ref="J5592">IFERROR(INDEX('Retirement Calculator'!J:J,MATCH('Isaac 401k'!N5592,'Retirement Calculator'!A:A,0),0),0)</f>
        <v>0</v>
      </c>
      <c r="K5592" s="455">
        <f t="shared" ca="1" si="206"/>
        <v>-8606228066616.4707</v>
      </c>
      <c r="L5592" s="455">
        <f t="shared" ca="1" si="207"/>
        <v>-2074100964054569.5</v>
      </c>
      <c r="M5592" s="471">
        <f t="shared" si="209"/>
        <v>0.05</v>
      </c>
      <c r="N5592" s="475">
        <f t="shared" si="210"/>
        <v>221247</v>
      </c>
    </row>
    <row r="5593" spans="7:14" ht="11.25" customHeight="1" x14ac:dyDescent="0.3">
      <c r="G5593" s="470"/>
      <c r="H5593" s="470">
        <v>5586</v>
      </c>
      <c r="I5593" s="455">
        <f t="shared" ca="1" si="208"/>
        <v>-2074100964054569.5</v>
      </c>
      <c r="J5593" s="455">
        <f t="array" ref="J5593">IFERROR(INDEX('Retirement Calculator'!J:J,MATCH('Isaac 401k'!N5593,'Retirement Calculator'!A:A,0),0),0)</f>
        <v>0</v>
      </c>
      <c r="K5593" s="455">
        <f t="shared" ca="1" si="206"/>
        <v>-8642087350227.373</v>
      </c>
      <c r="L5593" s="455">
        <f t="shared" ca="1" si="207"/>
        <v>-2082743051404796.8</v>
      </c>
      <c r="M5593" s="471">
        <f t="shared" si="209"/>
        <v>0.05</v>
      </c>
      <c r="N5593" s="475">
        <f t="shared" si="210"/>
        <v>221278</v>
      </c>
    </row>
    <row r="5594" spans="7:14" ht="11.25" customHeight="1" x14ac:dyDescent="0.3">
      <c r="G5594" s="470"/>
      <c r="H5594" s="470">
        <v>5587</v>
      </c>
      <c r="I5594" s="455">
        <f t="shared" ca="1" si="208"/>
        <v>-2082743051404796.8</v>
      </c>
      <c r="J5594" s="455">
        <f t="array" ref="J5594">IFERROR(INDEX('Retirement Calculator'!J:J,MATCH('Isaac 401k'!N5594,'Retirement Calculator'!A:A,0),0),0)</f>
        <v>0</v>
      </c>
      <c r="K5594" s="455">
        <f t="shared" ca="1" si="206"/>
        <v>-8678096047519.9863</v>
      </c>
      <c r="L5594" s="455">
        <f t="shared" ca="1" si="207"/>
        <v>-2091421147452316.8</v>
      </c>
      <c r="M5594" s="471">
        <f t="shared" si="209"/>
        <v>0.05</v>
      </c>
      <c r="N5594" s="475">
        <f t="shared" si="210"/>
        <v>221308</v>
      </c>
    </row>
    <row r="5595" spans="7:14" ht="11.25" customHeight="1" x14ac:dyDescent="0.3">
      <c r="G5595" s="470"/>
      <c r="H5595" s="470">
        <v>5588</v>
      </c>
      <c r="I5595" s="455">
        <f t="shared" ca="1" si="208"/>
        <v>-2091421147452316.8</v>
      </c>
      <c r="J5595" s="455">
        <f t="array" ref="J5595">IFERROR(INDEX('Retirement Calculator'!J:J,MATCH('Isaac 401k'!N5595,'Retirement Calculator'!A:A,0),0),0)</f>
        <v>0</v>
      </c>
      <c r="K5595" s="455">
        <f t="shared" ca="1" si="206"/>
        <v>-8714254781051.3193</v>
      </c>
      <c r="L5595" s="455">
        <f t="shared" ca="1" si="207"/>
        <v>-2100135402233368</v>
      </c>
      <c r="M5595" s="471">
        <f t="shared" si="209"/>
        <v>0.05</v>
      </c>
      <c r="N5595" s="475">
        <f t="shared" si="210"/>
        <v>221339</v>
      </c>
    </row>
    <row r="5596" spans="7:14" ht="11.25" customHeight="1" x14ac:dyDescent="0.3">
      <c r="G5596" s="470"/>
      <c r="H5596" s="470">
        <v>5589</v>
      </c>
      <c r="I5596" s="455">
        <f t="shared" ca="1" si="208"/>
        <v>-2100135402233368</v>
      </c>
      <c r="J5596" s="455">
        <f t="array" ref="J5596">IFERROR(INDEX('Retirement Calculator'!J:J,MATCH('Isaac 401k'!N5596,'Retirement Calculator'!A:A,0),0),0)</f>
        <v>0</v>
      </c>
      <c r="K5596" s="455">
        <f t="shared" ca="1" si="206"/>
        <v>-8750564175972.3662</v>
      </c>
      <c r="L5596" s="455">
        <f t="shared" ca="1" si="207"/>
        <v>-2108885966409340.3</v>
      </c>
      <c r="M5596" s="471">
        <f t="shared" si="209"/>
        <v>0.05</v>
      </c>
      <c r="N5596" s="475">
        <f t="shared" si="210"/>
        <v>221370</v>
      </c>
    </row>
    <row r="5597" spans="7:14" ht="11.25" customHeight="1" x14ac:dyDescent="0.3">
      <c r="G5597" s="470"/>
      <c r="H5597" s="470">
        <v>5590</v>
      </c>
      <c r="I5597" s="455">
        <f t="shared" ca="1" si="208"/>
        <v>-2108885966409340.3</v>
      </c>
      <c r="J5597" s="455">
        <f t="array" ref="J5597">IFERROR(INDEX('Retirement Calculator'!J:J,MATCH('Isaac 401k'!N5597,'Retirement Calculator'!A:A,0),0),0)</f>
        <v>0</v>
      </c>
      <c r="K5597" s="455">
        <f t="shared" ca="1" si="206"/>
        <v>-8787024860038.918</v>
      </c>
      <c r="L5597" s="455">
        <f t="shared" ca="1" si="207"/>
        <v>-2117672991269379.3</v>
      </c>
      <c r="M5597" s="471">
        <f t="shared" si="209"/>
        <v>0.05</v>
      </c>
      <c r="N5597" s="475">
        <f t="shared" si="210"/>
        <v>221398</v>
      </c>
    </row>
    <row r="5598" spans="7:14" ht="11.25" customHeight="1" x14ac:dyDescent="0.3">
      <c r="G5598" s="470"/>
      <c r="H5598" s="470">
        <v>5591</v>
      </c>
      <c r="I5598" s="455">
        <f t="shared" ca="1" si="208"/>
        <v>-2117672991269379.3</v>
      </c>
      <c r="J5598" s="455">
        <f t="array" ref="J5598">IFERROR(INDEX('Retirement Calculator'!J:J,MATCH('Isaac 401k'!N5598,'Retirement Calculator'!A:A,0),0),0)</f>
        <v>0</v>
      </c>
      <c r="K5598" s="455">
        <f t="shared" ca="1" si="206"/>
        <v>-8823637463622.4141</v>
      </c>
      <c r="L5598" s="455">
        <f t="shared" ca="1" si="207"/>
        <v>-2126496628733001.8</v>
      </c>
      <c r="M5598" s="471">
        <f t="shared" si="209"/>
        <v>0.05</v>
      </c>
      <c r="N5598" s="475">
        <f t="shared" si="210"/>
        <v>221429</v>
      </c>
    </row>
    <row r="5599" spans="7:14" ht="11.25" customHeight="1" x14ac:dyDescent="0.3">
      <c r="G5599" s="470"/>
      <c r="H5599" s="470">
        <v>5592</v>
      </c>
      <c r="I5599" s="455">
        <f t="shared" ca="1" si="208"/>
        <v>-2126496628733001.8</v>
      </c>
      <c r="J5599" s="455">
        <f t="array" ref="J5599">IFERROR(INDEX('Retirement Calculator'!J:J,MATCH('Isaac 401k'!N5599,'Retirement Calculator'!A:A,0),0),0)</f>
        <v>0</v>
      </c>
      <c r="K5599" s="455">
        <f t="shared" ca="1" si="206"/>
        <v>-8860402619720.8398</v>
      </c>
      <c r="L5599" s="455">
        <f t="shared" ca="1" si="207"/>
        <v>-2135357031352722.5</v>
      </c>
      <c r="M5599" s="471">
        <f t="shared" si="209"/>
        <v>0.05</v>
      </c>
      <c r="N5599" s="475">
        <f t="shared" si="210"/>
        <v>221459</v>
      </c>
    </row>
    <row r="5600" spans="7:14" ht="11.25" customHeight="1" x14ac:dyDescent="0.3">
      <c r="G5600" s="470"/>
      <c r="H5600" s="470">
        <v>5593</v>
      </c>
      <c r="I5600" s="455">
        <f t="shared" ca="1" si="208"/>
        <v>-2135357031352722.5</v>
      </c>
      <c r="J5600" s="455">
        <f t="array" ref="J5600">IFERROR(INDEX('Retirement Calculator'!J:J,MATCH('Isaac 401k'!N5600,'Retirement Calculator'!A:A,0),0),0)</f>
        <v>0</v>
      </c>
      <c r="K5600" s="455">
        <f t="shared" ca="1" si="206"/>
        <v>-8897320963969.6777</v>
      </c>
      <c r="L5600" s="455">
        <f t="shared" ca="1" si="207"/>
        <v>-2144254352316692.3</v>
      </c>
      <c r="M5600" s="471">
        <f t="shared" si="209"/>
        <v>0.05</v>
      </c>
      <c r="N5600" s="475">
        <f t="shared" si="210"/>
        <v>221490</v>
      </c>
    </row>
    <row r="5601" spans="7:14" ht="11.25" customHeight="1" x14ac:dyDescent="0.3">
      <c r="G5601" s="470"/>
      <c r="H5601" s="470">
        <v>5594</v>
      </c>
      <c r="I5601" s="455">
        <f t="shared" ca="1" si="208"/>
        <v>-2144254352316692.3</v>
      </c>
      <c r="J5601" s="455">
        <f t="array" ref="J5601">IFERROR(INDEX('Retirement Calculator'!J:J,MATCH('Isaac 401k'!N5601,'Retirement Calculator'!A:A,0),0),0)</f>
        <v>0</v>
      </c>
      <c r="K5601" s="455">
        <f t="shared" ca="1" si="206"/>
        <v>-8934393134652.8828</v>
      </c>
      <c r="L5601" s="455">
        <f t="shared" ca="1" si="207"/>
        <v>-2153188745451345.3</v>
      </c>
      <c r="M5601" s="471">
        <f t="shared" si="209"/>
        <v>0.05</v>
      </c>
      <c r="N5601" s="475">
        <f t="shared" si="210"/>
        <v>221520</v>
      </c>
    </row>
    <row r="5602" spans="7:14" ht="11.25" customHeight="1" x14ac:dyDescent="0.3">
      <c r="G5602" s="470"/>
      <c r="H5602" s="470">
        <v>5595</v>
      </c>
      <c r="I5602" s="455">
        <f t="shared" ca="1" si="208"/>
        <v>-2153188745451345.3</v>
      </c>
      <c r="J5602" s="455">
        <f t="array" ref="J5602">IFERROR(INDEX('Retirement Calculator'!J:J,MATCH('Isaac 401k'!N5602,'Retirement Calculator'!A:A,0),0),0)</f>
        <v>0</v>
      </c>
      <c r="K5602" s="455">
        <f t="shared" ca="1" si="206"/>
        <v>-8971619772713.9375</v>
      </c>
      <c r="L5602" s="455">
        <f t="shared" ca="1" si="207"/>
        <v>-2162160365224059.3</v>
      </c>
      <c r="M5602" s="471">
        <f t="shared" si="209"/>
        <v>0.05</v>
      </c>
      <c r="N5602" s="475">
        <f t="shared" si="210"/>
        <v>221551</v>
      </c>
    </row>
    <row r="5603" spans="7:14" ht="11.25" customHeight="1" x14ac:dyDescent="0.3">
      <c r="G5603" s="470"/>
      <c r="H5603" s="470">
        <v>5596</v>
      </c>
      <c r="I5603" s="455">
        <f t="shared" ca="1" si="208"/>
        <v>-2162160365224059.3</v>
      </c>
      <c r="J5603" s="455">
        <f t="array" ref="J5603">IFERROR(INDEX('Retirement Calculator'!J:J,MATCH('Isaac 401k'!N5603,'Retirement Calculator'!A:A,0),0),0)</f>
        <v>0</v>
      </c>
      <c r="K5603" s="455">
        <f t="shared" ca="1" si="206"/>
        <v>-9009001521766.9141</v>
      </c>
      <c r="L5603" s="455">
        <f t="shared" ca="1" si="207"/>
        <v>-2171169366745826.3</v>
      </c>
      <c r="M5603" s="471">
        <f t="shared" si="209"/>
        <v>0.05</v>
      </c>
      <c r="N5603" s="475">
        <f t="shared" si="210"/>
        <v>221582</v>
      </c>
    </row>
    <row r="5604" spans="7:14" ht="11.25" customHeight="1" x14ac:dyDescent="0.3">
      <c r="G5604" s="470"/>
      <c r="H5604" s="470">
        <v>5597</v>
      </c>
      <c r="I5604" s="455">
        <f t="shared" ca="1" si="208"/>
        <v>-2171169366745826.3</v>
      </c>
      <c r="J5604" s="455">
        <f t="array" ref="J5604">IFERROR(INDEX('Retirement Calculator'!J:J,MATCH('Isaac 401k'!N5604,'Retirement Calculator'!A:A,0),0),0)</f>
        <v>0</v>
      </c>
      <c r="K5604" s="455">
        <f t="shared" ca="1" si="206"/>
        <v>-9046539028107.6094</v>
      </c>
      <c r="L5604" s="455">
        <f t="shared" ca="1" si="207"/>
        <v>-2180215905773933.8</v>
      </c>
      <c r="M5604" s="471">
        <f t="shared" si="209"/>
        <v>0.05</v>
      </c>
      <c r="N5604" s="475">
        <f t="shared" si="210"/>
        <v>221612</v>
      </c>
    </row>
    <row r="5605" spans="7:14" ht="11.25" customHeight="1" x14ac:dyDescent="0.3">
      <c r="G5605" s="470"/>
      <c r="H5605" s="470">
        <v>5598</v>
      </c>
      <c r="I5605" s="455">
        <f t="shared" ca="1" si="208"/>
        <v>-2180215905773933.8</v>
      </c>
      <c r="J5605" s="455">
        <f t="array" ref="J5605">IFERROR(INDEX('Retirement Calculator'!J:J,MATCH('Isaac 401k'!N5605,'Retirement Calculator'!A:A,0),0),0)</f>
        <v>0</v>
      </c>
      <c r="K5605" s="455">
        <f t="shared" ca="1" si="206"/>
        <v>-9084232940724.7246</v>
      </c>
      <c r="L5605" s="455">
        <f t="shared" ca="1" si="207"/>
        <v>-2189300138714658.5</v>
      </c>
      <c r="M5605" s="471">
        <f t="shared" si="209"/>
        <v>0.05</v>
      </c>
      <c r="N5605" s="475">
        <f t="shared" si="210"/>
        <v>221643</v>
      </c>
    </row>
    <row r="5606" spans="7:14" ht="11.25" customHeight="1" x14ac:dyDescent="0.3">
      <c r="G5606" s="470"/>
      <c r="H5606" s="470">
        <v>5599</v>
      </c>
      <c r="I5606" s="455">
        <f t="shared" ca="1" si="208"/>
        <v>-2189300138714658.5</v>
      </c>
      <c r="J5606" s="455">
        <f t="array" ref="J5606">IFERROR(INDEX('Retirement Calculator'!J:J,MATCH('Isaac 401k'!N5606,'Retirement Calculator'!A:A,0),0),0)</f>
        <v>0</v>
      </c>
      <c r="K5606" s="455">
        <f t="shared" ca="1" si="206"/>
        <v>-9122083911311.0781</v>
      </c>
      <c r="L5606" s="455">
        <f t="shared" ca="1" si="207"/>
        <v>-2198422222625969.5</v>
      </c>
      <c r="M5606" s="471">
        <f t="shared" si="209"/>
        <v>0.05</v>
      </c>
      <c r="N5606" s="475">
        <f t="shared" si="210"/>
        <v>221673</v>
      </c>
    </row>
    <row r="5607" spans="7:14" ht="11.25" customHeight="1" x14ac:dyDescent="0.3">
      <c r="G5607" s="470"/>
      <c r="H5607" s="470">
        <v>5600</v>
      </c>
      <c r="I5607" s="455">
        <f t="shared" ca="1" si="208"/>
        <v>-2198422222625969.5</v>
      </c>
      <c r="J5607" s="455">
        <f t="array" ref="J5607">IFERROR(INDEX('Retirement Calculator'!J:J,MATCH('Isaac 401k'!N5607,'Retirement Calculator'!A:A,0),0),0)</f>
        <v>0</v>
      </c>
      <c r="K5607" s="455">
        <f t="shared" ca="1" si="206"/>
        <v>-9160092594274.8711</v>
      </c>
      <c r="L5607" s="455">
        <f t="shared" ca="1" si="207"/>
        <v>-2207582315220244.3</v>
      </c>
      <c r="M5607" s="471">
        <f t="shared" si="209"/>
        <v>0.05</v>
      </c>
      <c r="N5607" s="475">
        <f t="shared" si="210"/>
        <v>221704</v>
      </c>
    </row>
    <row r="5608" spans="7:14" ht="11.25" customHeight="1" x14ac:dyDescent="0.3">
      <c r="G5608" s="470"/>
      <c r="H5608" s="470">
        <v>5601</v>
      </c>
      <c r="I5608" s="455">
        <f t="shared" ca="1" si="208"/>
        <v>-2207582315220244.3</v>
      </c>
      <c r="J5608" s="455">
        <f t="array" ref="J5608">IFERROR(INDEX('Retirement Calculator'!J:J,MATCH('Isaac 401k'!N5608,'Retirement Calculator'!A:A,0),0),0)</f>
        <v>0</v>
      </c>
      <c r="K5608" s="455">
        <f t="shared" ca="1" si="206"/>
        <v>-9198259646751.0176</v>
      </c>
      <c r="L5608" s="455">
        <f t="shared" ca="1" si="207"/>
        <v>-2216780574866995.3</v>
      </c>
      <c r="M5608" s="471">
        <f t="shared" si="209"/>
        <v>0.05</v>
      </c>
      <c r="N5608" s="475">
        <f t="shared" si="210"/>
        <v>221735</v>
      </c>
    </row>
    <row r="5609" spans="7:14" ht="11.25" customHeight="1" x14ac:dyDescent="0.3">
      <c r="G5609" s="470"/>
      <c r="H5609" s="470">
        <v>5602</v>
      </c>
      <c r="I5609" s="455">
        <f t="shared" ca="1" si="208"/>
        <v>-2216780574866995.3</v>
      </c>
      <c r="J5609" s="455">
        <f t="array" ref="J5609">IFERROR(INDEX('Retirement Calculator'!J:J,MATCH('Isaac 401k'!N5609,'Retirement Calculator'!A:A,0),0),0)</f>
        <v>0</v>
      </c>
      <c r="K5609" s="455">
        <f t="shared" ca="1" si="206"/>
        <v>-9236585728612.4805</v>
      </c>
      <c r="L5609" s="455">
        <f t="shared" ca="1" si="207"/>
        <v>-2226017160595607.8</v>
      </c>
      <c r="M5609" s="471">
        <f t="shared" si="209"/>
        <v>0.05</v>
      </c>
      <c r="N5609" s="475">
        <f t="shared" si="210"/>
        <v>221763</v>
      </c>
    </row>
    <row r="5610" spans="7:14" ht="11.25" customHeight="1" x14ac:dyDescent="0.3">
      <c r="G5610" s="470"/>
      <c r="H5610" s="470">
        <v>5603</v>
      </c>
      <c r="I5610" s="455">
        <f t="shared" ca="1" si="208"/>
        <v>-2226017160595607.8</v>
      </c>
      <c r="J5610" s="455">
        <f t="array" ref="J5610">IFERROR(INDEX('Retirement Calculator'!J:J,MATCH('Isaac 401k'!N5610,'Retirement Calculator'!A:A,0),0),0)</f>
        <v>0</v>
      </c>
      <c r="K5610" s="455">
        <f t="shared" ca="1" si="206"/>
        <v>-9275071502481.6992</v>
      </c>
      <c r="L5610" s="455">
        <f t="shared" ca="1" si="207"/>
        <v>-2235292232098089.5</v>
      </c>
      <c r="M5610" s="471">
        <f t="shared" si="209"/>
        <v>0.05</v>
      </c>
      <c r="N5610" s="475">
        <f t="shared" si="210"/>
        <v>221794</v>
      </c>
    </row>
    <row r="5611" spans="7:14" ht="11.25" customHeight="1" x14ac:dyDescent="0.3">
      <c r="G5611" s="470"/>
      <c r="H5611" s="470">
        <v>5604</v>
      </c>
      <c r="I5611" s="455">
        <f t="shared" ca="1" si="208"/>
        <v>-2235292232098089.5</v>
      </c>
      <c r="J5611" s="455">
        <f t="array" ref="J5611">IFERROR(INDEX('Retirement Calculator'!J:J,MATCH('Isaac 401k'!N5611,'Retirement Calculator'!A:A,0),0),0)</f>
        <v>0</v>
      </c>
      <c r="K5611" s="455">
        <f t="shared" ca="1" si="206"/>
        <v>-9313717633742.0391</v>
      </c>
      <c r="L5611" s="455">
        <f t="shared" ca="1" si="207"/>
        <v>-2244605949731831.5</v>
      </c>
      <c r="M5611" s="471">
        <f t="shared" si="209"/>
        <v>0.05</v>
      </c>
      <c r="N5611" s="475">
        <f t="shared" si="210"/>
        <v>221824</v>
      </c>
    </row>
    <row r="5612" spans="7:14" ht="11.25" customHeight="1" x14ac:dyDescent="0.3">
      <c r="G5612" s="470"/>
      <c r="H5612" s="470">
        <v>5605</v>
      </c>
      <c r="I5612" s="455">
        <f t="shared" ca="1" si="208"/>
        <v>-2244605949731831.5</v>
      </c>
      <c r="J5612" s="455">
        <f t="array" ref="J5612">IFERROR(INDEX('Retirement Calculator'!J:J,MATCH('Isaac 401k'!N5612,'Retirement Calculator'!A:A,0),0),0)</f>
        <v>0</v>
      </c>
      <c r="K5612" s="455">
        <f t="shared" ca="1" si="206"/>
        <v>-9352524790549.2969</v>
      </c>
      <c r="L5612" s="455">
        <f t="shared" ca="1" si="207"/>
        <v>-2253958474522381</v>
      </c>
      <c r="M5612" s="471">
        <f t="shared" si="209"/>
        <v>0.05</v>
      </c>
      <c r="N5612" s="475">
        <f t="shared" si="210"/>
        <v>221855</v>
      </c>
    </row>
    <row r="5613" spans="7:14" ht="11.25" customHeight="1" x14ac:dyDescent="0.3">
      <c r="G5613" s="470"/>
      <c r="H5613" s="470">
        <v>5606</v>
      </c>
      <c r="I5613" s="455">
        <f t="shared" ca="1" si="208"/>
        <v>-2253958474522381</v>
      </c>
      <c r="J5613" s="455">
        <f t="array" ref="J5613">IFERROR(INDEX('Retirement Calculator'!J:J,MATCH('Isaac 401k'!N5613,'Retirement Calculator'!A:A,0),0),0)</f>
        <v>0</v>
      </c>
      <c r="K5613" s="455">
        <f t="shared" ca="1" si="206"/>
        <v>-9391493643843.2539</v>
      </c>
      <c r="L5613" s="455">
        <f t="shared" ca="1" si="207"/>
        <v>-2263349968166224.5</v>
      </c>
      <c r="M5613" s="471">
        <f t="shared" si="209"/>
        <v>0.05</v>
      </c>
      <c r="N5613" s="475">
        <f t="shared" si="210"/>
        <v>221885</v>
      </c>
    </row>
    <row r="5614" spans="7:14" ht="11.25" customHeight="1" x14ac:dyDescent="0.3">
      <c r="G5614" s="470"/>
      <c r="H5614" s="470">
        <v>5607</v>
      </c>
      <c r="I5614" s="455">
        <f t="shared" ca="1" si="208"/>
        <v>-2263349968166224.5</v>
      </c>
      <c r="J5614" s="455">
        <f t="array" ref="J5614">IFERROR(INDEX('Retirement Calculator'!J:J,MATCH('Isaac 401k'!N5614,'Retirement Calculator'!A:A,0),0),0)</f>
        <v>0</v>
      </c>
      <c r="K5614" s="455">
        <f t="shared" ca="1" si="206"/>
        <v>-9430624867359.2695</v>
      </c>
      <c r="L5614" s="455">
        <f t="shared" ca="1" si="207"/>
        <v>-2272780593033584</v>
      </c>
      <c r="M5614" s="471">
        <f t="shared" si="209"/>
        <v>0.05</v>
      </c>
      <c r="N5614" s="475">
        <f t="shared" si="210"/>
        <v>221916</v>
      </c>
    </row>
    <row r="5615" spans="7:14" ht="11.25" customHeight="1" x14ac:dyDescent="0.3">
      <c r="G5615" s="470"/>
      <c r="H5615" s="470">
        <v>5608</v>
      </c>
      <c r="I5615" s="455">
        <f t="shared" ca="1" si="208"/>
        <v>-2272780593033584</v>
      </c>
      <c r="J5615" s="455">
        <f t="array" ref="J5615">IFERROR(INDEX('Retirement Calculator'!J:J,MATCH('Isaac 401k'!N5615,'Retirement Calculator'!A:A,0),0),0)</f>
        <v>0</v>
      </c>
      <c r="K5615" s="455">
        <f t="shared" ca="1" si="206"/>
        <v>-9469919137639.9336</v>
      </c>
      <c r="L5615" s="455">
        <f t="shared" ca="1" si="207"/>
        <v>-2282250512171224</v>
      </c>
      <c r="M5615" s="471">
        <f t="shared" si="209"/>
        <v>0.05</v>
      </c>
      <c r="N5615" s="475">
        <f t="shared" si="210"/>
        <v>221947</v>
      </c>
    </row>
    <row r="5616" spans="7:14" ht="11.25" customHeight="1" x14ac:dyDescent="0.3">
      <c r="G5616" s="470"/>
      <c r="H5616" s="470">
        <v>5609</v>
      </c>
      <c r="I5616" s="455">
        <f t="shared" ca="1" si="208"/>
        <v>-2282250512171224</v>
      </c>
      <c r="J5616" s="455">
        <f t="array" ref="J5616">IFERROR(INDEX('Retirement Calculator'!J:J,MATCH('Isaac 401k'!N5616,'Retirement Calculator'!A:A,0),0),0)</f>
        <v>0</v>
      </c>
      <c r="K5616" s="455">
        <f t="shared" ca="1" si="206"/>
        <v>-9509377134046.7656</v>
      </c>
      <c r="L5616" s="455">
        <f t="shared" ca="1" si="207"/>
        <v>-2291759889305271</v>
      </c>
      <c r="M5616" s="471">
        <f t="shared" si="209"/>
        <v>0.05</v>
      </c>
      <c r="N5616" s="475">
        <f t="shared" si="210"/>
        <v>221977</v>
      </c>
    </row>
    <row r="5617" spans="7:14" ht="11.25" customHeight="1" x14ac:dyDescent="0.3">
      <c r="G5617" s="470"/>
      <c r="H5617" s="470">
        <v>5610</v>
      </c>
      <c r="I5617" s="455">
        <f t="shared" ca="1" si="208"/>
        <v>-2291759889305271</v>
      </c>
      <c r="J5617" s="455">
        <f t="array" ref="J5617">IFERROR(INDEX('Retirement Calculator'!J:J,MATCH('Isaac 401k'!N5617,'Retirement Calculator'!A:A,0),0),0)</f>
        <v>0</v>
      </c>
      <c r="K5617" s="455">
        <f t="shared" ca="1" si="206"/>
        <v>-9548999538771.9629</v>
      </c>
      <c r="L5617" s="455">
        <f t="shared" ca="1" si="207"/>
        <v>-2301308888844043</v>
      </c>
      <c r="M5617" s="471">
        <f t="shared" si="209"/>
        <v>0.05</v>
      </c>
      <c r="N5617" s="475">
        <f t="shared" si="210"/>
        <v>222008</v>
      </c>
    </row>
    <row r="5618" spans="7:14" ht="11.25" customHeight="1" x14ac:dyDescent="0.3">
      <c r="G5618" s="470"/>
      <c r="H5618" s="470">
        <v>5611</v>
      </c>
      <c r="I5618" s="455">
        <f t="shared" ca="1" si="208"/>
        <v>-2301308888844043</v>
      </c>
      <c r="J5618" s="455">
        <f t="array" ref="J5618">IFERROR(INDEX('Retirement Calculator'!J:J,MATCH('Isaac 401k'!N5618,'Retirement Calculator'!A:A,0),0),0)</f>
        <v>0</v>
      </c>
      <c r="K5618" s="455">
        <f t="shared" ref="K5618:K5872" ca="1" si="211">IPMT(M5618/12,1,12,-I5618+J5618,,0)</f>
        <v>-9588787036850.1797</v>
      </c>
      <c r="L5618" s="455">
        <f t="shared" ref="L5618:L5872" ca="1" si="212">I5618-J5618+K5618</f>
        <v>-2310897675880893</v>
      </c>
      <c r="M5618" s="471">
        <f t="shared" si="209"/>
        <v>0.05</v>
      </c>
      <c r="N5618" s="475">
        <f t="shared" si="210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213">L5618</f>
        <v>-2310897675880893</v>
      </c>
      <c r="J5619" s="455">
        <f t="array" ref="J5619">IFERROR(INDEX('Retirement Calculator'!J:J,MATCH('Isaac 401k'!N5619,'Retirement Calculator'!A:A,0),0),0)</f>
        <v>0</v>
      </c>
      <c r="K5619" s="455">
        <f t="shared" ca="1" si="211"/>
        <v>-9628740316170.3867</v>
      </c>
      <c r="L5619" s="455">
        <f t="shared" ca="1" si="212"/>
        <v>-2320526416197063.5</v>
      </c>
      <c r="M5619" s="471">
        <f t="shared" ref="M5619:M5873" si="214">M5618</f>
        <v>0.05</v>
      </c>
      <c r="N5619" s="475">
        <f t="shared" ref="N5619:N5873" si="215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213"/>
        <v>-2320526416197063.5</v>
      </c>
      <c r="J5620" s="455">
        <f t="array" ref="J5620">IFERROR(INDEX('Retirement Calculator'!J:J,MATCH('Isaac 401k'!N5620,'Retirement Calculator'!A:A,0),0),0)</f>
        <v>0</v>
      </c>
      <c r="K5620" s="455">
        <f t="shared" ca="1" si="211"/>
        <v>-9668860067487.7637</v>
      </c>
      <c r="L5620" s="455">
        <f t="shared" ca="1" si="212"/>
        <v>-2330195276264551.5</v>
      </c>
      <c r="M5620" s="471">
        <f t="shared" si="214"/>
        <v>0.05</v>
      </c>
      <c r="N5620" s="475">
        <f t="shared" si="215"/>
        <v>222100</v>
      </c>
    </row>
    <row r="5621" spans="7:14" ht="11.25" customHeight="1" x14ac:dyDescent="0.3">
      <c r="G5621" s="470"/>
      <c r="H5621" s="470">
        <v>5614</v>
      </c>
      <c r="I5621" s="455">
        <f t="shared" ca="1" si="213"/>
        <v>-2330195276264551.5</v>
      </c>
      <c r="J5621" s="455">
        <f t="array" ref="J5621">IFERROR(INDEX('Retirement Calculator'!J:J,MATCH('Isaac 401k'!N5621,'Retirement Calculator'!A:A,0),0),0)</f>
        <v>0</v>
      </c>
      <c r="K5621" s="455">
        <f t="shared" ca="1" si="211"/>
        <v>-9709146984435.6309</v>
      </c>
      <c r="L5621" s="455">
        <f t="shared" ca="1" si="212"/>
        <v>-2339904423248987</v>
      </c>
      <c r="M5621" s="471">
        <f t="shared" si="214"/>
        <v>0.05</v>
      </c>
      <c r="N5621" s="475">
        <f t="shared" si="215"/>
        <v>222129</v>
      </c>
    </row>
    <row r="5622" spans="7:14" ht="11.25" customHeight="1" x14ac:dyDescent="0.3">
      <c r="G5622" s="470"/>
      <c r="H5622" s="470">
        <v>5615</v>
      </c>
      <c r="I5622" s="455">
        <f t="shared" ca="1" si="213"/>
        <v>-2339904423248987</v>
      </c>
      <c r="J5622" s="455">
        <f t="array" ref="J5622">IFERROR(INDEX('Retirement Calculator'!J:J,MATCH('Isaac 401k'!N5622,'Retirement Calculator'!A:A,0),0),0)</f>
        <v>0</v>
      </c>
      <c r="K5622" s="455">
        <f t="shared" ca="1" si="211"/>
        <v>-9749601763537.4453</v>
      </c>
      <c r="L5622" s="455">
        <f t="shared" ca="1" si="212"/>
        <v>-2349654025012524.5</v>
      </c>
      <c r="M5622" s="471">
        <f t="shared" si="214"/>
        <v>0.05</v>
      </c>
      <c r="N5622" s="475">
        <f t="shared" si="215"/>
        <v>222160</v>
      </c>
    </row>
    <row r="5623" spans="7:14" ht="11.25" customHeight="1" x14ac:dyDescent="0.3">
      <c r="G5623" s="470"/>
      <c r="H5623" s="470">
        <v>5616</v>
      </c>
      <c r="I5623" s="455">
        <f t="shared" ca="1" si="213"/>
        <v>-2349654025012524.5</v>
      </c>
      <c r="J5623" s="455">
        <f t="array" ref="J5623">IFERROR(INDEX('Retirement Calculator'!J:J,MATCH('Isaac 401k'!N5623,'Retirement Calculator'!A:A,0),0),0)</f>
        <v>0</v>
      </c>
      <c r="K5623" s="455">
        <f t="shared" ca="1" si="211"/>
        <v>-9790225104218.8516</v>
      </c>
      <c r="L5623" s="455">
        <f t="shared" ca="1" si="212"/>
        <v>-2359444250116743.5</v>
      </c>
      <c r="M5623" s="471">
        <f t="shared" si="214"/>
        <v>0.05</v>
      </c>
      <c r="N5623" s="475">
        <f t="shared" si="215"/>
        <v>222190</v>
      </c>
    </row>
    <row r="5624" spans="7:14" ht="11.25" customHeight="1" x14ac:dyDescent="0.3">
      <c r="G5624" s="470"/>
      <c r="H5624" s="470">
        <v>5617</v>
      </c>
      <c r="I5624" s="455">
        <f t="shared" ca="1" si="213"/>
        <v>-2359444250116743.5</v>
      </c>
      <c r="J5624" s="455">
        <f t="array" ref="J5624">IFERROR(INDEX('Retirement Calculator'!J:J,MATCH('Isaac 401k'!N5624,'Retirement Calculator'!A:A,0),0),0)</f>
        <v>0</v>
      </c>
      <c r="K5624" s="455">
        <f t="shared" ca="1" si="211"/>
        <v>-9831017708819.7637</v>
      </c>
      <c r="L5624" s="455">
        <f t="shared" ca="1" si="212"/>
        <v>-2369275267825563.5</v>
      </c>
      <c r="M5624" s="471">
        <f t="shared" si="214"/>
        <v>0.05</v>
      </c>
      <c r="N5624" s="475">
        <f t="shared" si="215"/>
        <v>222221</v>
      </c>
    </row>
    <row r="5625" spans="7:14" ht="11.25" customHeight="1" x14ac:dyDescent="0.3">
      <c r="G5625" s="470"/>
      <c r="H5625" s="470">
        <v>5618</v>
      </c>
      <c r="I5625" s="455">
        <f t="shared" ca="1" si="213"/>
        <v>-2369275267825563.5</v>
      </c>
      <c r="J5625" s="455">
        <f t="array" ref="J5625">IFERROR(INDEX('Retirement Calculator'!J:J,MATCH('Isaac 401k'!N5625,'Retirement Calculator'!A:A,0),0),0)</f>
        <v>0</v>
      </c>
      <c r="K5625" s="455">
        <f t="shared" ca="1" si="211"/>
        <v>-9871980282606.5137</v>
      </c>
      <c r="L5625" s="455">
        <f t="shared" ca="1" si="212"/>
        <v>-2379147248108170</v>
      </c>
      <c r="M5625" s="471">
        <f t="shared" si="214"/>
        <v>0.05</v>
      </c>
      <c r="N5625" s="475">
        <f t="shared" si="215"/>
        <v>222251</v>
      </c>
    </row>
    <row r="5626" spans="7:14" ht="11.25" customHeight="1" x14ac:dyDescent="0.3">
      <c r="G5626" s="470"/>
      <c r="H5626" s="470">
        <v>5619</v>
      </c>
      <c r="I5626" s="455">
        <f t="shared" ca="1" si="213"/>
        <v>-2379147248108170</v>
      </c>
      <c r="J5626" s="455">
        <f t="array" ref="J5626">IFERROR(INDEX('Retirement Calculator'!J:J,MATCH('Isaac 401k'!N5626,'Retirement Calculator'!A:A,0),0),0)</f>
        <v>0</v>
      </c>
      <c r="K5626" s="455">
        <f t="shared" ca="1" si="211"/>
        <v>-9913113533784.041</v>
      </c>
      <c r="L5626" s="455">
        <f t="shared" ca="1" si="212"/>
        <v>-2389060361641954</v>
      </c>
      <c r="M5626" s="471">
        <f t="shared" si="214"/>
        <v>0.05</v>
      </c>
      <c r="N5626" s="475">
        <f t="shared" si="215"/>
        <v>222282</v>
      </c>
    </row>
    <row r="5627" spans="7:14" ht="11.25" customHeight="1" x14ac:dyDescent="0.3">
      <c r="G5627" s="470"/>
      <c r="H5627" s="470">
        <v>5620</v>
      </c>
      <c r="I5627" s="455">
        <f t="shared" ca="1" si="213"/>
        <v>-2389060361641954</v>
      </c>
      <c r="J5627" s="455">
        <f t="array" ref="J5627">IFERROR(INDEX('Retirement Calculator'!J:J,MATCH('Isaac 401k'!N5627,'Retirement Calculator'!A:A,0),0),0)</f>
        <v>0</v>
      </c>
      <c r="K5627" s="455">
        <f t="shared" ca="1" si="211"/>
        <v>-9954418173508.1406</v>
      </c>
      <c r="L5627" s="455">
        <f t="shared" ca="1" si="212"/>
        <v>-2399014779815462</v>
      </c>
      <c r="M5627" s="471">
        <f t="shared" si="214"/>
        <v>0.05</v>
      </c>
      <c r="N5627" s="475">
        <f t="shared" si="215"/>
        <v>222313</v>
      </c>
    </row>
    <row r="5628" spans="7:14" ht="11.25" customHeight="1" x14ac:dyDescent="0.3">
      <c r="G5628" s="470"/>
      <c r="H5628" s="470">
        <v>5621</v>
      </c>
      <c r="I5628" s="455">
        <f t="shared" ca="1" si="213"/>
        <v>-2399014779815462</v>
      </c>
      <c r="J5628" s="455">
        <f t="array" ref="J5628">IFERROR(INDEX('Retirement Calculator'!J:J,MATCH('Isaac 401k'!N5628,'Retirement Calculator'!A:A,0),0),0)</f>
        <v>0</v>
      </c>
      <c r="K5628" s="455">
        <f t="shared" ca="1" si="211"/>
        <v>-9995894915897.7578</v>
      </c>
      <c r="L5628" s="455">
        <f t="shared" ca="1" si="212"/>
        <v>-2409010674731360</v>
      </c>
      <c r="M5628" s="471">
        <f t="shared" si="214"/>
        <v>0.05</v>
      </c>
      <c r="N5628" s="475">
        <f t="shared" si="215"/>
        <v>222343</v>
      </c>
    </row>
    <row r="5629" spans="7:14" ht="11.25" customHeight="1" x14ac:dyDescent="0.3">
      <c r="G5629" s="470"/>
      <c r="H5629" s="470">
        <v>5622</v>
      </c>
      <c r="I5629" s="455">
        <f t="shared" ca="1" si="213"/>
        <v>-2409010674731360</v>
      </c>
      <c r="J5629" s="455">
        <f t="array" ref="J5629">IFERROR(INDEX('Retirement Calculator'!J:J,MATCH('Isaac 401k'!N5629,'Retirement Calculator'!A:A,0),0),0)</f>
        <v>0</v>
      </c>
      <c r="K5629" s="455">
        <f t="shared" ca="1" si="211"/>
        <v>-10037544478047.334</v>
      </c>
      <c r="L5629" s="455">
        <f t="shared" ca="1" si="212"/>
        <v>-2419048219209407.5</v>
      </c>
      <c r="M5629" s="471">
        <f t="shared" si="214"/>
        <v>0.05</v>
      </c>
      <c r="N5629" s="475">
        <f t="shared" si="215"/>
        <v>222374</v>
      </c>
    </row>
    <row r="5630" spans="7:14" ht="11.25" customHeight="1" x14ac:dyDescent="0.3">
      <c r="G5630" s="470"/>
      <c r="H5630" s="470">
        <v>5623</v>
      </c>
      <c r="I5630" s="455">
        <f t="shared" ca="1" si="213"/>
        <v>-2419048219209407.5</v>
      </c>
      <c r="J5630" s="455">
        <f t="array" ref="J5630">IFERROR(INDEX('Retirement Calculator'!J:J,MATCH('Isaac 401k'!N5630,'Retirement Calculator'!A:A,0),0),0)</f>
        <v>0</v>
      </c>
      <c r="K5630" s="455">
        <f t="shared" ca="1" si="211"/>
        <v>-10079367580039.197</v>
      </c>
      <c r="L5630" s="455">
        <f t="shared" ca="1" si="212"/>
        <v>-2429127586789446.5</v>
      </c>
      <c r="M5630" s="471">
        <f t="shared" si="214"/>
        <v>0.05</v>
      </c>
      <c r="N5630" s="475">
        <f t="shared" si="215"/>
        <v>222404</v>
      </c>
    </row>
    <row r="5631" spans="7:14" ht="11.25" customHeight="1" x14ac:dyDescent="0.3">
      <c r="G5631" s="470"/>
      <c r="H5631" s="470">
        <v>5624</v>
      </c>
      <c r="I5631" s="455">
        <f t="shared" ca="1" si="213"/>
        <v>-2429127586789446.5</v>
      </c>
      <c r="J5631" s="455">
        <f t="array" ref="J5631">IFERROR(INDEX('Retirement Calculator'!J:J,MATCH('Isaac 401k'!N5631,'Retirement Calculator'!A:A,0),0),0)</f>
        <v>0</v>
      </c>
      <c r="K5631" s="455">
        <f t="shared" ca="1" si="211"/>
        <v>-10121364944956.027</v>
      </c>
      <c r="L5631" s="455">
        <f t="shared" ca="1" si="212"/>
        <v>-2439248951734402.5</v>
      </c>
      <c r="M5631" s="471">
        <f t="shared" si="214"/>
        <v>0.05</v>
      </c>
      <c r="N5631" s="475">
        <f t="shared" si="215"/>
        <v>222435</v>
      </c>
    </row>
    <row r="5632" spans="7:14" ht="11.25" customHeight="1" x14ac:dyDescent="0.3">
      <c r="G5632" s="470"/>
      <c r="H5632" s="470">
        <v>5625</v>
      </c>
      <c r="I5632" s="455">
        <f t="shared" ca="1" si="213"/>
        <v>-2439248951734402.5</v>
      </c>
      <c r="J5632" s="455">
        <f t="array" ref="J5632">IFERROR(INDEX('Retirement Calculator'!J:J,MATCH('Isaac 401k'!N5632,'Retirement Calculator'!A:A,0),0),0)</f>
        <v>0</v>
      </c>
      <c r="K5632" s="455">
        <f t="shared" ca="1" si="211"/>
        <v>-10163537298893.344</v>
      </c>
      <c r="L5632" s="455">
        <f t="shared" ca="1" si="212"/>
        <v>-2449412489033296</v>
      </c>
      <c r="M5632" s="471">
        <f t="shared" si="214"/>
        <v>0.05</v>
      </c>
      <c r="N5632" s="475">
        <f t="shared" si="215"/>
        <v>222466</v>
      </c>
    </row>
    <row r="5633" spans="7:14" ht="11.25" customHeight="1" x14ac:dyDescent="0.3">
      <c r="G5633" s="470"/>
      <c r="H5633" s="470">
        <v>5626</v>
      </c>
      <c r="I5633" s="455">
        <f t="shared" ca="1" si="213"/>
        <v>-2449412489033296</v>
      </c>
      <c r="J5633" s="455">
        <f t="array" ref="J5633">IFERROR(INDEX('Retirement Calculator'!J:J,MATCH('Isaac 401k'!N5633,'Retirement Calculator'!A:A,0),0),0)</f>
        <v>0</v>
      </c>
      <c r="K5633" s="455">
        <f t="shared" ca="1" si="211"/>
        <v>-10205885370972.066</v>
      </c>
      <c r="L5633" s="455">
        <f t="shared" ca="1" si="212"/>
        <v>-2459618374404268</v>
      </c>
      <c r="M5633" s="471">
        <f t="shared" si="214"/>
        <v>0.05</v>
      </c>
      <c r="N5633" s="475">
        <f t="shared" si="215"/>
        <v>222494</v>
      </c>
    </row>
    <row r="5634" spans="7:14" ht="11.25" customHeight="1" x14ac:dyDescent="0.3">
      <c r="G5634" s="470"/>
      <c r="H5634" s="470">
        <v>5627</v>
      </c>
      <c r="I5634" s="455">
        <f t="shared" ca="1" si="213"/>
        <v>-2459618374404268</v>
      </c>
      <c r="J5634" s="455">
        <f t="array" ref="J5634">IFERROR(INDEX('Retirement Calculator'!J:J,MATCH('Isaac 401k'!N5634,'Retirement Calculator'!A:A,0),0),0)</f>
        <v>0</v>
      </c>
      <c r="K5634" s="455">
        <f t="shared" ca="1" si="211"/>
        <v>-10248409893351.117</v>
      </c>
      <c r="L5634" s="455">
        <f t="shared" ca="1" si="212"/>
        <v>-2469866784297619</v>
      </c>
      <c r="M5634" s="471">
        <f t="shared" si="214"/>
        <v>0.05</v>
      </c>
      <c r="N5634" s="475">
        <f t="shared" si="215"/>
        <v>222525</v>
      </c>
    </row>
    <row r="5635" spans="7:14" ht="11.25" customHeight="1" x14ac:dyDescent="0.3">
      <c r="G5635" s="470"/>
      <c r="H5635" s="470">
        <v>5628</v>
      </c>
      <c r="I5635" s="455">
        <f t="shared" ca="1" si="213"/>
        <v>-2469866784297619</v>
      </c>
      <c r="J5635" s="455">
        <f t="array" ref="J5635">IFERROR(INDEX('Retirement Calculator'!J:J,MATCH('Isaac 401k'!N5635,'Retirement Calculator'!A:A,0),0),0)</f>
        <v>0</v>
      </c>
      <c r="K5635" s="455">
        <f t="shared" ca="1" si="211"/>
        <v>-10291111601240.078</v>
      </c>
      <c r="L5635" s="455">
        <f t="shared" ca="1" si="212"/>
        <v>-2480157895898859</v>
      </c>
      <c r="M5635" s="471">
        <f t="shared" si="214"/>
        <v>0.05</v>
      </c>
      <c r="N5635" s="475">
        <f t="shared" si="215"/>
        <v>222555</v>
      </c>
    </row>
    <row r="5636" spans="7:14" ht="11.25" customHeight="1" x14ac:dyDescent="0.3">
      <c r="G5636" s="470"/>
      <c r="H5636" s="470">
        <v>5629</v>
      </c>
      <c r="I5636" s="455">
        <f t="shared" ca="1" si="213"/>
        <v>-2480157895898859</v>
      </c>
      <c r="J5636" s="455">
        <f t="array" ref="J5636">IFERROR(INDEX('Retirement Calculator'!J:J,MATCH('Isaac 401k'!N5636,'Retirement Calculator'!A:A,0),0),0)</f>
        <v>0</v>
      </c>
      <c r="K5636" s="455">
        <f t="shared" ca="1" si="211"/>
        <v>-10333991232911.912</v>
      </c>
      <c r="L5636" s="455">
        <f t="shared" ca="1" si="212"/>
        <v>-2490491887131771</v>
      </c>
      <c r="M5636" s="471">
        <f t="shared" si="214"/>
        <v>0.05</v>
      </c>
      <c r="N5636" s="475">
        <f t="shared" si="215"/>
        <v>222586</v>
      </c>
    </row>
    <row r="5637" spans="7:14" ht="11.25" customHeight="1" x14ac:dyDescent="0.3">
      <c r="G5637" s="470"/>
      <c r="H5637" s="470">
        <v>5630</v>
      </c>
      <c r="I5637" s="455">
        <f t="shared" ca="1" si="213"/>
        <v>-2490491887131771</v>
      </c>
      <c r="J5637" s="455">
        <f t="array" ref="J5637">IFERROR(INDEX('Retirement Calculator'!J:J,MATCH('Isaac 401k'!N5637,'Retirement Calculator'!A:A,0),0),0)</f>
        <v>0</v>
      </c>
      <c r="K5637" s="455">
        <f t="shared" ca="1" si="211"/>
        <v>-10377049529715.713</v>
      </c>
      <c r="L5637" s="455">
        <f t="shared" ca="1" si="212"/>
        <v>-2500868936661486.5</v>
      </c>
      <c r="M5637" s="471">
        <f t="shared" si="214"/>
        <v>0.05</v>
      </c>
      <c r="N5637" s="475">
        <f t="shared" si="215"/>
        <v>222616</v>
      </c>
    </row>
    <row r="5638" spans="7:14" ht="11.25" customHeight="1" x14ac:dyDescent="0.3">
      <c r="G5638" s="470"/>
      <c r="H5638" s="470">
        <v>5631</v>
      </c>
      <c r="I5638" s="455">
        <f t="shared" ca="1" si="213"/>
        <v>-2500868936661486.5</v>
      </c>
      <c r="J5638" s="455">
        <f t="array" ref="J5638">IFERROR(INDEX('Retirement Calculator'!J:J,MATCH('Isaac 401k'!N5638,'Retirement Calculator'!A:A,0),0),0)</f>
        <v>0</v>
      </c>
      <c r="K5638" s="455">
        <f t="shared" ca="1" si="211"/>
        <v>-10420287236089.527</v>
      </c>
      <c r="L5638" s="455">
        <f t="shared" ca="1" si="212"/>
        <v>-2511289223897576</v>
      </c>
      <c r="M5638" s="471">
        <f t="shared" si="214"/>
        <v>0.05</v>
      </c>
      <c r="N5638" s="475">
        <f t="shared" si="215"/>
        <v>222647</v>
      </c>
    </row>
    <row r="5639" spans="7:14" ht="11.25" customHeight="1" x14ac:dyDescent="0.3">
      <c r="G5639" s="470"/>
      <c r="H5639" s="470">
        <v>5632</v>
      </c>
      <c r="I5639" s="455">
        <f t="shared" ca="1" si="213"/>
        <v>-2511289223897576</v>
      </c>
      <c r="J5639" s="455">
        <f t="array" ref="J5639">IFERROR(INDEX('Retirement Calculator'!J:J,MATCH('Isaac 401k'!N5639,'Retirement Calculator'!A:A,0),0),0)</f>
        <v>0</v>
      </c>
      <c r="K5639" s="455">
        <f t="shared" ca="1" si="211"/>
        <v>-10463705099573.232</v>
      </c>
      <c r="L5639" s="455">
        <f t="shared" ca="1" si="212"/>
        <v>-2521752928997149</v>
      </c>
      <c r="M5639" s="471">
        <f t="shared" si="214"/>
        <v>0.05</v>
      </c>
      <c r="N5639" s="475">
        <f t="shared" si="215"/>
        <v>222678</v>
      </c>
    </row>
    <row r="5640" spans="7:14" ht="11.25" customHeight="1" x14ac:dyDescent="0.3">
      <c r="G5640" s="470"/>
      <c r="H5640" s="470">
        <v>5633</v>
      </c>
      <c r="I5640" s="455">
        <f t="shared" ca="1" si="213"/>
        <v>-2521752928997149</v>
      </c>
      <c r="J5640" s="455">
        <f t="array" ref="J5640">IFERROR(INDEX('Retirement Calculator'!J:J,MATCH('Isaac 401k'!N5640,'Retirement Calculator'!A:A,0),0),0)</f>
        <v>0</v>
      </c>
      <c r="K5640" s="455">
        <f t="shared" ca="1" si="211"/>
        <v>-10507303870821.453</v>
      </c>
      <c r="L5640" s="455">
        <f t="shared" ca="1" si="212"/>
        <v>-2532260232867970.5</v>
      </c>
      <c r="M5640" s="471">
        <f t="shared" si="214"/>
        <v>0.05</v>
      </c>
      <c r="N5640" s="475">
        <f t="shared" si="215"/>
        <v>222708</v>
      </c>
    </row>
    <row r="5641" spans="7:14" ht="11.25" customHeight="1" x14ac:dyDescent="0.3">
      <c r="G5641" s="470"/>
      <c r="H5641" s="470">
        <v>5634</v>
      </c>
      <c r="I5641" s="455">
        <f t="shared" ca="1" si="213"/>
        <v>-2532260232867970.5</v>
      </c>
      <c r="J5641" s="455">
        <f t="array" ref="J5641">IFERROR(INDEX('Retirement Calculator'!J:J,MATCH('Isaac 401k'!N5641,'Retirement Calculator'!A:A,0),0),0)</f>
        <v>0</v>
      </c>
      <c r="K5641" s="455">
        <f t="shared" ca="1" si="211"/>
        <v>-10551084303616.543</v>
      </c>
      <c r="L5641" s="455">
        <f t="shared" ca="1" si="212"/>
        <v>-2542811317171587</v>
      </c>
      <c r="M5641" s="471">
        <f t="shared" si="214"/>
        <v>0.05</v>
      </c>
      <c r="N5641" s="475">
        <f t="shared" si="215"/>
        <v>222739</v>
      </c>
    </row>
    <row r="5642" spans="7:14" ht="11.25" customHeight="1" x14ac:dyDescent="0.3">
      <c r="G5642" s="470"/>
      <c r="H5642" s="470">
        <v>5635</v>
      </c>
      <c r="I5642" s="455">
        <f t="shared" ca="1" si="213"/>
        <v>-2542811317171587</v>
      </c>
      <c r="J5642" s="455">
        <f t="array" ref="J5642">IFERROR(INDEX('Retirement Calculator'!J:J,MATCH('Isaac 401k'!N5642,'Retirement Calculator'!A:A,0),0),0)</f>
        <v>0</v>
      </c>
      <c r="K5642" s="455">
        <f t="shared" ca="1" si="211"/>
        <v>-10595047154881.613</v>
      </c>
      <c r="L5642" s="455">
        <f t="shared" ca="1" si="212"/>
        <v>-2553406364326468.5</v>
      </c>
      <c r="M5642" s="471">
        <f t="shared" si="214"/>
        <v>0.05</v>
      </c>
      <c r="N5642" s="475">
        <f t="shared" si="215"/>
        <v>222769</v>
      </c>
    </row>
    <row r="5643" spans="7:14" ht="11.25" customHeight="1" x14ac:dyDescent="0.3">
      <c r="G5643" s="470"/>
      <c r="H5643" s="470">
        <v>5636</v>
      </c>
      <c r="I5643" s="455">
        <f t="shared" ca="1" si="213"/>
        <v>-2553406364326468.5</v>
      </c>
      <c r="J5643" s="455">
        <f t="array" ref="J5643">IFERROR(INDEX('Retirement Calculator'!J:J,MATCH('Isaac 401k'!N5643,'Retirement Calculator'!A:A,0),0),0)</f>
        <v>0</v>
      </c>
      <c r="K5643" s="455">
        <f t="shared" ca="1" si="211"/>
        <v>-10639193184693.619</v>
      </c>
      <c r="L5643" s="455">
        <f t="shared" ca="1" si="212"/>
        <v>-2564045557511162</v>
      </c>
      <c r="M5643" s="471">
        <f t="shared" si="214"/>
        <v>0.05</v>
      </c>
      <c r="N5643" s="475">
        <f t="shared" si="215"/>
        <v>222800</v>
      </c>
    </row>
    <row r="5644" spans="7:14" ht="11.25" customHeight="1" x14ac:dyDescent="0.3">
      <c r="G5644" s="470"/>
      <c r="H5644" s="470">
        <v>5637</v>
      </c>
      <c r="I5644" s="455">
        <f t="shared" ca="1" si="213"/>
        <v>-2564045557511162</v>
      </c>
      <c r="J5644" s="455">
        <f t="array" ref="J5644">IFERROR(INDEX('Retirement Calculator'!J:J,MATCH('Isaac 401k'!N5644,'Retirement Calculator'!A:A,0),0),0)</f>
        <v>0</v>
      </c>
      <c r="K5644" s="455">
        <f t="shared" ca="1" si="211"/>
        <v>-10683523156296.508</v>
      </c>
      <c r="L5644" s="455">
        <f t="shared" ca="1" si="212"/>
        <v>-2574729080667458.5</v>
      </c>
      <c r="M5644" s="471">
        <f t="shared" si="214"/>
        <v>0.05</v>
      </c>
      <c r="N5644" s="475">
        <f t="shared" si="215"/>
        <v>222831</v>
      </c>
    </row>
    <row r="5645" spans="7:14" ht="11.25" customHeight="1" x14ac:dyDescent="0.3">
      <c r="G5645" s="470"/>
      <c r="H5645" s="470">
        <v>5638</v>
      </c>
      <c r="I5645" s="455">
        <f t="shared" ca="1" si="213"/>
        <v>-2574729080667458.5</v>
      </c>
      <c r="J5645" s="455">
        <f t="array" ref="J5645">IFERROR(INDEX('Retirement Calculator'!J:J,MATCH('Isaac 401k'!N5645,'Retirement Calculator'!A:A,0),0),0)</f>
        <v>0</v>
      </c>
      <c r="K5645" s="455">
        <f t="shared" ca="1" si="211"/>
        <v>-10728037836114.41</v>
      </c>
      <c r="L5645" s="455">
        <f t="shared" ca="1" si="212"/>
        <v>-2585457118503573</v>
      </c>
      <c r="M5645" s="471">
        <f t="shared" si="214"/>
        <v>0.05</v>
      </c>
      <c r="N5645" s="475">
        <f t="shared" si="215"/>
        <v>222859</v>
      </c>
    </row>
    <row r="5646" spans="7:14" ht="11.25" customHeight="1" x14ac:dyDescent="0.3">
      <c r="G5646" s="470"/>
      <c r="H5646" s="470">
        <v>5639</v>
      </c>
      <c r="I5646" s="455">
        <f t="shared" ca="1" si="213"/>
        <v>-2585457118503573</v>
      </c>
      <c r="J5646" s="455">
        <f t="array" ref="J5646">IFERROR(INDEX('Retirement Calculator'!J:J,MATCH('Isaac 401k'!N5646,'Retirement Calculator'!A:A,0),0),0)</f>
        <v>0</v>
      </c>
      <c r="K5646" s="455">
        <f t="shared" ca="1" si="211"/>
        <v>-10772737993764.887</v>
      </c>
      <c r="L5646" s="455">
        <f t="shared" ca="1" si="212"/>
        <v>-2596229856497338</v>
      </c>
      <c r="M5646" s="471">
        <f t="shared" si="214"/>
        <v>0.05</v>
      </c>
      <c r="N5646" s="475">
        <f t="shared" si="215"/>
        <v>222890</v>
      </c>
    </row>
    <row r="5647" spans="7:14" ht="11.25" customHeight="1" x14ac:dyDescent="0.3">
      <c r="G5647" s="470"/>
      <c r="H5647" s="470">
        <v>5640</v>
      </c>
      <c r="I5647" s="455">
        <f t="shared" ca="1" si="213"/>
        <v>-2596229856497338</v>
      </c>
      <c r="J5647" s="455">
        <f t="array" ref="J5647">IFERROR(INDEX('Retirement Calculator'!J:J,MATCH('Isaac 401k'!N5647,'Retirement Calculator'!A:A,0),0),0)</f>
        <v>0</v>
      </c>
      <c r="K5647" s="455">
        <f t="shared" ca="1" si="211"/>
        <v>-10817624402072.242</v>
      </c>
      <c r="L5647" s="455">
        <f t="shared" ca="1" si="212"/>
        <v>-2607047480899410</v>
      </c>
      <c r="M5647" s="471">
        <f t="shared" si="214"/>
        <v>0.05</v>
      </c>
      <c r="N5647" s="475">
        <f t="shared" si="215"/>
        <v>222920</v>
      </c>
    </row>
    <row r="5648" spans="7:14" ht="11.25" customHeight="1" x14ac:dyDescent="0.3">
      <c r="G5648" s="470"/>
      <c r="H5648" s="470">
        <v>5641</v>
      </c>
      <c r="I5648" s="455">
        <f t="shared" ca="1" si="213"/>
        <v>-2607047480899410</v>
      </c>
      <c r="J5648" s="455">
        <f t="array" ref="J5648">IFERROR(INDEX('Retirement Calculator'!J:J,MATCH('Isaac 401k'!N5648,'Retirement Calculator'!A:A,0),0),0)</f>
        <v>0</v>
      </c>
      <c r="K5648" s="455">
        <f t="shared" ca="1" si="211"/>
        <v>-10862697837080.875</v>
      </c>
      <c r="L5648" s="455">
        <f t="shared" ca="1" si="212"/>
        <v>-2617910178736491</v>
      </c>
      <c r="M5648" s="471">
        <f t="shared" si="214"/>
        <v>0.05</v>
      </c>
      <c r="N5648" s="475">
        <f t="shared" si="215"/>
        <v>222951</v>
      </c>
    </row>
    <row r="5649" spans="7:14" ht="11.25" customHeight="1" x14ac:dyDescent="0.3">
      <c r="G5649" s="470"/>
      <c r="H5649" s="470">
        <v>5642</v>
      </c>
      <c r="I5649" s="455">
        <f t="shared" ca="1" si="213"/>
        <v>-2617910178736491</v>
      </c>
      <c r="J5649" s="455">
        <f t="array" ref="J5649">IFERROR(INDEX('Retirement Calculator'!J:J,MATCH('Isaac 401k'!N5649,'Retirement Calculator'!A:A,0),0),0)</f>
        <v>0</v>
      </c>
      <c r="K5649" s="455">
        <f t="shared" ca="1" si="211"/>
        <v>-10907959078068.713</v>
      </c>
      <c r="L5649" s="455">
        <f t="shared" ca="1" si="212"/>
        <v>-2628818137814559.5</v>
      </c>
      <c r="M5649" s="471">
        <f t="shared" si="214"/>
        <v>0.05</v>
      </c>
      <c r="N5649" s="475">
        <f t="shared" si="215"/>
        <v>222981</v>
      </c>
    </row>
    <row r="5650" spans="7:14" ht="11.25" customHeight="1" x14ac:dyDescent="0.3">
      <c r="G5650" s="470"/>
      <c r="H5650" s="470">
        <v>5643</v>
      </c>
      <c r="I5650" s="455">
        <f t="shared" ca="1" si="213"/>
        <v>-2628818137814559.5</v>
      </c>
      <c r="J5650" s="455">
        <f t="array" ref="J5650">IFERROR(INDEX('Retirement Calculator'!J:J,MATCH('Isaac 401k'!N5650,'Retirement Calculator'!A:A,0),0),0)</f>
        <v>0</v>
      </c>
      <c r="K5650" s="455">
        <f t="shared" ca="1" si="211"/>
        <v>-10953408907560.664</v>
      </c>
      <c r="L5650" s="455">
        <f t="shared" ca="1" si="212"/>
        <v>-2639771546722120</v>
      </c>
      <c r="M5650" s="471">
        <f t="shared" si="214"/>
        <v>0.05</v>
      </c>
      <c r="N5650" s="475">
        <f t="shared" si="215"/>
        <v>223012</v>
      </c>
    </row>
    <row r="5651" spans="7:14" ht="11.25" customHeight="1" x14ac:dyDescent="0.3">
      <c r="G5651" s="470"/>
      <c r="H5651" s="470">
        <v>5644</v>
      </c>
      <c r="I5651" s="455">
        <f t="shared" ca="1" si="213"/>
        <v>-2639771546722120</v>
      </c>
      <c r="J5651" s="455">
        <f t="array" ref="J5651">IFERROR(INDEX('Retirement Calculator'!J:J,MATCH('Isaac 401k'!N5651,'Retirement Calculator'!A:A,0),0),0)</f>
        <v>0</v>
      </c>
      <c r="K5651" s="455">
        <f t="shared" ca="1" si="211"/>
        <v>-10999048111342.166</v>
      </c>
      <c r="L5651" s="455">
        <f t="shared" ca="1" si="212"/>
        <v>-2650770594833462</v>
      </c>
      <c r="M5651" s="471">
        <f t="shared" si="214"/>
        <v>0.05</v>
      </c>
      <c r="N5651" s="475">
        <f t="shared" si="215"/>
        <v>223043</v>
      </c>
    </row>
    <row r="5652" spans="7:14" ht="11.25" customHeight="1" x14ac:dyDescent="0.3">
      <c r="G5652" s="470"/>
      <c r="H5652" s="470">
        <v>5645</v>
      </c>
      <c r="I5652" s="455">
        <f t="shared" ca="1" si="213"/>
        <v>-2650770594833462</v>
      </c>
      <c r="J5652" s="455">
        <f t="array" ref="J5652">IFERROR(INDEX('Retirement Calculator'!J:J,MATCH('Isaac 401k'!N5652,'Retirement Calculator'!A:A,0),0),0)</f>
        <v>0</v>
      </c>
      <c r="K5652" s="455">
        <f t="shared" ca="1" si="211"/>
        <v>-11044877478472.758</v>
      </c>
      <c r="L5652" s="455">
        <f t="shared" ca="1" si="212"/>
        <v>-2661815472311935</v>
      </c>
      <c r="M5652" s="471">
        <f t="shared" si="214"/>
        <v>0.05</v>
      </c>
      <c r="N5652" s="475">
        <f t="shared" si="215"/>
        <v>223073</v>
      </c>
    </row>
    <row r="5653" spans="7:14" ht="11.25" customHeight="1" x14ac:dyDescent="0.3">
      <c r="G5653" s="470"/>
      <c r="H5653" s="470">
        <v>5646</v>
      </c>
      <c r="I5653" s="455">
        <f t="shared" ca="1" si="213"/>
        <v>-2661815472311935</v>
      </c>
      <c r="J5653" s="455">
        <f t="array" ref="J5653">IFERROR(INDEX('Retirement Calculator'!J:J,MATCH('Isaac 401k'!N5653,'Retirement Calculator'!A:A,0),0),0)</f>
        <v>0</v>
      </c>
      <c r="K5653" s="455">
        <f t="shared" ca="1" si="211"/>
        <v>-11090897801299.729</v>
      </c>
      <c r="L5653" s="455">
        <f t="shared" ca="1" si="212"/>
        <v>-2672906370113234.5</v>
      </c>
      <c r="M5653" s="471">
        <f t="shared" si="214"/>
        <v>0.05</v>
      </c>
      <c r="N5653" s="475">
        <f t="shared" si="215"/>
        <v>223104</v>
      </c>
    </row>
    <row r="5654" spans="7:14" ht="11.25" customHeight="1" x14ac:dyDescent="0.3">
      <c r="G5654" s="470"/>
      <c r="H5654" s="470">
        <v>5647</v>
      </c>
      <c r="I5654" s="455">
        <f t="shared" ca="1" si="213"/>
        <v>-2672906370113234.5</v>
      </c>
      <c r="J5654" s="455">
        <f t="array" ref="J5654">IFERROR(INDEX('Retirement Calculator'!J:J,MATCH('Isaac 401k'!N5654,'Retirement Calculator'!A:A,0),0),0)</f>
        <v>0</v>
      </c>
      <c r="K5654" s="455">
        <f t="shared" ca="1" si="211"/>
        <v>-11137109875471.811</v>
      </c>
      <c r="L5654" s="455">
        <f t="shared" ca="1" si="212"/>
        <v>-2684043479988706.5</v>
      </c>
      <c r="M5654" s="471">
        <f t="shared" si="214"/>
        <v>0.05</v>
      </c>
      <c r="N5654" s="475">
        <f t="shared" si="215"/>
        <v>223134</v>
      </c>
    </row>
    <row r="5655" spans="7:14" ht="11.25" customHeight="1" x14ac:dyDescent="0.3">
      <c r="G5655" s="470"/>
      <c r="H5655" s="470">
        <v>5648</v>
      </c>
      <c r="I5655" s="455">
        <f t="shared" ca="1" si="213"/>
        <v>-2684043479988706.5</v>
      </c>
      <c r="J5655" s="455">
        <f t="array" ref="J5655">IFERROR(INDEX('Retirement Calculator'!J:J,MATCH('Isaac 401k'!N5655,'Retirement Calculator'!A:A,0),0),0)</f>
        <v>0</v>
      </c>
      <c r="K5655" s="455">
        <f t="shared" ca="1" si="211"/>
        <v>-11183514499952.943</v>
      </c>
      <c r="L5655" s="455">
        <f t="shared" ca="1" si="212"/>
        <v>-2695226994488659.5</v>
      </c>
      <c r="M5655" s="471">
        <f t="shared" si="214"/>
        <v>0.05</v>
      </c>
      <c r="N5655" s="475">
        <f t="shared" si="215"/>
        <v>223165</v>
      </c>
    </row>
    <row r="5656" spans="7:14" ht="11.25" customHeight="1" x14ac:dyDescent="0.3">
      <c r="G5656" s="470"/>
      <c r="H5656" s="470">
        <v>5649</v>
      </c>
      <c r="I5656" s="455">
        <f t="shared" ca="1" si="213"/>
        <v>-2695226994488659.5</v>
      </c>
      <c r="J5656" s="455">
        <f t="array" ref="J5656">IFERROR(INDEX('Retirement Calculator'!J:J,MATCH('Isaac 401k'!N5656,'Retirement Calculator'!A:A,0),0),0)</f>
        <v>0</v>
      </c>
      <c r="K5656" s="455">
        <f t="shared" ca="1" si="211"/>
        <v>-11230112477036.082</v>
      </c>
      <c r="L5656" s="455">
        <f t="shared" ca="1" si="212"/>
        <v>-2706457106965695.5</v>
      </c>
      <c r="M5656" s="471">
        <f t="shared" si="214"/>
        <v>0.05</v>
      </c>
      <c r="N5656" s="475">
        <f t="shared" si="215"/>
        <v>223196</v>
      </c>
    </row>
    <row r="5657" spans="7:14" ht="11.25" customHeight="1" x14ac:dyDescent="0.3">
      <c r="G5657" s="470"/>
      <c r="H5657" s="470">
        <v>5650</v>
      </c>
      <c r="I5657" s="455">
        <f t="shared" ca="1" si="213"/>
        <v>-2706457106965695.5</v>
      </c>
      <c r="J5657" s="455">
        <f t="array" ref="J5657">IFERROR(INDEX('Retirement Calculator'!J:J,MATCH('Isaac 401k'!N5657,'Retirement Calculator'!A:A,0),0),0)</f>
        <v>0</v>
      </c>
      <c r="K5657" s="455">
        <f t="shared" ca="1" si="211"/>
        <v>-11276904612357.064</v>
      </c>
      <c r="L5657" s="455">
        <f t="shared" ca="1" si="212"/>
        <v>-2717734011578052.5</v>
      </c>
      <c r="M5657" s="471">
        <f t="shared" si="214"/>
        <v>0.05</v>
      </c>
      <c r="N5657" s="475">
        <f t="shared" si="215"/>
        <v>223224</v>
      </c>
    </row>
    <row r="5658" spans="7:14" ht="11.25" customHeight="1" x14ac:dyDescent="0.3">
      <c r="G5658" s="470"/>
      <c r="H5658" s="470">
        <v>5651</v>
      </c>
      <c r="I5658" s="455">
        <f t="shared" ca="1" si="213"/>
        <v>-2717734011578052.5</v>
      </c>
      <c r="J5658" s="455">
        <f t="array" ref="J5658">IFERROR(INDEX('Retirement Calculator'!J:J,MATCH('Isaac 401k'!N5658,'Retirement Calculator'!A:A,0),0),0)</f>
        <v>0</v>
      </c>
      <c r="K5658" s="455">
        <f t="shared" ca="1" si="211"/>
        <v>-11323891714908.553</v>
      </c>
      <c r="L5658" s="455">
        <f t="shared" ca="1" si="212"/>
        <v>-2729057903292961</v>
      </c>
      <c r="M5658" s="471">
        <f t="shared" si="214"/>
        <v>0.05</v>
      </c>
      <c r="N5658" s="475">
        <f t="shared" si="215"/>
        <v>223255</v>
      </c>
    </row>
    <row r="5659" spans="7:14" ht="11.25" customHeight="1" x14ac:dyDescent="0.3">
      <c r="G5659" s="470"/>
      <c r="H5659" s="470">
        <v>5652</v>
      </c>
      <c r="I5659" s="455">
        <f t="shared" ca="1" si="213"/>
        <v>-2729057903292961</v>
      </c>
      <c r="J5659" s="455">
        <f t="array" ref="J5659">IFERROR(INDEX('Retirement Calculator'!J:J,MATCH('Isaac 401k'!N5659,'Retirement Calculator'!A:A,0),0),0)</f>
        <v>0</v>
      </c>
      <c r="K5659" s="455">
        <f t="shared" ca="1" si="211"/>
        <v>-11371074597054.004</v>
      </c>
      <c r="L5659" s="455">
        <f t="shared" ca="1" si="212"/>
        <v>-2740428977890015</v>
      </c>
      <c r="M5659" s="471">
        <f t="shared" si="214"/>
        <v>0.05</v>
      </c>
      <c r="N5659" s="475">
        <f t="shared" si="215"/>
        <v>223285</v>
      </c>
    </row>
    <row r="5660" spans="7:14" ht="11.25" customHeight="1" x14ac:dyDescent="0.3">
      <c r="G5660" s="470"/>
      <c r="H5660" s="470">
        <v>5653</v>
      </c>
      <c r="I5660" s="455">
        <f t="shared" ca="1" si="213"/>
        <v>-2740428977890015</v>
      </c>
      <c r="J5660" s="455">
        <f t="array" ref="J5660">IFERROR(INDEX('Retirement Calculator'!J:J,MATCH('Isaac 401k'!N5660,'Retirement Calculator'!A:A,0),0),0)</f>
        <v>0</v>
      </c>
      <c r="K5660" s="455">
        <f t="shared" ca="1" si="211"/>
        <v>-11418454074541.729</v>
      </c>
      <c r="L5660" s="455">
        <f t="shared" ca="1" si="212"/>
        <v>-2751847431964556.5</v>
      </c>
      <c r="M5660" s="471">
        <f t="shared" si="214"/>
        <v>0.05</v>
      </c>
      <c r="N5660" s="475">
        <f t="shared" si="215"/>
        <v>223316</v>
      </c>
    </row>
    <row r="5661" spans="7:14" ht="11.25" customHeight="1" x14ac:dyDescent="0.3">
      <c r="G5661" s="470"/>
      <c r="H5661" s="470">
        <v>5654</v>
      </c>
      <c r="I5661" s="455">
        <f t="shared" ca="1" si="213"/>
        <v>-2751847431964556.5</v>
      </c>
      <c r="J5661" s="455">
        <f t="array" ref="J5661">IFERROR(INDEX('Retirement Calculator'!J:J,MATCH('Isaac 401k'!N5661,'Retirement Calculator'!A:A,0),0),0)</f>
        <v>0</v>
      </c>
      <c r="K5661" s="455">
        <f t="shared" ca="1" si="211"/>
        <v>-11466030966518.984</v>
      </c>
      <c r="L5661" s="455">
        <f t="shared" ca="1" si="212"/>
        <v>-2763313462931075.5</v>
      </c>
      <c r="M5661" s="471">
        <f t="shared" si="214"/>
        <v>0.05</v>
      </c>
      <c r="N5661" s="475">
        <f t="shared" si="215"/>
        <v>223346</v>
      </c>
    </row>
    <row r="5662" spans="7:14" ht="11.25" customHeight="1" x14ac:dyDescent="0.3">
      <c r="G5662" s="470"/>
      <c r="H5662" s="470">
        <v>5655</v>
      </c>
      <c r="I5662" s="455">
        <f t="shared" ca="1" si="213"/>
        <v>-2763313462931075.5</v>
      </c>
      <c r="J5662" s="455">
        <f t="array" ref="J5662">IFERROR(INDEX('Retirement Calculator'!J:J,MATCH('Isaac 401k'!N5662,'Retirement Calculator'!A:A,0),0),0)</f>
        <v>0</v>
      </c>
      <c r="K5662" s="455">
        <f t="shared" ca="1" si="211"/>
        <v>-11513806095546.148</v>
      </c>
      <c r="L5662" s="455">
        <f t="shared" ca="1" si="212"/>
        <v>-2774827269026621.5</v>
      </c>
      <c r="M5662" s="471">
        <f t="shared" si="214"/>
        <v>0.05</v>
      </c>
      <c r="N5662" s="475">
        <f t="shared" si="215"/>
        <v>223377</v>
      </c>
    </row>
    <row r="5663" spans="7:14" ht="11.25" customHeight="1" x14ac:dyDescent="0.3">
      <c r="G5663" s="470"/>
      <c r="H5663" s="470">
        <v>5656</v>
      </c>
      <c r="I5663" s="455">
        <f t="shared" ca="1" si="213"/>
        <v>-2774827269026621.5</v>
      </c>
      <c r="J5663" s="455">
        <f t="array" ref="J5663">IFERROR(INDEX('Retirement Calculator'!J:J,MATCH('Isaac 401k'!N5663,'Retirement Calculator'!A:A,0),0),0)</f>
        <v>0</v>
      </c>
      <c r="K5663" s="455">
        <f t="shared" ca="1" si="211"/>
        <v>-11561780287610.922</v>
      </c>
      <c r="L5663" s="455">
        <f t="shared" ca="1" si="212"/>
        <v>-2786389049314232.5</v>
      </c>
      <c r="M5663" s="471">
        <f t="shared" si="214"/>
        <v>0.05</v>
      </c>
      <c r="N5663" s="475">
        <f t="shared" si="215"/>
        <v>223408</v>
      </c>
    </row>
    <row r="5664" spans="7:14" ht="11.25" customHeight="1" x14ac:dyDescent="0.3">
      <c r="G5664" s="470"/>
      <c r="H5664" s="470">
        <v>5657</v>
      </c>
      <c r="I5664" s="455">
        <f t="shared" ca="1" si="213"/>
        <v>-2786389049314232.5</v>
      </c>
      <c r="J5664" s="455">
        <f t="array" ref="J5664">IFERROR(INDEX('Retirement Calculator'!J:J,MATCH('Isaac 401k'!N5664,'Retirement Calculator'!A:A,0),0),0)</f>
        <v>0</v>
      </c>
      <c r="K5664" s="455">
        <f t="shared" ca="1" si="211"/>
        <v>-11609954372142.635</v>
      </c>
      <c r="L5664" s="455">
        <f t="shared" ca="1" si="212"/>
        <v>-2797999003686375</v>
      </c>
      <c r="M5664" s="471">
        <f t="shared" si="214"/>
        <v>0.05</v>
      </c>
      <c r="N5664" s="475">
        <f t="shared" si="215"/>
        <v>223438</v>
      </c>
    </row>
    <row r="5665" spans="7:14" ht="11.25" customHeight="1" x14ac:dyDescent="0.3">
      <c r="G5665" s="470"/>
      <c r="H5665" s="470">
        <v>5658</v>
      </c>
      <c r="I5665" s="455">
        <f t="shared" ca="1" si="213"/>
        <v>-2797999003686375</v>
      </c>
      <c r="J5665" s="455">
        <f t="array" ref="J5665">IFERROR(INDEX('Retirement Calculator'!J:J,MATCH('Isaac 401k'!N5665,'Retirement Calculator'!A:A,0),0),0)</f>
        <v>0</v>
      </c>
      <c r="K5665" s="455">
        <f t="shared" ca="1" si="211"/>
        <v>-11658329182026.563</v>
      </c>
      <c r="L5665" s="455">
        <f t="shared" ca="1" si="212"/>
        <v>-2809657332868401.5</v>
      </c>
      <c r="M5665" s="471">
        <f t="shared" si="214"/>
        <v>0.05</v>
      </c>
      <c r="N5665" s="475">
        <f t="shared" si="215"/>
        <v>223469</v>
      </c>
    </row>
    <row r="5666" spans="7:14" ht="11.25" customHeight="1" x14ac:dyDescent="0.3">
      <c r="G5666" s="470"/>
      <c r="H5666" s="470">
        <v>5659</v>
      </c>
      <c r="I5666" s="455">
        <f t="shared" ca="1" si="213"/>
        <v>-2809657332868401.5</v>
      </c>
      <c r="J5666" s="455">
        <f t="array" ref="J5666">IFERROR(INDEX('Retirement Calculator'!J:J,MATCH('Isaac 401k'!N5666,'Retirement Calculator'!A:A,0),0),0)</f>
        <v>0</v>
      </c>
      <c r="K5666" s="455">
        <f t="shared" ca="1" si="211"/>
        <v>-11706905553618.34</v>
      </c>
      <c r="L5666" s="455">
        <f t="shared" ca="1" si="212"/>
        <v>-2821364238422020</v>
      </c>
      <c r="M5666" s="471">
        <f t="shared" si="214"/>
        <v>0.05</v>
      </c>
      <c r="N5666" s="475">
        <f t="shared" si="215"/>
        <v>223499</v>
      </c>
    </row>
    <row r="5667" spans="7:14" ht="11.25" customHeight="1" x14ac:dyDescent="0.3">
      <c r="G5667" s="470"/>
      <c r="H5667" s="470">
        <v>5660</v>
      </c>
      <c r="I5667" s="455">
        <f t="shared" ca="1" si="213"/>
        <v>-2821364238422020</v>
      </c>
      <c r="J5667" s="455">
        <f t="array" ref="J5667">IFERROR(INDEX('Retirement Calculator'!J:J,MATCH('Isaac 401k'!N5667,'Retirement Calculator'!A:A,0),0),0)</f>
        <v>0</v>
      </c>
      <c r="K5667" s="455">
        <f t="shared" ca="1" si="211"/>
        <v>-11755684326758.416</v>
      </c>
      <c r="L5667" s="455">
        <f t="shared" ca="1" si="212"/>
        <v>-2833119922748778.5</v>
      </c>
      <c r="M5667" s="471">
        <f t="shared" si="214"/>
        <v>0.05</v>
      </c>
      <c r="N5667" s="475">
        <f t="shared" si="215"/>
        <v>223530</v>
      </c>
    </row>
    <row r="5668" spans="7:14" ht="11.25" customHeight="1" x14ac:dyDescent="0.3">
      <c r="G5668" s="470"/>
      <c r="H5668" s="470">
        <v>5661</v>
      </c>
      <c r="I5668" s="455">
        <f t="shared" ca="1" si="213"/>
        <v>-2833119922748778.5</v>
      </c>
      <c r="J5668" s="455">
        <f t="array" ref="J5668">IFERROR(INDEX('Retirement Calculator'!J:J,MATCH('Isaac 401k'!N5668,'Retirement Calculator'!A:A,0),0),0)</f>
        <v>0</v>
      </c>
      <c r="K5668" s="455">
        <f t="shared" ca="1" si="211"/>
        <v>-11804666344786.576</v>
      </c>
      <c r="L5668" s="455">
        <f t="shared" ca="1" si="212"/>
        <v>-2844924589093565</v>
      </c>
      <c r="M5668" s="471">
        <f t="shared" si="214"/>
        <v>0.05</v>
      </c>
      <c r="N5668" s="475">
        <f t="shared" si="215"/>
        <v>223561</v>
      </c>
    </row>
    <row r="5669" spans="7:14" ht="11.25" customHeight="1" x14ac:dyDescent="0.3">
      <c r="G5669" s="470"/>
      <c r="H5669" s="470">
        <v>5662</v>
      </c>
      <c r="I5669" s="455">
        <f t="shared" ca="1" si="213"/>
        <v>-2844924589093565</v>
      </c>
      <c r="J5669" s="455">
        <f t="array" ref="J5669">IFERROR(INDEX('Retirement Calculator'!J:J,MATCH('Isaac 401k'!N5669,'Retirement Calculator'!A:A,0),0),0)</f>
        <v>0</v>
      </c>
      <c r="K5669" s="455">
        <f t="shared" ca="1" si="211"/>
        <v>-11853852454556.521</v>
      </c>
      <c r="L5669" s="455">
        <f t="shared" ca="1" si="212"/>
        <v>-2856778441548121.5</v>
      </c>
      <c r="M5669" s="471">
        <f t="shared" si="214"/>
        <v>0.05</v>
      </c>
      <c r="N5669" s="475">
        <f t="shared" si="215"/>
        <v>223590</v>
      </c>
    </row>
    <row r="5670" spans="7:14" ht="11.25" customHeight="1" x14ac:dyDescent="0.3">
      <c r="G5670" s="470"/>
      <c r="H5670" s="470">
        <v>5663</v>
      </c>
      <c r="I5670" s="455">
        <f t="shared" ca="1" si="213"/>
        <v>-2856778441548121.5</v>
      </c>
      <c r="J5670" s="455">
        <f t="array" ref="J5670">IFERROR(INDEX('Retirement Calculator'!J:J,MATCH('Isaac 401k'!N5670,'Retirement Calculator'!A:A,0),0),0)</f>
        <v>0</v>
      </c>
      <c r="K5670" s="455">
        <f t="shared" ca="1" si="211"/>
        <v>-11903243506450.506</v>
      </c>
      <c r="L5670" s="455">
        <f t="shared" ca="1" si="212"/>
        <v>-2868681685054572</v>
      </c>
      <c r="M5670" s="471">
        <f t="shared" si="214"/>
        <v>0.05</v>
      </c>
      <c r="N5670" s="475">
        <f t="shared" si="215"/>
        <v>223621</v>
      </c>
    </row>
    <row r="5671" spans="7:14" ht="11.25" customHeight="1" x14ac:dyDescent="0.3">
      <c r="G5671" s="470"/>
      <c r="H5671" s="470">
        <v>5664</v>
      </c>
      <c r="I5671" s="455">
        <f t="shared" ca="1" si="213"/>
        <v>-2868681685054572</v>
      </c>
      <c r="J5671" s="455">
        <f t="array" ref="J5671">IFERROR(INDEX('Retirement Calculator'!J:J,MATCH('Isaac 401k'!N5671,'Retirement Calculator'!A:A,0),0),0)</f>
        <v>0</v>
      </c>
      <c r="K5671" s="455">
        <f t="shared" ca="1" si="211"/>
        <v>-11952840354394.051</v>
      </c>
      <c r="L5671" s="455">
        <f t="shared" ca="1" si="212"/>
        <v>-2880634525408966</v>
      </c>
      <c r="M5671" s="471">
        <f t="shared" si="214"/>
        <v>0.05</v>
      </c>
      <c r="N5671" s="475">
        <f t="shared" si="215"/>
        <v>223651</v>
      </c>
    </row>
    <row r="5672" spans="7:14" ht="11.25" customHeight="1" x14ac:dyDescent="0.3">
      <c r="G5672" s="470"/>
      <c r="H5672" s="470">
        <v>5665</v>
      </c>
      <c r="I5672" s="455">
        <f t="shared" ca="1" si="213"/>
        <v>-2880634525408966</v>
      </c>
      <c r="J5672" s="455">
        <f t="array" ref="J5672">IFERROR(INDEX('Retirement Calculator'!J:J,MATCH('Isaac 401k'!N5672,'Retirement Calculator'!A:A,0),0),0)</f>
        <v>0</v>
      </c>
      <c r="K5672" s="455">
        <f t="shared" ca="1" si="211"/>
        <v>-12002643855870.691</v>
      </c>
      <c r="L5672" s="455">
        <f t="shared" ca="1" si="212"/>
        <v>-2892637169264836.5</v>
      </c>
      <c r="M5672" s="471">
        <f t="shared" si="214"/>
        <v>0.05</v>
      </c>
      <c r="N5672" s="475">
        <f t="shared" si="215"/>
        <v>223682</v>
      </c>
    </row>
    <row r="5673" spans="7:14" ht="11.25" customHeight="1" x14ac:dyDescent="0.3">
      <c r="G5673" s="470"/>
      <c r="H5673" s="470">
        <v>5666</v>
      </c>
      <c r="I5673" s="455">
        <f t="shared" ca="1" si="213"/>
        <v>-2892637169264836.5</v>
      </c>
      <c r="J5673" s="455">
        <f t="array" ref="J5673">IFERROR(INDEX('Retirement Calculator'!J:J,MATCH('Isaac 401k'!N5673,'Retirement Calculator'!A:A,0),0),0)</f>
        <v>0</v>
      </c>
      <c r="K5673" s="455">
        <f t="shared" ca="1" si="211"/>
        <v>-12052654871936.818</v>
      </c>
      <c r="L5673" s="455">
        <f t="shared" ca="1" si="212"/>
        <v>-2904689824136773.5</v>
      </c>
      <c r="M5673" s="471">
        <f t="shared" si="214"/>
        <v>0.05</v>
      </c>
      <c r="N5673" s="475">
        <f t="shared" si="215"/>
        <v>223712</v>
      </c>
    </row>
    <row r="5674" spans="7:14" ht="11.25" customHeight="1" x14ac:dyDescent="0.3">
      <c r="G5674" s="470"/>
      <c r="H5674" s="470">
        <v>5667</v>
      </c>
      <c r="I5674" s="455">
        <f t="shared" ca="1" si="213"/>
        <v>-2904689824136773.5</v>
      </c>
      <c r="J5674" s="455">
        <f t="array" ref="J5674">IFERROR(INDEX('Retirement Calculator'!J:J,MATCH('Isaac 401k'!N5674,'Retirement Calculator'!A:A,0),0),0)</f>
        <v>0</v>
      </c>
      <c r="K5674" s="455">
        <f t="shared" ca="1" si="211"/>
        <v>-12102874267236.557</v>
      </c>
      <c r="L5674" s="455">
        <f t="shared" ca="1" si="212"/>
        <v>-2916792698404010</v>
      </c>
      <c r="M5674" s="471">
        <f t="shared" si="214"/>
        <v>0.05</v>
      </c>
      <c r="N5674" s="475">
        <f t="shared" si="215"/>
        <v>223743</v>
      </c>
    </row>
    <row r="5675" spans="7:14" ht="11.25" customHeight="1" x14ac:dyDescent="0.3">
      <c r="G5675" s="470"/>
      <c r="H5675" s="470">
        <v>5668</v>
      </c>
      <c r="I5675" s="455">
        <f t="shared" ca="1" si="213"/>
        <v>-2916792698404010</v>
      </c>
      <c r="J5675" s="455">
        <f t="array" ref="J5675">IFERROR(INDEX('Retirement Calculator'!J:J,MATCH('Isaac 401k'!N5675,'Retirement Calculator'!A:A,0),0),0)</f>
        <v>0</v>
      </c>
      <c r="K5675" s="455">
        <f t="shared" ca="1" si="211"/>
        <v>-12153302910016.709</v>
      </c>
      <c r="L5675" s="455">
        <f t="shared" ca="1" si="212"/>
        <v>-2928946001314026.5</v>
      </c>
      <c r="M5675" s="471">
        <f t="shared" si="214"/>
        <v>0.05</v>
      </c>
      <c r="N5675" s="475">
        <f t="shared" si="215"/>
        <v>223774</v>
      </c>
    </row>
    <row r="5676" spans="7:14" ht="11.25" customHeight="1" x14ac:dyDescent="0.3">
      <c r="G5676" s="470"/>
      <c r="H5676" s="470">
        <v>5669</v>
      </c>
      <c r="I5676" s="455">
        <f t="shared" ca="1" si="213"/>
        <v>-2928946001314026.5</v>
      </c>
      <c r="J5676" s="455">
        <f t="array" ref="J5676">IFERROR(INDEX('Retirement Calculator'!J:J,MATCH('Isaac 401k'!N5676,'Retirement Calculator'!A:A,0),0),0)</f>
        <v>0</v>
      </c>
      <c r="K5676" s="455">
        <f t="shared" ca="1" si="211"/>
        <v>-12203941672141.777</v>
      </c>
      <c r="L5676" s="455">
        <f t="shared" ca="1" si="212"/>
        <v>-2941149942986168.5</v>
      </c>
      <c r="M5676" s="471">
        <f t="shared" si="214"/>
        <v>0.05</v>
      </c>
      <c r="N5676" s="475">
        <f t="shared" si="215"/>
        <v>223804</v>
      </c>
    </row>
    <row r="5677" spans="7:14" ht="11.25" customHeight="1" x14ac:dyDescent="0.3">
      <c r="G5677" s="470"/>
      <c r="H5677" s="470">
        <v>5670</v>
      </c>
      <c r="I5677" s="455">
        <f t="shared" ca="1" si="213"/>
        <v>-2941149942986168.5</v>
      </c>
      <c r="J5677" s="455">
        <f t="array" ref="J5677">IFERROR(INDEX('Retirement Calculator'!J:J,MATCH('Isaac 401k'!N5677,'Retirement Calculator'!A:A,0),0),0)</f>
        <v>0</v>
      </c>
      <c r="K5677" s="455">
        <f t="shared" ca="1" si="211"/>
        <v>-12254791429109.035</v>
      </c>
      <c r="L5677" s="455">
        <f t="shared" ca="1" si="212"/>
        <v>-2953404734415277.5</v>
      </c>
      <c r="M5677" s="471">
        <f t="shared" si="214"/>
        <v>0.05</v>
      </c>
      <c r="N5677" s="475">
        <f t="shared" si="215"/>
        <v>223835</v>
      </c>
    </row>
    <row r="5678" spans="7:14" ht="11.25" customHeight="1" x14ac:dyDescent="0.3">
      <c r="G5678" s="470"/>
      <c r="H5678" s="470">
        <v>5671</v>
      </c>
      <c r="I5678" s="455">
        <f t="shared" ca="1" si="213"/>
        <v>-2953404734415277.5</v>
      </c>
      <c r="J5678" s="455">
        <f t="array" ref="J5678">IFERROR(INDEX('Retirement Calculator'!J:J,MATCH('Isaac 401k'!N5678,'Retirement Calculator'!A:A,0),0),0)</f>
        <v>0</v>
      </c>
      <c r="K5678" s="455">
        <f t="shared" ca="1" si="211"/>
        <v>-12305853060063.656</v>
      </c>
      <c r="L5678" s="455">
        <f t="shared" ca="1" si="212"/>
        <v>-2965710587475341</v>
      </c>
      <c r="M5678" s="471">
        <f t="shared" si="214"/>
        <v>0.05</v>
      </c>
      <c r="N5678" s="475">
        <f t="shared" si="215"/>
        <v>223865</v>
      </c>
    </row>
    <row r="5679" spans="7:14" ht="11.25" customHeight="1" x14ac:dyDescent="0.3">
      <c r="G5679" s="470"/>
      <c r="H5679" s="470">
        <v>5672</v>
      </c>
      <c r="I5679" s="455">
        <f t="shared" ca="1" si="213"/>
        <v>-2965710587475341</v>
      </c>
      <c r="J5679" s="455">
        <f t="array" ref="J5679">IFERROR(INDEX('Retirement Calculator'!J:J,MATCH('Isaac 401k'!N5679,'Retirement Calculator'!A:A,0),0),0)</f>
        <v>0</v>
      </c>
      <c r="K5679" s="455">
        <f t="shared" ca="1" si="211"/>
        <v>-12357127447813.92</v>
      </c>
      <c r="L5679" s="455">
        <f t="shared" ca="1" si="212"/>
        <v>-2978067714923155</v>
      </c>
      <c r="M5679" s="471">
        <f t="shared" si="214"/>
        <v>0.05</v>
      </c>
      <c r="N5679" s="475">
        <f t="shared" si="215"/>
        <v>223896</v>
      </c>
    </row>
    <row r="5680" spans="7:14" ht="11.25" customHeight="1" x14ac:dyDescent="0.3">
      <c r="G5680" s="470"/>
      <c r="H5680" s="470">
        <v>5673</v>
      </c>
      <c r="I5680" s="455">
        <f t="shared" ca="1" si="213"/>
        <v>-2978067714923155</v>
      </c>
      <c r="J5680" s="455">
        <f t="array" ref="J5680">IFERROR(INDEX('Retirement Calculator'!J:J,MATCH('Isaac 401k'!N5680,'Retirement Calculator'!A:A,0),0),0)</f>
        <v>0</v>
      </c>
      <c r="K5680" s="455">
        <f t="shared" ca="1" si="211"/>
        <v>-12408615478846.479</v>
      </c>
      <c r="L5680" s="455">
        <f t="shared" ca="1" si="212"/>
        <v>-2990476330402001.5</v>
      </c>
      <c r="M5680" s="471">
        <f t="shared" si="214"/>
        <v>0.05</v>
      </c>
      <c r="N5680" s="475">
        <f t="shared" si="215"/>
        <v>223927</v>
      </c>
    </row>
    <row r="5681" spans="7:14" ht="11.25" customHeight="1" x14ac:dyDescent="0.3">
      <c r="G5681" s="470"/>
      <c r="H5681" s="470">
        <v>5674</v>
      </c>
      <c r="I5681" s="455">
        <f t="shared" ca="1" si="213"/>
        <v>-2990476330402001.5</v>
      </c>
      <c r="J5681" s="455">
        <f t="array" ref="J5681">IFERROR(INDEX('Retirement Calculator'!J:J,MATCH('Isaac 401k'!N5681,'Retirement Calculator'!A:A,0),0),0)</f>
        <v>0</v>
      </c>
      <c r="K5681" s="455">
        <f t="shared" ca="1" si="211"/>
        <v>-12460318043341.672</v>
      </c>
      <c r="L5681" s="455">
        <f t="shared" ca="1" si="212"/>
        <v>-3002936648445343</v>
      </c>
      <c r="M5681" s="471">
        <f t="shared" si="214"/>
        <v>0.05</v>
      </c>
      <c r="N5681" s="475">
        <f t="shared" si="215"/>
        <v>223955</v>
      </c>
    </row>
    <row r="5682" spans="7:14" ht="11.25" customHeight="1" x14ac:dyDescent="0.3">
      <c r="G5682" s="470"/>
      <c r="H5682" s="470">
        <v>5675</v>
      </c>
      <c r="I5682" s="455">
        <f t="shared" ca="1" si="213"/>
        <v>-3002936648445343</v>
      </c>
      <c r="J5682" s="455">
        <f t="array" ref="J5682">IFERROR(INDEX('Retirement Calculator'!J:J,MATCH('Isaac 401k'!N5682,'Retirement Calculator'!A:A,0),0),0)</f>
        <v>0</v>
      </c>
      <c r="K5682" s="455">
        <f t="shared" ca="1" si="211"/>
        <v>-12512236035188.93</v>
      </c>
      <c r="L5682" s="455">
        <f t="shared" ca="1" si="212"/>
        <v>-3015448884480532</v>
      </c>
      <c r="M5682" s="471">
        <f t="shared" si="214"/>
        <v>0.05</v>
      </c>
      <c r="N5682" s="475">
        <f t="shared" si="215"/>
        <v>223986</v>
      </c>
    </row>
    <row r="5683" spans="7:14" ht="11.25" customHeight="1" x14ac:dyDescent="0.3">
      <c r="G5683" s="470"/>
      <c r="H5683" s="470">
        <v>5676</v>
      </c>
      <c r="I5683" s="455">
        <f t="shared" ca="1" si="213"/>
        <v>-3015448884480532</v>
      </c>
      <c r="J5683" s="455">
        <f t="array" ref="J5683">IFERROR(INDEX('Retirement Calculator'!J:J,MATCH('Isaac 401k'!N5683,'Retirement Calculator'!A:A,0),0),0)</f>
        <v>0</v>
      </c>
      <c r="K5683" s="455">
        <f t="shared" ca="1" si="211"/>
        <v>-12564370352002.217</v>
      </c>
      <c r="L5683" s="455">
        <f t="shared" ca="1" si="212"/>
        <v>-3028013254832534</v>
      </c>
      <c r="M5683" s="471">
        <f t="shared" si="214"/>
        <v>0.05</v>
      </c>
      <c r="N5683" s="475">
        <f t="shared" si="215"/>
        <v>224016</v>
      </c>
    </row>
    <row r="5684" spans="7:14" ht="11.25" customHeight="1" x14ac:dyDescent="0.3">
      <c r="G5684" s="470"/>
      <c r="H5684" s="470">
        <v>5677</v>
      </c>
      <c r="I5684" s="455">
        <f t="shared" ca="1" si="213"/>
        <v>-3028013254832534</v>
      </c>
      <c r="J5684" s="455">
        <f t="array" ref="J5684">IFERROR(INDEX('Retirement Calculator'!J:J,MATCH('Isaac 401k'!N5684,'Retirement Calculator'!A:A,0),0),0)</f>
        <v>0</v>
      </c>
      <c r="K5684" s="455">
        <f t="shared" ca="1" si="211"/>
        <v>-12616721895135.559</v>
      </c>
      <c r="L5684" s="455">
        <f t="shared" ca="1" si="212"/>
        <v>-3040629976727669.5</v>
      </c>
      <c r="M5684" s="471">
        <f t="shared" si="214"/>
        <v>0.05</v>
      </c>
      <c r="N5684" s="475">
        <f t="shared" si="215"/>
        <v>224047</v>
      </c>
    </row>
    <row r="5685" spans="7:14" ht="11.25" customHeight="1" x14ac:dyDescent="0.3">
      <c r="G5685" s="470"/>
      <c r="H5685" s="470">
        <v>5678</v>
      </c>
      <c r="I5685" s="455">
        <f t="shared" ca="1" si="213"/>
        <v>-3040629976727669.5</v>
      </c>
      <c r="J5685" s="455">
        <f t="array" ref="J5685">IFERROR(INDEX('Retirement Calculator'!J:J,MATCH('Isaac 401k'!N5685,'Retirement Calculator'!A:A,0),0),0)</f>
        <v>0</v>
      </c>
      <c r="K5685" s="455">
        <f t="shared" ca="1" si="211"/>
        <v>-12669291569698.623</v>
      </c>
      <c r="L5685" s="455">
        <f t="shared" ca="1" si="212"/>
        <v>-3053299268297368</v>
      </c>
      <c r="M5685" s="471">
        <f t="shared" si="214"/>
        <v>0.05</v>
      </c>
      <c r="N5685" s="475">
        <f t="shared" si="215"/>
        <v>224077</v>
      </c>
    </row>
    <row r="5686" spans="7:14" ht="11.25" customHeight="1" x14ac:dyDescent="0.3">
      <c r="G5686" s="470"/>
      <c r="H5686" s="470">
        <v>5679</v>
      </c>
      <c r="I5686" s="455">
        <f t="shared" ca="1" si="213"/>
        <v>-3053299268297368</v>
      </c>
      <c r="J5686" s="455">
        <f t="array" ref="J5686">IFERROR(INDEX('Retirement Calculator'!J:J,MATCH('Isaac 401k'!N5686,'Retirement Calculator'!A:A,0),0),0)</f>
        <v>0</v>
      </c>
      <c r="K5686" s="455">
        <f t="shared" ca="1" si="211"/>
        <v>-12722080284572.367</v>
      </c>
      <c r="L5686" s="455">
        <f t="shared" ca="1" si="212"/>
        <v>-3066021348581940.5</v>
      </c>
      <c r="M5686" s="471">
        <f t="shared" si="214"/>
        <v>0.05</v>
      </c>
      <c r="N5686" s="475">
        <f t="shared" si="215"/>
        <v>224108</v>
      </c>
    </row>
    <row r="5687" spans="7:14" ht="11.25" customHeight="1" x14ac:dyDescent="0.3">
      <c r="G5687" s="470"/>
      <c r="H5687" s="470">
        <v>5680</v>
      </c>
      <c r="I5687" s="455">
        <f t="shared" ca="1" si="213"/>
        <v>-3066021348581940.5</v>
      </c>
      <c r="J5687" s="455">
        <f t="array" ref="J5687">IFERROR(INDEX('Retirement Calculator'!J:J,MATCH('Isaac 401k'!N5687,'Retirement Calculator'!A:A,0),0),0)</f>
        <v>0</v>
      </c>
      <c r="K5687" s="455">
        <f t="shared" ca="1" si="211"/>
        <v>-12775088952424.752</v>
      </c>
      <c r="L5687" s="455">
        <f t="shared" ca="1" si="212"/>
        <v>-3078796437534365.5</v>
      </c>
      <c r="M5687" s="471">
        <f t="shared" si="214"/>
        <v>0.05</v>
      </c>
      <c r="N5687" s="475">
        <f t="shared" si="215"/>
        <v>224139</v>
      </c>
    </row>
    <row r="5688" spans="7:14" ht="11.25" customHeight="1" x14ac:dyDescent="0.3">
      <c r="G5688" s="470"/>
      <c r="H5688" s="470">
        <v>5681</v>
      </c>
      <c r="I5688" s="455">
        <f t="shared" ca="1" si="213"/>
        <v>-3078796437534365.5</v>
      </c>
      <c r="J5688" s="455">
        <f t="array" ref="J5688">IFERROR(INDEX('Retirement Calculator'!J:J,MATCH('Isaac 401k'!N5688,'Retirement Calculator'!A:A,0),0),0)</f>
        <v>0</v>
      </c>
      <c r="K5688" s="455">
        <f t="shared" ca="1" si="211"/>
        <v>-12828318489726.523</v>
      </c>
      <c r="L5688" s="455">
        <f t="shared" ca="1" si="212"/>
        <v>-3091624756024092</v>
      </c>
      <c r="M5688" s="471">
        <f t="shared" si="214"/>
        <v>0.05</v>
      </c>
      <c r="N5688" s="475">
        <f t="shared" si="215"/>
        <v>224169</v>
      </c>
    </row>
    <row r="5689" spans="7:14" ht="11.25" customHeight="1" x14ac:dyDescent="0.3">
      <c r="G5689" s="470"/>
      <c r="H5689" s="470">
        <v>5682</v>
      </c>
      <c r="I5689" s="455">
        <f t="shared" ca="1" si="213"/>
        <v>-3091624756024092</v>
      </c>
      <c r="J5689" s="455">
        <f t="array" ref="J5689">IFERROR(INDEX('Retirement Calculator'!J:J,MATCH('Isaac 401k'!N5689,'Retirement Calculator'!A:A,0),0),0)</f>
        <v>0</v>
      </c>
      <c r="K5689" s="455">
        <f t="shared" ca="1" si="211"/>
        <v>-12881769816767.051</v>
      </c>
      <c r="L5689" s="455">
        <f t="shared" ca="1" si="212"/>
        <v>-3104506525840859</v>
      </c>
      <c r="M5689" s="471">
        <f t="shared" si="214"/>
        <v>0.05</v>
      </c>
      <c r="N5689" s="475">
        <f t="shared" si="215"/>
        <v>224200</v>
      </c>
    </row>
    <row r="5690" spans="7:14" ht="11.25" customHeight="1" x14ac:dyDescent="0.3">
      <c r="G5690" s="470"/>
      <c r="H5690" s="470">
        <v>5683</v>
      </c>
      <c r="I5690" s="455">
        <f t="shared" ca="1" si="213"/>
        <v>-3104506525840859</v>
      </c>
      <c r="J5690" s="455">
        <f t="array" ref="J5690">IFERROR(INDEX('Retirement Calculator'!J:J,MATCH('Isaac 401k'!N5690,'Retirement Calculator'!A:A,0),0),0)</f>
        <v>0</v>
      </c>
      <c r="K5690" s="455">
        <f t="shared" ca="1" si="211"/>
        <v>-12935443857670.246</v>
      </c>
      <c r="L5690" s="455">
        <f t="shared" ca="1" si="212"/>
        <v>-3117441969698529</v>
      </c>
      <c r="M5690" s="471">
        <f t="shared" si="214"/>
        <v>0.05</v>
      </c>
      <c r="N5690" s="475">
        <f t="shared" si="215"/>
        <v>224230</v>
      </c>
    </row>
    <row r="5691" spans="7:14" ht="11.25" customHeight="1" x14ac:dyDescent="0.3">
      <c r="G5691" s="470"/>
      <c r="H5691" s="470">
        <v>5684</v>
      </c>
      <c r="I5691" s="455">
        <f t="shared" ca="1" si="213"/>
        <v>-3117441969698529</v>
      </c>
      <c r="J5691" s="455">
        <f t="array" ref="J5691">IFERROR(INDEX('Retirement Calculator'!J:J,MATCH('Isaac 401k'!N5691,'Retirement Calculator'!A:A,0),0),0)</f>
        <v>0</v>
      </c>
      <c r="K5691" s="455">
        <f t="shared" ca="1" si="211"/>
        <v>-12989341540410.537</v>
      </c>
      <c r="L5691" s="455">
        <f t="shared" ca="1" si="212"/>
        <v>-3130431311238939.5</v>
      </c>
      <c r="M5691" s="471">
        <f t="shared" si="214"/>
        <v>0.05</v>
      </c>
      <c r="N5691" s="475">
        <f t="shared" si="215"/>
        <v>224261</v>
      </c>
    </row>
    <row r="5692" spans="7:14" ht="11.25" customHeight="1" x14ac:dyDescent="0.3">
      <c r="G5692" s="470"/>
      <c r="H5692" s="470">
        <v>5685</v>
      </c>
      <c r="I5692" s="455">
        <f t="shared" ca="1" si="213"/>
        <v>-3130431311238939.5</v>
      </c>
      <c r="J5692" s="455">
        <f t="array" ref="J5692">IFERROR(INDEX('Retirement Calculator'!J:J,MATCH('Isaac 401k'!N5692,'Retirement Calculator'!A:A,0),0),0)</f>
        <v>0</v>
      </c>
      <c r="K5692" s="455">
        <f t="shared" ca="1" si="211"/>
        <v>-13043463796828.914</v>
      </c>
      <c r="L5692" s="455">
        <f t="shared" ca="1" si="212"/>
        <v>-3143474775035768.5</v>
      </c>
      <c r="M5692" s="471">
        <f t="shared" si="214"/>
        <v>0.05</v>
      </c>
      <c r="N5692" s="475">
        <f t="shared" si="215"/>
        <v>224292</v>
      </c>
    </row>
    <row r="5693" spans="7:14" ht="11.25" customHeight="1" x14ac:dyDescent="0.3">
      <c r="G5693" s="470"/>
      <c r="H5693" s="470">
        <v>5686</v>
      </c>
      <c r="I5693" s="455">
        <f t="shared" ca="1" si="213"/>
        <v>-3143474775035768.5</v>
      </c>
      <c r="J5693" s="455">
        <f t="array" ref="J5693">IFERROR(INDEX('Retirement Calculator'!J:J,MATCH('Isaac 401k'!N5693,'Retirement Calculator'!A:A,0),0),0)</f>
        <v>0</v>
      </c>
      <c r="K5693" s="455">
        <f t="shared" ca="1" si="211"/>
        <v>-13097811562649.035</v>
      </c>
      <c r="L5693" s="455">
        <f t="shared" ca="1" si="212"/>
        <v>-3156572586598417.5</v>
      </c>
      <c r="M5693" s="471">
        <f t="shared" si="214"/>
        <v>0.05</v>
      </c>
      <c r="N5693" s="475">
        <f t="shared" si="215"/>
        <v>224320</v>
      </c>
    </row>
    <row r="5694" spans="7:14" ht="11.25" customHeight="1" x14ac:dyDescent="0.3">
      <c r="G5694" s="470"/>
      <c r="H5694" s="470">
        <v>5687</v>
      </c>
      <c r="I5694" s="455">
        <f t="shared" ca="1" si="213"/>
        <v>-3156572586598417.5</v>
      </c>
      <c r="J5694" s="455">
        <f t="array" ref="J5694">IFERROR(INDEX('Retirement Calculator'!J:J,MATCH('Isaac 401k'!N5694,'Retirement Calculator'!A:A,0),0),0)</f>
        <v>0</v>
      </c>
      <c r="K5694" s="455">
        <f t="shared" ca="1" si="211"/>
        <v>-13152385777493.406</v>
      </c>
      <c r="L5694" s="455">
        <f t="shared" ca="1" si="212"/>
        <v>-3169724972375911</v>
      </c>
      <c r="M5694" s="471">
        <f t="shared" si="214"/>
        <v>0.05</v>
      </c>
      <c r="N5694" s="475">
        <f t="shared" si="215"/>
        <v>224351</v>
      </c>
    </row>
    <row r="5695" spans="7:14" ht="11.25" customHeight="1" x14ac:dyDescent="0.3">
      <c r="G5695" s="470"/>
      <c r="H5695" s="470">
        <v>5688</v>
      </c>
      <c r="I5695" s="455">
        <f t="shared" ca="1" si="213"/>
        <v>-3169724972375911</v>
      </c>
      <c r="J5695" s="455">
        <f t="array" ref="J5695">IFERROR(INDEX('Retirement Calculator'!J:J,MATCH('Isaac 401k'!N5695,'Retirement Calculator'!A:A,0),0),0)</f>
        <v>0</v>
      </c>
      <c r="K5695" s="455">
        <f t="shared" ca="1" si="211"/>
        <v>-13207187384899.629</v>
      </c>
      <c r="L5695" s="455">
        <f t="shared" ca="1" si="212"/>
        <v>-3182932159760810.5</v>
      </c>
      <c r="M5695" s="471">
        <f t="shared" si="214"/>
        <v>0.05</v>
      </c>
      <c r="N5695" s="475">
        <f t="shared" si="215"/>
        <v>224381</v>
      </c>
    </row>
    <row r="5696" spans="7:14" ht="11.25" customHeight="1" x14ac:dyDescent="0.3">
      <c r="G5696" s="470"/>
      <c r="H5696" s="470">
        <v>5689</v>
      </c>
      <c r="I5696" s="455">
        <f t="shared" ca="1" si="213"/>
        <v>-3182932159760810.5</v>
      </c>
      <c r="J5696" s="455">
        <f t="array" ref="J5696">IFERROR(INDEX('Retirement Calculator'!J:J,MATCH('Isaac 401k'!N5696,'Retirement Calculator'!A:A,0),0),0)</f>
        <v>0</v>
      </c>
      <c r="K5696" s="455">
        <f t="shared" ca="1" si="211"/>
        <v>-13262217332336.711</v>
      </c>
      <c r="L5696" s="455">
        <f t="shared" ca="1" si="212"/>
        <v>-3196194377093147</v>
      </c>
      <c r="M5696" s="471">
        <f t="shared" si="214"/>
        <v>0.05</v>
      </c>
      <c r="N5696" s="475">
        <f t="shared" si="215"/>
        <v>224412</v>
      </c>
    </row>
    <row r="5697" spans="7:14" ht="11.25" customHeight="1" x14ac:dyDescent="0.3">
      <c r="G5697" s="470"/>
      <c r="H5697" s="470">
        <v>5690</v>
      </c>
      <c r="I5697" s="455">
        <f t="shared" ca="1" si="213"/>
        <v>-3196194377093147</v>
      </c>
      <c r="J5697" s="455">
        <f t="array" ref="J5697">IFERROR(INDEX('Retirement Calculator'!J:J,MATCH('Isaac 401k'!N5697,'Retirement Calculator'!A:A,0),0),0)</f>
        <v>0</v>
      </c>
      <c r="K5697" s="455">
        <f t="shared" ca="1" si="211"/>
        <v>-13317476571221.445</v>
      </c>
      <c r="L5697" s="455">
        <f t="shared" ca="1" si="212"/>
        <v>-3209511853664368.5</v>
      </c>
      <c r="M5697" s="471">
        <f t="shared" si="214"/>
        <v>0.05</v>
      </c>
      <c r="N5697" s="475">
        <f t="shared" si="215"/>
        <v>224442</v>
      </c>
    </row>
    <row r="5698" spans="7:14" ht="11.25" customHeight="1" x14ac:dyDescent="0.3">
      <c r="G5698" s="470"/>
      <c r="H5698" s="470">
        <v>5691</v>
      </c>
      <c r="I5698" s="455">
        <f t="shared" ca="1" si="213"/>
        <v>-3209511853664368.5</v>
      </c>
      <c r="J5698" s="455">
        <f t="array" ref="J5698">IFERROR(INDEX('Retirement Calculator'!J:J,MATCH('Isaac 401k'!N5698,'Retirement Calculator'!A:A,0),0),0)</f>
        <v>0</v>
      </c>
      <c r="K5698" s="455">
        <f t="shared" ca="1" si="211"/>
        <v>-13372966056934.869</v>
      </c>
      <c r="L5698" s="455">
        <f t="shared" ca="1" si="212"/>
        <v>-3222884819721303.5</v>
      </c>
      <c r="M5698" s="471">
        <f t="shared" si="214"/>
        <v>0.05</v>
      </c>
      <c r="N5698" s="475">
        <f t="shared" si="215"/>
        <v>224473</v>
      </c>
    </row>
    <row r="5699" spans="7:14" ht="11.25" customHeight="1" x14ac:dyDescent="0.3">
      <c r="G5699" s="470"/>
      <c r="H5699" s="470">
        <v>5692</v>
      </c>
      <c r="I5699" s="455">
        <f t="shared" ca="1" si="213"/>
        <v>-3222884819721303.5</v>
      </c>
      <c r="J5699" s="455">
        <f t="array" ref="J5699">IFERROR(INDEX('Retirement Calculator'!J:J,MATCH('Isaac 401k'!N5699,'Retirement Calculator'!A:A,0),0),0)</f>
        <v>0</v>
      </c>
      <c r="K5699" s="455">
        <f t="shared" ca="1" si="211"/>
        <v>-13428686748838.764</v>
      </c>
      <c r="L5699" s="455">
        <f t="shared" ca="1" si="212"/>
        <v>-3236313506470142.5</v>
      </c>
      <c r="M5699" s="471">
        <f t="shared" si="214"/>
        <v>0.05</v>
      </c>
      <c r="N5699" s="475">
        <f t="shared" si="215"/>
        <v>224504</v>
      </c>
    </row>
    <row r="5700" spans="7:14" ht="11.25" customHeight="1" x14ac:dyDescent="0.3">
      <c r="G5700" s="470"/>
      <c r="H5700" s="470">
        <v>5693</v>
      </c>
      <c r="I5700" s="455">
        <f t="shared" ca="1" si="213"/>
        <v>-3236313506470142.5</v>
      </c>
      <c r="J5700" s="455">
        <f t="array" ref="J5700">IFERROR(INDEX('Retirement Calculator'!J:J,MATCH('Isaac 401k'!N5700,'Retirement Calculator'!A:A,0),0),0)</f>
        <v>0</v>
      </c>
      <c r="K5700" s="455">
        <f t="shared" ca="1" si="211"/>
        <v>-13484639610292.26</v>
      </c>
      <c r="L5700" s="455">
        <f t="shared" ca="1" si="212"/>
        <v>-3249798146080435</v>
      </c>
      <c r="M5700" s="471">
        <f t="shared" si="214"/>
        <v>0.05</v>
      </c>
      <c r="N5700" s="475">
        <f t="shared" si="215"/>
        <v>224534</v>
      </c>
    </row>
    <row r="5701" spans="7:14" ht="11.25" customHeight="1" x14ac:dyDescent="0.3">
      <c r="G5701" s="470"/>
      <c r="H5701" s="470">
        <v>5694</v>
      </c>
      <c r="I5701" s="455">
        <f t="shared" ca="1" si="213"/>
        <v>-3249798146080435</v>
      </c>
      <c r="J5701" s="455">
        <f t="array" ref="J5701">IFERROR(INDEX('Retirement Calculator'!J:J,MATCH('Isaac 401k'!N5701,'Retirement Calculator'!A:A,0),0),0)</f>
        <v>0</v>
      </c>
      <c r="K5701" s="455">
        <f t="shared" ca="1" si="211"/>
        <v>-13540825608668.479</v>
      </c>
      <c r="L5701" s="455">
        <f t="shared" ca="1" si="212"/>
        <v>-3263338971689103.5</v>
      </c>
      <c r="M5701" s="471">
        <f t="shared" si="214"/>
        <v>0.05</v>
      </c>
      <c r="N5701" s="475">
        <f t="shared" si="215"/>
        <v>224565</v>
      </c>
    </row>
    <row r="5702" spans="7:14" ht="11.25" customHeight="1" x14ac:dyDescent="0.3">
      <c r="G5702" s="470"/>
      <c r="H5702" s="470">
        <v>5695</v>
      </c>
      <c r="I5702" s="455">
        <f t="shared" ca="1" si="213"/>
        <v>-3263338971689103.5</v>
      </c>
      <c r="J5702" s="455">
        <f t="array" ref="J5702">IFERROR(INDEX('Retirement Calculator'!J:J,MATCH('Isaac 401k'!N5702,'Retirement Calculator'!A:A,0),0),0)</f>
        <v>0</v>
      </c>
      <c r="K5702" s="455">
        <f t="shared" ca="1" si="211"/>
        <v>-13597245715371.264</v>
      </c>
      <c r="L5702" s="455">
        <f t="shared" ca="1" si="212"/>
        <v>-3276936217404475</v>
      </c>
      <c r="M5702" s="471">
        <f t="shared" si="214"/>
        <v>0.05</v>
      </c>
      <c r="N5702" s="475">
        <f t="shared" si="215"/>
        <v>224595</v>
      </c>
    </row>
    <row r="5703" spans="7:14" ht="11.25" customHeight="1" x14ac:dyDescent="0.3">
      <c r="G5703" s="470"/>
      <c r="H5703" s="470">
        <v>5696</v>
      </c>
      <c r="I5703" s="455">
        <f t="shared" ca="1" si="213"/>
        <v>-3276936217404475</v>
      </c>
      <c r="J5703" s="455">
        <f t="array" ref="J5703">IFERROR(INDEX('Retirement Calculator'!J:J,MATCH('Isaac 401k'!N5703,'Retirement Calculator'!A:A,0),0),0)</f>
        <v>0</v>
      </c>
      <c r="K5703" s="455">
        <f t="shared" ca="1" si="211"/>
        <v>-13653900905851.979</v>
      </c>
      <c r="L5703" s="455">
        <f t="shared" ca="1" si="212"/>
        <v>-3290590118310327</v>
      </c>
      <c r="M5703" s="471">
        <f t="shared" si="214"/>
        <v>0.05</v>
      </c>
      <c r="N5703" s="475">
        <f t="shared" si="215"/>
        <v>224626</v>
      </c>
    </row>
    <row r="5704" spans="7:14" ht="11.25" customHeight="1" x14ac:dyDescent="0.3">
      <c r="G5704" s="470"/>
      <c r="H5704" s="470">
        <v>5697</v>
      </c>
      <c r="I5704" s="455">
        <f t="shared" ca="1" si="213"/>
        <v>-3290590118310327</v>
      </c>
      <c r="J5704" s="455">
        <f t="array" ref="J5704">IFERROR(INDEX('Retirement Calculator'!J:J,MATCH('Isaac 401k'!N5704,'Retirement Calculator'!A:A,0),0),0)</f>
        <v>0</v>
      </c>
      <c r="K5704" s="455">
        <f t="shared" ca="1" si="211"/>
        <v>-13710792159626.363</v>
      </c>
      <c r="L5704" s="455">
        <f t="shared" ca="1" si="212"/>
        <v>-3304300910469953.5</v>
      </c>
      <c r="M5704" s="471">
        <f t="shared" si="214"/>
        <v>0.05</v>
      </c>
      <c r="N5704" s="475">
        <f t="shared" si="215"/>
        <v>224657</v>
      </c>
    </row>
    <row r="5705" spans="7:14" ht="11.25" customHeight="1" x14ac:dyDescent="0.3">
      <c r="G5705" s="470"/>
      <c r="H5705" s="470">
        <v>5698</v>
      </c>
      <c r="I5705" s="455">
        <f t="shared" ca="1" si="213"/>
        <v>-3304300910469953.5</v>
      </c>
      <c r="J5705" s="455">
        <f t="array" ref="J5705">IFERROR(INDEX('Retirement Calculator'!J:J,MATCH('Isaac 401k'!N5705,'Retirement Calculator'!A:A,0),0),0)</f>
        <v>0</v>
      </c>
      <c r="K5705" s="455">
        <f t="shared" ca="1" si="211"/>
        <v>-13767920460291.473</v>
      </c>
      <c r="L5705" s="455">
        <f t="shared" ca="1" si="212"/>
        <v>-3318068830930245</v>
      </c>
      <c r="M5705" s="471">
        <f t="shared" si="214"/>
        <v>0.05</v>
      </c>
      <c r="N5705" s="475">
        <f t="shared" si="215"/>
        <v>224685</v>
      </c>
    </row>
    <row r="5706" spans="7:14" ht="11.25" customHeight="1" x14ac:dyDescent="0.3">
      <c r="G5706" s="470"/>
      <c r="H5706" s="470">
        <v>5699</v>
      </c>
      <c r="I5706" s="455">
        <f t="shared" ca="1" si="213"/>
        <v>-3318068830930245</v>
      </c>
      <c r="J5706" s="455">
        <f t="array" ref="J5706">IFERROR(INDEX('Retirement Calculator'!J:J,MATCH('Isaac 401k'!N5706,'Retirement Calculator'!A:A,0),0),0)</f>
        <v>0</v>
      </c>
      <c r="K5706" s="455">
        <f t="shared" ca="1" si="211"/>
        <v>-13825286795542.688</v>
      </c>
      <c r="L5706" s="455">
        <f t="shared" ca="1" si="212"/>
        <v>-3331894117725787.5</v>
      </c>
      <c r="M5706" s="471">
        <f t="shared" si="214"/>
        <v>0.05</v>
      </c>
      <c r="N5706" s="475">
        <f t="shared" si="215"/>
        <v>224716</v>
      </c>
    </row>
    <row r="5707" spans="7:14" ht="11.25" customHeight="1" x14ac:dyDescent="0.3">
      <c r="G5707" s="470"/>
      <c r="H5707" s="470">
        <v>5700</v>
      </c>
      <c r="I5707" s="455">
        <f t="shared" ca="1" si="213"/>
        <v>-3331894117725787.5</v>
      </c>
      <c r="J5707" s="455">
        <f t="array" ref="J5707">IFERROR(INDEX('Retirement Calculator'!J:J,MATCH('Isaac 401k'!N5707,'Retirement Calculator'!A:A,0),0),0)</f>
        <v>0</v>
      </c>
      <c r="K5707" s="455">
        <f t="shared" ca="1" si="211"/>
        <v>-13882892157190.781</v>
      </c>
      <c r="L5707" s="455">
        <f t="shared" ca="1" si="212"/>
        <v>-3345777009882978.5</v>
      </c>
      <c r="M5707" s="471">
        <f t="shared" si="214"/>
        <v>0.05</v>
      </c>
      <c r="N5707" s="475">
        <f t="shared" si="215"/>
        <v>224746</v>
      </c>
    </row>
    <row r="5708" spans="7:14" ht="11.25" customHeight="1" x14ac:dyDescent="0.3">
      <c r="G5708" s="470"/>
      <c r="H5708" s="470">
        <v>5701</v>
      </c>
      <c r="I5708" s="455">
        <f t="shared" ca="1" si="213"/>
        <v>-3345777009882978.5</v>
      </c>
      <c r="J5708" s="455">
        <f t="array" ref="J5708">IFERROR(INDEX('Retirement Calculator'!J:J,MATCH('Isaac 401k'!N5708,'Retirement Calculator'!A:A,0),0),0)</f>
        <v>0</v>
      </c>
      <c r="K5708" s="455">
        <f t="shared" ca="1" si="211"/>
        <v>-13940737541179.076</v>
      </c>
      <c r="L5708" s="455">
        <f t="shared" ca="1" si="212"/>
        <v>-3359717747424157.5</v>
      </c>
      <c r="M5708" s="471">
        <f t="shared" si="214"/>
        <v>0.05</v>
      </c>
      <c r="N5708" s="475">
        <f t="shared" si="215"/>
        <v>224777</v>
      </c>
    </row>
    <row r="5709" spans="7:14" ht="11.25" customHeight="1" x14ac:dyDescent="0.3">
      <c r="G5709" s="470"/>
      <c r="H5709" s="470">
        <v>5702</v>
      </c>
      <c r="I5709" s="455">
        <f t="shared" ca="1" si="213"/>
        <v>-3359717747424157.5</v>
      </c>
      <c r="J5709" s="455">
        <f t="array" ref="J5709">IFERROR(INDEX('Retirement Calculator'!J:J,MATCH('Isaac 401k'!N5709,'Retirement Calculator'!A:A,0),0),0)</f>
        <v>0</v>
      </c>
      <c r="K5709" s="455">
        <f t="shared" ca="1" si="211"/>
        <v>-13998823947600.656</v>
      </c>
      <c r="L5709" s="455">
        <f t="shared" ca="1" si="212"/>
        <v>-3373716571371758</v>
      </c>
      <c r="M5709" s="471">
        <f t="shared" si="214"/>
        <v>0.05</v>
      </c>
      <c r="N5709" s="475">
        <f t="shared" si="215"/>
        <v>224807</v>
      </c>
    </row>
    <row r="5710" spans="7:14" ht="11.25" customHeight="1" x14ac:dyDescent="0.3">
      <c r="G5710" s="470"/>
      <c r="H5710" s="470">
        <v>5703</v>
      </c>
      <c r="I5710" s="455">
        <f t="shared" ca="1" si="213"/>
        <v>-3373716571371758</v>
      </c>
      <c r="J5710" s="455">
        <f t="array" ref="J5710">IFERROR(INDEX('Retirement Calculator'!J:J,MATCH('Isaac 401k'!N5710,'Retirement Calculator'!A:A,0),0),0)</f>
        <v>0</v>
      </c>
      <c r="K5710" s="455">
        <f t="shared" ca="1" si="211"/>
        <v>-14057152380715.658</v>
      </c>
      <c r="L5710" s="455">
        <f t="shared" ca="1" si="212"/>
        <v>-3387773723752473.5</v>
      </c>
      <c r="M5710" s="471">
        <f t="shared" si="214"/>
        <v>0.05</v>
      </c>
      <c r="N5710" s="475">
        <f t="shared" si="215"/>
        <v>224838</v>
      </c>
    </row>
    <row r="5711" spans="7:14" ht="11.25" customHeight="1" x14ac:dyDescent="0.3">
      <c r="G5711" s="470"/>
      <c r="H5711" s="470">
        <v>5704</v>
      </c>
      <c r="I5711" s="455">
        <f t="shared" ca="1" si="213"/>
        <v>-3387773723752473.5</v>
      </c>
      <c r="J5711" s="455">
        <f t="array" ref="J5711">IFERROR(INDEX('Retirement Calculator'!J:J,MATCH('Isaac 401k'!N5711,'Retirement Calculator'!A:A,0),0),0)</f>
        <v>0</v>
      </c>
      <c r="K5711" s="455">
        <f t="shared" ca="1" si="211"/>
        <v>-14115723848968.639</v>
      </c>
      <c r="L5711" s="455">
        <f t="shared" ca="1" si="212"/>
        <v>-3401889447601442</v>
      </c>
      <c r="M5711" s="471">
        <f t="shared" si="214"/>
        <v>0.05</v>
      </c>
      <c r="N5711" s="475">
        <f t="shared" si="215"/>
        <v>224869</v>
      </c>
    </row>
    <row r="5712" spans="7:14" ht="11.25" customHeight="1" x14ac:dyDescent="0.3">
      <c r="G5712" s="470"/>
      <c r="H5712" s="470">
        <v>5705</v>
      </c>
      <c r="I5712" s="455">
        <f t="shared" ca="1" si="213"/>
        <v>-3401889447601442</v>
      </c>
      <c r="J5712" s="455">
        <f t="array" ref="J5712">IFERROR(INDEX('Retirement Calculator'!J:J,MATCH('Isaac 401k'!N5712,'Retirement Calculator'!A:A,0),0),0)</f>
        <v>0</v>
      </c>
      <c r="K5712" s="455">
        <f t="shared" ca="1" si="211"/>
        <v>-14174539365006.008</v>
      </c>
      <c r="L5712" s="455">
        <f t="shared" ca="1" si="212"/>
        <v>-3416063986966448</v>
      </c>
      <c r="M5712" s="471">
        <f t="shared" si="214"/>
        <v>0.05</v>
      </c>
      <c r="N5712" s="475">
        <f t="shared" si="215"/>
        <v>224899</v>
      </c>
    </row>
    <row r="5713" spans="7:14" ht="11.25" customHeight="1" x14ac:dyDescent="0.3">
      <c r="G5713" s="470"/>
      <c r="H5713" s="470">
        <v>5706</v>
      </c>
      <c r="I5713" s="455">
        <f t="shared" ca="1" si="213"/>
        <v>-3416063986966448</v>
      </c>
      <c r="J5713" s="455">
        <f t="array" ref="J5713">IFERROR(INDEX('Retirement Calculator'!J:J,MATCH('Isaac 401k'!N5713,'Retirement Calculator'!A:A,0),0),0)</f>
        <v>0</v>
      </c>
      <c r="K5713" s="455">
        <f t="shared" ca="1" si="211"/>
        <v>-14233599945693.533</v>
      </c>
      <c r="L5713" s="455">
        <f t="shared" ca="1" si="212"/>
        <v>-3430297586912141.5</v>
      </c>
      <c r="M5713" s="471">
        <f t="shared" si="214"/>
        <v>0.05</v>
      </c>
      <c r="N5713" s="475">
        <f t="shared" si="215"/>
        <v>224930</v>
      </c>
    </row>
    <row r="5714" spans="7:14" ht="11.25" customHeight="1" x14ac:dyDescent="0.3">
      <c r="G5714" s="470"/>
      <c r="H5714" s="470">
        <v>5707</v>
      </c>
      <c r="I5714" s="455">
        <f t="shared" ca="1" si="213"/>
        <v>-3430297586912141.5</v>
      </c>
      <c r="J5714" s="455">
        <f t="array" ref="J5714">IFERROR(INDEX('Retirement Calculator'!J:J,MATCH('Isaac 401k'!N5714,'Retirement Calculator'!A:A,0),0),0)</f>
        <v>0</v>
      </c>
      <c r="K5714" s="455">
        <f t="shared" ca="1" si="211"/>
        <v>-14292906612133.922</v>
      </c>
      <c r="L5714" s="455">
        <f t="shared" ca="1" si="212"/>
        <v>-3444590493524275.5</v>
      </c>
      <c r="M5714" s="471">
        <f t="shared" si="214"/>
        <v>0.05</v>
      </c>
      <c r="N5714" s="475">
        <f t="shared" si="215"/>
        <v>224960</v>
      </c>
    </row>
    <row r="5715" spans="7:14" ht="11.25" customHeight="1" x14ac:dyDescent="0.3">
      <c r="G5715" s="470"/>
      <c r="H5715" s="470">
        <v>5708</v>
      </c>
      <c r="I5715" s="455">
        <f t="shared" ca="1" si="213"/>
        <v>-3444590493524275.5</v>
      </c>
      <c r="J5715" s="455">
        <f t="array" ref="J5715">IFERROR(INDEX('Retirement Calculator'!J:J,MATCH('Isaac 401k'!N5715,'Retirement Calculator'!A:A,0),0),0)</f>
        <v>0</v>
      </c>
      <c r="K5715" s="455">
        <f t="shared" ca="1" si="211"/>
        <v>-14352460389684.48</v>
      </c>
      <c r="L5715" s="455">
        <f t="shared" ca="1" si="212"/>
        <v>-3458942953913960</v>
      </c>
      <c r="M5715" s="471">
        <f t="shared" si="214"/>
        <v>0.05</v>
      </c>
      <c r="N5715" s="475">
        <f t="shared" si="215"/>
        <v>224991</v>
      </c>
    </row>
    <row r="5716" spans="7:14" ht="11.25" customHeight="1" x14ac:dyDescent="0.3">
      <c r="G5716" s="470"/>
      <c r="H5716" s="470">
        <v>5709</v>
      </c>
      <c r="I5716" s="455">
        <f t="shared" ca="1" si="213"/>
        <v>-3458942953913960</v>
      </c>
      <c r="J5716" s="455">
        <f t="array" ref="J5716">IFERROR(INDEX('Retirement Calculator'!J:J,MATCH('Isaac 401k'!N5716,'Retirement Calculator'!A:A,0),0),0)</f>
        <v>0</v>
      </c>
      <c r="K5716" s="455">
        <f t="shared" ca="1" si="211"/>
        <v>-14412262307974.834</v>
      </c>
      <c r="L5716" s="455">
        <f t="shared" ca="1" si="212"/>
        <v>-3473355216221935</v>
      </c>
      <c r="M5716" s="471">
        <f t="shared" si="214"/>
        <v>0.05</v>
      </c>
      <c r="N5716" s="475">
        <f t="shared" si="215"/>
        <v>225022</v>
      </c>
    </row>
    <row r="5717" spans="7:14" ht="11.25" customHeight="1" x14ac:dyDescent="0.3">
      <c r="G5717" s="470"/>
      <c r="H5717" s="470">
        <v>5710</v>
      </c>
      <c r="I5717" s="455">
        <f t="shared" ca="1" si="213"/>
        <v>-3473355216221935</v>
      </c>
      <c r="J5717" s="455">
        <f t="array" ref="J5717">IFERROR(INDEX('Retirement Calculator'!J:J,MATCH('Isaac 401k'!N5717,'Retirement Calculator'!A:A,0),0),0)</f>
        <v>0</v>
      </c>
      <c r="K5717" s="455">
        <f t="shared" ca="1" si="211"/>
        <v>-14472313400924.729</v>
      </c>
      <c r="L5717" s="455">
        <f t="shared" ca="1" si="212"/>
        <v>-3487827529622859.5</v>
      </c>
      <c r="M5717" s="471">
        <f t="shared" si="214"/>
        <v>0.05</v>
      </c>
      <c r="N5717" s="475">
        <f t="shared" si="215"/>
        <v>225051</v>
      </c>
    </row>
    <row r="5718" spans="7:14" ht="11.25" customHeight="1" x14ac:dyDescent="0.3">
      <c r="G5718" s="470"/>
      <c r="H5718" s="470">
        <v>5711</v>
      </c>
      <c r="I5718" s="455">
        <f t="shared" ca="1" si="213"/>
        <v>-3487827529622859.5</v>
      </c>
      <c r="J5718" s="455">
        <f t="array" ref="J5718">IFERROR(INDEX('Retirement Calculator'!J:J,MATCH('Isaac 401k'!N5718,'Retirement Calculator'!A:A,0),0),0)</f>
        <v>0</v>
      </c>
      <c r="K5718" s="455">
        <f t="shared" ca="1" si="211"/>
        <v>-14532614706761.914</v>
      </c>
      <c r="L5718" s="455">
        <f t="shared" ca="1" si="212"/>
        <v>-3502360144329621.5</v>
      </c>
      <c r="M5718" s="471">
        <f t="shared" si="214"/>
        <v>0.05</v>
      </c>
      <c r="N5718" s="475">
        <f t="shared" si="215"/>
        <v>225082</v>
      </c>
    </row>
    <row r="5719" spans="7:14" ht="11.25" customHeight="1" x14ac:dyDescent="0.3">
      <c r="G5719" s="470"/>
      <c r="H5719" s="470">
        <v>5712</v>
      </c>
      <c r="I5719" s="455">
        <f t="shared" ca="1" si="213"/>
        <v>-3502360144329621.5</v>
      </c>
      <c r="J5719" s="455">
        <f t="array" ref="J5719">IFERROR(INDEX('Retirement Calculator'!J:J,MATCH('Isaac 401k'!N5719,'Retirement Calculator'!A:A,0),0),0)</f>
        <v>0</v>
      </c>
      <c r="K5719" s="455">
        <f t="shared" ca="1" si="211"/>
        <v>-14593167268040.09</v>
      </c>
      <c r="L5719" s="455">
        <f t="shared" ca="1" si="212"/>
        <v>-3516953311597661.5</v>
      </c>
      <c r="M5719" s="471">
        <f t="shared" si="214"/>
        <v>0.05</v>
      </c>
      <c r="N5719" s="475">
        <f t="shared" si="215"/>
        <v>225112</v>
      </c>
    </row>
    <row r="5720" spans="7:14" ht="11.25" customHeight="1" x14ac:dyDescent="0.3">
      <c r="G5720" s="470"/>
      <c r="H5720" s="470">
        <v>5713</v>
      </c>
      <c r="I5720" s="455">
        <f t="shared" ca="1" si="213"/>
        <v>-3516953311597661.5</v>
      </c>
      <c r="J5720" s="455">
        <f t="array" ref="J5720">IFERROR(INDEX('Retirement Calculator'!J:J,MATCH('Isaac 401k'!N5720,'Retirement Calculator'!A:A,0),0),0)</f>
        <v>0</v>
      </c>
      <c r="K5720" s="455">
        <f t="shared" ca="1" si="211"/>
        <v>-14653972131656.924</v>
      </c>
      <c r="L5720" s="455">
        <f t="shared" ca="1" si="212"/>
        <v>-3531607283729318.5</v>
      </c>
      <c r="M5720" s="471">
        <f t="shared" si="214"/>
        <v>0.05</v>
      </c>
      <c r="N5720" s="475">
        <f t="shared" si="215"/>
        <v>225143</v>
      </c>
    </row>
    <row r="5721" spans="7:14" ht="11.25" customHeight="1" x14ac:dyDescent="0.3">
      <c r="G5721" s="470"/>
      <c r="H5721" s="470">
        <v>5714</v>
      </c>
      <c r="I5721" s="455">
        <f t="shared" ca="1" si="213"/>
        <v>-3531607283729318.5</v>
      </c>
      <c r="J5721" s="455">
        <f t="array" ref="J5721">IFERROR(INDEX('Retirement Calculator'!J:J,MATCH('Isaac 401k'!N5721,'Retirement Calculator'!A:A,0),0),0)</f>
        <v>0</v>
      </c>
      <c r="K5721" s="455">
        <f t="shared" ca="1" si="211"/>
        <v>-14715030348872.158</v>
      </c>
      <c r="L5721" s="455">
        <f t="shared" ca="1" si="212"/>
        <v>-3546322314078190.5</v>
      </c>
      <c r="M5721" s="471">
        <f t="shared" si="214"/>
        <v>0.05</v>
      </c>
      <c r="N5721" s="475">
        <f t="shared" si="215"/>
        <v>225173</v>
      </c>
    </row>
    <row r="5722" spans="7:14" ht="11.25" customHeight="1" x14ac:dyDescent="0.3">
      <c r="G5722" s="470"/>
      <c r="H5722" s="470">
        <v>5715</v>
      </c>
      <c r="I5722" s="455">
        <f t="shared" ca="1" si="213"/>
        <v>-3546322314078190.5</v>
      </c>
      <c r="J5722" s="455">
        <f t="array" ref="J5722">IFERROR(INDEX('Retirement Calculator'!J:J,MATCH('Isaac 401k'!N5722,'Retirement Calculator'!A:A,0),0),0)</f>
        <v>0</v>
      </c>
      <c r="K5722" s="455">
        <f t="shared" ca="1" si="211"/>
        <v>-14776342975325.795</v>
      </c>
      <c r="L5722" s="455">
        <f t="shared" ca="1" si="212"/>
        <v>-3561098657053516.5</v>
      </c>
      <c r="M5722" s="471">
        <f t="shared" si="214"/>
        <v>0.05</v>
      </c>
      <c r="N5722" s="475">
        <f t="shared" si="215"/>
        <v>225204</v>
      </c>
    </row>
    <row r="5723" spans="7:14" ht="11.25" customHeight="1" x14ac:dyDescent="0.3">
      <c r="G5723" s="470"/>
      <c r="H5723" s="470">
        <v>5716</v>
      </c>
      <c r="I5723" s="455">
        <f t="shared" ca="1" si="213"/>
        <v>-3561098657053516.5</v>
      </c>
      <c r="J5723" s="455">
        <f t="array" ref="J5723">IFERROR(INDEX('Retirement Calculator'!J:J,MATCH('Isaac 401k'!N5723,'Retirement Calculator'!A:A,0),0),0)</f>
        <v>0</v>
      </c>
      <c r="K5723" s="455">
        <f t="shared" ca="1" si="211"/>
        <v>-14837911071056.318</v>
      </c>
      <c r="L5723" s="455">
        <f t="shared" ca="1" si="212"/>
        <v>-3575936568124573</v>
      </c>
      <c r="M5723" s="471">
        <f t="shared" si="214"/>
        <v>0.05</v>
      </c>
      <c r="N5723" s="475">
        <f t="shared" si="215"/>
        <v>225235</v>
      </c>
    </row>
    <row r="5724" spans="7:14" ht="11.25" customHeight="1" x14ac:dyDescent="0.3">
      <c r="G5724" s="470"/>
      <c r="H5724" s="470">
        <v>5717</v>
      </c>
      <c r="I5724" s="455">
        <f t="shared" ca="1" si="213"/>
        <v>-3575936568124573</v>
      </c>
      <c r="J5724" s="455">
        <f t="array" ref="J5724">IFERROR(INDEX('Retirement Calculator'!J:J,MATCH('Isaac 401k'!N5724,'Retirement Calculator'!A:A,0),0),0)</f>
        <v>0</v>
      </c>
      <c r="K5724" s="455">
        <f t="shared" ca="1" si="211"/>
        <v>-14899735700519.053</v>
      </c>
      <c r="L5724" s="455">
        <f t="shared" ca="1" si="212"/>
        <v>-3590836303825092</v>
      </c>
      <c r="M5724" s="471">
        <f t="shared" si="214"/>
        <v>0.05</v>
      </c>
      <c r="N5724" s="475">
        <f t="shared" si="215"/>
        <v>225265</v>
      </c>
    </row>
    <row r="5725" spans="7:14" ht="11.25" customHeight="1" x14ac:dyDescent="0.3">
      <c r="G5725" s="470"/>
      <c r="H5725" s="470">
        <v>5718</v>
      </c>
      <c r="I5725" s="455">
        <f t="shared" ca="1" si="213"/>
        <v>-3590836303825092</v>
      </c>
      <c r="J5725" s="455">
        <f t="array" ref="J5725">IFERROR(INDEX('Retirement Calculator'!J:J,MATCH('Isaac 401k'!N5725,'Retirement Calculator'!A:A,0),0),0)</f>
        <v>0</v>
      </c>
      <c r="K5725" s="455">
        <f t="shared" ca="1" si="211"/>
        <v>-14961817932604.549</v>
      </c>
      <c r="L5725" s="455">
        <f t="shared" ca="1" si="212"/>
        <v>-3605798121757696.5</v>
      </c>
      <c r="M5725" s="471">
        <f t="shared" si="214"/>
        <v>0.05</v>
      </c>
      <c r="N5725" s="475">
        <f t="shared" si="215"/>
        <v>225296</v>
      </c>
    </row>
    <row r="5726" spans="7:14" ht="11.25" customHeight="1" x14ac:dyDescent="0.3">
      <c r="G5726" s="470"/>
      <c r="H5726" s="470">
        <v>5719</v>
      </c>
      <c r="I5726" s="455">
        <f t="shared" ca="1" si="213"/>
        <v>-3605798121757696.5</v>
      </c>
      <c r="J5726" s="455">
        <f t="array" ref="J5726">IFERROR(INDEX('Retirement Calculator'!J:J,MATCH('Isaac 401k'!N5726,'Retirement Calculator'!A:A,0),0),0)</f>
        <v>0</v>
      </c>
      <c r="K5726" s="455">
        <f t="shared" ca="1" si="211"/>
        <v>-15024158840657.068</v>
      </c>
      <c r="L5726" s="455">
        <f t="shared" ca="1" si="212"/>
        <v>-3620822280598353.5</v>
      </c>
      <c r="M5726" s="471">
        <f t="shared" si="214"/>
        <v>0.05</v>
      </c>
      <c r="N5726" s="475">
        <f t="shared" si="215"/>
        <v>225326</v>
      </c>
    </row>
    <row r="5727" spans="7:14" ht="11.25" customHeight="1" x14ac:dyDescent="0.3">
      <c r="G5727" s="470"/>
      <c r="H5727" s="470">
        <v>5720</v>
      </c>
      <c r="I5727" s="455">
        <f t="shared" ca="1" si="213"/>
        <v>-3620822280598353.5</v>
      </c>
      <c r="J5727" s="455">
        <f t="array" ref="J5727">IFERROR(INDEX('Retirement Calculator'!J:J,MATCH('Isaac 401k'!N5727,'Retirement Calculator'!A:A,0),0),0)</f>
        <v>0</v>
      </c>
      <c r="K5727" s="455">
        <f t="shared" ca="1" si="211"/>
        <v>-15086759502493.137</v>
      </c>
      <c r="L5727" s="455">
        <f t="shared" ca="1" si="212"/>
        <v>-3635909040100846.5</v>
      </c>
      <c r="M5727" s="471">
        <f t="shared" si="214"/>
        <v>0.05</v>
      </c>
      <c r="N5727" s="475">
        <f t="shared" si="215"/>
        <v>225357</v>
      </c>
    </row>
    <row r="5728" spans="7:14" ht="11.25" customHeight="1" x14ac:dyDescent="0.3">
      <c r="G5728" s="470"/>
      <c r="H5728" s="470">
        <v>5721</v>
      </c>
      <c r="I5728" s="455">
        <f t="shared" ca="1" si="213"/>
        <v>-3635909040100846.5</v>
      </c>
      <c r="J5728" s="455">
        <f t="array" ref="J5728">IFERROR(INDEX('Retirement Calculator'!J:J,MATCH('Isaac 401k'!N5728,'Retirement Calculator'!A:A,0),0),0)</f>
        <v>0</v>
      </c>
      <c r="K5728" s="455">
        <f t="shared" ca="1" si="211"/>
        <v>-15149621000420.193</v>
      </c>
      <c r="L5728" s="455">
        <f t="shared" ca="1" si="212"/>
        <v>-3651058661101266.5</v>
      </c>
      <c r="M5728" s="471">
        <f t="shared" si="214"/>
        <v>0.05</v>
      </c>
      <c r="N5728" s="475">
        <f t="shared" si="215"/>
        <v>225388</v>
      </c>
    </row>
    <row r="5729" spans="7:14" ht="11.25" customHeight="1" x14ac:dyDescent="0.3">
      <c r="G5729" s="470"/>
      <c r="H5729" s="470">
        <v>5722</v>
      </c>
      <c r="I5729" s="455">
        <f t="shared" ca="1" si="213"/>
        <v>-3651058661101266.5</v>
      </c>
      <c r="J5729" s="455">
        <f t="array" ref="J5729">IFERROR(INDEX('Retirement Calculator'!J:J,MATCH('Isaac 401k'!N5729,'Retirement Calculator'!A:A,0),0),0)</f>
        <v>0</v>
      </c>
      <c r="K5729" s="455">
        <f t="shared" ca="1" si="211"/>
        <v>-15212744421255.277</v>
      </c>
      <c r="L5729" s="455">
        <f t="shared" ca="1" si="212"/>
        <v>-3666271405522522</v>
      </c>
      <c r="M5729" s="471">
        <f t="shared" si="214"/>
        <v>0.05</v>
      </c>
      <c r="N5729" s="475">
        <f t="shared" si="215"/>
        <v>225416</v>
      </c>
    </row>
    <row r="5730" spans="7:14" ht="11.25" customHeight="1" x14ac:dyDescent="0.3">
      <c r="G5730" s="470"/>
      <c r="H5730" s="470">
        <v>5723</v>
      </c>
      <c r="I5730" s="455">
        <f t="shared" ca="1" si="213"/>
        <v>-3666271405522522</v>
      </c>
      <c r="J5730" s="455">
        <f t="array" ref="J5730">IFERROR(INDEX('Retirement Calculator'!J:J,MATCH('Isaac 401k'!N5730,'Retirement Calculator'!A:A,0),0),0)</f>
        <v>0</v>
      </c>
      <c r="K5730" s="455">
        <f t="shared" ca="1" si="211"/>
        <v>-15276130856343.842</v>
      </c>
      <c r="L5730" s="455">
        <f t="shared" ca="1" si="212"/>
        <v>-3681547536378866</v>
      </c>
      <c r="M5730" s="471">
        <f t="shared" si="214"/>
        <v>0.05</v>
      </c>
      <c r="N5730" s="475">
        <f t="shared" si="215"/>
        <v>225447</v>
      </c>
    </row>
    <row r="5731" spans="7:14" ht="11.25" customHeight="1" x14ac:dyDescent="0.3">
      <c r="G5731" s="470"/>
      <c r="H5731" s="470">
        <v>5724</v>
      </c>
      <c r="I5731" s="455">
        <f t="shared" ca="1" si="213"/>
        <v>-3681547536378866</v>
      </c>
      <c r="J5731" s="455">
        <f t="array" ref="J5731">IFERROR(INDEX('Retirement Calculator'!J:J,MATCH('Isaac 401k'!N5731,'Retirement Calculator'!A:A,0),0),0)</f>
        <v>0</v>
      </c>
      <c r="K5731" s="455">
        <f t="shared" ca="1" si="211"/>
        <v>-15339781401578.607</v>
      </c>
      <c r="L5731" s="455">
        <f t="shared" ca="1" si="212"/>
        <v>-3696887317780444.5</v>
      </c>
      <c r="M5731" s="471">
        <f t="shared" si="214"/>
        <v>0.05</v>
      </c>
      <c r="N5731" s="475">
        <f t="shared" si="215"/>
        <v>225477</v>
      </c>
    </row>
    <row r="5732" spans="7:14" ht="11.25" customHeight="1" x14ac:dyDescent="0.3">
      <c r="G5732" s="470"/>
      <c r="H5732" s="470">
        <v>5725</v>
      </c>
      <c r="I5732" s="455">
        <f t="shared" ca="1" si="213"/>
        <v>-3696887317780444.5</v>
      </c>
      <c r="J5732" s="455">
        <f t="array" ref="J5732">IFERROR(INDEX('Retirement Calculator'!J:J,MATCH('Isaac 401k'!N5732,'Retirement Calculator'!A:A,0),0),0)</f>
        <v>0</v>
      </c>
      <c r="K5732" s="455">
        <f t="shared" ca="1" si="211"/>
        <v>-15403697157418.516</v>
      </c>
      <c r="L5732" s="455">
        <f t="shared" ca="1" si="212"/>
        <v>-3712291014937863</v>
      </c>
      <c r="M5732" s="471">
        <f t="shared" si="214"/>
        <v>0.05</v>
      </c>
      <c r="N5732" s="475">
        <f t="shared" si="215"/>
        <v>225508</v>
      </c>
    </row>
    <row r="5733" spans="7:14" ht="11.25" customHeight="1" x14ac:dyDescent="0.3">
      <c r="G5733" s="470"/>
      <c r="H5733" s="470">
        <v>5726</v>
      </c>
      <c r="I5733" s="455">
        <f t="shared" ca="1" si="213"/>
        <v>-3712291014937863</v>
      </c>
      <c r="J5733" s="455">
        <f t="array" ref="J5733">IFERROR(INDEX('Retirement Calculator'!J:J,MATCH('Isaac 401k'!N5733,'Retirement Calculator'!A:A,0),0),0)</f>
        <v>0</v>
      </c>
      <c r="K5733" s="455">
        <f t="shared" ca="1" si="211"/>
        <v>-15467879228907.762</v>
      </c>
      <c r="L5733" s="455">
        <f t="shared" ca="1" si="212"/>
        <v>-3727758894166771</v>
      </c>
      <c r="M5733" s="471">
        <f t="shared" si="214"/>
        <v>0.05</v>
      </c>
      <c r="N5733" s="475">
        <f t="shared" si="215"/>
        <v>225538</v>
      </c>
    </row>
    <row r="5734" spans="7:14" ht="11.25" customHeight="1" x14ac:dyDescent="0.3">
      <c r="G5734" s="470"/>
      <c r="H5734" s="470">
        <v>5727</v>
      </c>
      <c r="I5734" s="455">
        <f t="shared" ca="1" si="213"/>
        <v>-3727758894166771</v>
      </c>
      <c r="J5734" s="455">
        <f t="array" ref="J5734">IFERROR(INDEX('Retirement Calculator'!J:J,MATCH('Isaac 401k'!N5734,'Retirement Calculator'!A:A,0),0),0)</f>
        <v>0</v>
      </c>
      <c r="K5734" s="455">
        <f t="shared" ca="1" si="211"/>
        <v>-15532328725694.879</v>
      </c>
      <c r="L5734" s="455">
        <f t="shared" ca="1" si="212"/>
        <v>-3743291222892466</v>
      </c>
      <c r="M5734" s="471">
        <f t="shared" si="214"/>
        <v>0.05</v>
      </c>
      <c r="N5734" s="475">
        <f t="shared" si="215"/>
        <v>225569</v>
      </c>
    </row>
    <row r="5735" spans="7:14" ht="11.25" customHeight="1" x14ac:dyDescent="0.3">
      <c r="G5735" s="470"/>
      <c r="H5735" s="470">
        <v>5728</v>
      </c>
      <c r="I5735" s="455">
        <f t="shared" ca="1" si="213"/>
        <v>-3743291222892466</v>
      </c>
      <c r="J5735" s="455">
        <f t="array" ref="J5735">IFERROR(INDEX('Retirement Calculator'!J:J,MATCH('Isaac 401k'!N5735,'Retirement Calculator'!A:A,0),0),0)</f>
        <v>0</v>
      </c>
      <c r="K5735" s="455">
        <f t="shared" ca="1" si="211"/>
        <v>-15597046762051.939</v>
      </c>
      <c r="L5735" s="455">
        <f t="shared" ca="1" si="212"/>
        <v>-3758888269654518</v>
      </c>
      <c r="M5735" s="471">
        <f t="shared" si="214"/>
        <v>0.05</v>
      </c>
      <c r="N5735" s="475">
        <f t="shared" si="215"/>
        <v>225600</v>
      </c>
    </row>
    <row r="5736" spans="7:14" ht="11.25" customHeight="1" x14ac:dyDescent="0.3">
      <c r="G5736" s="470"/>
      <c r="H5736" s="470">
        <v>5729</v>
      </c>
      <c r="I5736" s="455">
        <f t="shared" ca="1" si="213"/>
        <v>-3758888269654518</v>
      </c>
      <c r="J5736" s="455">
        <f t="array" ref="J5736">IFERROR(INDEX('Retirement Calculator'!J:J,MATCH('Isaac 401k'!N5736,'Retirement Calculator'!A:A,0),0),0)</f>
        <v>0</v>
      </c>
      <c r="K5736" s="455">
        <f t="shared" ca="1" si="211"/>
        <v>-15662034456893.824</v>
      </c>
      <c r="L5736" s="455">
        <f t="shared" ca="1" si="212"/>
        <v>-3774550304111412</v>
      </c>
      <c r="M5736" s="471">
        <f t="shared" si="214"/>
        <v>0.05</v>
      </c>
      <c r="N5736" s="475">
        <f t="shared" si="215"/>
        <v>225630</v>
      </c>
    </row>
    <row r="5737" spans="7:14" ht="11.25" customHeight="1" x14ac:dyDescent="0.3">
      <c r="G5737" s="470"/>
      <c r="H5737" s="470">
        <v>5730</v>
      </c>
      <c r="I5737" s="455">
        <f t="shared" ca="1" si="213"/>
        <v>-3774550304111412</v>
      </c>
      <c r="J5737" s="455">
        <f t="array" ref="J5737">IFERROR(INDEX('Retirement Calculator'!J:J,MATCH('Isaac 401k'!N5737,'Retirement Calculator'!A:A,0),0),0)</f>
        <v>0</v>
      </c>
      <c r="K5737" s="455">
        <f t="shared" ca="1" si="211"/>
        <v>-15727292933797.553</v>
      </c>
      <c r="L5737" s="455">
        <f t="shared" ca="1" si="212"/>
        <v>-3790277597045209.5</v>
      </c>
      <c r="M5737" s="471">
        <f t="shared" si="214"/>
        <v>0.05</v>
      </c>
      <c r="N5737" s="475">
        <f t="shared" si="215"/>
        <v>225661</v>
      </c>
    </row>
    <row r="5738" spans="7:14" ht="11.25" customHeight="1" x14ac:dyDescent="0.3">
      <c r="G5738" s="470"/>
      <c r="H5738" s="470">
        <v>5731</v>
      </c>
      <c r="I5738" s="455">
        <f t="shared" ca="1" si="213"/>
        <v>-3790277597045209.5</v>
      </c>
      <c r="J5738" s="455">
        <f t="array" ref="J5738">IFERROR(INDEX('Retirement Calculator'!J:J,MATCH('Isaac 401k'!N5738,'Retirement Calculator'!A:A,0),0),0)</f>
        <v>0</v>
      </c>
      <c r="K5738" s="455">
        <f t="shared" ca="1" si="211"/>
        <v>-15792823321021.705</v>
      </c>
      <c r="L5738" s="455">
        <f t="shared" ca="1" si="212"/>
        <v>-3806070420366231</v>
      </c>
      <c r="M5738" s="471">
        <f t="shared" si="214"/>
        <v>0.05</v>
      </c>
      <c r="N5738" s="475">
        <f t="shared" si="215"/>
        <v>225691</v>
      </c>
    </row>
    <row r="5739" spans="7:14" ht="11.25" customHeight="1" x14ac:dyDescent="0.3">
      <c r="G5739" s="470"/>
      <c r="H5739" s="470">
        <v>5732</v>
      </c>
      <c r="I5739" s="455">
        <f t="shared" ca="1" si="213"/>
        <v>-3806070420366231</v>
      </c>
      <c r="J5739" s="455">
        <f t="array" ref="J5739">IFERROR(INDEX('Retirement Calculator'!J:J,MATCH('Isaac 401k'!N5739,'Retirement Calculator'!A:A,0),0),0)</f>
        <v>0</v>
      </c>
      <c r="K5739" s="455">
        <f t="shared" ca="1" si="211"/>
        <v>-15858626751525.963</v>
      </c>
      <c r="L5739" s="455">
        <f t="shared" ca="1" si="212"/>
        <v>-3821929047117757</v>
      </c>
      <c r="M5739" s="471">
        <f t="shared" si="214"/>
        <v>0.05</v>
      </c>
      <c r="N5739" s="475">
        <f t="shared" si="215"/>
        <v>225722</v>
      </c>
    </row>
    <row r="5740" spans="7:14" ht="11.25" customHeight="1" x14ac:dyDescent="0.3">
      <c r="G5740" s="470"/>
      <c r="H5740" s="470">
        <v>5733</v>
      </c>
      <c r="I5740" s="455">
        <f t="shared" ca="1" si="213"/>
        <v>-3821929047117757</v>
      </c>
      <c r="J5740" s="455">
        <f t="array" ref="J5740">IFERROR(INDEX('Retirement Calculator'!J:J,MATCH('Isaac 401k'!N5740,'Retirement Calculator'!A:A,0),0),0)</f>
        <v>0</v>
      </c>
      <c r="K5740" s="455">
        <f t="shared" ca="1" si="211"/>
        <v>-15924704362990.656</v>
      </c>
      <c r="L5740" s="455">
        <f t="shared" ca="1" si="212"/>
        <v>-3837853751480747.5</v>
      </c>
      <c r="M5740" s="471">
        <f t="shared" si="214"/>
        <v>0.05</v>
      </c>
      <c r="N5740" s="475">
        <f t="shared" si="215"/>
        <v>225753</v>
      </c>
    </row>
    <row r="5741" spans="7:14" ht="11.25" customHeight="1" x14ac:dyDescent="0.3">
      <c r="G5741" s="470"/>
      <c r="H5741" s="470">
        <v>5734</v>
      </c>
      <c r="I5741" s="455">
        <f t="shared" ca="1" si="213"/>
        <v>-3837853751480747.5</v>
      </c>
      <c r="J5741" s="455">
        <f t="array" ref="J5741">IFERROR(INDEX('Retirement Calculator'!J:J,MATCH('Isaac 401k'!N5741,'Retirement Calculator'!A:A,0),0),0)</f>
        <v>0</v>
      </c>
      <c r="K5741" s="455">
        <f t="shared" ca="1" si="211"/>
        <v>-15991057297836.447</v>
      </c>
      <c r="L5741" s="455">
        <f t="shared" ca="1" si="212"/>
        <v>-3853844808778584</v>
      </c>
      <c r="M5741" s="471">
        <f t="shared" si="214"/>
        <v>0.05</v>
      </c>
      <c r="N5741" s="475">
        <f t="shared" si="215"/>
        <v>225781</v>
      </c>
    </row>
    <row r="5742" spans="7:14" ht="11.25" customHeight="1" x14ac:dyDescent="0.3">
      <c r="G5742" s="470"/>
      <c r="H5742" s="470">
        <v>5735</v>
      </c>
      <c r="I5742" s="455">
        <f t="shared" ca="1" si="213"/>
        <v>-3853844808778584</v>
      </c>
      <c r="J5742" s="455">
        <f t="array" ref="J5742">IFERROR(INDEX('Retirement Calculator'!J:J,MATCH('Isaac 401k'!N5742,'Retirement Calculator'!A:A,0),0),0)</f>
        <v>0</v>
      </c>
      <c r="K5742" s="455">
        <f t="shared" ca="1" si="211"/>
        <v>-16057686703244.1</v>
      </c>
      <c r="L5742" s="455">
        <f t="shared" ca="1" si="212"/>
        <v>-3869902495481828</v>
      </c>
      <c r="M5742" s="471">
        <f t="shared" si="214"/>
        <v>0.05</v>
      </c>
      <c r="N5742" s="475">
        <f t="shared" si="215"/>
        <v>225812</v>
      </c>
    </row>
    <row r="5743" spans="7:14" ht="11.25" customHeight="1" x14ac:dyDescent="0.3">
      <c r="G5743" s="470"/>
      <c r="H5743" s="470">
        <v>5736</v>
      </c>
      <c r="I5743" s="455">
        <f t="shared" ca="1" si="213"/>
        <v>-3869902495481828</v>
      </c>
      <c r="J5743" s="455">
        <f t="array" ref="J5743">IFERROR(INDEX('Retirement Calculator'!J:J,MATCH('Isaac 401k'!N5743,'Retirement Calculator'!A:A,0),0),0)</f>
        <v>0</v>
      </c>
      <c r="K5743" s="455">
        <f t="shared" ca="1" si="211"/>
        <v>-16124593731174.281</v>
      </c>
      <c r="L5743" s="455">
        <f t="shared" ca="1" si="212"/>
        <v>-3886027089213002.5</v>
      </c>
      <c r="M5743" s="471">
        <f t="shared" si="214"/>
        <v>0.05</v>
      </c>
      <c r="N5743" s="475">
        <f t="shared" si="215"/>
        <v>225842</v>
      </c>
    </row>
    <row r="5744" spans="7:14" ht="11.25" customHeight="1" x14ac:dyDescent="0.3">
      <c r="G5744" s="470"/>
      <c r="H5744" s="470">
        <v>5737</v>
      </c>
      <c r="I5744" s="455">
        <f t="shared" ca="1" si="213"/>
        <v>-3886027089213002.5</v>
      </c>
      <c r="J5744" s="455">
        <f t="array" ref="J5744">IFERROR(INDEX('Retirement Calculator'!J:J,MATCH('Isaac 401k'!N5744,'Retirement Calculator'!A:A,0),0),0)</f>
        <v>0</v>
      </c>
      <c r="K5744" s="455">
        <f t="shared" ca="1" si="211"/>
        <v>-16191779538387.512</v>
      </c>
      <c r="L5744" s="455">
        <f t="shared" ca="1" si="212"/>
        <v>-3902218868751390</v>
      </c>
      <c r="M5744" s="471">
        <f t="shared" si="214"/>
        <v>0.05</v>
      </c>
      <c r="N5744" s="475">
        <f t="shared" si="215"/>
        <v>225873</v>
      </c>
    </row>
    <row r="5745" spans="7:14" ht="11.25" customHeight="1" x14ac:dyDescent="0.3">
      <c r="G5745" s="470"/>
      <c r="H5745" s="470">
        <v>5738</v>
      </c>
      <c r="I5745" s="455">
        <f t="shared" ca="1" si="213"/>
        <v>-3902218868751390</v>
      </c>
      <c r="J5745" s="455">
        <f t="array" ref="J5745">IFERROR(INDEX('Retirement Calculator'!J:J,MATCH('Isaac 401k'!N5745,'Retirement Calculator'!A:A,0),0),0)</f>
        <v>0</v>
      </c>
      <c r="K5745" s="455">
        <f t="shared" ca="1" si="211"/>
        <v>-16259245286464.123</v>
      </c>
      <c r="L5745" s="455">
        <f t="shared" ca="1" si="212"/>
        <v>-3918478114037854</v>
      </c>
      <c r="M5745" s="471">
        <f t="shared" si="214"/>
        <v>0.05</v>
      </c>
      <c r="N5745" s="475">
        <f t="shared" si="215"/>
        <v>225903</v>
      </c>
    </row>
    <row r="5746" spans="7:14" ht="11.25" customHeight="1" x14ac:dyDescent="0.3">
      <c r="G5746" s="470"/>
      <c r="H5746" s="470">
        <v>5739</v>
      </c>
      <c r="I5746" s="455">
        <f t="shared" ca="1" si="213"/>
        <v>-3918478114037854</v>
      </c>
      <c r="J5746" s="455">
        <f t="array" ref="J5746">IFERROR(INDEX('Retirement Calculator'!J:J,MATCH('Isaac 401k'!N5746,'Retirement Calculator'!A:A,0),0),0)</f>
        <v>0</v>
      </c>
      <c r="K5746" s="455">
        <f t="shared" ca="1" si="211"/>
        <v>-16326992141824.391</v>
      </c>
      <c r="L5746" s="455">
        <f t="shared" ca="1" si="212"/>
        <v>-3934805106179678.5</v>
      </c>
      <c r="M5746" s="471">
        <f t="shared" si="214"/>
        <v>0.05</v>
      </c>
      <c r="N5746" s="475">
        <f t="shared" si="215"/>
        <v>225934</v>
      </c>
    </row>
    <row r="5747" spans="7:14" ht="11.25" customHeight="1" x14ac:dyDescent="0.3">
      <c r="G5747" s="470"/>
      <c r="H5747" s="470">
        <v>5740</v>
      </c>
      <c r="I5747" s="455">
        <f t="shared" ca="1" si="213"/>
        <v>-3934805106179678.5</v>
      </c>
      <c r="J5747" s="455">
        <f t="array" ref="J5747">IFERROR(INDEX('Retirement Calculator'!J:J,MATCH('Isaac 401k'!N5747,'Retirement Calculator'!A:A,0),0),0)</f>
        <v>0</v>
      </c>
      <c r="K5747" s="455">
        <f t="shared" ca="1" si="211"/>
        <v>-16395021275748.658</v>
      </c>
      <c r="L5747" s="455">
        <f t="shared" ca="1" si="212"/>
        <v>-3951200127455427</v>
      </c>
      <c r="M5747" s="471">
        <f t="shared" si="214"/>
        <v>0.05</v>
      </c>
      <c r="N5747" s="475">
        <f t="shared" si="215"/>
        <v>225965</v>
      </c>
    </row>
    <row r="5748" spans="7:14" ht="11.25" customHeight="1" x14ac:dyDescent="0.3">
      <c r="G5748" s="470"/>
      <c r="H5748" s="470">
        <v>5741</v>
      </c>
      <c r="I5748" s="455">
        <f t="shared" ca="1" si="213"/>
        <v>-3951200127455427</v>
      </c>
      <c r="J5748" s="455">
        <f t="array" ref="J5748">IFERROR(INDEX('Retirement Calculator'!J:J,MATCH('Isaac 401k'!N5748,'Retirement Calculator'!A:A,0),0),0)</f>
        <v>0</v>
      </c>
      <c r="K5748" s="455">
        <f t="shared" ca="1" si="211"/>
        <v>-16463333864397.611</v>
      </c>
      <c r="L5748" s="455">
        <f t="shared" ca="1" si="212"/>
        <v>-3967663461319824.5</v>
      </c>
      <c r="M5748" s="471">
        <f t="shared" si="214"/>
        <v>0.05</v>
      </c>
      <c r="N5748" s="475">
        <f t="shared" si="215"/>
        <v>225995</v>
      </c>
    </row>
    <row r="5749" spans="7:14" ht="11.25" customHeight="1" x14ac:dyDescent="0.3">
      <c r="G5749" s="470"/>
      <c r="H5749" s="470">
        <v>5742</v>
      </c>
      <c r="I5749" s="455">
        <f t="shared" ca="1" si="213"/>
        <v>-3967663461319824.5</v>
      </c>
      <c r="J5749" s="455">
        <f t="array" ref="J5749">IFERROR(INDEX('Retirement Calculator'!J:J,MATCH('Isaac 401k'!N5749,'Retirement Calculator'!A:A,0),0),0)</f>
        <v>0</v>
      </c>
      <c r="K5749" s="455">
        <f t="shared" ca="1" si="211"/>
        <v>-16531931088832.602</v>
      </c>
      <c r="L5749" s="455">
        <f t="shared" ca="1" si="212"/>
        <v>-3984195392408657</v>
      </c>
      <c r="M5749" s="471">
        <f t="shared" si="214"/>
        <v>0.05</v>
      </c>
      <c r="N5749" s="475">
        <f t="shared" si="215"/>
        <v>226026</v>
      </c>
    </row>
    <row r="5750" spans="7:14" ht="11.25" customHeight="1" x14ac:dyDescent="0.3">
      <c r="G5750" s="470"/>
      <c r="H5750" s="470">
        <v>5743</v>
      </c>
      <c r="I5750" s="455">
        <f t="shared" ca="1" si="213"/>
        <v>-3984195392408657</v>
      </c>
      <c r="J5750" s="455">
        <f t="array" ref="J5750">IFERROR(INDEX('Retirement Calculator'!J:J,MATCH('Isaac 401k'!N5750,'Retirement Calculator'!A:A,0),0),0)</f>
        <v>0</v>
      </c>
      <c r="K5750" s="455">
        <f t="shared" ca="1" si="211"/>
        <v>-16600814135036.07</v>
      </c>
      <c r="L5750" s="455">
        <f t="shared" ca="1" si="212"/>
        <v>-4000796206543693</v>
      </c>
      <c r="M5750" s="471">
        <f t="shared" si="214"/>
        <v>0.05</v>
      </c>
      <c r="N5750" s="475">
        <f t="shared" si="215"/>
        <v>226056</v>
      </c>
    </row>
    <row r="5751" spans="7:14" ht="11.25" customHeight="1" x14ac:dyDescent="0.3">
      <c r="G5751" s="470"/>
      <c r="H5751" s="470">
        <v>5744</v>
      </c>
      <c r="I5751" s="455">
        <f t="shared" ca="1" si="213"/>
        <v>-4000796206543693</v>
      </c>
      <c r="J5751" s="455">
        <f t="array" ref="J5751">IFERROR(INDEX('Retirement Calculator'!J:J,MATCH('Isaac 401k'!N5751,'Retirement Calculator'!A:A,0),0),0)</f>
        <v>0</v>
      </c>
      <c r="K5751" s="455">
        <f t="shared" ca="1" si="211"/>
        <v>-16669984193932.057</v>
      </c>
      <c r="L5751" s="455">
        <f t="shared" ca="1" si="212"/>
        <v>-4017466190737625</v>
      </c>
      <c r="M5751" s="471">
        <f t="shared" si="214"/>
        <v>0.05</v>
      </c>
      <c r="N5751" s="475">
        <f t="shared" si="215"/>
        <v>226087</v>
      </c>
    </row>
    <row r="5752" spans="7:14" ht="11.25" customHeight="1" x14ac:dyDescent="0.3">
      <c r="G5752" s="470"/>
      <c r="H5752" s="470">
        <v>5745</v>
      </c>
      <c r="I5752" s="455">
        <f t="shared" ca="1" si="213"/>
        <v>-4017466190737625</v>
      </c>
      <c r="J5752" s="455">
        <f t="array" ref="J5752">IFERROR(INDEX('Retirement Calculator'!J:J,MATCH('Isaac 401k'!N5752,'Retirement Calculator'!A:A,0),0),0)</f>
        <v>0</v>
      </c>
      <c r="K5752" s="455">
        <f t="shared" ca="1" si="211"/>
        <v>-16739442461406.773</v>
      </c>
      <c r="L5752" s="455">
        <f t="shared" ca="1" si="212"/>
        <v>-4034205633199032</v>
      </c>
      <c r="M5752" s="471">
        <f t="shared" si="214"/>
        <v>0.05</v>
      </c>
      <c r="N5752" s="475">
        <f t="shared" si="215"/>
        <v>226118</v>
      </c>
    </row>
    <row r="5753" spans="7:14" ht="11.25" customHeight="1" x14ac:dyDescent="0.3">
      <c r="G5753" s="470"/>
      <c r="H5753" s="470">
        <v>5746</v>
      </c>
      <c r="I5753" s="455">
        <f t="shared" ca="1" si="213"/>
        <v>-4034205633199032</v>
      </c>
      <c r="J5753" s="455">
        <f t="array" ref="J5753">IFERROR(INDEX('Retirement Calculator'!J:J,MATCH('Isaac 401k'!N5753,'Retirement Calculator'!A:A,0),0),0)</f>
        <v>0</v>
      </c>
      <c r="K5753" s="455">
        <f t="shared" ca="1" si="211"/>
        <v>-16809190138329.303</v>
      </c>
      <c r="L5753" s="455">
        <f t="shared" ca="1" si="212"/>
        <v>-4051014823337361.5</v>
      </c>
      <c r="M5753" s="471">
        <f t="shared" si="214"/>
        <v>0.05</v>
      </c>
      <c r="N5753" s="475">
        <f t="shared" si="215"/>
        <v>226146</v>
      </c>
    </row>
    <row r="5754" spans="7:14" ht="11.25" customHeight="1" x14ac:dyDescent="0.3">
      <c r="G5754" s="470"/>
      <c r="H5754" s="470">
        <v>5747</v>
      </c>
      <c r="I5754" s="455">
        <f t="shared" ca="1" si="213"/>
        <v>-4051014823337361.5</v>
      </c>
      <c r="J5754" s="455">
        <f t="array" ref="J5754">IFERROR(INDEX('Retirement Calculator'!J:J,MATCH('Isaac 401k'!N5754,'Retirement Calculator'!A:A,0),0),0)</f>
        <v>0</v>
      </c>
      <c r="K5754" s="455">
        <f t="shared" ca="1" si="211"/>
        <v>-16879228430572.338</v>
      </c>
      <c r="L5754" s="455">
        <f t="shared" ca="1" si="212"/>
        <v>-4067894051767934</v>
      </c>
      <c r="M5754" s="471">
        <f t="shared" si="214"/>
        <v>0.05</v>
      </c>
      <c r="N5754" s="475">
        <f t="shared" si="215"/>
        <v>226177</v>
      </c>
    </row>
    <row r="5755" spans="7:14" ht="11.25" customHeight="1" x14ac:dyDescent="0.3">
      <c r="G5755" s="470"/>
      <c r="H5755" s="470">
        <v>5748</v>
      </c>
      <c r="I5755" s="455">
        <f t="shared" ca="1" si="213"/>
        <v>-4067894051767934</v>
      </c>
      <c r="J5755" s="455">
        <f t="array" ref="J5755">IFERROR(INDEX('Retirement Calculator'!J:J,MATCH('Isaac 401k'!N5755,'Retirement Calculator'!A:A,0),0),0)</f>
        <v>0</v>
      </c>
      <c r="K5755" s="455">
        <f t="shared" ca="1" si="211"/>
        <v>-16949558549033.061</v>
      </c>
      <c r="L5755" s="455">
        <f t="shared" ca="1" si="212"/>
        <v>-4084843610316967</v>
      </c>
      <c r="M5755" s="471">
        <f t="shared" si="214"/>
        <v>0.05</v>
      </c>
      <c r="N5755" s="475">
        <f t="shared" si="215"/>
        <v>226207</v>
      </c>
    </row>
    <row r="5756" spans="7:14" ht="11.25" customHeight="1" x14ac:dyDescent="0.3">
      <c r="G5756" s="470"/>
      <c r="H5756" s="470">
        <v>5749</v>
      </c>
      <c r="I5756" s="455">
        <f t="shared" ca="1" si="213"/>
        <v>-4084843610316967</v>
      </c>
      <c r="J5756" s="455">
        <f t="array" ref="J5756">IFERROR(INDEX('Retirement Calculator'!J:J,MATCH('Isaac 401k'!N5756,'Retirement Calculator'!A:A,0),0),0)</f>
        <v>0</v>
      </c>
      <c r="K5756" s="455">
        <f t="shared" ca="1" si="211"/>
        <v>-17020181709654.029</v>
      </c>
      <c r="L5756" s="455">
        <f t="shared" ca="1" si="212"/>
        <v>-4101863792026621</v>
      </c>
      <c r="M5756" s="471">
        <f t="shared" si="214"/>
        <v>0.05</v>
      </c>
      <c r="N5756" s="475">
        <f t="shared" si="215"/>
        <v>226238</v>
      </c>
    </row>
    <row r="5757" spans="7:14" ht="11.25" customHeight="1" x14ac:dyDescent="0.3">
      <c r="G5757" s="470"/>
      <c r="H5757" s="470">
        <v>5750</v>
      </c>
      <c r="I5757" s="455">
        <f t="shared" ca="1" si="213"/>
        <v>-4101863792026621</v>
      </c>
      <c r="J5757" s="455">
        <f t="array" ref="J5757">IFERROR(INDEX('Retirement Calculator'!J:J,MATCH('Isaac 401k'!N5757,'Retirement Calculator'!A:A,0),0),0)</f>
        <v>0</v>
      </c>
      <c r="K5757" s="455">
        <f t="shared" ca="1" si="211"/>
        <v>-17091099133444.254</v>
      </c>
      <c r="L5757" s="455">
        <f t="shared" ca="1" si="212"/>
        <v>-4118954891160065.5</v>
      </c>
      <c r="M5757" s="471">
        <f t="shared" si="214"/>
        <v>0.05</v>
      </c>
      <c r="N5757" s="475">
        <f t="shared" si="215"/>
        <v>226268</v>
      </c>
    </row>
    <row r="5758" spans="7:14" ht="11.25" customHeight="1" x14ac:dyDescent="0.3">
      <c r="G5758" s="470"/>
      <c r="H5758" s="470">
        <v>5751</v>
      </c>
      <c r="I5758" s="455">
        <f t="shared" ca="1" si="213"/>
        <v>-4118954891160065.5</v>
      </c>
      <c r="J5758" s="455">
        <f t="array" ref="J5758">IFERROR(INDEX('Retirement Calculator'!J:J,MATCH('Isaac 401k'!N5758,'Retirement Calculator'!A:A,0),0),0)</f>
        <v>0</v>
      </c>
      <c r="K5758" s="455">
        <f t="shared" ca="1" si="211"/>
        <v>-17162312046500.273</v>
      </c>
      <c r="L5758" s="455">
        <f t="shared" ca="1" si="212"/>
        <v>-4136117203206566</v>
      </c>
      <c r="M5758" s="471">
        <f t="shared" si="214"/>
        <v>0.05</v>
      </c>
      <c r="N5758" s="475">
        <f t="shared" si="215"/>
        <v>226299</v>
      </c>
    </row>
    <row r="5759" spans="7:14" ht="11.25" customHeight="1" x14ac:dyDescent="0.3">
      <c r="G5759" s="470"/>
      <c r="H5759" s="470">
        <v>5752</v>
      </c>
      <c r="I5759" s="455">
        <f t="shared" ca="1" si="213"/>
        <v>-4136117203206566</v>
      </c>
      <c r="J5759" s="455">
        <f t="array" ref="J5759">IFERROR(INDEX('Retirement Calculator'!J:J,MATCH('Isaac 401k'!N5759,'Retirement Calculator'!A:A,0),0),0)</f>
        <v>0</v>
      </c>
      <c r="K5759" s="455">
        <f t="shared" ca="1" si="211"/>
        <v>-17233821680027.355</v>
      </c>
      <c r="L5759" s="455">
        <f t="shared" ca="1" si="212"/>
        <v>-4153351024886593.5</v>
      </c>
      <c r="M5759" s="471">
        <f t="shared" si="214"/>
        <v>0.05</v>
      </c>
      <c r="N5759" s="475">
        <f t="shared" si="215"/>
        <v>226330</v>
      </c>
    </row>
    <row r="5760" spans="7:14" ht="11.25" customHeight="1" x14ac:dyDescent="0.3">
      <c r="G5760" s="470"/>
      <c r="H5760" s="470">
        <v>5753</v>
      </c>
      <c r="I5760" s="455">
        <f t="shared" ca="1" si="213"/>
        <v>-4153351024886593.5</v>
      </c>
      <c r="J5760" s="455">
        <f t="array" ref="J5760">IFERROR(INDEX('Retirement Calculator'!J:J,MATCH('Isaac 401k'!N5760,'Retirement Calculator'!A:A,0),0),0)</f>
        <v>0</v>
      </c>
      <c r="K5760" s="455">
        <f t="shared" ca="1" si="211"/>
        <v>-17305629270360.807</v>
      </c>
      <c r="L5760" s="455">
        <f t="shared" ca="1" si="212"/>
        <v>-4170656654156954.5</v>
      </c>
      <c r="M5760" s="471">
        <f t="shared" si="214"/>
        <v>0.05</v>
      </c>
      <c r="N5760" s="475">
        <f t="shared" si="215"/>
        <v>226360</v>
      </c>
    </row>
    <row r="5761" spans="7:14" ht="11.25" customHeight="1" x14ac:dyDescent="0.3">
      <c r="G5761" s="470"/>
      <c r="H5761" s="470">
        <v>5754</v>
      </c>
      <c r="I5761" s="455">
        <f t="shared" ca="1" si="213"/>
        <v>-4170656654156954.5</v>
      </c>
      <c r="J5761" s="455">
        <f t="array" ref="J5761">IFERROR(INDEX('Retirement Calculator'!J:J,MATCH('Isaac 401k'!N5761,'Retirement Calculator'!A:A,0),0),0)</f>
        <v>0</v>
      </c>
      <c r="K5761" s="455">
        <f t="shared" ca="1" si="211"/>
        <v>-17377736058987.311</v>
      </c>
      <c r="L5761" s="455">
        <f t="shared" ca="1" si="212"/>
        <v>-4188034390215942</v>
      </c>
      <c r="M5761" s="471">
        <f t="shared" si="214"/>
        <v>0.05</v>
      </c>
      <c r="N5761" s="475">
        <f t="shared" si="215"/>
        <v>226391</v>
      </c>
    </row>
    <row r="5762" spans="7:14" ht="11.25" customHeight="1" x14ac:dyDescent="0.3">
      <c r="G5762" s="470"/>
      <c r="H5762" s="470">
        <v>5755</v>
      </c>
      <c r="I5762" s="455">
        <f t="shared" ca="1" si="213"/>
        <v>-4188034390215942</v>
      </c>
      <c r="J5762" s="455">
        <f t="array" ref="J5762">IFERROR(INDEX('Retirement Calculator'!J:J,MATCH('Isaac 401k'!N5762,'Retirement Calculator'!A:A,0),0),0)</f>
        <v>0</v>
      </c>
      <c r="K5762" s="455">
        <f t="shared" ca="1" si="211"/>
        <v>-17450143292566.422</v>
      </c>
      <c r="L5762" s="455">
        <f t="shared" ca="1" si="212"/>
        <v>-4205484533508508.5</v>
      </c>
      <c r="M5762" s="471">
        <f t="shared" si="214"/>
        <v>0.05</v>
      </c>
      <c r="N5762" s="475">
        <f t="shared" si="215"/>
        <v>226421</v>
      </c>
    </row>
    <row r="5763" spans="7:14" ht="11.25" customHeight="1" x14ac:dyDescent="0.3">
      <c r="G5763" s="470"/>
      <c r="H5763" s="470">
        <v>5756</v>
      </c>
      <c r="I5763" s="455">
        <f t="shared" ca="1" si="213"/>
        <v>-4205484533508508.5</v>
      </c>
      <c r="J5763" s="455">
        <f t="array" ref="J5763">IFERROR(INDEX('Retirement Calculator'!J:J,MATCH('Isaac 401k'!N5763,'Retirement Calculator'!A:A,0),0),0)</f>
        <v>0</v>
      </c>
      <c r="K5763" s="455">
        <f t="shared" ca="1" si="211"/>
        <v>-17522852222952.117</v>
      </c>
      <c r="L5763" s="455">
        <f t="shared" ca="1" si="212"/>
        <v>-4223007385731460.5</v>
      </c>
      <c r="M5763" s="471">
        <f t="shared" si="214"/>
        <v>0.05</v>
      </c>
      <c r="N5763" s="475">
        <f t="shared" si="215"/>
        <v>226452</v>
      </c>
    </row>
    <row r="5764" spans="7:14" ht="11.25" customHeight="1" x14ac:dyDescent="0.3">
      <c r="G5764" s="470"/>
      <c r="H5764" s="470">
        <v>5757</v>
      </c>
      <c r="I5764" s="455">
        <f t="shared" ca="1" si="213"/>
        <v>-4223007385731460.5</v>
      </c>
      <c r="J5764" s="455">
        <f t="array" ref="J5764">IFERROR(INDEX('Retirement Calculator'!J:J,MATCH('Isaac 401k'!N5764,'Retirement Calculator'!A:A,0),0),0)</f>
        <v>0</v>
      </c>
      <c r="K5764" s="455">
        <f t="shared" ca="1" si="211"/>
        <v>-17595864107214.418</v>
      </c>
      <c r="L5764" s="455">
        <f t="shared" ca="1" si="212"/>
        <v>-4240603249838675</v>
      </c>
      <c r="M5764" s="471">
        <f t="shared" si="214"/>
        <v>0.05</v>
      </c>
      <c r="N5764" s="475">
        <f t="shared" si="215"/>
        <v>226483</v>
      </c>
    </row>
    <row r="5765" spans="7:14" ht="11.25" customHeight="1" x14ac:dyDescent="0.3">
      <c r="G5765" s="470"/>
      <c r="H5765" s="470">
        <v>5758</v>
      </c>
      <c r="I5765" s="455">
        <f t="shared" ca="1" si="213"/>
        <v>-4240603249838675</v>
      </c>
      <c r="J5765" s="455">
        <f t="array" ref="J5765">IFERROR(INDEX('Retirement Calculator'!J:J,MATCH('Isaac 401k'!N5765,'Retirement Calculator'!A:A,0),0),0)</f>
        <v>0</v>
      </c>
      <c r="K5765" s="455">
        <f t="shared" ca="1" si="211"/>
        <v>-17669180207661.145</v>
      </c>
      <c r="L5765" s="455">
        <f t="shared" ca="1" si="212"/>
        <v>-4258272430046336</v>
      </c>
      <c r="M5765" s="471">
        <f t="shared" si="214"/>
        <v>0.05</v>
      </c>
      <c r="N5765" s="475">
        <f t="shared" si="215"/>
        <v>226512</v>
      </c>
    </row>
    <row r="5766" spans="7:14" ht="11.25" customHeight="1" x14ac:dyDescent="0.3">
      <c r="G5766" s="470"/>
      <c r="H5766" s="470">
        <v>5759</v>
      </c>
      <c r="I5766" s="455">
        <f t="shared" ca="1" si="213"/>
        <v>-4258272430046336</v>
      </c>
      <c r="J5766" s="455">
        <f t="array" ref="J5766">IFERROR(INDEX('Retirement Calculator'!J:J,MATCH('Isaac 401k'!N5766,'Retirement Calculator'!A:A,0),0),0)</f>
        <v>0</v>
      </c>
      <c r="K5766" s="455">
        <f t="shared" ca="1" si="211"/>
        <v>-17742801791859.734</v>
      </c>
      <c r="L5766" s="455">
        <f t="shared" ca="1" si="212"/>
        <v>-4276015231838195.5</v>
      </c>
      <c r="M5766" s="471">
        <f t="shared" si="214"/>
        <v>0.05</v>
      </c>
      <c r="N5766" s="475">
        <f t="shared" si="215"/>
        <v>226543</v>
      </c>
    </row>
    <row r="5767" spans="7:14" ht="11.25" customHeight="1" x14ac:dyDescent="0.3">
      <c r="G5767" s="470"/>
      <c r="H5767" s="470">
        <v>5760</v>
      </c>
      <c r="I5767" s="455">
        <f t="shared" ca="1" si="213"/>
        <v>-4276015231838195.5</v>
      </c>
      <c r="J5767" s="455">
        <f t="array" ref="J5767">IFERROR(INDEX('Retirement Calculator'!J:J,MATCH('Isaac 401k'!N5767,'Retirement Calculator'!A:A,0),0),0)</f>
        <v>0</v>
      </c>
      <c r="K5767" s="455">
        <f t="shared" ca="1" si="211"/>
        <v>-17816730132659.148</v>
      </c>
      <c r="L5767" s="455">
        <f t="shared" ca="1" si="212"/>
        <v>-4293831961970854.5</v>
      </c>
      <c r="M5767" s="471">
        <f t="shared" si="214"/>
        <v>0.05</v>
      </c>
      <c r="N5767" s="475">
        <f t="shared" si="215"/>
        <v>226573</v>
      </c>
    </row>
    <row r="5768" spans="7:14" ht="11.25" customHeight="1" x14ac:dyDescent="0.3">
      <c r="G5768" s="470"/>
      <c r="H5768" s="470">
        <v>5761</v>
      </c>
      <c r="I5768" s="455">
        <f t="shared" ca="1" si="213"/>
        <v>-4293831961970854.5</v>
      </c>
      <c r="J5768" s="455">
        <f t="array" ref="J5768">IFERROR(INDEX('Retirement Calculator'!J:J,MATCH('Isaac 401k'!N5768,'Retirement Calculator'!A:A,0),0),0)</f>
        <v>0</v>
      </c>
      <c r="K5768" s="455">
        <f t="shared" ca="1" si="211"/>
        <v>-17890966508211.895</v>
      </c>
      <c r="L5768" s="455">
        <f t="shared" ca="1" si="212"/>
        <v>-4311722928479066.5</v>
      </c>
      <c r="M5768" s="471">
        <f t="shared" si="214"/>
        <v>0.05</v>
      </c>
      <c r="N5768" s="475">
        <f t="shared" si="215"/>
        <v>226604</v>
      </c>
    </row>
    <row r="5769" spans="7:14" ht="11.25" customHeight="1" x14ac:dyDescent="0.3">
      <c r="G5769" s="470"/>
      <c r="H5769" s="470">
        <v>5762</v>
      </c>
      <c r="I5769" s="455">
        <f t="shared" ca="1" si="213"/>
        <v>-4311722928479066.5</v>
      </c>
      <c r="J5769" s="455">
        <f t="array" ref="J5769">IFERROR(INDEX('Retirement Calculator'!J:J,MATCH('Isaac 401k'!N5769,'Retirement Calculator'!A:A,0),0),0)</f>
        <v>0</v>
      </c>
      <c r="K5769" s="455">
        <f t="shared" ca="1" si="211"/>
        <v>-17965512201996.113</v>
      </c>
      <c r="L5769" s="455">
        <f t="shared" ca="1" si="212"/>
        <v>-4329688440681062.5</v>
      </c>
      <c r="M5769" s="471">
        <f t="shared" si="214"/>
        <v>0.05</v>
      </c>
      <c r="N5769" s="475">
        <f t="shared" si="215"/>
        <v>226634</v>
      </c>
    </row>
    <row r="5770" spans="7:14" ht="11.25" customHeight="1" x14ac:dyDescent="0.3">
      <c r="G5770" s="470"/>
      <c r="H5770" s="470">
        <v>5763</v>
      </c>
      <c r="I5770" s="455">
        <f t="shared" ca="1" si="213"/>
        <v>-4329688440681062.5</v>
      </c>
      <c r="J5770" s="455">
        <f t="array" ref="J5770">IFERROR(INDEX('Retirement Calculator'!J:J,MATCH('Isaac 401k'!N5770,'Retirement Calculator'!A:A,0),0),0)</f>
        <v>0</v>
      </c>
      <c r="K5770" s="455">
        <f t="shared" ca="1" si="211"/>
        <v>-18040368502837.762</v>
      </c>
      <c r="L5770" s="455">
        <f t="shared" ca="1" si="212"/>
        <v>-4347728809183900.5</v>
      </c>
      <c r="M5770" s="471">
        <f t="shared" si="214"/>
        <v>0.05</v>
      </c>
      <c r="N5770" s="475">
        <f t="shared" si="215"/>
        <v>226665</v>
      </c>
    </row>
    <row r="5771" spans="7:14" ht="11.25" customHeight="1" x14ac:dyDescent="0.3">
      <c r="G5771" s="470"/>
      <c r="H5771" s="470">
        <v>5764</v>
      </c>
      <c r="I5771" s="455">
        <f t="shared" ca="1" si="213"/>
        <v>-4347728809183900.5</v>
      </c>
      <c r="J5771" s="455">
        <f t="array" ref="J5771">IFERROR(INDEX('Retirement Calculator'!J:J,MATCH('Isaac 401k'!N5771,'Retirement Calculator'!A:A,0),0),0)</f>
        <v>0</v>
      </c>
      <c r="K5771" s="455">
        <f t="shared" ca="1" si="211"/>
        <v>-18115536704932.922</v>
      </c>
      <c r="L5771" s="455">
        <f t="shared" ca="1" si="212"/>
        <v>-4365844345888833.5</v>
      </c>
      <c r="M5771" s="471">
        <f t="shared" si="214"/>
        <v>0.05</v>
      </c>
      <c r="N5771" s="475">
        <f t="shared" si="215"/>
        <v>226696</v>
      </c>
    </row>
    <row r="5772" spans="7:14" ht="11.25" customHeight="1" x14ac:dyDescent="0.3">
      <c r="G5772" s="470"/>
      <c r="H5772" s="470">
        <v>5765</v>
      </c>
      <c r="I5772" s="455">
        <f t="shared" ca="1" si="213"/>
        <v>-4365844345888833.5</v>
      </c>
      <c r="J5772" s="455">
        <f t="array" ref="J5772">IFERROR(INDEX('Retirement Calculator'!J:J,MATCH('Isaac 401k'!N5772,'Retirement Calculator'!A:A,0),0),0)</f>
        <v>0</v>
      </c>
      <c r="K5772" s="455">
        <f t="shared" ca="1" si="211"/>
        <v>-18191018107870.141</v>
      </c>
      <c r="L5772" s="455">
        <f t="shared" ca="1" si="212"/>
        <v>-4384035363996703.5</v>
      </c>
      <c r="M5772" s="471">
        <f t="shared" si="214"/>
        <v>0.05</v>
      </c>
      <c r="N5772" s="475">
        <f t="shared" si="215"/>
        <v>226726</v>
      </c>
    </row>
    <row r="5773" spans="7:14" ht="11.25" customHeight="1" x14ac:dyDescent="0.3">
      <c r="G5773" s="470"/>
      <c r="H5773" s="470">
        <v>5766</v>
      </c>
      <c r="I5773" s="455">
        <f t="shared" ca="1" si="213"/>
        <v>-4384035363996703.5</v>
      </c>
      <c r="J5773" s="455">
        <f t="array" ref="J5773">IFERROR(INDEX('Retirement Calculator'!J:J,MATCH('Isaac 401k'!N5773,'Retirement Calculator'!A:A,0),0),0)</f>
        <v>0</v>
      </c>
      <c r="K5773" s="455">
        <f t="shared" ca="1" si="211"/>
        <v>-18266814016652.93</v>
      </c>
      <c r="L5773" s="455">
        <f t="shared" ca="1" si="212"/>
        <v>-4402302178013356.5</v>
      </c>
      <c r="M5773" s="471">
        <f t="shared" si="214"/>
        <v>0.05</v>
      </c>
      <c r="N5773" s="475">
        <f t="shared" si="215"/>
        <v>226757</v>
      </c>
    </row>
    <row r="5774" spans="7:14" ht="11.25" customHeight="1" x14ac:dyDescent="0.3">
      <c r="G5774" s="470"/>
      <c r="H5774" s="470">
        <v>5767</v>
      </c>
      <c r="I5774" s="455">
        <f t="shared" ca="1" si="213"/>
        <v>-4402302178013356.5</v>
      </c>
      <c r="J5774" s="455">
        <f t="array" ref="J5774">IFERROR(INDEX('Retirement Calculator'!J:J,MATCH('Isaac 401k'!N5774,'Retirement Calculator'!A:A,0),0),0)</f>
        <v>0</v>
      </c>
      <c r="K5774" s="455">
        <f t="shared" ca="1" si="211"/>
        <v>-18342925741722.32</v>
      </c>
      <c r="L5774" s="455">
        <f t="shared" ca="1" si="212"/>
        <v>-4420645103755079</v>
      </c>
      <c r="M5774" s="471">
        <f t="shared" si="214"/>
        <v>0.05</v>
      </c>
      <c r="N5774" s="475">
        <f t="shared" si="215"/>
        <v>226787</v>
      </c>
    </row>
    <row r="5775" spans="7:14" ht="11.25" customHeight="1" x14ac:dyDescent="0.3">
      <c r="G5775" s="470"/>
      <c r="H5775" s="470">
        <v>5768</v>
      </c>
      <c r="I5775" s="455">
        <f t="shared" ca="1" si="213"/>
        <v>-4420645103755079</v>
      </c>
      <c r="J5775" s="455">
        <f t="array" ref="J5775">IFERROR(INDEX('Retirement Calculator'!J:J,MATCH('Isaac 401k'!N5775,'Retirement Calculator'!A:A,0),0),0)</f>
        <v>0</v>
      </c>
      <c r="K5775" s="455">
        <f t="shared" ca="1" si="211"/>
        <v>-18419354598979.496</v>
      </c>
      <c r="L5775" s="455">
        <f t="shared" ca="1" si="212"/>
        <v>-4439064458354058.5</v>
      </c>
      <c r="M5775" s="471">
        <f t="shared" si="214"/>
        <v>0.05</v>
      </c>
      <c r="N5775" s="475">
        <f t="shared" si="215"/>
        <v>226818</v>
      </c>
    </row>
    <row r="5776" spans="7:14" ht="11.25" customHeight="1" x14ac:dyDescent="0.3">
      <c r="G5776" s="470"/>
      <c r="H5776" s="470">
        <v>5769</v>
      </c>
      <c r="I5776" s="455">
        <f t="shared" ca="1" si="213"/>
        <v>-4439064458354058.5</v>
      </c>
      <c r="J5776" s="455">
        <f t="array" ref="J5776">IFERROR(INDEX('Retirement Calculator'!J:J,MATCH('Isaac 401k'!N5776,'Retirement Calculator'!A:A,0),0),0)</f>
        <v>0</v>
      </c>
      <c r="K5776" s="455">
        <f t="shared" ca="1" si="211"/>
        <v>-18496101909808.574</v>
      </c>
      <c r="L5776" s="455">
        <f t="shared" ca="1" si="212"/>
        <v>-4457560560263867</v>
      </c>
      <c r="M5776" s="471">
        <f t="shared" si="214"/>
        <v>0.05</v>
      </c>
      <c r="N5776" s="475">
        <f t="shared" si="215"/>
        <v>226849</v>
      </c>
    </row>
    <row r="5777" spans="7:14" ht="11.25" customHeight="1" x14ac:dyDescent="0.3">
      <c r="G5777" s="470"/>
      <c r="H5777" s="470">
        <v>5770</v>
      </c>
      <c r="I5777" s="455">
        <f t="shared" ca="1" si="213"/>
        <v>-4457560560263867</v>
      </c>
      <c r="J5777" s="455">
        <f t="array" ref="J5777">IFERROR(INDEX('Retirement Calculator'!J:J,MATCH('Isaac 401k'!N5777,'Retirement Calculator'!A:A,0),0),0)</f>
        <v>0</v>
      </c>
      <c r="K5777" s="455">
        <f t="shared" ca="1" si="211"/>
        <v>-18573169001099.445</v>
      </c>
      <c r="L5777" s="455">
        <f t="shared" ca="1" si="212"/>
        <v>-4476133729264966.5</v>
      </c>
      <c r="M5777" s="471">
        <f t="shared" si="214"/>
        <v>0.05</v>
      </c>
      <c r="N5777" s="475">
        <f t="shared" si="215"/>
        <v>226877</v>
      </c>
    </row>
    <row r="5778" spans="7:14" ht="11.25" customHeight="1" x14ac:dyDescent="0.3">
      <c r="G5778" s="470"/>
      <c r="H5778" s="470">
        <v>5771</v>
      </c>
      <c r="I5778" s="455">
        <f t="shared" ca="1" si="213"/>
        <v>-4476133729264966.5</v>
      </c>
      <c r="J5778" s="455">
        <f t="array" ref="J5778">IFERROR(INDEX('Retirement Calculator'!J:J,MATCH('Isaac 401k'!N5778,'Retirement Calculator'!A:A,0),0),0)</f>
        <v>0</v>
      </c>
      <c r="K5778" s="455">
        <f t="shared" ca="1" si="211"/>
        <v>-18650557205270.695</v>
      </c>
      <c r="L5778" s="455">
        <f t="shared" ca="1" si="212"/>
        <v>-4494784286470237</v>
      </c>
      <c r="M5778" s="471">
        <f t="shared" si="214"/>
        <v>0.05</v>
      </c>
      <c r="N5778" s="475">
        <f t="shared" si="215"/>
        <v>226908</v>
      </c>
    </row>
    <row r="5779" spans="7:14" ht="11.25" customHeight="1" x14ac:dyDescent="0.3">
      <c r="G5779" s="470"/>
      <c r="H5779" s="470">
        <v>5772</v>
      </c>
      <c r="I5779" s="455">
        <f t="shared" ca="1" si="213"/>
        <v>-4494784286470237</v>
      </c>
      <c r="J5779" s="455">
        <f t="array" ref="J5779">IFERROR(INDEX('Retirement Calculator'!J:J,MATCH('Isaac 401k'!N5779,'Retirement Calculator'!A:A,0),0),0)</f>
        <v>0</v>
      </c>
      <c r="K5779" s="455">
        <f t="shared" ca="1" si="211"/>
        <v>-18728267860292.656</v>
      </c>
      <c r="L5779" s="455">
        <f t="shared" ca="1" si="212"/>
        <v>-4513512554330530</v>
      </c>
      <c r="M5779" s="471">
        <f t="shared" si="214"/>
        <v>0.05</v>
      </c>
      <c r="N5779" s="475">
        <f t="shared" si="215"/>
        <v>226938</v>
      </c>
    </row>
    <row r="5780" spans="7:14" ht="11.25" customHeight="1" x14ac:dyDescent="0.3">
      <c r="G5780" s="470"/>
      <c r="H5780" s="470">
        <v>5773</v>
      </c>
      <c r="I5780" s="455">
        <f t="shared" ca="1" si="213"/>
        <v>-4513512554330530</v>
      </c>
      <c r="J5780" s="455">
        <f t="array" ref="J5780">IFERROR(INDEX('Retirement Calculator'!J:J,MATCH('Isaac 401k'!N5780,'Retirement Calculator'!A:A,0),0),0)</f>
        <v>0</v>
      </c>
      <c r="K5780" s="455">
        <f t="shared" ca="1" si="211"/>
        <v>-18806302309710.543</v>
      </c>
      <c r="L5780" s="455">
        <f t="shared" ca="1" si="212"/>
        <v>-4532318856640241</v>
      </c>
      <c r="M5780" s="471">
        <f t="shared" si="214"/>
        <v>0.05</v>
      </c>
      <c r="N5780" s="475">
        <f t="shared" si="215"/>
        <v>226969</v>
      </c>
    </row>
    <row r="5781" spans="7:14" ht="11.25" customHeight="1" x14ac:dyDescent="0.3">
      <c r="G5781" s="470"/>
      <c r="H5781" s="470">
        <v>5774</v>
      </c>
      <c r="I5781" s="455">
        <f t="shared" ca="1" si="213"/>
        <v>-4532318856640241</v>
      </c>
      <c r="J5781" s="455">
        <f t="array" ref="J5781">IFERROR(INDEX('Retirement Calculator'!J:J,MATCH('Isaac 401k'!N5781,'Retirement Calculator'!A:A,0),0),0)</f>
        <v>0</v>
      </c>
      <c r="K5781" s="455">
        <f t="shared" ca="1" si="211"/>
        <v>-18884661902667.672</v>
      </c>
      <c r="L5781" s="455">
        <f t="shared" ca="1" si="212"/>
        <v>-4551203518542909</v>
      </c>
      <c r="M5781" s="471">
        <f t="shared" si="214"/>
        <v>0.05</v>
      </c>
      <c r="N5781" s="475">
        <f t="shared" si="215"/>
        <v>226999</v>
      </c>
    </row>
    <row r="5782" spans="7:14" ht="11.25" customHeight="1" x14ac:dyDescent="0.3">
      <c r="G5782" s="470"/>
      <c r="H5782" s="470">
        <v>5775</v>
      </c>
      <c r="I5782" s="455">
        <f t="shared" ca="1" si="213"/>
        <v>-4551203518542909</v>
      </c>
      <c r="J5782" s="455">
        <f t="array" ref="J5782">IFERROR(INDEX('Retirement Calculator'!J:J,MATCH('Isaac 401k'!N5782,'Retirement Calculator'!A:A,0),0),0)</f>
        <v>0</v>
      </c>
      <c r="K5782" s="455">
        <f t="shared" ca="1" si="211"/>
        <v>-18963347993928.789</v>
      </c>
      <c r="L5782" s="455">
        <f t="shared" ca="1" si="212"/>
        <v>-4570166866536838</v>
      </c>
      <c r="M5782" s="471">
        <f t="shared" si="214"/>
        <v>0.05</v>
      </c>
      <c r="N5782" s="475">
        <f t="shared" si="215"/>
        <v>227030</v>
      </c>
    </row>
    <row r="5783" spans="7:14" ht="11.25" customHeight="1" x14ac:dyDescent="0.3">
      <c r="G5783" s="470"/>
      <c r="H5783" s="470">
        <v>5776</v>
      </c>
      <c r="I5783" s="455">
        <f t="shared" ca="1" si="213"/>
        <v>-4570166866536838</v>
      </c>
      <c r="J5783" s="455">
        <f t="array" ref="J5783">IFERROR(INDEX('Retirement Calculator'!J:J,MATCH('Isaac 401k'!N5783,'Retirement Calculator'!A:A,0),0),0)</f>
        <v>0</v>
      </c>
      <c r="K5783" s="455">
        <f t="shared" ca="1" si="211"/>
        <v>-19042361943903.492</v>
      </c>
      <c r="L5783" s="455">
        <f t="shared" ca="1" si="212"/>
        <v>-4589209228480741</v>
      </c>
      <c r="M5783" s="471">
        <f t="shared" si="214"/>
        <v>0.05</v>
      </c>
      <c r="N5783" s="475">
        <f t="shared" si="215"/>
        <v>227061</v>
      </c>
    </row>
    <row r="5784" spans="7:14" ht="11.25" customHeight="1" x14ac:dyDescent="0.3">
      <c r="G5784" s="470"/>
      <c r="H5784" s="470">
        <v>5777</v>
      </c>
      <c r="I5784" s="455">
        <f t="shared" ca="1" si="213"/>
        <v>-4589209228480741</v>
      </c>
      <c r="J5784" s="455">
        <f t="array" ref="J5784">IFERROR(INDEX('Retirement Calculator'!J:J,MATCH('Isaac 401k'!N5784,'Retirement Calculator'!A:A,0),0),0)</f>
        <v>0</v>
      </c>
      <c r="K5784" s="455">
        <f t="shared" ca="1" si="211"/>
        <v>-19121705118669.754</v>
      </c>
      <c r="L5784" s="455">
        <f t="shared" ca="1" si="212"/>
        <v>-4608330933599411</v>
      </c>
      <c r="M5784" s="471">
        <f t="shared" si="214"/>
        <v>0.05</v>
      </c>
      <c r="N5784" s="475">
        <f t="shared" si="215"/>
        <v>227091</v>
      </c>
    </row>
    <row r="5785" spans="7:14" ht="11.25" customHeight="1" x14ac:dyDescent="0.3">
      <c r="G5785" s="470"/>
      <c r="H5785" s="470">
        <v>5778</v>
      </c>
      <c r="I5785" s="455">
        <f t="shared" ca="1" si="213"/>
        <v>-4608330933599411</v>
      </c>
      <c r="J5785" s="455">
        <f t="array" ref="J5785">IFERROR(INDEX('Retirement Calculator'!J:J,MATCH('Isaac 401k'!N5785,'Retirement Calculator'!A:A,0),0),0)</f>
        <v>0</v>
      </c>
      <c r="K5785" s="455">
        <f t="shared" ca="1" si="211"/>
        <v>-19201378889997.547</v>
      </c>
      <c r="L5785" s="455">
        <f t="shared" ca="1" si="212"/>
        <v>-4627532312489409</v>
      </c>
      <c r="M5785" s="471">
        <f t="shared" si="214"/>
        <v>0.05</v>
      </c>
      <c r="N5785" s="475">
        <f t="shared" si="215"/>
        <v>227122</v>
      </c>
    </row>
    <row r="5786" spans="7:14" ht="11.25" customHeight="1" x14ac:dyDescent="0.3">
      <c r="G5786" s="470"/>
      <c r="H5786" s="470">
        <v>5779</v>
      </c>
      <c r="I5786" s="455">
        <f t="shared" ca="1" si="213"/>
        <v>-4627532312489409</v>
      </c>
      <c r="J5786" s="455">
        <f t="array" ref="J5786">IFERROR(INDEX('Retirement Calculator'!J:J,MATCH('Isaac 401k'!N5786,'Retirement Calculator'!A:A,0),0),0)</f>
        <v>0</v>
      </c>
      <c r="K5786" s="455">
        <f t="shared" ca="1" si="211"/>
        <v>-19281384635372.539</v>
      </c>
      <c r="L5786" s="455">
        <f t="shared" ca="1" si="212"/>
        <v>-4646813697124782</v>
      </c>
      <c r="M5786" s="471">
        <f t="shared" si="214"/>
        <v>0.05</v>
      </c>
      <c r="N5786" s="475">
        <f t="shared" si="215"/>
        <v>227152</v>
      </c>
    </row>
    <row r="5787" spans="7:14" ht="11.25" customHeight="1" x14ac:dyDescent="0.3">
      <c r="G5787" s="470"/>
      <c r="H5787" s="470">
        <v>5780</v>
      </c>
      <c r="I5787" s="455">
        <f t="shared" ca="1" si="213"/>
        <v>-4646813697124782</v>
      </c>
      <c r="J5787" s="455">
        <f t="array" ref="J5787">IFERROR(INDEX('Retirement Calculator'!J:J,MATCH('Isaac 401k'!N5787,'Retirement Calculator'!A:A,0),0),0)</f>
        <v>0</v>
      </c>
      <c r="K5787" s="455">
        <f t="shared" ca="1" si="211"/>
        <v>-19361723738019.926</v>
      </c>
      <c r="L5787" s="455">
        <f t="shared" ca="1" si="212"/>
        <v>-4666175420862802</v>
      </c>
      <c r="M5787" s="471">
        <f t="shared" si="214"/>
        <v>0.05</v>
      </c>
      <c r="N5787" s="475">
        <f t="shared" si="215"/>
        <v>227183</v>
      </c>
    </row>
    <row r="5788" spans="7:14" ht="11.25" customHeight="1" x14ac:dyDescent="0.3">
      <c r="G5788" s="470"/>
      <c r="H5788" s="470">
        <v>5781</v>
      </c>
      <c r="I5788" s="455">
        <f t="shared" ca="1" si="213"/>
        <v>-4666175420862802</v>
      </c>
      <c r="J5788" s="455">
        <f t="array" ref="J5788">IFERROR(INDEX('Retirement Calculator'!J:J,MATCH('Isaac 401k'!N5788,'Retirement Calculator'!A:A,0),0),0)</f>
        <v>0</v>
      </c>
      <c r="K5788" s="455">
        <f t="shared" ca="1" si="211"/>
        <v>-19442397586928.34</v>
      </c>
      <c r="L5788" s="455">
        <f t="shared" ca="1" si="212"/>
        <v>-4685617818449730</v>
      </c>
      <c r="M5788" s="471">
        <f t="shared" si="214"/>
        <v>0.05</v>
      </c>
      <c r="N5788" s="475">
        <f t="shared" si="215"/>
        <v>227214</v>
      </c>
    </row>
    <row r="5789" spans="7:14" ht="11.25" customHeight="1" x14ac:dyDescent="0.3">
      <c r="G5789" s="470"/>
      <c r="H5789" s="470">
        <v>5782</v>
      </c>
      <c r="I5789" s="455">
        <f t="shared" ca="1" si="213"/>
        <v>-4685617818449730</v>
      </c>
      <c r="J5789" s="455">
        <f t="array" ref="J5789">IFERROR(INDEX('Retirement Calculator'!J:J,MATCH('Isaac 401k'!N5789,'Retirement Calculator'!A:A,0),0),0)</f>
        <v>0</v>
      </c>
      <c r="K5789" s="455">
        <f t="shared" ca="1" si="211"/>
        <v>-19523407576873.875</v>
      </c>
      <c r="L5789" s="455">
        <f t="shared" ca="1" si="212"/>
        <v>-4705141226026604</v>
      </c>
      <c r="M5789" s="471">
        <f t="shared" si="214"/>
        <v>0.05</v>
      </c>
      <c r="N5789" s="475">
        <f t="shared" si="215"/>
        <v>227242</v>
      </c>
    </row>
    <row r="5790" spans="7:14" ht="11.25" customHeight="1" x14ac:dyDescent="0.3">
      <c r="G5790" s="470"/>
      <c r="H5790" s="470">
        <v>5783</v>
      </c>
      <c r="I5790" s="455">
        <f t="shared" ca="1" si="213"/>
        <v>-4705141226026604</v>
      </c>
      <c r="J5790" s="455">
        <f t="array" ref="J5790">IFERROR(INDEX('Retirement Calculator'!J:J,MATCH('Isaac 401k'!N5790,'Retirement Calculator'!A:A,0),0),0)</f>
        <v>0</v>
      </c>
      <c r="K5790" s="455">
        <f t="shared" ca="1" si="211"/>
        <v>-19604755108444.184</v>
      </c>
      <c r="L5790" s="455">
        <f t="shared" ca="1" si="212"/>
        <v>-4724745981135048</v>
      </c>
      <c r="M5790" s="471">
        <f t="shared" si="214"/>
        <v>0.05</v>
      </c>
      <c r="N5790" s="475">
        <f t="shared" si="215"/>
        <v>227273</v>
      </c>
    </row>
    <row r="5791" spans="7:14" ht="11.25" customHeight="1" x14ac:dyDescent="0.3">
      <c r="G5791" s="470"/>
      <c r="H5791" s="470">
        <v>5784</v>
      </c>
      <c r="I5791" s="455">
        <f t="shared" ca="1" si="213"/>
        <v>-4724745981135048</v>
      </c>
      <c r="J5791" s="455">
        <f t="array" ref="J5791">IFERROR(INDEX('Retirement Calculator'!J:J,MATCH('Isaac 401k'!N5791,'Retirement Calculator'!A:A,0),0),0)</f>
        <v>0</v>
      </c>
      <c r="K5791" s="455">
        <f t="shared" ca="1" si="211"/>
        <v>-19686441588062.699</v>
      </c>
      <c r="L5791" s="455">
        <f t="shared" ca="1" si="212"/>
        <v>-4744432422723111</v>
      </c>
      <c r="M5791" s="471">
        <f t="shared" si="214"/>
        <v>0.05</v>
      </c>
      <c r="N5791" s="475">
        <f t="shared" si="215"/>
        <v>227303</v>
      </c>
    </row>
    <row r="5792" spans="7:14" ht="11.25" customHeight="1" x14ac:dyDescent="0.3">
      <c r="G5792" s="470"/>
      <c r="H5792" s="470">
        <v>5785</v>
      </c>
      <c r="I5792" s="455">
        <f t="shared" ca="1" si="213"/>
        <v>-4744432422723111</v>
      </c>
      <c r="J5792" s="455">
        <f t="array" ref="J5792">IFERROR(INDEX('Retirement Calculator'!J:J,MATCH('Isaac 401k'!N5792,'Retirement Calculator'!A:A,0),0),0)</f>
        <v>0</v>
      </c>
      <c r="K5792" s="455">
        <f t="shared" ca="1" si="211"/>
        <v>-19768468428012.961</v>
      </c>
      <c r="L5792" s="455">
        <f t="shared" ca="1" si="212"/>
        <v>-4764200891151124</v>
      </c>
      <c r="M5792" s="471">
        <f t="shared" si="214"/>
        <v>0.05</v>
      </c>
      <c r="N5792" s="475">
        <f t="shared" si="215"/>
        <v>227334</v>
      </c>
    </row>
    <row r="5793" spans="7:14" ht="11.25" customHeight="1" x14ac:dyDescent="0.3">
      <c r="G5793" s="470"/>
      <c r="H5793" s="470">
        <v>5786</v>
      </c>
      <c r="I5793" s="455">
        <f t="shared" ca="1" si="213"/>
        <v>-4764200891151124</v>
      </c>
      <c r="J5793" s="455">
        <f t="array" ref="J5793">IFERROR(INDEX('Retirement Calculator'!J:J,MATCH('Isaac 401k'!N5793,'Retirement Calculator'!A:A,0),0),0)</f>
        <v>0</v>
      </c>
      <c r="K5793" s="455">
        <f t="shared" ca="1" si="211"/>
        <v>-19850837046463.016</v>
      </c>
      <c r="L5793" s="455">
        <f t="shared" ca="1" si="212"/>
        <v>-4784051728197587</v>
      </c>
      <c r="M5793" s="471">
        <f t="shared" si="214"/>
        <v>0.05</v>
      </c>
      <c r="N5793" s="475">
        <f t="shared" si="215"/>
        <v>227364</v>
      </c>
    </row>
    <row r="5794" spans="7:14" ht="11.25" customHeight="1" x14ac:dyDescent="0.3">
      <c r="G5794" s="470"/>
      <c r="H5794" s="470">
        <v>5787</v>
      </c>
      <c r="I5794" s="455">
        <f t="shared" ca="1" si="213"/>
        <v>-4784051728197587</v>
      </c>
      <c r="J5794" s="455">
        <f t="array" ref="J5794">IFERROR(INDEX('Retirement Calculator'!J:J,MATCH('Isaac 401k'!N5794,'Retirement Calculator'!A:A,0),0),0)</f>
        <v>0</v>
      </c>
      <c r="K5794" s="455">
        <f t="shared" ca="1" si="211"/>
        <v>-19933548867489.945</v>
      </c>
      <c r="L5794" s="455">
        <f t="shared" ca="1" si="212"/>
        <v>-4803985277065077</v>
      </c>
      <c r="M5794" s="471">
        <f t="shared" si="214"/>
        <v>0.05</v>
      </c>
      <c r="N5794" s="475">
        <f t="shared" si="215"/>
        <v>227395</v>
      </c>
    </row>
    <row r="5795" spans="7:14" ht="11.25" customHeight="1" x14ac:dyDescent="0.3">
      <c r="G5795" s="470"/>
      <c r="H5795" s="470">
        <v>5788</v>
      </c>
      <c r="I5795" s="455">
        <f t="shared" ca="1" si="213"/>
        <v>-4803985277065077</v>
      </c>
      <c r="J5795" s="455">
        <f t="array" ref="J5795">IFERROR(INDEX('Retirement Calculator'!J:J,MATCH('Isaac 401k'!N5795,'Retirement Calculator'!A:A,0),0),0)</f>
        <v>0</v>
      </c>
      <c r="K5795" s="455">
        <f t="shared" ca="1" si="211"/>
        <v>-20016605321104.488</v>
      </c>
      <c r="L5795" s="455">
        <f t="shared" ca="1" si="212"/>
        <v>-4824001882386181</v>
      </c>
      <c r="M5795" s="471">
        <f t="shared" si="214"/>
        <v>0.05</v>
      </c>
      <c r="N5795" s="475">
        <f t="shared" si="215"/>
        <v>227426</v>
      </c>
    </row>
    <row r="5796" spans="7:14" ht="11.25" customHeight="1" x14ac:dyDescent="0.3">
      <c r="G5796" s="470"/>
      <c r="H5796" s="470">
        <v>5789</v>
      </c>
      <c r="I5796" s="455">
        <f t="shared" ca="1" si="213"/>
        <v>-4824001882386181</v>
      </c>
      <c r="J5796" s="455">
        <f t="array" ref="J5796">IFERROR(INDEX('Retirement Calculator'!J:J,MATCH('Isaac 401k'!N5796,'Retirement Calculator'!A:A,0),0),0)</f>
        <v>0</v>
      </c>
      <c r="K5796" s="455">
        <f t="shared" ca="1" si="211"/>
        <v>-20100007843275.754</v>
      </c>
      <c r="L5796" s="455">
        <f t="shared" ca="1" si="212"/>
        <v>-4844101890229457</v>
      </c>
      <c r="M5796" s="471">
        <f t="shared" si="214"/>
        <v>0.05</v>
      </c>
      <c r="N5796" s="475">
        <f t="shared" si="215"/>
        <v>227456</v>
      </c>
    </row>
    <row r="5797" spans="7:14" ht="11.25" customHeight="1" x14ac:dyDescent="0.3">
      <c r="G5797" s="470"/>
      <c r="H5797" s="470">
        <v>5790</v>
      </c>
      <c r="I5797" s="455">
        <f t="shared" ca="1" si="213"/>
        <v>-4844101890229457</v>
      </c>
      <c r="J5797" s="455">
        <f t="array" ref="J5797">IFERROR(INDEX('Retirement Calculator'!J:J,MATCH('Isaac 401k'!N5797,'Retirement Calculator'!A:A,0),0),0)</f>
        <v>0</v>
      </c>
      <c r="K5797" s="455">
        <f t="shared" ca="1" si="211"/>
        <v>-20183757875956.07</v>
      </c>
      <c r="L5797" s="455">
        <f t="shared" ca="1" si="212"/>
        <v>-4864285648105413</v>
      </c>
      <c r="M5797" s="471">
        <f t="shared" si="214"/>
        <v>0.05</v>
      </c>
      <c r="N5797" s="475">
        <f t="shared" si="215"/>
        <v>227487</v>
      </c>
    </row>
    <row r="5798" spans="7:14" ht="11.25" customHeight="1" x14ac:dyDescent="0.3">
      <c r="G5798" s="470"/>
      <c r="H5798" s="470">
        <v>5791</v>
      </c>
      <c r="I5798" s="455">
        <f t="shared" ca="1" si="213"/>
        <v>-4864285648105413</v>
      </c>
      <c r="J5798" s="455">
        <f t="array" ref="J5798">IFERROR(INDEX('Retirement Calculator'!J:J,MATCH('Isaac 401k'!N5798,'Retirement Calculator'!A:A,0),0),0)</f>
        <v>0</v>
      </c>
      <c r="K5798" s="455">
        <f t="shared" ca="1" si="211"/>
        <v>-20267856867105.887</v>
      </c>
      <c r="L5798" s="455">
        <f t="shared" ca="1" si="212"/>
        <v>-4884553504972519</v>
      </c>
      <c r="M5798" s="471">
        <f t="shared" si="214"/>
        <v>0.05</v>
      </c>
      <c r="N5798" s="475">
        <f t="shared" si="215"/>
        <v>227517</v>
      </c>
    </row>
    <row r="5799" spans="7:14" ht="11.25" customHeight="1" x14ac:dyDescent="0.3">
      <c r="G5799" s="470"/>
      <c r="H5799" s="470">
        <v>5792</v>
      </c>
      <c r="I5799" s="455">
        <f t="shared" ca="1" si="213"/>
        <v>-4884553504972519</v>
      </c>
      <c r="J5799" s="455">
        <f t="array" ref="J5799">IFERROR(INDEX('Retirement Calculator'!J:J,MATCH('Isaac 401k'!N5799,'Retirement Calculator'!A:A,0),0),0)</f>
        <v>0</v>
      </c>
      <c r="K5799" s="455">
        <f t="shared" ca="1" si="211"/>
        <v>-20352306270718.828</v>
      </c>
      <c r="L5799" s="455">
        <f t="shared" ca="1" si="212"/>
        <v>-4904905811243238</v>
      </c>
      <c r="M5799" s="471">
        <f t="shared" si="214"/>
        <v>0.05</v>
      </c>
      <c r="N5799" s="475">
        <f t="shared" si="215"/>
        <v>227548</v>
      </c>
    </row>
    <row r="5800" spans="7:14" ht="11.25" customHeight="1" x14ac:dyDescent="0.3">
      <c r="G5800" s="470"/>
      <c r="H5800" s="470">
        <v>5793</v>
      </c>
      <c r="I5800" s="455">
        <f t="shared" ca="1" si="213"/>
        <v>-4904905811243238</v>
      </c>
      <c r="J5800" s="455">
        <f t="array" ref="J5800">IFERROR(INDEX('Retirement Calculator'!J:J,MATCH('Isaac 401k'!N5800,'Retirement Calculator'!A:A,0),0),0)</f>
        <v>0</v>
      </c>
      <c r="K5800" s="455">
        <f t="shared" ca="1" si="211"/>
        <v>-20437107546846.824</v>
      </c>
      <c r="L5800" s="455">
        <f t="shared" ca="1" si="212"/>
        <v>-4925342918790085</v>
      </c>
      <c r="M5800" s="471">
        <f t="shared" si="214"/>
        <v>0.05</v>
      </c>
      <c r="N5800" s="475">
        <f t="shared" si="215"/>
        <v>227579</v>
      </c>
    </row>
    <row r="5801" spans="7:14" ht="11.25" customHeight="1" x14ac:dyDescent="0.3">
      <c r="G5801" s="470"/>
      <c r="H5801" s="470">
        <v>5794</v>
      </c>
      <c r="I5801" s="455">
        <f t="shared" ca="1" si="213"/>
        <v>-4925342918790085</v>
      </c>
      <c r="J5801" s="455">
        <f t="array" ref="J5801">IFERROR(INDEX('Retirement Calculator'!J:J,MATCH('Isaac 401k'!N5801,'Retirement Calculator'!A:A,0),0),0)</f>
        <v>0</v>
      </c>
      <c r="K5801" s="455">
        <f t="shared" ca="1" si="211"/>
        <v>-20522262161625.355</v>
      </c>
      <c r="L5801" s="455">
        <f t="shared" ca="1" si="212"/>
        <v>-4945865180951710</v>
      </c>
      <c r="M5801" s="471">
        <f t="shared" si="214"/>
        <v>0.05</v>
      </c>
      <c r="N5801" s="475">
        <f t="shared" si="215"/>
        <v>227607</v>
      </c>
    </row>
    <row r="5802" spans="7:14" ht="11.25" customHeight="1" x14ac:dyDescent="0.3">
      <c r="G5802" s="470"/>
      <c r="H5802" s="470">
        <v>5795</v>
      </c>
      <c r="I5802" s="455">
        <f t="shared" ca="1" si="213"/>
        <v>-4945865180951710</v>
      </c>
      <c r="J5802" s="455">
        <f t="array" ref="J5802">IFERROR(INDEX('Retirement Calculator'!J:J,MATCH('Isaac 401k'!N5802,'Retirement Calculator'!A:A,0),0),0)</f>
        <v>0</v>
      </c>
      <c r="K5802" s="455">
        <f t="shared" ca="1" si="211"/>
        <v>-20607771587298.793</v>
      </c>
      <c r="L5802" s="455">
        <f t="shared" ca="1" si="212"/>
        <v>-4966472952539009</v>
      </c>
      <c r="M5802" s="471">
        <f t="shared" si="214"/>
        <v>0.05</v>
      </c>
      <c r="N5802" s="475">
        <f t="shared" si="215"/>
        <v>227638</v>
      </c>
    </row>
    <row r="5803" spans="7:14" ht="11.25" customHeight="1" x14ac:dyDescent="0.3">
      <c r="G5803" s="470"/>
      <c r="H5803" s="470">
        <v>5796</v>
      </c>
      <c r="I5803" s="455">
        <f t="shared" ca="1" si="213"/>
        <v>-4966472952539009</v>
      </c>
      <c r="J5803" s="455">
        <f t="array" ref="J5803">IFERROR(INDEX('Retirement Calculator'!J:J,MATCH('Isaac 401k'!N5803,'Retirement Calculator'!A:A,0),0),0)</f>
        <v>0</v>
      </c>
      <c r="K5803" s="455">
        <f t="shared" ca="1" si="211"/>
        <v>-20693637302245.871</v>
      </c>
      <c r="L5803" s="455">
        <f t="shared" ca="1" si="212"/>
        <v>-4987166589841255</v>
      </c>
      <c r="M5803" s="471">
        <f t="shared" si="214"/>
        <v>0.05</v>
      </c>
      <c r="N5803" s="475">
        <f t="shared" si="215"/>
        <v>227668</v>
      </c>
    </row>
    <row r="5804" spans="7:14" ht="11.25" customHeight="1" x14ac:dyDescent="0.3">
      <c r="G5804" s="470"/>
      <c r="H5804" s="470">
        <v>5797</v>
      </c>
      <c r="I5804" s="455">
        <f t="shared" ca="1" si="213"/>
        <v>-4987166589841255</v>
      </c>
      <c r="J5804" s="455">
        <f t="array" ref="J5804">IFERROR(INDEX('Retirement Calculator'!J:J,MATCH('Isaac 401k'!N5804,'Retirement Calculator'!A:A,0),0),0)</f>
        <v>0</v>
      </c>
      <c r="K5804" s="455">
        <f t="shared" ca="1" si="211"/>
        <v>-20779860791005.23</v>
      </c>
      <c r="L5804" s="455">
        <f t="shared" ca="1" si="212"/>
        <v>-5007946450632260</v>
      </c>
      <c r="M5804" s="471">
        <f t="shared" si="214"/>
        <v>0.05</v>
      </c>
      <c r="N5804" s="475">
        <f t="shared" si="215"/>
        <v>227699</v>
      </c>
    </row>
    <row r="5805" spans="7:14" ht="11.25" customHeight="1" x14ac:dyDescent="0.3">
      <c r="G5805" s="470"/>
      <c r="H5805" s="470">
        <v>5798</v>
      </c>
      <c r="I5805" s="455">
        <f t="shared" ca="1" si="213"/>
        <v>-5007946450632260</v>
      </c>
      <c r="J5805" s="455">
        <f t="array" ref="J5805">IFERROR(INDEX('Retirement Calculator'!J:J,MATCH('Isaac 401k'!N5805,'Retirement Calculator'!A:A,0),0),0)</f>
        <v>0</v>
      </c>
      <c r="K5805" s="455">
        <f t="shared" ca="1" si="211"/>
        <v>-20866443544301.082</v>
      </c>
      <c r="L5805" s="455">
        <f t="shared" ca="1" si="212"/>
        <v>-5028812894176561</v>
      </c>
      <c r="M5805" s="471">
        <f t="shared" si="214"/>
        <v>0.05</v>
      </c>
      <c r="N5805" s="475">
        <f t="shared" si="215"/>
        <v>227729</v>
      </c>
    </row>
    <row r="5806" spans="7:14" ht="11.25" customHeight="1" x14ac:dyDescent="0.3">
      <c r="G5806" s="470"/>
      <c r="H5806" s="470">
        <v>5799</v>
      </c>
      <c r="I5806" s="455">
        <f t="shared" ca="1" si="213"/>
        <v>-5028812894176561</v>
      </c>
      <c r="J5806" s="455">
        <f t="array" ref="J5806">IFERROR(INDEX('Retirement Calculator'!J:J,MATCH('Isaac 401k'!N5806,'Retirement Calculator'!A:A,0),0),0)</f>
        <v>0</v>
      </c>
      <c r="K5806" s="455">
        <f t="shared" ca="1" si="211"/>
        <v>-20953387059069.004</v>
      </c>
      <c r="L5806" s="455">
        <f t="shared" ca="1" si="212"/>
        <v>-5049766281235630</v>
      </c>
      <c r="M5806" s="471">
        <f t="shared" si="214"/>
        <v>0.05</v>
      </c>
      <c r="N5806" s="475">
        <f t="shared" si="215"/>
        <v>227760</v>
      </c>
    </row>
    <row r="5807" spans="7:14" ht="11.25" customHeight="1" x14ac:dyDescent="0.3">
      <c r="G5807" s="470"/>
      <c r="H5807" s="470">
        <v>5800</v>
      </c>
      <c r="I5807" s="455">
        <f t="shared" ca="1" si="213"/>
        <v>-5049766281235630</v>
      </c>
      <c r="J5807" s="455">
        <f t="array" ref="J5807">IFERROR(INDEX('Retirement Calculator'!J:J,MATCH('Isaac 401k'!N5807,'Retirement Calculator'!A:A,0),0),0)</f>
        <v>0</v>
      </c>
      <c r="K5807" s="455">
        <f t="shared" ca="1" si="211"/>
        <v>-21040692838481.793</v>
      </c>
      <c r="L5807" s="455">
        <f t="shared" ca="1" si="212"/>
        <v>-5070806974074112</v>
      </c>
      <c r="M5807" s="471">
        <f t="shared" si="214"/>
        <v>0.05</v>
      </c>
      <c r="N5807" s="475">
        <f t="shared" si="215"/>
        <v>227791</v>
      </c>
    </row>
    <row r="5808" spans="7:14" ht="11.25" customHeight="1" x14ac:dyDescent="0.3">
      <c r="G5808" s="470"/>
      <c r="H5808" s="470">
        <v>5801</v>
      </c>
      <c r="I5808" s="455">
        <f t="shared" ca="1" si="213"/>
        <v>-5070806974074112</v>
      </c>
      <c r="J5808" s="455">
        <f t="array" ref="J5808">IFERROR(INDEX('Retirement Calculator'!J:J,MATCH('Isaac 401k'!N5808,'Retirement Calculator'!A:A,0),0),0)</f>
        <v>0</v>
      </c>
      <c r="K5808" s="455">
        <f t="shared" ca="1" si="211"/>
        <v>-21128362391975.465</v>
      </c>
      <c r="L5808" s="455">
        <f t="shared" ca="1" si="212"/>
        <v>-5091935336466087</v>
      </c>
      <c r="M5808" s="471">
        <f t="shared" si="214"/>
        <v>0.05</v>
      </c>
      <c r="N5808" s="475">
        <f t="shared" si="215"/>
        <v>227821</v>
      </c>
    </row>
    <row r="5809" spans="7:14" ht="11.25" customHeight="1" x14ac:dyDescent="0.3">
      <c r="G5809" s="470"/>
      <c r="H5809" s="470">
        <v>5802</v>
      </c>
      <c r="I5809" s="455">
        <f t="shared" ca="1" si="213"/>
        <v>-5091935336466087</v>
      </c>
      <c r="J5809" s="455">
        <f t="array" ref="J5809">IFERROR(INDEX('Retirement Calculator'!J:J,MATCH('Isaac 401k'!N5809,'Retirement Calculator'!A:A,0),0),0)</f>
        <v>0</v>
      </c>
      <c r="K5809" s="455">
        <f t="shared" ca="1" si="211"/>
        <v>-21216397235275.363</v>
      </c>
      <c r="L5809" s="455">
        <f t="shared" ca="1" si="212"/>
        <v>-5113151733701362</v>
      </c>
      <c r="M5809" s="471">
        <f t="shared" si="214"/>
        <v>0.05</v>
      </c>
      <c r="N5809" s="475">
        <f t="shared" si="215"/>
        <v>227852</v>
      </c>
    </row>
    <row r="5810" spans="7:14" ht="11.25" customHeight="1" x14ac:dyDescent="0.3">
      <c r="G5810" s="470"/>
      <c r="H5810" s="470">
        <v>5803</v>
      </c>
      <c r="I5810" s="455">
        <f t="shared" ca="1" si="213"/>
        <v>-5113151733701362</v>
      </c>
      <c r="J5810" s="455">
        <f t="array" ref="J5810">IFERROR(INDEX('Retirement Calculator'!J:J,MATCH('Isaac 401k'!N5810,'Retirement Calculator'!A:A,0),0),0)</f>
        <v>0</v>
      </c>
      <c r="K5810" s="455">
        <f t="shared" ca="1" si="211"/>
        <v>-21304798890422.34</v>
      </c>
      <c r="L5810" s="455">
        <f t="shared" ca="1" si="212"/>
        <v>-5134456532591784</v>
      </c>
      <c r="M5810" s="471">
        <f t="shared" si="214"/>
        <v>0.05</v>
      </c>
      <c r="N5810" s="475">
        <f t="shared" si="215"/>
        <v>227882</v>
      </c>
    </row>
    <row r="5811" spans="7:14" ht="11.25" customHeight="1" x14ac:dyDescent="0.3">
      <c r="G5811" s="470"/>
      <c r="H5811" s="470">
        <v>5804</v>
      </c>
      <c r="I5811" s="455">
        <f t="shared" ca="1" si="213"/>
        <v>-5134456532591784</v>
      </c>
      <c r="J5811" s="455">
        <f t="array" ref="J5811">IFERROR(INDEX('Retirement Calculator'!J:J,MATCH('Isaac 401k'!N5811,'Retirement Calculator'!A:A,0),0),0)</f>
        <v>0</v>
      </c>
      <c r="K5811" s="455">
        <f t="shared" ca="1" si="211"/>
        <v>-21393568885799.102</v>
      </c>
      <c r="L5811" s="455">
        <f t="shared" ca="1" si="212"/>
        <v>-5155850101477583</v>
      </c>
      <c r="M5811" s="471">
        <f t="shared" si="214"/>
        <v>0.05</v>
      </c>
      <c r="N5811" s="475">
        <f t="shared" si="215"/>
        <v>227913</v>
      </c>
    </row>
    <row r="5812" spans="7:14" ht="11.25" customHeight="1" x14ac:dyDescent="0.3">
      <c r="G5812" s="470"/>
      <c r="H5812" s="470">
        <v>5805</v>
      </c>
      <c r="I5812" s="455">
        <f t="shared" ca="1" si="213"/>
        <v>-5155850101477583</v>
      </c>
      <c r="J5812" s="455">
        <f t="array" ref="J5812">IFERROR(INDEX('Retirement Calculator'!J:J,MATCH('Isaac 401k'!N5812,'Retirement Calculator'!A:A,0),0),0)</f>
        <v>0</v>
      </c>
      <c r="K5812" s="455">
        <f t="shared" ca="1" si="211"/>
        <v>-21482708756156.594</v>
      </c>
      <c r="L5812" s="455">
        <f t="shared" ca="1" si="212"/>
        <v>-5177332810233740</v>
      </c>
      <c r="M5812" s="471">
        <f t="shared" si="214"/>
        <v>0.05</v>
      </c>
      <c r="N5812" s="475">
        <f t="shared" si="215"/>
        <v>227944</v>
      </c>
    </row>
    <row r="5813" spans="7:14" ht="11.25" customHeight="1" x14ac:dyDescent="0.3">
      <c r="G5813" s="470"/>
      <c r="H5813" s="470">
        <v>5806</v>
      </c>
      <c r="I5813" s="455">
        <f t="shared" ca="1" si="213"/>
        <v>-5177332810233740</v>
      </c>
      <c r="J5813" s="455">
        <f t="array" ref="J5813">IFERROR(INDEX('Retirement Calculator'!J:J,MATCH('Isaac 401k'!N5813,'Retirement Calculator'!A:A,0),0),0)</f>
        <v>0</v>
      </c>
      <c r="K5813" s="455">
        <f t="shared" ca="1" si="211"/>
        <v>-21572220042640.582</v>
      </c>
      <c r="L5813" s="455">
        <f t="shared" ca="1" si="212"/>
        <v>-5198905030276381</v>
      </c>
      <c r="M5813" s="471">
        <f t="shared" si="214"/>
        <v>0.05</v>
      </c>
      <c r="N5813" s="475">
        <f t="shared" si="215"/>
        <v>227973</v>
      </c>
    </row>
    <row r="5814" spans="7:14" ht="11.25" customHeight="1" x14ac:dyDescent="0.3">
      <c r="G5814" s="470"/>
      <c r="H5814" s="470">
        <v>5807</v>
      </c>
      <c r="I5814" s="455">
        <f t="shared" ca="1" si="213"/>
        <v>-5198905030276381</v>
      </c>
      <c r="J5814" s="455">
        <f t="array" ref="J5814">IFERROR(INDEX('Retirement Calculator'!J:J,MATCH('Isaac 401k'!N5814,'Retirement Calculator'!A:A,0),0),0)</f>
        <v>0</v>
      </c>
      <c r="K5814" s="455">
        <f t="shared" ca="1" si="211"/>
        <v>-21662104292818.254</v>
      </c>
      <c r="L5814" s="455">
        <f t="shared" ca="1" si="212"/>
        <v>-5220567134569199</v>
      </c>
      <c r="M5814" s="471">
        <f t="shared" si="214"/>
        <v>0.05</v>
      </c>
      <c r="N5814" s="475">
        <f t="shared" si="215"/>
        <v>228004</v>
      </c>
    </row>
    <row r="5815" spans="7:14" ht="11.25" customHeight="1" x14ac:dyDescent="0.3">
      <c r="G5815" s="470"/>
      <c r="H5815" s="470">
        <v>5808</v>
      </c>
      <c r="I5815" s="455">
        <f t="shared" ca="1" si="213"/>
        <v>-5220567134569199</v>
      </c>
      <c r="J5815" s="455">
        <f t="array" ref="J5815">IFERROR(INDEX('Retirement Calculator'!J:J,MATCH('Isaac 401k'!N5815,'Retirement Calculator'!A:A,0),0),0)</f>
        <v>0</v>
      </c>
      <c r="K5815" s="455">
        <f t="shared" ca="1" si="211"/>
        <v>-21752363060704.996</v>
      </c>
      <c r="L5815" s="455">
        <f t="shared" ca="1" si="212"/>
        <v>-5242319497629904</v>
      </c>
      <c r="M5815" s="471">
        <f t="shared" si="214"/>
        <v>0.05</v>
      </c>
      <c r="N5815" s="475">
        <f t="shared" si="215"/>
        <v>228034</v>
      </c>
    </row>
    <row r="5816" spans="7:14" ht="11.25" customHeight="1" x14ac:dyDescent="0.3">
      <c r="G5816" s="470"/>
      <c r="H5816" s="470">
        <v>5809</v>
      </c>
      <c r="I5816" s="455">
        <f t="shared" ca="1" si="213"/>
        <v>-5242319497629904</v>
      </c>
      <c r="J5816" s="455">
        <f t="array" ref="J5816">IFERROR(INDEX('Retirement Calculator'!J:J,MATCH('Isaac 401k'!N5816,'Retirement Calculator'!A:A,0),0),0)</f>
        <v>0</v>
      </c>
      <c r="K5816" s="455">
        <f t="shared" ca="1" si="211"/>
        <v>-21842997906791.266</v>
      </c>
      <c r="L5816" s="455">
        <f t="shared" ca="1" si="212"/>
        <v>-5264162495536695</v>
      </c>
      <c r="M5816" s="471">
        <f t="shared" si="214"/>
        <v>0.05</v>
      </c>
      <c r="N5816" s="475">
        <f t="shared" si="215"/>
        <v>228065</v>
      </c>
    </row>
    <row r="5817" spans="7:14" ht="11.25" customHeight="1" x14ac:dyDescent="0.3">
      <c r="G5817" s="470"/>
      <c r="H5817" s="470">
        <v>5810</v>
      </c>
      <c r="I5817" s="455">
        <f t="shared" ca="1" si="213"/>
        <v>-5264162495536695</v>
      </c>
      <c r="J5817" s="455">
        <f t="array" ref="J5817">IFERROR(INDEX('Retirement Calculator'!J:J,MATCH('Isaac 401k'!N5817,'Retirement Calculator'!A:A,0),0),0)</f>
        <v>0</v>
      </c>
      <c r="K5817" s="455">
        <f t="shared" ca="1" si="211"/>
        <v>-21934010398069.563</v>
      </c>
      <c r="L5817" s="455">
        <f t="shared" ca="1" si="212"/>
        <v>-5286096505934765</v>
      </c>
      <c r="M5817" s="471">
        <f t="shared" si="214"/>
        <v>0.05</v>
      </c>
      <c r="N5817" s="475">
        <f t="shared" si="215"/>
        <v>228095</v>
      </c>
    </row>
    <row r="5818" spans="7:14" ht="11.25" customHeight="1" x14ac:dyDescent="0.3">
      <c r="G5818" s="470"/>
      <c r="H5818" s="470">
        <v>5811</v>
      </c>
      <c r="I5818" s="455">
        <f t="shared" ca="1" si="213"/>
        <v>-5286096505934765</v>
      </c>
      <c r="J5818" s="455">
        <f t="array" ref="J5818">IFERROR(INDEX('Retirement Calculator'!J:J,MATCH('Isaac 401k'!N5818,'Retirement Calculator'!A:A,0),0),0)</f>
        <v>0</v>
      </c>
      <c r="K5818" s="455">
        <f t="shared" ca="1" si="211"/>
        <v>-22025402108061.52</v>
      </c>
      <c r="L5818" s="455">
        <f t="shared" ca="1" si="212"/>
        <v>-5308121908042827</v>
      </c>
      <c r="M5818" s="471">
        <f t="shared" si="214"/>
        <v>0.05</v>
      </c>
      <c r="N5818" s="475">
        <f t="shared" si="215"/>
        <v>228126</v>
      </c>
    </row>
    <row r="5819" spans="7:14" ht="11.25" customHeight="1" x14ac:dyDescent="0.3">
      <c r="G5819" s="470"/>
      <c r="H5819" s="470">
        <v>5812</v>
      </c>
      <c r="I5819" s="455">
        <f t="shared" ca="1" si="213"/>
        <v>-5308121908042827</v>
      </c>
      <c r="J5819" s="455">
        <f t="array" ref="J5819">IFERROR(INDEX('Retirement Calculator'!J:J,MATCH('Isaac 401k'!N5819,'Retirement Calculator'!A:A,0),0),0)</f>
        <v>0</v>
      </c>
      <c r="K5819" s="455">
        <f t="shared" ca="1" si="211"/>
        <v>-22117174616845.113</v>
      </c>
      <c r="L5819" s="455">
        <f t="shared" ca="1" si="212"/>
        <v>-5330239082659672</v>
      </c>
      <c r="M5819" s="471">
        <f t="shared" si="214"/>
        <v>0.05</v>
      </c>
      <c r="N5819" s="475">
        <f t="shared" si="215"/>
        <v>228157</v>
      </c>
    </row>
    <row r="5820" spans="7:14" ht="11.25" customHeight="1" x14ac:dyDescent="0.3">
      <c r="G5820" s="470"/>
      <c r="H5820" s="470">
        <v>5813</v>
      </c>
      <c r="I5820" s="455">
        <f t="shared" ca="1" si="213"/>
        <v>-5330239082659672</v>
      </c>
      <c r="J5820" s="455">
        <f t="array" ref="J5820">IFERROR(INDEX('Retirement Calculator'!J:J,MATCH('Isaac 401k'!N5820,'Retirement Calculator'!A:A,0),0),0)</f>
        <v>0</v>
      </c>
      <c r="K5820" s="455">
        <f t="shared" ca="1" si="211"/>
        <v>-22209329511081.965</v>
      </c>
      <c r="L5820" s="455">
        <f t="shared" ca="1" si="212"/>
        <v>-5352448412170754</v>
      </c>
      <c r="M5820" s="471">
        <f t="shared" si="214"/>
        <v>0.05</v>
      </c>
      <c r="N5820" s="475">
        <f t="shared" si="215"/>
        <v>228187</v>
      </c>
    </row>
    <row r="5821" spans="7:14" ht="11.25" customHeight="1" x14ac:dyDescent="0.3">
      <c r="G5821" s="470"/>
      <c r="H5821" s="470">
        <v>5814</v>
      </c>
      <c r="I5821" s="455">
        <f t="shared" ca="1" si="213"/>
        <v>-5352448412170754</v>
      </c>
      <c r="J5821" s="455">
        <f t="array" ref="J5821">IFERROR(INDEX('Retirement Calculator'!J:J,MATCH('Isaac 401k'!N5821,'Retirement Calculator'!A:A,0),0),0)</f>
        <v>0</v>
      </c>
      <c r="K5821" s="455">
        <f t="shared" ca="1" si="211"/>
        <v>-22301868384044.809</v>
      </c>
      <c r="L5821" s="455">
        <f t="shared" ca="1" si="212"/>
        <v>-5374750280554799</v>
      </c>
      <c r="M5821" s="471">
        <f t="shared" si="214"/>
        <v>0.05</v>
      </c>
      <c r="N5821" s="475">
        <f t="shared" si="215"/>
        <v>228218</v>
      </c>
    </row>
    <row r="5822" spans="7:14" ht="11.25" customHeight="1" x14ac:dyDescent="0.3">
      <c r="G5822" s="470"/>
      <c r="H5822" s="470">
        <v>5815</v>
      </c>
      <c r="I5822" s="455">
        <f t="shared" ca="1" si="213"/>
        <v>-5374750280554799</v>
      </c>
      <c r="J5822" s="455">
        <f t="array" ref="J5822">IFERROR(INDEX('Retirement Calculator'!J:J,MATCH('Isaac 401k'!N5822,'Retirement Calculator'!A:A,0),0),0)</f>
        <v>0</v>
      </c>
      <c r="K5822" s="455">
        <f t="shared" ca="1" si="211"/>
        <v>-22394792835644.996</v>
      </c>
      <c r="L5822" s="455">
        <f t="shared" ca="1" si="212"/>
        <v>-5397145073390444</v>
      </c>
      <c r="M5822" s="471">
        <f t="shared" si="214"/>
        <v>0.05</v>
      </c>
      <c r="N5822" s="475">
        <f t="shared" si="215"/>
        <v>228248</v>
      </c>
    </row>
    <row r="5823" spans="7:14" ht="11.25" customHeight="1" x14ac:dyDescent="0.3">
      <c r="G5823" s="470"/>
      <c r="H5823" s="470">
        <v>5816</v>
      </c>
      <c r="I5823" s="455">
        <f t="shared" ca="1" si="213"/>
        <v>-5397145073390444</v>
      </c>
      <c r="J5823" s="455">
        <f t="array" ref="J5823">IFERROR(INDEX('Retirement Calculator'!J:J,MATCH('Isaac 401k'!N5823,'Retirement Calculator'!A:A,0),0),0)</f>
        <v>0</v>
      </c>
      <c r="K5823" s="455">
        <f t="shared" ca="1" si="211"/>
        <v>-22488104472460.184</v>
      </c>
      <c r="L5823" s="455">
        <f t="shared" ca="1" si="212"/>
        <v>-5419633177862904</v>
      </c>
      <c r="M5823" s="471">
        <f t="shared" si="214"/>
        <v>0.05</v>
      </c>
      <c r="N5823" s="475">
        <f t="shared" si="215"/>
        <v>228279</v>
      </c>
    </row>
    <row r="5824" spans="7:14" ht="11.25" customHeight="1" x14ac:dyDescent="0.3">
      <c r="G5824" s="470"/>
      <c r="H5824" s="470">
        <v>5817</v>
      </c>
      <c r="I5824" s="455">
        <f t="shared" ca="1" si="213"/>
        <v>-5419633177862904</v>
      </c>
      <c r="J5824" s="455">
        <f t="array" ref="J5824">IFERROR(INDEX('Retirement Calculator'!J:J,MATCH('Isaac 401k'!N5824,'Retirement Calculator'!A:A,0),0),0)</f>
        <v>0</v>
      </c>
      <c r="K5824" s="455">
        <f t="shared" ca="1" si="211"/>
        <v>-22581804907762.102</v>
      </c>
      <c r="L5824" s="455">
        <f t="shared" ca="1" si="212"/>
        <v>-5442214982770666</v>
      </c>
      <c r="M5824" s="471">
        <f t="shared" si="214"/>
        <v>0.05</v>
      </c>
      <c r="N5824" s="475">
        <f t="shared" si="215"/>
        <v>228310</v>
      </c>
    </row>
    <row r="5825" spans="7:14" ht="11.25" customHeight="1" x14ac:dyDescent="0.3">
      <c r="G5825" s="470"/>
      <c r="H5825" s="470">
        <v>5818</v>
      </c>
      <c r="I5825" s="455">
        <f t="shared" ca="1" si="213"/>
        <v>-5442214982770666</v>
      </c>
      <c r="J5825" s="455">
        <f t="array" ref="J5825">IFERROR(INDEX('Retirement Calculator'!J:J,MATCH('Isaac 401k'!N5825,'Retirement Calculator'!A:A,0),0),0)</f>
        <v>0</v>
      </c>
      <c r="K5825" s="455">
        <f t="shared" ca="1" si="211"/>
        <v>-22675895761544.441</v>
      </c>
      <c r="L5825" s="455">
        <f t="shared" ca="1" si="212"/>
        <v>-5464890878532210</v>
      </c>
      <c r="M5825" s="471">
        <f t="shared" si="214"/>
        <v>0.05</v>
      </c>
      <c r="N5825" s="475">
        <f t="shared" si="215"/>
        <v>228338</v>
      </c>
    </row>
    <row r="5826" spans="7:14" ht="11.25" customHeight="1" x14ac:dyDescent="0.3">
      <c r="G5826" s="470"/>
      <c r="H5826" s="470">
        <v>5819</v>
      </c>
      <c r="I5826" s="455">
        <f t="shared" ca="1" si="213"/>
        <v>-5464890878532210</v>
      </c>
      <c r="J5826" s="455">
        <f t="array" ref="J5826">IFERROR(INDEX('Retirement Calculator'!J:J,MATCH('Isaac 401k'!N5826,'Retirement Calculator'!A:A,0),0),0)</f>
        <v>0</v>
      </c>
      <c r="K5826" s="455">
        <f t="shared" ca="1" si="211"/>
        <v>-22770378660550.875</v>
      </c>
      <c r="L5826" s="455">
        <f t="shared" ca="1" si="212"/>
        <v>-5487661257192761</v>
      </c>
      <c r="M5826" s="471">
        <f t="shared" si="214"/>
        <v>0.05</v>
      </c>
      <c r="N5826" s="475">
        <f t="shared" si="215"/>
        <v>228369</v>
      </c>
    </row>
    <row r="5827" spans="7:14" ht="11.25" customHeight="1" x14ac:dyDescent="0.3">
      <c r="G5827" s="470"/>
      <c r="H5827" s="470">
        <v>5820</v>
      </c>
      <c r="I5827" s="455">
        <f t="shared" ca="1" si="213"/>
        <v>-5487661257192761</v>
      </c>
      <c r="J5827" s="455">
        <f t="array" ref="J5827">IFERROR(INDEX('Retirement Calculator'!J:J,MATCH('Isaac 401k'!N5827,'Retirement Calculator'!A:A,0),0),0)</f>
        <v>0</v>
      </c>
      <c r="K5827" s="455">
        <f t="shared" ca="1" si="211"/>
        <v>-22865255238303.172</v>
      </c>
      <c r="L5827" s="455">
        <f t="shared" ca="1" si="212"/>
        <v>-5510526512431064</v>
      </c>
      <c r="M5827" s="471">
        <f t="shared" si="214"/>
        <v>0.05</v>
      </c>
      <c r="N5827" s="475">
        <f t="shared" si="215"/>
        <v>228399</v>
      </c>
    </row>
    <row r="5828" spans="7:14" ht="11.25" customHeight="1" x14ac:dyDescent="0.3">
      <c r="G5828" s="470"/>
      <c r="H5828" s="470">
        <v>5821</v>
      </c>
      <c r="I5828" s="455">
        <f t="shared" ca="1" si="213"/>
        <v>-5510526512431064</v>
      </c>
      <c r="J5828" s="455">
        <f t="array" ref="J5828">IFERROR(INDEX('Retirement Calculator'!J:J,MATCH('Isaac 401k'!N5828,'Retirement Calculator'!A:A,0),0),0)</f>
        <v>0</v>
      </c>
      <c r="K5828" s="455">
        <f t="shared" ca="1" si="211"/>
        <v>-22960527135129.434</v>
      </c>
      <c r="L5828" s="455">
        <f t="shared" ca="1" si="212"/>
        <v>-5533487039566193</v>
      </c>
      <c r="M5828" s="471">
        <f t="shared" si="214"/>
        <v>0.05</v>
      </c>
      <c r="N5828" s="475">
        <f t="shared" si="215"/>
        <v>228430</v>
      </c>
    </row>
    <row r="5829" spans="7:14" ht="11.25" customHeight="1" x14ac:dyDescent="0.3">
      <c r="G5829" s="470"/>
      <c r="H5829" s="470">
        <v>5822</v>
      </c>
      <c r="I5829" s="455">
        <f t="shared" ca="1" si="213"/>
        <v>-5533487039566193</v>
      </c>
      <c r="J5829" s="455">
        <f t="array" ref="J5829">IFERROR(INDEX('Retirement Calculator'!J:J,MATCH('Isaac 401k'!N5829,'Retirement Calculator'!A:A,0),0),0)</f>
        <v>0</v>
      </c>
      <c r="K5829" s="455">
        <f t="shared" ca="1" si="211"/>
        <v>-23056195998192.469</v>
      </c>
      <c r="L5829" s="455">
        <f t="shared" ca="1" si="212"/>
        <v>-5556543235564385</v>
      </c>
      <c r="M5829" s="471">
        <f t="shared" si="214"/>
        <v>0.05</v>
      </c>
      <c r="N5829" s="475">
        <f t="shared" si="215"/>
        <v>228460</v>
      </c>
    </row>
    <row r="5830" spans="7:14" ht="11.25" customHeight="1" x14ac:dyDescent="0.3">
      <c r="G5830" s="470"/>
      <c r="H5830" s="470">
        <v>5823</v>
      </c>
      <c r="I5830" s="455">
        <f t="shared" ca="1" si="213"/>
        <v>-5556543235564385</v>
      </c>
      <c r="J5830" s="455">
        <f t="array" ref="J5830">IFERROR(INDEX('Retirement Calculator'!J:J,MATCH('Isaac 401k'!N5830,'Retirement Calculator'!A:A,0),0),0)</f>
        <v>0</v>
      </c>
      <c r="K5830" s="455">
        <f t="shared" ca="1" si="211"/>
        <v>-23152263481518.27</v>
      </c>
      <c r="L5830" s="455">
        <f t="shared" ca="1" si="212"/>
        <v>-5579695499045903</v>
      </c>
      <c r="M5830" s="471">
        <f t="shared" si="214"/>
        <v>0.05</v>
      </c>
      <c r="N5830" s="475">
        <f t="shared" si="215"/>
        <v>228491</v>
      </c>
    </row>
    <row r="5831" spans="7:14" ht="11.25" customHeight="1" x14ac:dyDescent="0.3">
      <c r="G5831" s="470"/>
      <c r="H5831" s="470">
        <v>5824</v>
      </c>
      <c r="I5831" s="455">
        <f t="shared" ca="1" si="213"/>
        <v>-5579695499045903</v>
      </c>
      <c r="J5831" s="455">
        <f t="array" ref="J5831">IFERROR(INDEX('Retirement Calculator'!J:J,MATCH('Isaac 401k'!N5831,'Retirement Calculator'!A:A,0),0),0)</f>
        <v>0</v>
      </c>
      <c r="K5831" s="455">
        <f t="shared" ca="1" si="211"/>
        <v>-23248731246024.594</v>
      </c>
      <c r="L5831" s="455">
        <f t="shared" ca="1" si="212"/>
        <v>-5602944230291928</v>
      </c>
      <c r="M5831" s="471">
        <f t="shared" si="214"/>
        <v>0.05</v>
      </c>
      <c r="N5831" s="475">
        <f t="shared" si="215"/>
        <v>228522</v>
      </c>
    </row>
    <row r="5832" spans="7:14" ht="11.25" customHeight="1" x14ac:dyDescent="0.3">
      <c r="G5832" s="470"/>
      <c r="H5832" s="470">
        <v>5825</v>
      </c>
      <c r="I5832" s="455">
        <f t="shared" ca="1" si="213"/>
        <v>-5602944230291928</v>
      </c>
      <c r="J5832" s="455">
        <f t="array" ref="J5832">IFERROR(INDEX('Retirement Calculator'!J:J,MATCH('Isaac 401k'!N5832,'Retirement Calculator'!A:A,0),0),0)</f>
        <v>0</v>
      </c>
      <c r="K5832" s="455">
        <f t="shared" ca="1" si="211"/>
        <v>-23345600959549.699</v>
      </c>
      <c r="L5832" s="455">
        <f t="shared" ca="1" si="212"/>
        <v>-5626289831251478</v>
      </c>
      <c r="M5832" s="471">
        <f t="shared" si="214"/>
        <v>0.05</v>
      </c>
      <c r="N5832" s="475">
        <f t="shared" si="215"/>
        <v>228552</v>
      </c>
    </row>
    <row r="5833" spans="7:14" ht="11.25" customHeight="1" x14ac:dyDescent="0.3">
      <c r="G5833" s="470"/>
      <c r="H5833" s="470">
        <v>5826</v>
      </c>
      <c r="I5833" s="455">
        <f t="shared" ca="1" si="213"/>
        <v>-5626289831251478</v>
      </c>
      <c r="J5833" s="455">
        <f t="array" ref="J5833">IFERROR(INDEX('Retirement Calculator'!J:J,MATCH('Isaac 401k'!N5833,'Retirement Calculator'!A:A,0),0),0)</f>
        <v>0</v>
      </c>
      <c r="K5833" s="455">
        <f t="shared" ca="1" si="211"/>
        <v>-23442874296881.156</v>
      </c>
      <c r="L5833" s="455">
        <f t="shared" ca="1" si="212"/>
        <v>-5649732705548359</v>
      </c>
      <c r="M5833" s="471">
        <f t="shared" si="214"/>
        <v>0.05</v>
      </c>
      <c r="N5833" s="475">
        <f t="shared" si="215"/>
        <v>228583</v>
      </c>
    </row>
    <row r="5834" spans="7:14" ht="11.25" customHeight="1" x14ac:dyDescent="0.3">
      <c r="G5834" s="470"/>
      <c r="H5834" s="470">
        <v>5827</v>
      </c>
      <c r="I5834" s="455">
        <f t="shared" ca="1" si="213"/>
        <v>-5649732705548359</v>
      </c>
      <c r="J5834" s="455">
        <f t="array" ref="J5834">IFERROR(INDEX('Retirement Calculator'!J:J,MATCH('Isaac 401k'!N5834,'Retirement Calculator'!A:A,0),0),0)</f>
        <v>0</v>
      </c>
      <c r="K5834" s="455">
        <f t="shared" ca="1" si="211"/>
        <v>-23540552939784.828</v>
      </c>
      <c r="L5834" s="455">
        <f t="shared" ca="1" si="212"/>
        <v>-5673273258488144</v>
      </c>
      <c r="M5834" s="471">
        <f t="shared" si="214"/>
        <v>0.05</v>
      </c>
      <c r="N5834" s="475">
        <f t="shared" si="215"/>
        <v>228613</v>
      </c>
    </row>
    <row r="5835" spans="7:14" ht="11.25" customHeight="1" x14ac:dyDescent="0.3">
      <c r="G5835" s="470"/>
      <c r="H5835" s="470">
        <v>5828</v>
      </c>
      <c r="I5835" s="455">
        <f t="shared" ca="1" si="213"/>
        <v>-5673273258488144</v>
      </c>
      <c r="J5835" s="455">
        <f t="array" ref="J5835">IFERROR(INDEX('Retirement Calculator'!J:J,MATCH('Isaac 401k'!N5835,'Retirement Calculator'!A:A,0),0),0)</f>
        <v>0</v>
      </c>
      <c r="K5835" s="455">
        <f t="shared" ca="1" si="211"/>
        <v>-23638638577033.934</v>
      </c>
      <c r="L5835" s="455">
        <f t="shared" ca="1" si="212"/>
        <v>-5696911897065178</v>
      </c>
      <c r="M5835" s="471">
        <f t="shared" si="214"/>
        <v>0.05</v>
      </c>
      <c r="N5835" s="475">
        <f t="shared" si="215"/>
        <v>228644</v>
      </c>
    </row>
    <row r="5836" spans="7:14" ht="11.25" customHeight="1" x14ac:dyDescent="0.3">
      <c r="G5836" s="470"/>
      <c r="H5836" s="470">
        <v>5829</v>
      </c>
      <c r="I5836" s="455">
        <f t="shared" ca="1" si="213"/>
        <v>-5696911897065178</v>
      </c>
      <c r="J5836" s="455">
        <f t="array" ref="J5836">IFERROR(INDEX('Retirement Calculator'!J:J,MATCH('Isaac 401k'!N5836,'Retirement Calculator'!A:A,0),0),0)</f>
        <v>0</v>
      </c>
      <c r="K5836" s="455">
        <f t="shared" ca="1" si="211"/>
        <v>-23737132904438.242</v>
      </c>
      <c r="L5836" s="455">
        <f t="shared" ca="1" si="212"/>
        <v>-5720649029969616</v>
      </c>
      <c r="M5836" s="471">
        <f t="shared" si="214"/>
        <v>0.05</v>
      </c>
      <c r="N5836" s="475">
        <f t="shared" si="215"/>
        <v>228675</v>
      </c>
    </row>
    <row r="5837" spans="7:14" ht="11.25" customHeight="1" x14ac:dyDescent="0.3">
      <c r="G5837" s="470"/>
      <c r="H5837" s="470">
        <v>5830</v>
      </c>
      <c r="I5837" s="455">
        <f t="shared" ca="1" si="213"/>
        <v>-5720649029969616</v>
      </c>
      <c r="J5837" s="455">
        <f t="array" ref="J5837">IFERROR(INDEX('Retirement Calculator'!J:J,MATCH('Isaac 401k'!N5837,'Retirement Calculator'!A:A,0),0),0)</f>
        <v>0</v>
      </c>
      <c r="K5837" s="455">
        <f t="shared" ca="1" si="211"/>
        <v>-23836037624873.398</v>
      </c>
      <c r="L5837" s="455">
        <f t="shared" ca="1" si="212"/>
        <v>-5744485067594489</v>
      </c>
      <c r="M5837" s="471">
        <f t="shared" si="214"/>
        <v>0.05</v>
      </c>
      <c r="N5837" s="475">
        <f t="shared" si="215"/>
        <v>228703</v>
      </c>
    </row>
    <row r="5838" spans="7:14" ht="11.25" customHeight="1" x14ac:dyDescent="0.3">
      <c r="G5838" s="470"/>
      <c r="H5838" s="470">
        <v>5831</v>
      </c>
      <c r="I5838" s="455">
        <f t="shared" ca="1" si="213"/>
        <v>-5744485067594489</v>
      </c>
      <c r="J5838" s="455">
        <f t="array" ref="J5838">IFERROR(INDEX('Retirement Calculator'!J:J,MATCH('Isaac 401k'!N5838,'Retirement Calculator'!A:A,0),0),0)</f>
        <v>0</v>
      </c>
      <c r="K5838" s="455">
        <f t="shared" ca="1" si="211"/>
        <v>-23935354448310.371</v>
      </c>
      <c r="L5838" s="455">
        <f t="shared" ca="1" si="212"/>
        <v>-5768420422042799</v>
      </c>
      <c r="M5838" s="471">
        <f t="shared" si="214"/>
        <v>0.05</v>
      </c>
      <c r="N5838" s="475">
        <f t="shared" si="215"/>
        <v>228734</v>
      </c>
    </row>
    <row r="5839" spans="7:14" ht="11.25" customHeight="1" x14ac:dyDescent="0.3">
      <c r="G5839" s="470"/>
      <c r="H5839" s="470">
        <v>5832</v>
      </c>
      <c r="I5839" s="455">
        <f t="shared" ca="1" si="213"/>
        <v>-5768420422042799</v>
      </c>
      <c r="J5839" s="455">
        <f t="array" ref="J5839">IFERROR(INDEX('Retirement Calculator'!J:J,MATCH('Isaac 401k'!N5839,'Retirement Calculator'!A:A,0),0),0)</f>
        <v>0</v>
      </c>
      <c r="K5839" s="455">
        <f t="shared" ca="1" si="211"/>
        <v>-24035085091844.996</v>
      </c>
      <c r="L5839" s="455">
        <f t="shared" ca="1" si="212"/>
        <v>-5792455507134644</v>
      </c>
      <c r="M5839" s="471">
        <f t="shared" si="214"/>
        <v>0.05</v>
      </c>
      <c r="N5839" s="475">
        <f t="shared" si="215"/>
        <v>228764</v>
      </c>
    </row>
    <row r="5840" spans="7:14" ht="11.25" customHeight="1" x14ac:dyDescent="0.3">
      <c r="G5840" s="470"/>
      <c r="H5840" s="470">
        <v>5833</v>
      </c>
      <c r="I5840" s="455">
        <f t="shared" ca="1" si="213"/>
        <v>-5792455507134644</v>
      </c>
      <c r="J5840" s="455">
        <f t="array" ref="J5840">IFERROR(INDEX('Retirement Calculator'!J:J,MATCH('Isaac 401k'!N5840,'Retirement Calculator'!A:A,0),0),0)</f>
        <v>0</v>
      </c>
      <c r="K5840" s="455">
        <f t="shared" ca="1" si="211"/>
        <v>-24135231279727.684</v>
      </c>
      <c r="L5840" s="455">
        <f t="shared" ca="1" si="212"/>
        <v>-5816590738414372</v>
      </c>
      <c r="M5840" s="471">
        <f t="shared" si="214"/>
        <v>0.05</v>
      </c>
      <c r="N5840" s="475">
        <f t="shared" si="215"/>
        <v>228795</v>
      </c>
    </row>
    <row r="5841" spans="7:14" ht="11.25" customHeight="1" x14ac:dyDescent="0.3">
      <c r="G5841" s="470"/>
      <c r="H5841" s="470">
        <v>5834</v>
      </c>
      <c r="I5841" s="455">
        <f t="shared" ca="1" si="213"/>
        <v>-5816590738414372</v>
      </c>
      <c r="J5841" s="455">
        <f t="array" ref="J5841">IFERROR(INDEX('Retirement Calculator'!J:J,MATCH('Isaac 401k'!N5841,'Retirement Calculator'!A:A,0),0),0)</f>
        <v>0</v>
      </c>
      <c r="K5841" s="455">
        <f t="shared" ca="1" si="211"/>
        <v>-24235794743393.215</v>
      </c>
      <c r="L5841" s="455">
        <f t="shared" ca="1" si="212"/>
        <v>-5840826533157765</v>
      </c>
      <c r="M5841" s="471">
        <f t="shared" si="214"/>
        <v>0.05</v>
      </c>
      <c r="N5841" s="475">
        <f t="shared" si="215"/>
        <v>228825</v>
      </c>
    </row>
    <row r="5842" spans="7:14" ht="11.25" customHeight="1" x14ac:dyDescent="0.3">
      <c r="G5842" s="470"/>
      <c r="H5842" s="470">
        <v>5835</v>
      </c>
      <c r="I5842" s="455">
        <f t="shared" ca="1" si="213"/>
        <v>-5840826533157765</v>
      </c>
      <c r="J5842" s="455">
        <f t="array" ref="J5842">IFERROR(INDEX('Retirement Calculator'!J:J,MATCH('Isaac 401k'!N5842,'Retirement Calculator'!A:A,0),0),0)</f>
        <v>0</v>
      </c>
      <c r="K5842" s="455">
        <f t="shared" ca="1" si="211"/>
        <v>-24336777221490.688</v>
      </c>
      <c r="L5842" s="455">
        <f t="shared" ca="1" si="212"/>
        <v>-5865163310379256</v>
      </c>
      <c r="M5842" s="471">
        <f t="shared" si="214"/>
        <v>0.05</v>
      </c>
      <c r="N5842" s="475">
        <f t="shared" si="215"/>
        <v>228856</v>
      </c>
    </row>
    <row r="5843" spans="7:14" ht="11.25" customHeight="1" x14ac:dyDescent="0.3">
      <c r="G5843" s="470"/>
      <c r="H5843" s="470">
        <v>5836</v>
      </c>
      <c r="I5843" s="455">
        <f t="shared" ca="1" si="213"/>
        <v>-5865163310379256</v>
      </c>
      <c r="J5843" s="455">
        <f t="array" ref="J5843">IFERROR(INDEX('Retirement Calculator'!J:J,MATCH('Isaac 401k'!N5843,'Retirement Calculator'!A:A,0),0),0)</f>
        <v>0</v>
      </c>
      <c r="K5843" s="455">
        <f t="shared" ca="1" si="211"/>
        <v>-24438180459913.566</v>
      </c>
      <c r="L5843" s="455">
        <f t="shared" ca="1" si="212"/>
        <v>-5889601490839170</v>
      </c>
      <c r="M5843" s="471">
        <f t="shared" si="214"/>
        <v>0.05</v>
      </c>
      <c r="N5843" s="475">
        <f t="shared" si="215"/>
        <v>228887</v>
      </c>
    </row>
    <row r="5844" spans="7:14" ht="11.25" customHeight="1" x14ac:dyDescent="0.3">
      <c r="G5844" s="470"/>
      <c r="H5844" s="470">
        <v>5837</v>
      </c>
      <c r="I5844" s="455">
        <f t="shared" ca="1" si="213"/>
        <v>-5889601490839170</v>
      </c>
      <c r="J5844" s="455">
        <f t="array" ref="J5844">IFERROR(INDEX('Retirement Calculator'!J:J,MATCH('Isaac 401k'!N5844,'Retirement Calculator'!A:A,0),0),0)</f>
        <v>0</v>
      </c>
      <c r="K5844" s="455">
        <f t="shared" ca="1" si="211"/>
        <v>-24540006211829.875</v>
      </c>
      <c r="L5844" s="455">
        <f t="shared" ca="1" si="212"/>
        <v>-5914141497051000</v>
      </c>
      <c r="M5844" s="471">
        <f t="shared" si="214"/>
        <v>0.05</v>
      </c>
      <c r="N5844" s="475">
        <f t="shared" si="215"/>
        <v>228917</v>
      </c>
    </row>
    <row r="5845" spans="7:14" ht="11.25" customHeight="1" x14ac:dyDescent="0.3">
      <c r="G5845" s="470"/>
      <c r="H5845" s="470">
        <v>5838</v>
      </c>
      <c r="I5845" s="455">
        <f t="shared" ca="1" si="213"/>
        <v>-5914141497051000</v>
      </c>
      <c r="J5845" s="455">
        <f t="array" ref="J5845">IFERROR(INDEX('Retirement Calculator'!J:J,MATCH('Isaac 401k'!N5845,'Retirement Calculator'!A:A,0),0),0)</f>
        <v>0</v>
      </c>
      <c r="K5845" s="455">
        <f t="shared" ca="1" si="211"/>
        <v>-24642256237712.5</v>
      </c>
      <c r="L5845" s="455">
        <f t="shared" ca="1" si="212"/>
        <v>-5938783753288712</v>
      </c>
      <c r="M5845" s="471">
        <f t="shared" si="214"/>
        <v>0.05</v>
      </c>
      <c r="N5845" s="475">
        <f t="shared" si="215"/>
        <v>228948</v>
      </c>
    </row>
    <row r="5846" spans="7:14" ht="11.25" customHeight="1" x14ac:dyDescent="0.3">
      <c r="G5846" s="470"/>
      <c r="H5846" s="470">
        <v>5839</v>
      </c>
      <c r="I5846" s="455">
        <f t="shared" ca="1" si="213"/>
        <v>-5938783753288712</v>
      </c>
      <c r="J5846" s="455">
        <f t="array" ref="J5846">IFERROR(INDEX('Retirement Calculator'!J:J,MATCH('Isaac 401k'!N5846,'Retirement Calculator'!A:A,0),0),0)</f>
        <v>0</v>
      </c>
      <c r="K5846" s="455">
        <f t="shared" ca="1" si="211"/>
        <v>-24744932305369.633</v>
      </c>
      <c r="L5846" s="455">
        <f t="shared" ca="1" si="212"/>
        <v>-5963528685594082</v>
      </c>
      <c r="M5846" s="471">
        <f t="shared" si="214"/>
        <v>0.05</v>
      </c>
      <c r="N5846" s="475">
        <f t="shared" si="215"/>
        <v>228978</v>
      </c>
    </row>
    <row r="5847" spans="7:14" ht="11.25" customHeight="1" x14ac:dyDescent="0.3">
      <c r="G5847" s="470"/>
      <c r="H5847" s="470">
        <v>5840</v>
      </c>
      <c r="I5847" s="455">
        <f t="shared" ca="1" si="213"/>
        <v>-5963528685594082</v>
      </c>
      <c r="J5847" s="455">
        <f t="array" ref="J5847">IFERROR(INDEX('Retirement Calculator'!J:J,MATCH('Isaac 401k'!N5847,'Retirement Calculator'!A:A,0),0),0)</f>
        <v>0</v>
      </c>
      <c r="K5847" s="455">
        <f t="shared" ca="1" si="211"/>
        <v>-24848036189975.34</v>
      </c>
      <c r="L5847" s="455">
        <f t="shared" ca="1" si="212"/>
        <v>-5988376721784057</v>
      </c>
      <c r="M5847" s="471">
        <f t="shared" si="214"/>
        <v>0.05</v>
      </c>
      <c r="N5847" s="475">
        <f t="shared" si="215"/>
        <v>229009</v>
      </c>
    </row>
    <row r="5848" spans="7:14" ht="11.25" customHeight="1" x14ac:dyDescent="0.3">
      <c r="G5848" s="470"/>
      <c r="H5848" s="470">
        <v>5841</v>
      </c>
      <c r="I5848" s="455">
        <f t="shared" ca="1" si="213"/>
        <v>-5988376721784057</v>
      </c>
      <c r="J5848" s="455">
        <f t="array" ref="J5848">IFERROR(INDEX('Retirement Calculator'!J:J,MATCH('Isaac 401k'!N5848,'Retirement Calculator'!A:A,0),0),0)</f>
        <v>0</v>
      </c>
      <c r="K5848" s="455">
        <f t="shared" ca="1" si="211"/>
        <v>-24951569674100.238</v>
      </c>
      <c r="L5848" s="455">
        <f t="shared" ca="1" si="212"/>
        <v>-6013328291458157</v>
      </c>
      <c r="M5848" s="471">
        <f t="shared" si="214"/>
        <v>0.05</v>
      </c>
      <c r="N5848" s="475">
        <f t="shared" si="215"/>
        <v>229040</v>
      </c>
    </row>
    <row r="5849" spans="7:14" ht="11.25" customHeight="1" x14ac:dyDescent="0.3">
      <c r="G5849" s="470"/>
      <c r="H5849" s="470">
        <v>5842</v>
      </c>
      <c r="I5849" s="455">
        <f t="shared" ca="1" si="213"/>
        <v>-6013328291458157</v>
      </c>
      <c r="J5849" s="455">
        <f t="array" ref="J5849">IFERROR(INDEX('Retirement Calculator'!J:J,MATCH('Isaac 401k'!N5849,'Retirement Calculator'!A:A,0),0),0)</f>
        <v>0</v>
      </c>
      <c r="K5849" s="455">
        <f t="shared" ca="1" si="211"/>
        <v>-25055534547742.32</v>
      </c>
      <c r="L5849" s="455">
        <f t="shared" ca="1" si="212"/>
        <v>-6038383826005899</v>
      </c>
      <c r="M5849" s="471">
        <f t="shared" si="214"/>
        <v>0.05</v>
      </c>
      <c r="N5849" s="475">
        <f t="shared" si="215"/>
        <v>229068</v>
      </c>
    </row>
    <row r="5850" spans="7:14" ht="11.25" customHeight="1" x14ac:dyDescent="0.3">
      <c r="G5850" s="470"/>
      <c r="H5850" s="470">
        <v>5843</v>
      </c>
      <c r="I5850" s="455">
        <f t="shared" ca="1" si="213"/>
        <v>-6038383826005899</v>
      </c>
      <c r="J5850" s="455">
        <f t="array" ref="J5850">IFERROR(INDEX('Retirement Calculator'!J:J,MATCH('Isaac 401k'!N5850,'Retirement Calculator'!A:A,0),0),0)</f>
        <v>0</v>
      </c>
      <c r="K5850" s="455">
        <f t="shared" ca="1" si="211"/>
        <v>-25159932608357.914</v>
      </c>
      <c r="L5850" s="455">
        <f t="shared" ca="1" si="212"/>
        <v>-6063543758614257</v>
      </c>
      <c r="M5850" s="471">
        <f t="shared" si="214"/>
        <v>0.05</v>
      </c>
      <c r="N5850" s="475">
        <f t="shared" si="215"/>
        <v>229099</v>
      </c>
    </row>
    <row r="5851" spans="7:14" ht="11.25" customHeight="1" x14ac:dyDescent="0.3">
      <c r="G5851" s="470"/>
      <c r="H5851" s="470">
        <v>5844</v>
      </c>
      <c r="I5851" s="455">
        <f t="shared" ca="1" si="213"/>
        <v>-6063543758614257</v>
      </c>
      <c r="J5851" s="455">
        <f t="array" ref="J5851">IFERROR(INDEX('Retirement Calculator'!J:J,MATCH('Isaac 401k'!N5851,'Retirement Calculator'!A:A,0),0),0)</f>
        <v>0</v>
      </c>
      <c r="K5851" s="455">
        <f t="shared" ca="1" si="211"/>
        <v>-25264765660892.738</v>
      </c>
      <c r="L5851" s="455">
        <f t="shared" ca="1" si="212"/>
        <v>-6088808524275150</v>
      </c>
      <c r="M5851" s="471">
        <f t="shared" si="214"/>
        <v>0.05</v>
      </c>
      <c r="N5851" s="475">
        <f t="shared" si="215"/>
        <v>229129</v>
      </c>
    </row>
    <row r="5852" spans="7:14" ht="11.25" customHeight="1" x14ac:dyDescent="0.3">
      <c r="G5852" s="470"/>
      <c r="H5852" s="470">
        <v>5845</v>
      </c>
      <c r="I5852" s="455">
        <f t="shared" ca="1" si="213"/>
        <v>-6088808524275150</v>
      </c>
      <c r="J5852" s="455">
        <f t="array" ref="J5852">IFERROR(INDEX('Retirement Calculator'!J:J,MATCH('Isaac 401k'!N5852,'Retirement Calculator'!A:A,0),0),0)</f>
        <v>0</v>
      </c>
      <c r="K5852" s="455">
        <f t="shared" ca="1" si="211"/>
        <v>-25370035517813.125</v>
      </c>
      <c r="L5852" s="455">
        <f t="shared" ca="1" si="212"/>
        <v>-6114178559792963</v>
      </c>
      <c r="M5852" s="471">
        <f t="shared" si="214"/>
        <v>0.05</v>
      </c>
      <c r="N5852" s="475">
        <f t="shared" si="215"/>
        <v>229160</v>
      </c>
    </row>
    <row r="5853" spans="7:14" ht="11.25" customHeight="1" x14ac:dyDescent="0.3">
      <c r="G5853" s="470"/>
      <c r="H5853" s="470">
        <v>5846</v>
      </c>
      <c r="I5853" s="455">
        <f t="shared" ca="1" si="213"/>
        <v>-6114178559792963</v>
      </c>
      <c r="J5853" s="455">
        <f t="array" ref="J5853">IFERROR(INDEX('Retirement Calculator'!J:J,MATCH('Isaac 401k'!N5853,'Retirement Calculator'!A:A,0),0),0)</f>
        <v>0</v>
      </c>
      <c r="K5853" s="455">
        <f t="shared" ca="1" si="211"/>
        <v>-25475743999137.344</v>
      </c>
      <c r="L5853" s="455">
        <f t="shared" ca="1" si="212"/>
        <v>-6139654303792100</v>
      </c>
      <c r="M5853" s="471">
        <f t="shared" si="214"/>
        <v>0.05</v>
      </c>
      <c r="N5853" s="475">
        <f t="shared" si="215"/>
        <v>229190</v>
      </c>
    </row>
    <row r="5854" spans="7:14" ht="11.25" customHeight="1" x14ac:dyDescent="0.3">
      <c r="G5854" s="470"/>
      <c r="H5854" s="470">
        <v>5847</v>
      </c>
      <c r="I5854" s="455">
        <f t="shared" ca="1" si="213"/>
        <v>-6139654303792100</v>
      </c>
      <c r="J5854" s="455">
        <f t="array" ref="J5854">IFERROR(INDEX('Retirement Calculator'!J:J,MATCH('Isaac 401k'!N5854,'Retirement Calculator'!A:A,0),0),0)</f>
        <v>0</v>
      </c>
      <c r="K5854" s="455">
        <f t="shared" ca="1" si="211"/>
        <v>-25581892932467.082</v>
      </c>
      <c r="L5854" s="455">
        <f t="shared" ca="1" si="212"/>
        <v>-6165236196724567</v>
      </c>
      <c r="M5854" s="471">
        <f t="shared" si="214"/>
        <v>0.05</v>
      </c>
      <c r="N5854" s="475">
        <f t="shared" si="215"/>
        <v>229221</v>
      </c>
    </row>
    <row r="5855" spans="7:14" ht="11.25" customHeight="1" x14ac:dyDescent="0.3">
      <c r="G5855" s="470"/>
      <c r="H5855" s="470">
        <v>5848</v>
      </c>
      <c r="I5855" s="455">
        <f t="shared" ca="1" si="213"/>
        <v>-6165236196724567</v>
      </c>
      <c r="J5855" s="455">
        <f t="array" ref="J5855">IFERROR(INDEX('Retirement Calculator'!J:J,MATCH('Isaac 401k'!N5855,'Retirement Calculator'!A:A,0),0),0)</f>
        <v>0</v>
      </c>
      <c r="K5855" s="455">
        <f t="shared" ca="1" si="211"/>
        <v>-25688484153019.027</v>
      </c>
      <c r="L5855" s="455">
        <f t="shared" ca="1" si="212"/>
        <v>-6190924680877586</v>
      </c>
      <c r="M5855" s="471">
        <f t="shared" si="214"/>
        <v>0.05</v>
      </c>
      <c r="N5855" s="475">
        <f t="shared" si="215"/>
        <v>229252</v>
      </c>
    </row>
    <row r="5856" spans="7:14" ht="11.25" customHeight="1" x14ac:dyDescent="0.3">
      <c r="G5856" s="470"/>
      <c r="H5856" s="470">
        <v>5849</v>
      </c>
      <c r="I5856" s="455">
        <f t="shared" ca="1" si="213"/>
        <v>-6190924680877586</v>
      </c>
      <c r="J5856" s="455">
        <f t="array" ref="J5856">IFERROR(INDEX('Retirement Calculator'!J:J,MATCH('Isaac 401k'!N5856,'Retirement Calculator'!A:A,0),0),0)</f>
        <v>0</v>
      </c>
      <c r="K5856" s="455">
        <f t="shared" ca="1" si="211"/>
        <v>-25795519503656.609</v>
      </c>
      <c r="L5856" s="455">
        <f t="shared" ca="1" si="212"/>
        <v>-6216720200381243</v>
      </c>
      <c r="M5856" s="471">
        <f t="shared" si="214"/>
        <v>0.05</v>
      </c>
      <c r="N5856" s="475">
        <f t="shared" si="215"/>
        <v>229282</v>
      </c>
    </row>
    <row r="5857" spans="7:14" ht="11.25" customHeight="1" x14ac:dyDescent="0.3">
      <c r="G5857" s="470"/>
      <c r="H5857" s="470">
        <v>5850</v>
      </c>
      <c r="I5857" s="455">
        <f t="shared" ca="1" si="213"/>
        <v>-6216720200381243</v>
      </c>
      <c r="J5857" s="455">
        <f t="array" ref="J5857">IFERROR(INDEX('Retirement Calculator'!J:J,MATCH('Isaac 401k'!N5857,'Retirement Calculator'!A:A,0),0),0)</f>
        <v>0</v>
      </c>
      <c r="K5857" s="455">
        <f t="shared" ca="1" si="211"/>
        <v>-25903000834921.844</v>
      </c>
      <c r="L5857" s="455">
        <f t="shared" ca="1" si="212"/>
        <v>-6242623201216165</v>
      </c>
      <c r="M5857" s="471">
        <f t="shared" si="214"/>
        <v>0.05</v>
      </c>
      <c r="N5857" s="475">
        <f t="shared" si="215"/>
        <v>229313</v>
      </c>
    </row>
    <row r="5858" spans="7:14" ht="11.25" customHeight="1" x14ac:dyDescent="0.3">
      <c r="G5858" s="470"/>
      <c r="H5858" s="470">
        <v>5851</v>
      </c>
      <c r="I5858" s="455">
        <f t="shared" ca="1" si="213"/>
        <v>-6242623201216165</v>
      </c>
      <c r="J5858" s="455">
        <f t="array" ref="J5858">IFERROR(INDEX('Retirement Calculator'!J:J,MATCH('Isaac 401k'!N5858,'Retirement Calculator'!A:A,0),0),0)</f>
        <v>0</v>
      </c>
      <c r="K5858" s="455">
        <f t="shared" ca="1" si="211"/>
        <v>-26010930005067.355</v>
      </c>
      <c r="L5858" s="455">
        <f t="shared" ca="1" si="212"/>
        <v>-6268634131221232</v>
      </c>
      <c r="M5858" s="471">
        <f t="shared" si="214"/>
        <v>0.05</v>
      </c>
      <c r="N5858" s="475">
        <f t="shared" si="215"/>
        <v>229343</v>
      </c>
    </row>
    <row r="5859" spans="7:14" ht="11.25" customHeight="1" x14ac:dyDescent="0.3">
      <c r="G5859" s="470"/>
      <c r="H5859" s="470">
        <v>5852</v>
      </c>
      <c r="I5859" s="455">
        <f t="shared" ca="1" si="213"/>
        <v>-6268634131221232</v>
      </c>
      <c r="J5859" s="455">
        <f t="array" ref="J5859">IFERROR(INDEX('Retirement Calculator'!J:J,MATCH('Isaac 401k'!N5859,'Retirement Calculator'!A:A,0),0),0)</f>
        <v>0</v>
      </c>
      <c r="K5859" s="455">
        <f t="shared" ca="1" si="211"/>
        <v>-26119308880088.465</v>
      </c>
      <c r="L5859" s="455">
        <f t="shared" ca="1" si="212"/>
        <v>-6294753440101320</v>
      </c>
      <c r="M5859" s="471">
        <f t="shared" si="214"/>
        <v>0.05</v>
      </c>
      <c r="N5859" s="475">
        <f t="shared" si="215"/>
        <v>229374</v>
      </c>
    </row>
    <row r="5860" spans="7:14" ht="11.25" customHeight="1" x14ac:dyDescent="0.3">
      <c r="G5860" s="470"/>
      <c r="H5860" s="470">
        <v>5853</v>
      </c>
      <c r="I5860" s="455">
        <f t="shared" ca="1" si="213"/>
        <v>-6294753440101320</v>
      </c>
      <c r="J5860" s="455">
        <f t="array" ref="J5860">IFERROR(INDEX('Retirement Calculator'!J:J,MATCH('Isaac 401k'!N5860,'Retirement Calculator'!A:A,0),0),0)</f>
        <v>0</v>
      </c>
      <c r="K5860" s="455">
        <f t="shared" ca="1" si="211"/>
        <v>-26228139333755.5</v>
      </c>
      <c r="L5860" s="455">
        <f t="shared" ca="1" si="212"/>
        <v>-6320981579435076</v>
      </c>
      <c r="M5860" s="471">
        <f t="shared" si="214"/>
        <v>0.05</v>
      </c>
      <c r="N5860" s="475">
        <f t="shared" si="215"/>
        <v>229405</v>
      </c>
    </row>
    <row r="5861" spans="7:14" ht="11.25" customHeight="1" x14ac:dyDescent="0.3">
      <c r="G5861" s="470"/>
      <c r="H5861" s="470">
        <v>5854</v>
      </c>
      <c r="I5861" s="455">
        <f t="shared" ca="1" si="213"/>
        <v>-6320981579435076</v>
      </c>
      <c r="J5861" s="455">
        <f t="array" ref="J5861">IFERROR(INDEX('Retirement Calculator'!J:J,MATCH('Isaac 401k'!N5861,'Retirement Calculator'!A:A,0),0),0)</f>
        <v>0</v>
      </c>
      <c r="K5861" s="455">
        <f t="shared" ca="1" si="211"/>
        <v>-26337423247646.148</v>
      </c>
      <c r="L5861" s="455">
        <f t="shared" ca="1" si="212"/>
        <v>-6347319002682722</v>
      </c>
      <c r="M5861" s="471">
        <f t="shared" si="214"/>
        <v>0.05</v>
      </c>
      <c r="N5861" s="475">
        <f t="shared" si="215"/>
        <v>229434</v>
      </c>
    </row>
    <row r="5862" spans="7:14" ht="11.25" customHeight="1" x14ac:dyDescent="0.3">
      <c r="G5862" s="470"/>
      <c r="H5862" s="470">
        <v>5855</v>
      </c>
      <c r="I5862" s="455">
        <f t="shared" ca="1" si="213"/>
        <v>-6347319002682722</v>
      </c>
      <c r="J5862" s="455">
        <f t="array" ref="J5862">IFERROR(INDEX('Retirement Calculator'!J:J,MATCH('Isaac 401k'!N5862,'Retirement Calculator'!A:A,0),0),0)</f>
        <v>0</v>
      </c>
      <c r="K5862" s="455">
        <f t="shared" ca="1" si="211"/>
        <v>-26447162511178.008</v>
      </c>
      <c r="L5862" s="455">
        <f t="shared" ca="1" si="212"/>
        <v>-6373766165193900</v>
      </c>
      <c r="M5862" s="471">
        <f t="shared" si="214"/>
        <v>0.05</v>
      </c>
      <c r="N5862" s="475">
        <f t="shared" si="215"/>
        <v>229465</v>
      </c>
    </row>
    <row r="5863" spans="7:14" ht="11.25" customHeight="1" x14ac:dyDescent="0.3">
      <c r="G5863" s="470"/>
      <c r="H5863" s="470">
        <v>5856</v>
      </c>
      <c r="I5863" s="455">
        <f t="shared" ca="1" si="213"/>
        <v>-6373766165193900</v>
      </c>
      <c r="J5863" s="455">
        <f t="array" ref="J5863">IFERROR(INDEX('Retirement Calculator'!J:J,MATCH('Isaac 401k'!N5863,'Retirement Calculator'!A:A,0),0),0)</f>
        <v>0</v>
      </c>
      <c r="K5863" s="455">
        <f t="shared" ca="1" si="211"/>
        <v>-26557359021641.25</v>
      </c>
      <c r="L5863" s="455">
        <f t="shared" ca="1" si="212"/>
        <v>-6400323524215541</v>
      </c>
      <c r="M5863" s="471">
        <f t="shared" si="214"/>
        <v>0.05</v>
      </c>
      <c r="N5863" s="475">
        <f t="shared" si="215"/>
        <v>229495</v>
      </c>
    </row>
    <row r="5864" spans="7:14" ht="11.25" customHeight="1" x14ac:dyDescent="0.3">
      <c r="G5864" s="470"/>
      <c r="H5864" s="470">
        <v>5857</v>
      </c>
      <c r="I5864" s="455">
        <f t="shared" ca="1" si="213"/>
        <v>-6400323524215541</v>
      </c>
      <c r="J5864" s="455">
        <f t="array" ref="J5864">IFERROR(INDEX('Retirement Calculator'!J:J,MATCH('Isaac 401k'!N5864,'Retirement Calculator'!A:A,0),0),0)</f>
        <v>0</v>
      </c>
      <c r="K5864" s="455">
        <f t="shared" ca="1" si="211"/>
        <v>-26668014684231.422</v>
      </c>
      <c r="L5864" s="455">
        <f t="shared" ca="1" si="212"/>
        <v>-6426991538899772</v>
      </c>
      <c r="M5864" s="471">
        <f t="shared" si="214"/>
        <v>0.05</v>
      </c>
      <c r="N5864" s="475">
        <f t="shared" si="215"/>
        <v>229526</v>
      </c>
    </row>
    <row r="5865" spans="7:14" ht="11.25" customHeight="1" x14ac:dyDescent="0.3">
      <c r="G5865" s="470"/>
      <c r="H5865" s="470">
        <v>5858</v>
      </c>
      <c r="I5865" s="455">
        <f t="shared" ca="1" si="213"/>
        <v>-6426991538899772</v>
      </c>
      <c r="J5865" s="455">
        <f t="array" ref="J5865">IFERROR(INDEX('Retirement Calculator'!J:J,MATCH('Isaac 401k'!N5865,'Retirement Calculator'!A:A,0),0),0)</f>
        <v>0</v>
      </c>
      <c r="K5865" s="455">
        <f t="shared" ca="1" si="211"/>
        <v>-26779131412082.383</v>
      </c>
      <c r="L5865" s="455">
        <f t="shared" ca="1" si="212"/>
        <v>-6453770670311854</v>
      </c>
      <c r="M5865" s="471">
        <f t="shared" si="214"/>
        <v>0.05</v>
      </c>
      <c r="N5865" s="475">
        <f t="shared" si="215"/>
        <v>229556</v>
      </c>
    </row>
    <row r="5866" spans="7:14" ht="11.25" customHeight="1" x14ac:dyDescent="0.3">
      <c r="G5866" s="470"/>
      <c r="H5866" s="470">
        <v>5859</v>
      </c>
      <c r="I5866" s="455">
        <f t="shared" ca="1" si="213"/>
        <v>-6453770670311854</v>
      </c>
      <c r="J5866" s="455">
        <f t="array" ref="J5866">IFERROR(INDEX('Retirement Calculator'!J:J,MATCH('Isaac 401k'!N5866,'Retirement Calculator'!A:A,0),0),0)</f>
        <v>0</v>
      </c>
      <c r="K5866" s="455">
        <f t="shared" ca="1" si="211"/>
        <v>-26890711126299.391</v>
      </c>
      <c r="L5866" s="455">
        <f t="shared" ca="1" si="212"/>
        <v>-6480661381438153</v>
      </c>
      <c r="M5866" s="471">
        <f t="shared" si="214"/>
        <v>0.05</v>
      </c>
      <c r="N5866" s="475">
        <f t="shared" si="215"/>
        <v>229587</v>
      </c>
    </row>
    <row r="5867" spans="7:14" ht="11.25" customHeight="1" x14ac:dyDescent="0.3">
      <c r="G5867" s="470"/>
      <c r="H5867" s="470">
        <v>5860</v>
      </c>
      <c r="I5867" s="455">
        <f t="shared" ca="1" si="213"/>
        <v>-6480661381438153</v>
      </c>
      <c r="J5867" s="455">
        <f t="array" ref="J5867">IFERROR(INDEX('Retirement Calculator'!J:J,MATCH('Isaac 401k'!N5867,'Retirement Calculator'!A:A,0),0),0)</f>
        <v>0</v>
      </c>
      <c r="K5867" s="455">
        <f t="shared" ca="1" si="211"/>
        <v>-27002755755992.305</v>
      </c>
      <c r="L5867" s="455">
        <f t="shared" ca="1" si="212"/>
        <v>-6507664137194145</v>
      </c>
      <c r="M5867" s="471">
        <f t="shared" si="214"/>
        <v>0.05</v>
      </c>
      <c r="N5867" s="475">
        <f t="shared" si="215"/>
        <v>229618</v>
      </c>
    </row>
    <row r="5868" spans="7:14" ht="11.25" customHeight="1" x14ac:dyDescent="0.3">
      <c r="G5868" s="470"/>
      <c r="H5868" s="470">
        <v>5861</v>
      </c>
      <c r="I5868" s="455">
        <f t="shared" ca="1" si="213"/>
        <v>-6507664137194145</v>
      </c>
      <c r="J5868" s="455">
        <f t="array" ref="J5868">IFERROR(INDEX('Retirement Calculator'!J:J,MATCH('Isaac 401k'!N5868,'Retirement Calculator'!A:A,0),0),0)</f>
        <v>0</v>
      </c>
      <c r="K5868" s="455">
        <f t="shared" ca="1" si="211"/>
        <v>-27115267238308.938</v>
      </c>
      <c r="L5868" s="455">
        <f t="shared" ca="1" si="212"/>
        <v>-6534779404432454</v>
      </c>
      <c r="M5868" s="471">
        <f t="shared" si="214"/>
        <v>0.05</v>
      </c>
      <c r="N5868" s="475">
        <f t="shared" si="215"/>
        <v>229648</v>
      </c>
    </row>
    <row r="5869" spans="7:14" ht="11.25" customHeight="1" x14ac:dyDescent="0.3">
      <c r="G5869" s="470"/>
      <c r="H5869" s="470">
        <v>5862</v>
      </c>
      <c r="I5869" s="455">
        <f t="shared" ca="1" si="213"/>
        <v>-6534779404432454</v>
      </c>
      <c r="J5869" s="455">
        <f t="array" ref="J5869">IFERROR(INDEX('Retirement Calculator'!J:J,MATCH('Isaac 401k'!N5869,'Retirement Calculator'!A:A,0),0),0)</f>
        <v>0</v>
      </c>
      <c r="K5869" s="455">
        <f t="shared" ca="1" si="211"/>
        <v>-27228247518468.559</v>
      </c>
      <c r="L5869" s="455">
        <f t="shared" ca="1" si="212"/>
        <v>-6562007651950923</v>
      </c>
      <c r="M5869" s="471">
        <f t="shared" si="214"/>
        <v>0.05</v>
      </c>
      <c r="N5869" s="475">
        <f t="shared" si="215"/>
        <v>229679</v>
      </c>
    </row>
    <row r="5870" spans="7:14" ht="11.25" customHeight="1" x14ac:dyDescent="0.3">
      <c r="G5870" s="470"/>
      <c r="H5870" s="470">
        <v>5863</v>
      </c>
      <c r="I5870" s="455">
        <f t="shared" ca="1" si="213"/>
        <v>-6562007651950923</v>
      </c>
      <c r="J5870" s="455">
        <f t="array" ref="J5870">IFERROR(INDEX('Retirement Calculator'!J:J,MATCH('Isaac 401k'!N5870,'Retirement Calculator'!A:A,0),0),0)</f>
        <v>0</v>
      </c>
      <c r="K5870" s="455">
        <f t="shared" ca="1" si="211"/>
        <v>-27341698549795.512</v>
      </c>
      <c r="L5870" s="455">
        <f t="shared" ca="1" si="212"/>
        <v>-6589349350500719</v>
      </c>
      <c r="M5870" s="471">
        <f t="shared" si="214"/>
        <v>0.05</v>
      </c>
      <c r="N5870" s="475">
        <f t="shared" si="215"/>
        <v>229709</v>
      </c>
    </row>
    <row r="5871" spans="7:14" ht="11.25" customHeight="1" x14ac:dyDescent="0.3">
      <c r="G5871" s="470"/>
      <c r="H5871" s="470">
        <v>5864</v>
      </c>
      <c r="I5871" s="455">
        <f t="shared" ca="1" si="213"/>
        <v>-6589349350500719</v>
      </c>
      <c r="J5871" s="455">
        <f t="array" ref="J5871">IFERROR(INDEX('Retirement Calculator'!J:J,MATCH('Isaac 401k'!N5871,'Retirement Calculator'!A:A,0),0),0)</f>
        <v>0</v>
      </c>
      <c r="K5871" s="455">
        <f t="shared" ca="1" si="211"/>
        <v>-27455622293752.996</v>
      </c>
      <c r="L5871" s="455">
        <f t="shared" ca="1" si="212"/>
        <v>-6616804972794472</v>
      </c>
      <c r="M5871" s="471">
        <f t="shared" si="214"/>
        <v>0.05</v>
      </c>
      <c r="N5871" s="475">
        <f t="shared" si="215"/>
        <v>229740</v>
      </c>
    </row>
    <row r="5872" spans="7:14" ht="11.25" customHeight="1" x14ac:dyDescent="0.3">
      <c r="G5872" s="470"/>
      <c r="H5872" s="470">
        <v>5865</v>
      </c>
      <c r="I5872" s="455">
        <f t="shared" ca="1" si="213"/>
        <v>-6616804972794472</v>
      </c>
      <c r="J5872" s="455">
        <f t="array" ref="J5872">IFERROR(INDEX('Retirement Calculator'!J:J,MATCH('Isaac 401k'!N5872,'Retirement Calculator'!A:A,0),0),0)</f>
        <v>0</v>
      </c>
      <c r="K5872" s="455">
        <f t="shared" ca="1" si="211"/>
        <v>-27570020719976.965</v>
      </c>
      <c r="L5872" s="455">
        <f t="shared" ca="1" si="212"/>
        <v>-6644374993514449</v>
      </c>
      <c r="M5872" s="471">
        <f t="shared" si="214"/>
        <v>0.05</v>
      </c>
      <c r="N5872" s="475">
        <f t="shared" si="215"/>
        <v>229771</v>
      </c>
    </row>
    <row r="5873" spans="7:14" ht="11.25" customHeight="1" x14ac:dyDescent="0.3">
      <c r="G5873" s="470"/>
      <c r="H5873" s="470">
        <v>5866</v>
      </c>
      <c r="I5873" s="455">
        <f t="shared" ca="1" si="213"/>
        <v>-6644374993514449</v>
      </c>
      <c r="J5873" s="455">
        <f t="array" ref="J5873">IFERROR(INDEX('Retirement Calculator'!J:J,MATCH('Isaac 401k'!N5873,'Retirement Calculator'!A:A,0),0),0)</f>
        <v>0</v>
      </c>
      <c r="K5873" s="455">
        <f t="shared" ref="K5873:K6127" ca="1" si="216">IPMT(M5873/12,1,12,-I5873+J5873,,0)</f>
        <v>-27684895806310.203</v>
      </c>
      <c r="L5873" s="455">
        <f t="shared" ref="L5873:L6127" ca="1" si="217">I5873-J5873+K5873</f>
        <v>-6672059889320759</v>
      </c>
      <c r="M5873" s="471">
        <f t="shared" si="214"/>
        <v>0.05</v>
      </c>
      <c r="N5873" s="475">
        <f t="shared" si="215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18">L5873</f>
        <v>-6672059889320759</v>
      </c>
      <c r="J5874" s="455">
        <f t="array" ref="J5874">IFERROR(INDEX('Retirement Calculator'!J:J,MATCH('Isaac 401k'!N5874,'Retirement Calculator'!A:A,0),0),0)</f>
        <v>0</v>
      </c>
      <c r="K5874" s="455">
        <f t="shared" ca="1" si="216"/>
        <v>-27800249538836.496</v>
      </c>
      <c r="L5874" s="455">
        <f t="shared" ca="1" si="217"/>
        <v>-6699860138859595</v>
      </c>
      <c r="M5874" s="471">
        <f t="shared" ref="M5874:M6128" si="219">M5873</f>
        <v>0.05</v>
      </c>
      <c r="N5874" s="475">
        <f t="shared" ref="N5874:N6128" si="220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18"/>
        <v>-6699860138859595</v>
      </c>
      <c r="J5875" s="455">
        <f t="array" ref="J5875">IFERROR(INDEX('Retirement Calculator'!J:J,MATCH('Isaac 401k'!N5875,'Retirement Calculator'!A:A,0),0),0)</f>
        <v>0</v>
      </c>
      <c r="K5875" s="455">
        <f t="shared" ca="1" si="216"/>
        <v>-27916083911914.98</v>
      </c>
      <c r="L5875" s="455">
        <f t="shared" ca="1" si="217"/>
        <v>-6727776222771510</v>
      </c>
      <c r="M5875" s="471">
        <f t="shared" si="219"/>
        <v>0.05</v>
      </c>
      <c r="N5875" s="475">
        <f t="shared" si="220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18"/>
        <v>-6727776222771510</v>
      </c>
      <c r="J5876" s="455">
        <f t="array" ref="J5876">IFERROR(INDEX('Retirement Calculator'!J:J,MATCH('Isaac 401k'!N5876,'Retirement Calculator'!A:A,0),0),0)</f>
        <v>0</v>
      </c>
      <c r="K5876" s="455">
        <f t="shared" ca="1" si="216"/>
        <v>-28032400928214.625</v>
      </c>
      <c r="L5876" s="455">
        <f t="shared" ca="1" si="217"/>
        <v>-6755808623699725</v>
      </c>
      <c r="M5876" s="471">
        <f t="shared" si="219"/>
        <v>0.05</v>
      </c>
      <c r="N5876" s="475">
        <f t="shared" si="220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18"/>
        <v>-6755808623699725</v>
      </c>
      <c r="J5877" s="455">
        <f t="array" ref="J5877">IFERROR(INDEX('Retirement Calculator'!J:J,MATCH('Isaac 401k'!N5877,'Retirement Calculator'!A:A,0),0),0)</f>
        <v>0</v>
      </c>
      <c r="K5877" s="455">
        <f t="shared" ca="1" si="216"/>
        <v>-28149202598748.855</v>
      </c>
      <c r="L5877" s="455">
        <f t="shared" ca="1" si="217"/>
        <v>-6783957826298474</v>
      </c>
      <c r="M5877" s="471">
        <f t="shared" si="219"/>
        <v>0.05</v>
      </c>
      <c r="N5877" s="475">
        <f t="shared" si="220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18"/>
        <v>-6783957826298474</v>
      </c>
      <c r="J5878" s="455">
        <f t="array" ref="J5878">IFERROR(INDEX('Retirement Calculator'!J:J,MATCH('Isaac 401k'!N5878,'Retirement Calculator'!A:A,0),0),0)</f>
        <v>0</v>
      </c>
      <c r="K5878" s="455">
        <f t="shared" ca="1" si="216"/>
        <v>-28266490942910.309</v>
      </c>
      <c r="L5878" s="455">
        <f t="shared" ca="1" si="217"/>
        <v>-6812224317241384</v>
      </c>
      <c r="M5878" s="471">
        <f t="shared" si="219"/>
        <v>0.05</v>
      </c>
      <c r="N5878" s="475">
        <f t="shared" si="220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18"/>
        <v>-6812224317241384</v>
      </c>
      <c r="J5879" s="455">
        <f t="array" ref="J5879">IFERROR(INDEX('Retirement Calculator'!J:J,MATCH('Isaac 401k'!N5879,'Retirement Calculator'!A:A,0),0),0)</f>
        <v>0</v>
      </c>
      <c r="K5879" s="455">
        <f t="shared" ca="1" si="216"/>
        <v>-28384267988505.766</v>
      </c>
      <c r="L5879" s="455">
        <f t="shared" ca="1" si="217"/>
        <v>-6840608585229890</v>
      </c>
      <c r="M5879" s="471">
        <f t="shared" si="219"/>
        <v>0.05</v>
      </c>
      <c r="N5879" s="475">
        <f t="shared" si="220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18"/>
        <v>-6840608585229890</v>
      </c>
      <c r="J5880" s="455">
        <f t="array" ref="J5880">IFERROR(INDEX('Retirement Calculator'!J:J,MATCH('Isaac 401k'!N5880,'Retirement Calculator'!A:A,0),0),0)</f>
        <v>0</v>
      </c>
      <c r="K5880" s="455">
        <f t="shared" ca="1" si="216"/>
        <v>-28502535771791.207</v>
      </c>
      <c r="L5880" s="455">
        <f t="shared" ca="1" si="217"/>
        <v>-6869111121001681</v>
      </c>
      <c r="M5880" s="471">
        <f t="shared" si="219"/>
        <v>0.05</v>
      </c>
      <c r="N5880" s="475">
        <f t="shared" si="220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18"/>
        <v>-6869111121001681</v>
      </c>
      <c r="J5881" s="455">
        <f t="array" ref="J5881">IFERROR(INDEX('Retirement Calculator'!J:J,MATCH('Isaac 401k'!N5881,'Retirement Calculator'!A:A,0),0),0)</f>
        <v>0</v>
      </c>
      <c r="K5881" s="455">
        <f t="shared" ca="1" si="216"/>
        <v>-28621296337507.004</v>
      </c>
      <c r="L5881" s="455">
        <f t="shared" ca="1" si="217"/>
        <v>-6897732417339188</v>
      </c>
      <c r="M5881" s="471">
        <f t="shared" si="219"/>
        <v>0.05</v>
      </c>
      <c r="N5881" s="475">
        <f t="shared" si="220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18"/>
        <v>-6897732417339188</v>
      </c>
      <c r="J5882" s="455">
        <f t="array" ref="J5882">IFERROR(INDEX('Retirement Calculator'!J:J,MATCH('Isaac 401k'!N5882,'Retirement Calculator'!A:A,0),0),0)</f>
        <v>0</v>
      </c>
      <c r="K5882" s="455">
        <f t="shared" ca="1" si="216"/>
        <v>-28740551738913.281</v>
      </c>
      <c r="L5882" s="455">
        <f t="shared" ca="1" si="217"/>
        <v>-6926472969078101</v>
      </c>
      <c r="M5882" s="471">
        <f t="shared" si="219"/>
        <v>0.05</v>
      </c>
      <c r="N5882" s="475">
        <f t="shared" si="220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18"/>
        <v>-6926472969078101</v>
      </c>
      <c r="J5883" s="455">
        <f t="array" ref="J5883">IFERROR(INDEX('Retirement Calculator'!J:J,MATCH('Isaac 401k'!N5883,'Retirement Calculator'!A:A,0),0),0)</f>
        <v>0</v>
      </c>
      <c r="K5883" s="455">
        <f t="shared" ca="1" si="216"/>
        <v>-28860304037825.422</v>
      </c>
      <c r="L5883" s="455">
        <f t="shared" ca="1" si="217"/>
        <v>-6955333273115926</v>
      </c>
      <c r="M5883" s="471">
        <f t="shared" si="219"/>
        <v>0.05</v>
      </c>
      <c r="N5883" s="475">
        <f t="shared" si="220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18"/>
        <v>-6955333273115926</v>
      </c>
      <c r="J5884" s="455">
        <f t="array" ref="J5884">IFERROR(INDEX('Retirement Calculator'!J:J,MATCH('Isaac 401k'!N5884,'Retirement Calculator'!A:A,0),0),0)</f>
        <v>0</v>
      </c>
      <c r="K5884" s="455">
        <f t="shared" ca="1" si="216"/>
        <v>-28980555304649.691</v>
      </c>
      <c r="L5884" s="455">
        <f t="shared" ca="1" si="217"/>
        <v>-6984313828420576</v>
      </c>
      <c r="M5884" s="471">
        <f t="shared" si="219"/>
        <v>0.05</v>
      </c>
      <c r="N5884" s="475">
        <f t="shared" si="220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18"/>
        <v>-6984313828420576</v>
      </c>
      <c r="J5885" s="455">
        <f t="array" ref="J5885">IFERROR(INDEX('Retirement Calculator'!J:J,MATCH('Isaac 401k'!N5885,'Retirement Calculator'!A:A,0),0),0)</f>
        <v>0</v>
      </c>
      <c r="K5885" s="455">
        <f t="shared" ca="1" si="216"/>
        <v>-29101307618419.066</v>
      </c>
      <c r="L5885" s="455">
        <f t="shared" ca="1" si="217"/>
        <v>-7013415136038995</v>
      </c>
      <c r="M5885" s="471">
        <f t="shared" si="219"/>
        <v>0.05</v>
      </c>
      <c r="N5885" s="475">
        <f t="shared" si="220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18"/>
        <v>-7013415136038995</v>
      </c>
      <c r="J5886" s="455">
        <f t="array" ref="J5886">IFERROR(INDEX('Retirement Calculator'!J:J,MATCH('Isaac 401k'!N5886,'Retirement Calculator'!A:A,0),0),0)</f>
        <v>0</v>
      </c>
      <c r="K5886" s="455">
        <f t="shared" ca="1" si="216"/>
        <v>-29222563066829.145</v>
      </c>
      <c r="L5886" s="455">
        <f t="shared" ca="1" si="217"/>
        <v>-7042637699105824</v>
      </c>
      <c r="M5886" s="471">
        <f t="shared" si="219"/>
        <v>0.05</v>
      </c>
      <c r="N5886" s="475">
        <f t="shared" si="220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18"/>
        <v>-7042637699105824</v>
      </c>
      <c r="J5887" s="455">
        <f t="array" ref="J5887">IFERROR(INDEX('Retirement Calculator'!J:J,MATCH('Isaac 401k'!N5887,'Retirement Calculator'!A:A,0),0),0)</f>
        <v>0</v>
      </c>
      <c r="K5887" s="455">
        <f t="shared" ca="1" si="216"/>
        <v>-29344323746274.266</v>
      </c>
      <c r="L5887" s="455">
        <f t="shared" ca="1" si="217"/>
        <v>-7071982022852098</v>
      </c>
      <c r="M5887" s="471">
        <f t="shared" si="219"/>
        <v>0.05</v>
      </c>
      <c r="N5887" s="475">
        <f t="shared" si="220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18"/>
        <v>-7071982022852098</v>
      </c>
      <c r="J5888" s="455">
        <f t="array" ref="J5888">IFERROR(INDEX('Retirement Calculator'!J:J,MATCH('Isaac 401k'!N5888,'Retirement Calculator'!A:A,0),0),0)</f>
        <v>0</v>
      </c>
      <c r="K5888" s="455">
        <f t="shared" ca="1" si="216"/>
        <v>-29466591761883.738</v>
      </c>
      <c r="L5888" s="455">
        <f t="shared" ca="1" si="217"/>
        <v>-7101448614613982</v>
      </c>
      <c r="M5888" s="471">
        <f t="shared" si="219"/>
        <v>0.05</v>
      </c>
      <c r="N5888" s="475">
        <f t="shared" si="220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18"/>
        <v>-7101448614613982</v>
      </c>
      <c r="J5889" s="455">
        <f t="array" ref="J5889">IFERROR(INDEX('Retirement Calculator'!J:J,MATCH('Isaac 401k'!N5889,'Retirement Calculator'!A:A,0),0),0)</f>
        <v>0</v>
      </c>
      <c r="K5889" s="455">
        <f t="shared" ca="1" si="216"/>
        <v>-29589369227558.258</v>
      </c>
      <c r="L5889" s="455">
        <f t="shared" ca="1" si="217"/>
        <v>-7131037983841540</v>
      </c>
      <c r="M5889" s="471">
        <f t="shared" si="219"/>
        <v>0.05</v>
      </c>
      <c r="N5889" s="475">
        <f t="shared" si="220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18"/>
        <v>-7131037983841540</v>
      </c>
      <c r="J5890" s="455">
        <f t="array" ref="J5890">IFERROR(INDEX('Retirement Calculator'!J:J,MATCH('Isaac 401k'!N5890,'Retirement Calculator'!A:A,0),0),0)</f>
        <v>0</v>
      </c>
      <c r="K5890" s="455">
        <f t="shared" ca="1" si="216"/>
        <v>-29712658266006.418</v>
      </c>
      <c r="L5890" s="455">
        <f t="shared" ca="1" si="217"/>
        <v>-7160750642107546</v>
      </c>
      <c r="M5890" s="471">
        <f t="shared" si="219"/>
        <v>0.05</v>
      </c>
      <c r="N5890" s="475">
        <f t="shared" si="220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18"/>
        <v>-7160750642107546</v>
      </c>
      <c r="J5891" s="455">
        <f t="array" ref="J5891">IFERROR(INDEX('Retirement Calculator'!J:J,MATCH('Isaac 401k'!N5891,'Retirement Calculator'!A:A,0),0),0)</f>
        <v>0</v>
      </c>
      <c r="K5891" s="455">
        <f t="shared" ca="1" si="216"/>
        <v>-29836461008781.438</v>
      </c>
      <c r="L5891" s="455">
        <f t="shared" ca="1" si="217"/>
        <v>-7190587103116327</v>
      </c>
      <c r="M5891" s="471">
        <f t="shared" si="219"/>
        <v>0.05</v>
      </c>
      <c r="N5891" s="475">
        <f t="shared" si="220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18"/>
        <v>-7190587103116327</v>
      </c>
      <c r="J5892" s="455">
        <f t="array" ref="J5892">IFERROR(INDEX('Retirement Calculator'!J:J,MATCH('Isaac 401k'!N5892,'Retirement Calculator'!A:A,0),0),0)</f>
        <v>0</v>
      </c>
      <c r="K5892" s="455">
        <f t="shared" ca="1" si="216"/>
        <v>-29960779596318.027</v>
      </c>
      <c r="L5892" s="455">
        <f t="shared" ca="1" si="217"/>
        <v>-7220547882712645</v>
      </c>
      <c r="M5892" s="471">
        <f t="shared" si="219"/>
        <v>0.05</v>
      </c>
      <c r="N5892" s="475">
        <f t="shared" si="220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18"/>
        <v>-7220547882712645</v>
      </c>
      <c r="J5893" s="455">
        <f t="array" ref="J5893">IFERROR(INDEX('Retirement Calculator'!J:J,MATCH('Isaac 401k'!N5893,'Retirement Calculator'!A:A,0),0),0)</f>
        <v>0</v>
      </c>
      <c r="K5893" s="455">
        <f t="shared" ca="1" si="216"/>
        <v>-30085616177969.348</v>
      </c>
      <c r="L5893" s="455">
        <f t="shared" ca="1" si="217"/>
        <v>-7250633498890614</v>
      </c>
      <c r="M5893" s="471">
        <f t="shared" si="219"/>
        <v>0.05</v>
      </c>
      <c r="N5893" s="475">
        <f t="shared" si="220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18"/>
        <v>-7250633498890614</v>
      </c>
      <c r="J5894" s="455">
        <f t="array" ref="J5894">IFERROR(INDEX('Retirement Calculator'!J:J,MATCH('Isaac 401k'!N5894,'Retirement Calculator'!A:A,0),0),0)</f>
        <v>0</v>
      </c>
      <c r="K5894" s="455">
        <f t="shared" ca="1" si="216"/>
        <v>-30210972912044.23</v>
      </c>
      <c r="L5894" s="455">
        <f t="shared" ca="1" si="217"/>
        <v>-7280844471802658</v>
      </c>
      <c r="M5894" s="471">
        <f t="shared" si="219"/>
        <v>0.05</v>
      </c>
      <c r="N5894" s="475">
        <f t="shared" si="220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18"/>
        <v>-7280844471802658</v>
      </c>
      <c r="J5895" s="455">
        <f t="array" ref="J5895">IFERROR(INDEX('Retirement Calculator'!J:J,MATCH('Isaac 401k'!N5895,'Retirement Calculator'!A:A,0),0),0)</f>
        <v>0</v>
      </c>
      <c r="K5895" s="455">
        <f t="shared" ca="1" si="216"/>
        <v>-30336851965844.406</v>
      </c>
      <c r="L5895" s="455">
        <f t="shared" ca="1" si="217"/>
        <v>-7311181323768502</v>
      </c>
      <c r="M5895" s="471">
        <f t="shared" si="219"/>
        <v>0.05</v>
      </c>
      <c r="N5895" s="475">
        <f t="shared" si="220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18"/>
        <v>-7311181323768502</v>
      </c>
      <c r="J5896" s="455">
        <f t="array" ref="J5896">IFERROR(INDEX('Retirement Calculator'!J:J,MATCH('Isaac 401k'!N5896,'Retirement Calculator'!A:A,0),0),0)</f>
        <v>0</v>
      </c>
      <c r="K5896" s="455">
        <f t="shared" ca="1" si="216"/>
        <v>-30463255515702.09</v>
      </c>
      <c r="L5896" s="455">
        <f t="shared" ca="1" si="217"/>
        <v>-7341644579284204</v>
      </c>
      <c r="M5896" s="471">
        <f t="shared" si="219"/>
        <v>0.05</v>
      </c>
      <c r="N5896" s="475">
        <f t="shared" si="220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18"/>
        <v>-7341644579284204</v>
      </c>
      <c r="J5897" s="455">
        <f t="array" ref="J5897">IFERROR(INDEX('Retirement Calculator'!J:J,MATCH('Isaac 401k'!N5897,'Retirement Calculator'!A:A,0),0),0)</f>
        <v>0</v>
      </c>
      <c r="K5897" s="455">
        <f t="shared" ca="1" si="216"/>
        <v>-30590185747017.516</v>
      </c>
      <c r="L5897" s="455">
        <f t="shared" ca="1" si="217"/>
        <v>-7372234765031222</v>
      </c>
      <c r="M5897" s="471">
        <f t="shared" si="219"/>
        <v>0.05</v>
      </c>
      <c r="N5897" s="475">
        <f t="shared" si="220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18"/>
        <v>-7372234765031222</v>
      </c>
      <c r="J5898" s="455">
        <f t="array" ref="J5898">IFERROR(INDEX('Retirement Calculator'!J:J,MATCH('Isaac 401k'!N5898,'Retirement Calculator'!A:A,0),0),0)</f>
        <v>0</v>
      </c>
      <c r="K5898" s="455">
        <f t="shared" ca="1" si="216"/>
        <v>-30717644854296.754</v>
      </c>
      <c r="L5898" s="455">
        <f t="shared" ca="1" si="217"/>
        <v>-7402952409885519</v>
      </c>
      <c r="M5898" s="471">
        <f t="shared" si="219"/>
        <v>0.05</v>
      </c>
      <c r="N5898" s="475">
        <f t="shared" si="220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18"/>
        <v>-7402952409885519</v>
      </c>
      <c r="J5899" s="455">
        <f t="array" ref="J5899">IFERROR(INDEX('Retirement Calculator'!J:J,MATCH('Isaac 401k'!N5899,'Retirement Calculator'!A:A,0),0),0)</f>
        <v>0</v>
      </c>
      <c r="K5899" s="455">
        <f t="shared" ca="1" si="216"/>
        <v>-30845635041189.668</v>
      </c>
      <c r="L5899" s="455">
        <f t="shared" ca="1" si="217"/>
        <v>-7433798044926709</v>
      </c>
      <c r="M5899" s="471">
        <f t="shared" si="219"/>
        <v>0.05</v>
      </c>
      <c r="N5899" s="475">
        <f t="shared" si="220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18"/>
        <v>-7433798044926709</v>
      </c>
      <c r="J5900" s="455">
        <f t="array" ref="J5900">IFERROR(INDEX('Retirement Calculator'!J:J,MATCH('Isaac 401k'!N5900,'Retirement Calculator'!A:A,0),0),0)</f>
        <v>0</v>
      </c>
      <c r="K5900" s="455">
        <f t="shared" ca="1" si="216"/>
        <v>-30974158520527.949</v>
      </c>
      <c r="L5900" s="455">
        <f t="shared" ca="1" si="217"/>
        <v>-7464772203447237</v>
      </c>
      <c r="M5900" s="471">
        <f t="shared" si="219"/>
        <v>0.05</v>
      </c>
      <c r="N5900" s="475">
        <f t="shared" si="220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18"/>
        <v>-7464772203447237</v>
      </c>
      <c r="J5901" s="455">
        <f t="array" ref="J5901">IFERROR(INDEX('Retirement Calculator'!J:J,MATCH('Isaac 401k'!N5901,'Retirement Calculator'!A:A,0),0),0)</f>
        <v>0</v>
      </c>
      <c r="K5901" s="455">
        <f t="shared" ca="1" si="216"/>
        <v>-31103217514363.484</v>
      </c>
      <c r="L5901" s="455">
        <f t="shared" ca="1" si="217"/>
        <v>-7495875420961600</v>
      </c>
      <c r="M5901" s="471">
        <f t="shared" si="219"/>
        <v>0.05</v>
      </c>
      <c r="N5901" s="475">
        <f t="shared" si="220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18"/>
        <v>-7495875420961600</v>
      </c>
      <c r="J5902" s="455">
        <f t="array" ref="J5902">IFERROR(INDEX('Retirement Calculator'!J:J,MATCH('Isaac 401k'!N5902,'Retirement Calculator'!A:A,0),0),0)</f>
        <v>0</v>
      </c>
      <c r="K5902" s="455">
        <f t="shared" ca="1" si="216"/>
        <v>-31232814254006.668</v>
      </c>
      <c r="L5902" s="455">
        <f t="shared" ca="1" si="217"/>
        <v>-7527108235215607</v>
      </c>
      <c r="M5902" s="471">
        <f t="shared" si="219"/>
        <v>0.05</v>
      </c>
      <c r="N5902" s="475">
        <f t="shared" si="220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18"/>
        <v>-7527108235215607</v>
      </c>
      <c r="J5903" s="455">
        <f t="array" ref="J5903">IFERROR(INDEX('Retirement Calculator'!J:J,MATCH('Isaac 401k'!N5903,'Retirement Calculator'!A:A,0),0),0)</f>
        <v>0</v>
      </c>
      <c r="K5903" s="455">
        <f t="shared" ca="1" si="216"/>
        <v>-31362950980065.027</v>
      </c>
      <c r="L5903" s="455">
        <f t="shared" ca="1" si="217"/>
        <v>-7558471186195672</v>
      </c>
      <c r="M5903" s="471">
        <f t="shared" si="219"/>
        <v>0.05</v>
      </c>
      <c r="N5903" s="475">
        <f t="shared" si="220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18"/>
        <v>-7558471186195672</v>
      </c>
      <c r="J5904" s="455">
        <f t="array" ref="J5904">IFERROR(INDEX('Retirement Calculator'!J:J,MATCH('Isaac 401k'!N5904,'Retirement Calculator'!A:A,0),0),0)</f>
        <v>0</v>
      </c>
      <c r="K5904" s="455">
        <f t="shared" ca="1" si="216"/>
        <v>-31493629942481.961</v>
      </c>
      <c r="L5904" s="455">
        <f t="shared" ca="1" si="217"/>
        <v>-7589964816138154</v>
      </c>
      <c r="M5904" s="471">
        <f t="shared" si="219"/>
        <v>0.05</v>
      </c>
      <c r="N5904" s="475">
        <f t="shared" si="220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18"/>
        <v>-7589964816138154</v>
      </c>
      <c r="J5905" s="455">
        <f t="array" ref="J5905">IFERROR(INDEX('Retirement Calculator'!J:J,MATCH('Isaac 401k'!N5905,'Retirement Calculator'!A:A,0),0),0)</f>
        <v>0</v>
      </c>
      <c r="K5905" s="455">
        <f t="shared" ca="1" si="216"/>
        <v>-31624853400575.645</v>
      </c>
      <c r="L5905" s="455">
        <f t="shared" ca="1" si="217"/>
        <v>-7621589669538730</v>
      </c>
      <c r="M5905" s="471">
        <f t="shared" si="219"/>
        <v>0.05</v>
      </c>
      <c r="N5905" s="475">
        <f t="shared" si="220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18"/>
        <v>-7621589669538730</v>
      </c>
      <c r="J5906" s="455">
        <f t="array" ref="J5906">IFERROR(INDEX('Retirement Calculator'!J:J,MATCH('Isaac 401k'!N5906,'Retirement Calculator'!A:A,0),0),0)</f>
        <v>0</v>
      </c>
      <c r="K5906" s="455">
        <f t="shared" ca="1" si="216"/>
        <v>-31756623623078.043</v>
      </c>
      <c r="L5906" s="455">
        <f t="shared" ca="1" si="217"/>
        <v>-7653346293161808</v>
      </c>
      <c r="M5906" s="471">
        <f t="shared" si="219"/>
        <v>0.05</v>
      </c>
      <c r="N5906" s="475">
        <f t="shared" si="220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18"/>
        <v>-7653346293161808</v>
      </c>
      <c r="J5907" s="455">
        <f t="array" ref="J5907">IFERROR(INDEX('Retirement Calculator'!J:J,MATCH('Isaac 401k'!N5907,'Retirement Calculator'!A:A,0),0),0)</f>
        <v>0</v>
      </c>
      <c r="K5907" s="455">
        <f t="shared" ca="1" si="216"/>
        <v>-31888942888174.199</v>
      </c>
      <c r="L5907" s="455">
        <f t="shared" ca="1" si="217"/>
        <v>-7685235236049982</v>
      </c>
      <c r="M5907" s="471">
        <f t="shared" si="219"/>
        <v>0.05</v>
      </c>
      <c r="N5907" s="475">
        <f t="shared" si="220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18"/>
        <v>-7685235236049982</v>
      </c>
      <c r="J5908" s="455">
        <f t="array" ref="J5908">IFERROR(INDEX('Retirement Calculator'!J:J,MATCH('Isaac 401k'!N5908,'Retirement Calculator'!A:A,0),0),0)</f>
        <v>0</v>
      </c>
      <c r="K5908" s="455">
        <f t="shared" ca="1" si="216"/>
        <v>-32021813483541.586</v>
      </c>
      <c r="L5908" s="455">
        <f t="shared" ca="1" si="217"/>
        <v>-7717257049533524</v>
      </c>
      <c r="M5908" s="471">
        <f t="shared" si="219"/>
        <v>0.05</v>
      </c>
      <c r="N5908" s="475">
        <f t="shared" si="220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18"/>
        <v>-7717257049533524</v>
      </c>
      <c r="J5909" s="455">
        <f t="array" ref="J5909">IFERROR(INDEX('Retirement Calculator'!J:J,MATCH('Isaac 401k'!N5909,'Retirement Calculator'!A:A,0),0),0)</f>
        <v>0</v>
      </c>
      <c r="K5909" s="455">
        <f t="shared" ca="1" si="216"/>
        <v>-32155237706389.68</v>
      </c>
      <c r="L5909" s="455">
        <f t="shared" ca="1" si="217"/>
        <v>-7749412287239914</v>
      </c>
      <c r="M5909" s="471">
        <f t="shared" si="219"/>
        <v>0.05</v>
      </c>
      <c r="N5909" s="475">
        <f t="shared" si="220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18"/>
        <v>-7749412287239914</v>
      </c>
      <c r="J5910" s="455">
        <f t="array" ref="J5910">IFERROR(INDEX('Retirement Calculator'!J:J,MATCH('Isaac 401k'!N5910,'Retirement Calculator'!A:A,0),0),0)</f>
        <v>0</v>
      </c>
      <c r="K5910" s="455">
        <f t="shared" ca="1" si="216"/>
        <v>-32289217863499.645</v>
      </c>
      <c r="L5910" s="455">
        <f t="shared" ca="1" si="217"/>
        <v>-7781701505103414</v>
      </c>
      <c r="M5910" s="471">
        <f t="shared" si="219"/>
        <v>0.05</v>
      </c>
      <c r="N5910" s="475">
        <f t="shared" si="220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18"/>
        <v>-7781701505103414</v>
      </c>
      <c r="J5911" s="455">
        <f t="array" ref="J5911">IFERROR(INDEX('Retirement Calculator'!J:J,MATCH('Isaac 401k'!N5911,'Retirement Calculator'!A:A,0),0),0)</f>
        <v>0</v>
      </c>
      <c r="K5911" s="455">
        <f t="shared" ca="1" si="216"/>
        <v>-32423756271264.223</v>
      </c>
      <c r="L5911" s="455">
        <f t="shared" ca="1" si="217"/>
        <v>-7814125261374678</v>
      </c>
      <c r="M5911" s="471">
        <f t="shared" si="219"/>
        <v>0.05</v>
      </c>
      <c r="N5911" s="475">
        <f t="shared" si="220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18"/>
        <v>-7814125261374678</v>
      </c>
      <c r="J5912" s="455">
        <f t="array" ref="J5912">IFERROR(INDEX('Retirement Calculator'!J:J,MATCH('Isaac 401k'!N5912,'Retirement Calculator'!A:A,0),0),0)</f>
        <v>0</v>
      </c>
      <c r="K5912" s="455">
        <f t="shared" ca="1" si="216"/>
        <v>-32558855255727.824</v>
      </c>
      <c r="L5912" s="455">
        <f t="shared" ca="1" si="217"/>
        <v>-7846684116630406</v>
      </c>
      <c r="M5912" s="471">
        <f t="shared" si="219"/>
        <v>0.05</v>
      </c>
      <c r="N5912" s="475">
        <f t="shared" si="220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18"/>
        <v>-7846684116630406</v>
      </c>
      <c r="J5913" s="455">
        <f t="array" ref="J5913">IFERROR(INDEX('Retirement Calculator'!J:J,MATCH('Isaac 401k'!N5913,'Retirement Calculator'!A:A,0),0),0)</f>
        <v>0</v>
      </c>
      <c r="K5913" s="455">
        <f t="shared" ca="1" si="216"/>
        <v>-32694517152626.691</v>
      </c>
      <c r="L5913" s="455">
        <f t="shared" ca="1" si="217"/>
        <v>-7879378633783033</v>
      </c>
      <c r="M5913" s="471">
        <f t="shared" si="219"/>
        <v>0.05</v>
      </c>
      <c r="N5913" s="475">
        <f t="shared" si="220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18"/>
        <v>-7879378633783033</v>
      </c>
      <c r="J5914" s="455">
        <f t="array" ref="J5914">IFERROR(INDEX('Retirement Calculator'!J:J,MATCH('Isaac 401k'!N5914,'Retirement Calculator'!A:A,0),0),0)</f>
        <v>0</v>
      </c>
      <c r="K5914" s="455">
        <f t="shared" ca="1" si="216"/>
        <v>-32830744307429.305</v>
      </c>
      <c r="L5914" s="455">
        <f t="shared" ca="1" si="217"/>
        <v>-7912209378090462</v>
      </c>
      <c r="M5914" s="471">
        <f t="shared" si="219"/>
        <v>0.05</v>
      </c>
      <c r="N5914" s="475">
        <f t="shared" si="220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18"/>
        <v>-7912209378090462</v>
      </c>
      <c r="J5915" s="455">
        <f t="array" ref="J5915">IFERROR(INDEX('Retirement Calculator'!J:J,MATCH('Isaac 401k'!N5915,'Retirement Calculator'!A:A,0),0),0)</f>
        <v>0</v>
      </c>
      <c r="K5915" s="455">
        <f t="shared" ca="1" si="216"/>
        <v>-32967539075376.922</v>
      </c>
      <c r="L5915" s="455">
        <f t="shared" ca="1" si="217"/>
        <v>-7945176917165839</v>
      </c>
      <c r="M5915" s="471">
        <f t="shared" si="219"/>
        <v>0.05</v>
      </c>
      <c r="N5915" s="475">
        <f t="shared" si="220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18"/>
        <v>-7945176917165839</v>
      </c>
      <c r="J5916" s="455">
        <f t="array" ref="J5916">IFERROR(INDEX('Retirement Calculator'!J:J,MATCH('Isaac 401k'!N5916,'Retirement Calculator'!A:A,0),0),0)</f>
        <v>0</v>
      </c>
      <c r="K5916" s="455">
        <f t="shared" ca="1" si="216"/>
        <v>-33104903821524.328</v>
      </c>
      <c r="L5916" s="455">
        <f t="shared" ca="1" si="217"/>
        <v>-7978281820987363</v>
      </c>
      <c r="M5916" s="471">
        <f t="shared" si="219"/>
        <v>0.05</v>
      </c>
      <c r="N5916" s="475">
        <f t="shared" si="220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18"/>
        <v>-7978281820987363</v>
      </c>
      <c r="J5917" s="455">
        <f t="array" ref="J5917">IFERROR(INDEX('Retirement Calculator'!J:J,MATCH('Isaac 401k'!N5917,'Retirement Calculator'!A:A,0),0),0)</f>
        <v>0</v>
      </c>
      <c r="K5917" s="455">
        <f t="shared" ca="1" si="216"/>
        <v>-33242840920780.676</v>
      </c>
      <c r="L5917" s="455">
        <f t="shared" ca="1" si="217"/>
        <v>-8011524661908144</v>
      </c>
      <c r="M5917" s="471">
        <f t="shared" si="219"/>
        <v>0.05</v>
      </c>
      <c r="N5917" s="475">
        <f t="shared" si="220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18"/>
        <v>-8011524661908144</v>
      </c>
      <c r="J5918" s="455">
        <f t="array" ref="J5918">IFERROR(INDEX('Retirement Calculator'!J:J,MATCH('Isaac 401k'!N5918,'Retirement Calculator'!A:A,0),0),0)</f>
        <v>0</v>
      </c>
      <c r="K5918" s="455">
        <f t="shared" ca="1" si="216"/>
        <v>-33381352757950.594</v>
      </c>
      <c r="L5918" s="455">
        <f t="shared" ca="1" si="217"/>
        <v>-8044906014666095</v>
      </c>
      <c r="M5918" s="471">
        <f t="shared" si="219"/>
        <v>0.05</v>
      </c>
      <c r="N5918" s="475">
        <f t="shared" si="220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18"/>
        <v>-8044906014666095</v>
      </c>
      <c r="J5919" s="455">
        <f t="array" ref="J5919">IFERROR(INDEX('Retirement Calculator'!J:J,MATCH('Isaac 401k'!N5919,'Retirement Calculator'!A:A,0),0),0)</f>
        <v>0</v>
      </c>
      <c r="K5919" s="455">
        <f t="shared" ca="1" si="216"/>
        <v>-33520441727775.398</v>
      </c>
      <c r="L5919" s="455">
        <f t="shared" ca="1" si="217"/>
        <v>-8078426456393870</v>
      </c>
      <c r="M5919" s="471">
        <f t="shared" si="219"/>
        <v>0.05</v>
      </c>
      <c r="N5919" s="475">
        <f t="shared" si="220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18"/>
        <v>-8078426456393870</v>
      </c>
      <c r="J5920" s="455">
        <f t="array" ref="J5920">IFERROR(INDEX('Retirement Calculator'!J:J,MATCH('Isaac 401k'!N5920,'Retirement Calculator'!A:A,0),0),0)</f>
        <v>0</v>
      </c>
      <c r="K5920" s="455">
        <f t="shared" ca="1" si="216"/>
        <v>-33660110234974.461</v>
      </c>
      <c r="L5920" s="455">
        <f t="shared" ca="1" si="217"/>
        <v>-8112086566628844</v>
      </c>
      <c r="M5920" s="471">
        <f t="shared" si="219"/>
        <v>0.05</v>
      </c>
      <c r="N5920" s="475">
        <f t="shared" si="220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18"/>
        <v>-8112086566628844</v>
      </c>
      <c r="J5921" s="455">
        <f t="array" ref="J5921">IFERROR(INDEX('Retirement Calculator'!J:J,MATCH('Isaac 401k'!N5921,'Retirement Calculator'!A:A,0),0),0)</f>
        <v>0</v>
      </c>
      <c r="K5921" s="455">
        <f t="shared" ca="1" si="216"/>
        <v>-33800360694286.848</v>
      </c>
      <c r="L5921" s="455">
        <f t="shared" ca="1" si="217"/>
        <v>-8145886927323131</v>
      </c>
      <c r="M5921" s="471">
        <f t="shared" si="219"/>
        <v>0.05</v>
      </c>
      <c r="N5921" s="475">
        <f t="shared" si="220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18"/>
        <v>-8145886927323131</v>
      </c>
      <c r="J5922" s="455">
        <f t="array" ref="J5922">IFERROR(INDEX('Retirement Calculator'!J:J,MATCH('Isaac 401k'!N5922,'Retirement Calculator'!A:A,0),0),0)</f>
        <v>0</v>
      </c>
      <c r="K5922" s="455">
        <f t="shared" ca="1" si="216"/>
        <v>-33941195530513.051</v>
      </c>
      <c r="L5922" s="455">
        <f t="shared" ca="1" si="217"/>
        <v>-8179828122853644</v>
      </c>
      <c r="M5922" s="471">
        <f t="shared" si="219"/>
        <v>0.05</v>
      </c>
      <c r="N5922" s="475">
        <f t="shared" si="220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18"/>
        <v>-8179828122853644</v>
      </c>
      <c r="J5923" s="455">
        <f t="array" ref="J5923">IFERROR(INDEX('Retirement Calculator'!J:J,MATCH('Isaac 401k'!N5923,'Retirement Calculator'!A:A,0),0),0)</f>
        <v>0</v>
      </c>
      <c r="K5923" s="455">
        <f t="shared" ca="1" si="216"/>
        <v>-34082617178556.844</v>
      </c>
      <c r="L5923" s="455">
        <f t="shared" ca="1" si="217"/>
        <v>-8213910740032201</v>
      </c>
      <c r="M5923" s="471">
        <f t="shared" si="219"/>
        <v>0.05</v>
      </c>
      <c r="N5923" s="475">
        <f t="shared" si="220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18"/>
        <v>-8213910740032201</v>
      </c>
      <c r="J5924" s="455">
        <f t="array" ref="J5924">IFERROR(INDEX('Retirement Calculator'!J:J,MATCH('Isaac 401k'!N5924,'Retirement Calculator'!A:A,0),0),0)</f>
        <v>0</v>
      </c>
      <c r="K5924" s="455">
        <f t="shared" ca="1" si="216"/>
        <v>-34224628083467.504</v>
      </c>
      <c r="L5924" s="455">
        <f t="shared" ca="1" si="217"/>
        <v>-8248135368115669</v>
      </c>
      <c r="M5924" s="471">
        <f t="shared" si="219"/>
        <v>0.05</v>
      </c>
      <c r="N5924" s="475">
        <f t="shared" si="220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18"/>
        <v>-8248135368115669</v>
      </c>
      <c r="J5925" s="455">
        <f t="array" ref="J5925">IFERROR(INDEX('Retirement Calculator'!J:J,MATCH('Isaac 401k'!N5925,'Retirement Calculator'!A:A,0),0),0)</f>
        <v>0</v>
      </c>
      <c r="K5925" s="455">
        <f t="shared" ca="1" si="216"/>
        <v>-34367230700481.953</v>
      </c>
      <c r="L5925" s="455">
        <f t="shared" ca="1" si="217"/>
        <v>-8282502598816151</v>
      </c>
      <c r="M5925" s="471">
        <f t="shared" si="219"/>
        <v>0.05</v>
      </c>
      <c r="N5925" s="475">
        <f t="shared" si="220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18"/>
        <v>-8282502598816151</v>
      </c>
      <c r="J5926" s="455">
        <f t="array" ref="J5926">IFERROR(INDEX('Retirement Calculator'!J:J,MATCH('Isaac 401k'!N5926,'Retirement Calculator'!A:A,0),0),0)</f>
        <v>0</v>
      </c>
      <c r="K5926" s="455">
        <f t="shared" ca="1" si="216"/>
        <v>-34510427495067.297</v>
      </c>
      <c r="L5926" s="455">
        <f t="shared" ca="1" si="217"/>
        <v>-8317013026311218</v>
      </c>
      <c r="M5926" s="471">
        <f t="shared" si="219"/>
        <v>0.05</v>
      </c>
      <c r="N5926" s="475">
        <f t="shared" si="220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18"/>
        <v>-8317013026311218</v>
      </c>
      <c r="J5927" s="455">
        <f t="array" ref="J5927">IFERROR(INDEX('Retirement Calculator'!J:J,MATCH('Isaac 401k'!N5927,'Retirement Calculator'!A:A,0),0),0)</f>
        <v>0</v>
      </c>
      <c r="K5927" s="455">
        <f t="shared" ca="1" si="216"/>
        <v>-34654220942963.406</v>
      </c>
      <c r="L5927" s="455">
        <f t="shared" ca="1" si="217"/>
        <v>-8351667247254181</v>
      </c>
      <c r="M5927" s="471">
        <f t="shared" si="219"/>
        <v>0.05</v>
      </c>
      <c r="N5927" s="475">
        <f t="shared" si="220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18"/>
        <v>-8351667247254181</v>
      </c>
      <c r="J5928" s="455">
        <f t="array" ref="J5928">IFERROR(INDEX('Retirement Calculator'!J:J,MATCH('Isaac 401k'!N5928,'Retirement Calculator'!A:A,0),0),0)</f>
        <v>0</v>
      </c>
      <c r="K5928" s="455">
        <f t="shared" ca="1" si="216"/>
        <v>-34798613530225.754</v>
      </c>
      <c r="L5928" s="455">
        <f t="shared" ca="1" si="217"/>
        <v>-8386465860784407</v>
      </c>
      <c r="M5928" s="471">
        <f t="shared" si="219"/>
        <v>0.05</v>
      </c>
      <c r="N5928" s="475">
        <f t="shared" si="220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18"/>
        <v>-8386465860784407</v>
      </c>
      <c r="J5929" s="455">
        <f t="array" ref="J5929">IFERROR(INDEX('Retirement Calculator'!J:J,MATCH('Isaac 401k'!N5929,'Retirement Calculator'!A:A,0),0),0)</f>
        <v>0</v>
      </c>
      <c r="K5929" s="455">
        <f t="shared" ca="1" si="216"/>
        <v>-34943607753268.363</v>
      </c>
      <c r="L5929" s="455">
        <f t="shared" ca="1" si="217"/>
        <v>-8421409468537675</v>
      </c>
      <c r="M5929" s="471">
        <f t="shared" si="219"/>
        <v>0.05</v>
      </c>
      <c r="N5929" s="475">
        <f t="shared" si="220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18"/>
        <v>-8421409468537675</v>
      </c>
      <c r="J5930" s="455">
        <f t="array" ref="J5930">IFERROR(INDEX('Retirement Calculator'!J:J,MATCH('Isaac 401k'!N5930,'Retirement Calculator'!A:A,0),0),0)</f>
        <v>0</v>
      </c>
      <c r="K5930" s="455">
        <f t="shared" ca="1" si="216"/>
        <v>-35089206118906.973</v>
      </c>
      <c r="L5930" s="455">
        <f t="shared" ca="1" si="217"/>
        <v>-8456498674656582</v>
      </c>
      <c r="M5930" s="471">
        <f t="shared" si="219"/>
        <v>0.05</v>
      </c>
      <c r="N5930" s="475">
        <f t="shared" si="220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18"/>
        <v>-8456498674656582</v>
      </c>
      <c r="J5931" s="455">
        <f t="array" ref="J5931">IFERROR(INDEX('Retirement Calculator'!J:J,MATCH('Isaac 401k'!N5931,'Retirement Calculator'!A:A,0),0),0)</f>
        <v>0</v>
      </c>
      <c r="K5931" s="455">
        <f t="shared" ca="1" si="216"/>
        <v>-35235411144402.422</v>
      </c>
      <c r="L5931" s="455">
        <f t="shared" ca="1" si="217"/>
        <v>-8491734085800984</v>
      </c>
      <c r="M5931" s="471">
        <f t="shared" si="219"/>
        <v>0.05</v>
      </c>
      <c r="N5931" s="475">
        <f t="shared" si="220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18"/>
        <v>-8491734085800984</v>
      </c>
      <c r="J5932" s="455">
        <f t="array" ref="J5932">IFERROR(INDEX('Retirement Calculator'!J:J,MATCH('Isaac 401k'!N5932,'Retirement Calculator'!A:A,0),0),0)</f>
        <v>0</v>
      </c>
      <c r="K5932" s="455">
        <f t="shared" ca="1" si="216"/>
        <v>-35382225357504.102</v>
      </c>
      <c r="L5932" s="455">
        <f t="shared" ca="1" si="217"/>
        <v>-8527116311158488</v>
      </c>
      <c r="M5932" s="471">
        <f t="shared" si="219"/>
        <v>0.05</v>
      </c>
      <c r="N5932" s="475">
        <f t="shared" si="220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18"/>
        <v>-8527116311158488</v>
      </c>
      <c r="J5933" s="455">
        <f t="array" ref="J5933">IFERROR(INDEX('Retirement Calculator'!J:J,MATCH('Isaac 401k'!N5933,'Retirement Calculator'!A:A,0),0),0)</f>
        <v>0</v>
      </c>
      <c r="K5933" s="455">
        <f t="shared" ca="1" si="216"/>
        <v>-35529651296493.703</v>
      </c>
      <c r="L5933" s="455">
        <f t="shared" ca="1" si="217"/>
        <v>-8562645962454982</v>
      </c>
      <c r="M5933" s="471">
        <f t="shared" si="219"/>
        <v>0.05</v>
      </c>
      <c r="N5933" s="475">
        <f t="shared" si="220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18"/>
        <v>-8562645962454982</v>
      </c>
      <c r="J5934" s="455">
        <f t="array" ref="J5934">IFERROR(INDEX('Retirement Calculator'!J:J,MATCH('Isaac 401k'!N5934,'Retirement Calculator'!A:A,0),0),0)</f>
        <v>0</v>
      </c>
      <c r="K5934" s="455">
        <f t="shared" ca="1" si="216"/>
        <v>-35677691510229.094</v>
      </c>
      <c r="L5934" s="455">
        <f t="shared" ca="1" si="217"/>
        <v>-8598323653965211</v>
      </c>
      <c r="M5934" s="471">
        <f t="shared" si="219"/>
        <v>0.05</v>
      </c>
      <c r="N5934" s="475">
        <f t="shared" si="220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18"/>
        <v>-8598323653965211</v>
      </c>
      <c r="J5935" s="455">
        <f t="array" ref="J5935">IFERROR(INDEX('Retirement Calculator'!J:J,MATCH('Isaac 401k'!N5935,'Retirement Calculator'!A:A,0),0),0)</f>
        <v>0</v>
      </c>
      <c r="K5935" s="455">
        <f t="shared" ca="1" si="216"/>
        <v>-35826348558188.375</v>
      </c>
      <c r="L5935" s="455">
        <f t="shared" ca="1" si="217"/>
        <v>-8634150002523399</v>
      </c>
      <c r="M5935" s="471">
        <f t="shared" si="219"/>
        <v>0.05</v>
      </c>
      <c r="N5935" s="475">
        <f t="shared" si="220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18"/>
        <v>-8634150002523399</v>
      </c>
      <c r="J5936" s="455">
        <f t="array" ref="J5936">IFERROR(INDEX('Retirement Calculator'!J:J,MATCH('Isaac 401k'!N5936,'Retirement Calculator'!A:A,0),0),0)</f>
        <v>0</v>
      </c>
      <c r="K5936" s="455">
        <f t="shared" ca="1" si="216"/>
        <v>-35975625010514.164</v>
      </c>
      <c r="L5936" s="455">
        <f t="shared" ca="1" si="217"/>
        <v>-8670125627533913</v>
      </c>
      <c r="M5936" s="471">
        <f t="shared" si="219"/>
        <v>0.05</v>
      </c>
      <c r="N5936" s="475">
        <f t="shared" si="220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18"/>
        <v>-8670125627533913</v>
      </c>
      <c r="J5937" s="455">
        <f t="array" ref="J5937">IFERROR(INDEX('Retirement Calculator'!J:J,MATCH('Isaac 401k'!N5937,'Retirement Calculator'!A:A,0),0),0)</f>
        <v>0</v>
      </c>
      <c r="K5937" s="455">
        <f t="shared" ca="1" si="216"/>
        <v>-36125523448057.969</v>
      </c>
      <c r="L5937" s="455">
        <f t="shared" ca="1" si="217"/>
        <v>-8706251150981971</v>
      </c>
      <c r="M5937" s="471">
        <f t="shared" si="219"/>
        <v>0.05</v>
      </c>
      <c r="N5937" s="475">
        <f t="shared" si="220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18"/>
        <v>-8706251150981971</v>
      </c>
      <c r="J5938" s="455">
        <f t="array" ref="J5938">IFERROR(INDEX('Retirement Calculator'!J:J,MATCH('Isaac 401k'!N5938,'Retirement Calculator'!A:A,0),0),0)</f>
        <v>0</v>
      </c>
      <c r="K5938" s="455">
        <f t="shared" ca="1" si="216"/>
        <v>-36276046462424.883</v>
      </c>
      <c r="L5938" s="455">
        <f t="shared" ca="1" si="217"/>
        <v>-8742527197444396</v>
      </c>
      <c r="M5938" s="471">
        <f t="shared" si="219"/>
        <v>0.05</v>
      </c>
      <c r="N5938" s="475">
        <f t="shared" si="220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18"/>
        <v>-8742527197444396</v>
      </c>
      <c r="J5939" s="455">
        <f t="array" ref="J5939">IFERROR(INDEX('Retirement Calculator'!J:J,MATCH('Isaac 401k'!N5939,'Retirement Calculator'!A:A,0),0),0)</f>
        <v>0</v>
      </c>
      <c r="K5939" s="455">
        <f t="shared" ca="1" si="216"/>
        <v>-36427196656018.313</v>
      </c>
      <c r="L5939" s="455">
        <f t="shared" ca="1" si="217"/>
        <v>-8778954394100414</v>
      </c>
      <c r="M5939" s="471">
        <f t="shared" si="219"/>
        <v>0.05</v>
      </c>
      <c r="N5939" s="475">
        <f t="shared" si="220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18"/>
        <v>-8778954394100414</v>
      </c>
      <c r="J5940" s="455">
        <f t="array" ref="J5940">IFERROR(INDEX('Retirement Calculator'!J:J,MATCH('Isaac 401k'!N5940,'Retirement Calculator'!A:A,0),0),0)</f>
        <v>0</v>
      </c>
      <c r="K5940" s="455">
        <f t="shared" ca="1" si="216"/>
        <v>-36578976642085.055</v>
      </c>
      <c r="L5940" s="455">
        <f t="shared" ca="1" si="217"/>
        <v>-8815533370742499</v>
      </c>
      <c r="M5940" s="471">
        <f t="shared" si="219"/>
        <v>0.05</v>
      </c>
      <c r="N5940" s="475">
        <f t="shared" si="220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18"/>
        <v>-8815533370742499</v>
      </c>
      <c r="J5941" s="455">
        <f t="array" ref="J5941">IFERROR(INDEX('Retirement Calculator'!J:J,MATCH('Isaac 401k'!N5941,'Retirement Calculator'!A:A,0),0),0)</f>
        <v>0</v>
      </c>
      <c r="K5941" s="455">
        <f t="shared" ca="1" si="216"/>
        <v>-36731389044760.406</v>
      </c>
      <c r="L5941" s="455">
        <f t="shared" ca="1" si="217"/>
        <v>-8852264759787259</v>
      </c>
      <c r="M5941" s="471">
        <f t="shared" si="219"/>
        <v>0.05</v>
      </c>
      <c r="N5941" s="475">
        <f t="shared" si="220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18"/>
        <v>-8852264759787259</v>
      </c>
      <c r="J5942" s="455">
        <f t="array" ref="J5942">IFERROR(INDEX('Retirement Calculator'!J:J,MATCH('Isaac 401k'!N5942,'Retirement Calculator'!A:A,0),0),0)</f>
        <v>0</v>
      </c>
      <c r="K5942" s="455">
        <f t="shared" ca="1" si="216"/>
        <v>-36884436499113.578</v>
      </c>
      <c r="L5942" s="455">
        <f t="shared" ca="1" si="217"/>
        <v>-8889149196286373</v>
      </c>
      <c r="M5942" s="471">
        <f t="shared" si="219"/>
        <v>0.05</v>
      </c>
      <c r="N5942" s="475">
        <f t="shared" si="220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18"/>
        <v>-8889149196286373</v>
      </c>
      <c r="J5943" s="455">
        <f t="array" ref="J5943">IFERROR(INDEX('Retirement Calculator'!J:J,MATCH('Isaac 401k'!N5943,'Retirement Calculator'!A:A,0),0),0)</f>
        <v>0</v>
      </c>
      <c r="K5943" s="455">
        <f t="shared" ca="1" si="216"/>
        <v>-37038121651193.219</v>
      </c>
      <c r="L5943" s="455">
        <f t="shared" ca="1" si="217"/>
        <v>-8926187317937566</v>
      </c>
      <c r="M5943" s="471">
        <f t="shared" si="219"/>
        <v>0.05</v>
      </c>
      <c r="N5943" s="475">
        <f t="shared" si="220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18"/>
        <v>-8926187317937566</v>
      </c>
      <c r="J5944" s="455">
        <f t="array" ref="J5944">IFERROR(INDEX('Retirement Calculator'!J:J,MATCH('Isaac 401k'!N5944,'Retirement Calculator'!A:A,0),0),0)</f>
        <v>0</v>
      </c>
      <c r="K5944" s="455">
        <f t="shared" ca="1" si="216"/>
        <v>-37192447158073.188</v>
      </c>
      <c r="L5944" s="455">
        <f t="shared" ca="1" si="217"/>
        <v>-8963379765095639</v>
      </c>
      <c r="M5944" s="471">
        <f t="shared" si="219"/>
        <v>0.05</v>
      </c>
      <c r="N5944" s="475">
        <f t="shared" si="220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18"/>
        <v>-8963379765095639</v>
      </c>
      <c r="J5945" s="455">
        <f t="array" ref="J5945">IFERROR(INDEX('Retirement Calculator'!J:J,MATCH('Isaac 401k'!N5945,'Retirement Calculator'!A:A,0),0),0)</f>
        <v>0</v>
      </c>
      <c r="K5945" s="455">
        <f t="shared" ca="1" si="216"/>
        <v>-37347415687898.492</v>
      </c>
      <c r="L5945" s="455">
        <f t="shared" ca="1" si="217"/>
        <v>-9000727180783537</v>
      </c>
      <c r="M5945" s="471">
        <f t="shared" si="219"/>
        <v>0.05</v>
      </c>
      <c r="N5945" s="475">
        <f t="shared" si="220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18"/>
        <v>-9000727180783537</v>
      </c>
      <c r="J5946" s="455">
        <f t="array" ref="J5946">IFERROR(INDEX('Retirement Calculator'!J:J,MATCH('Isaac 401k'!N5946,'Retirement Calculator'!A:A,0),0),0)</f>
        <v>0</v>
      </c>
      <c r="K5946" s="455">
        <f t="shared" ca="1" si="216"/>
        <v>-37503029919931.406</v>
      </c>
      <c r="L5946" s="455">
        <f t="shared" ca="1" si="217"/>
        <v>-9038230210703468</v>
      </c>
      <c r="M5946" s="471">
        <f t="shared" si="219"/>
        <v>0.05</v>
      </c>
      <c r="N5946" s="475">
        <f t="shared" si="220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18"/>
        <v>-9038230210703468</v>
      </c>
      <c r="J5947" s="455">
        <f t="array" ref="J5947">IFERROR(INDEX('Retirement Calculator'!J:J,MATCH('Isaac 401k'!N5947,'Retirement Calculator'!A:A,0),0),0)</f>
        <v>0</v>
      </c>
      <c r="K5947" s="455">
        <f t="shared" ca="1" si="216"/>
        <v>-37659292544597.781</v>
      </c>
      <c r="L5947" s="455">
        <f t="shared" ca="1" si="217"/>
        <v>-9075889503248066</v>
      </c>
      <c r="M5947" s="471">
        <f t="shared" si="219"/>
        <v>0.05</v>
      </c>
      <c r="N5947" s="475">
        <f t="shared" si="220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18"/>
        <v>-9075889503248066</v>
      </c>
      <c r="J5948" s="455">
        <f t="array" ref="J5948">IFERROR(INDEX('Retirement Calculator'!J:J,MATCH('Isaac 401k'!N5948,'Retirement Calculator'!A:A,0),0),0)</f>
        <v>0</v>
      </c>
      <c r="K5948" s="455">
        <f t="shared" ca="1" si="216"/>
        <v>-37816206263533.609</v>
      </c>
      <c r="L5948" s="455">
        <f t="shared" ca="1" si="217"/>
        <v>-9113705709511600</v>
      </c>
      <c r="M5948" s="471">
        <f t="shared" si="219"/>
        <v>0.05</v>
      </c>
      <c r="N5948" s="475">
        <f t="shared" si="220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18"/>
        <v>-9113705709511600</v>
      </c>
      <c r="J5949" s="455">
        <f t="array" ref="J5949">IFERROR(INDEX('Retirement Calculator'!J:J,MATCH('Isaac 401k'!N5949,'Retirement Calculator'!A:A,0),0),0)</f>
        <v>0</v>
      </c>
      <c r="K5949" s="455">
        <f t="shared" ca="1" si="216"/>
        <v>-37973773789631.664</v>
      </c>
      <c r="L5949" s="455">
        <f t="shared" ca="1" si="217"/>
        <v>-9151679483301232</v>
      </c>
      <c r="M5949" s="471">
        <f t="shared" si="219"/>
        <v>0.05</v>
      </c>
      <c r="N5949" s="475">
        <f t="shared" si="220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18"/>
        <v>-9151679483301232</v>
      </c>
      <c r="J5950" s="455">
        <f t="array" ref="J5950">IFERROR(INDEX('Retirement Calculator'!J:J,MATCH('Isaac 401k'!N5950,'Retirement Calculator'!A:A,0),0),0)</f>
        <v>0</v>
      </c>
      <c r="K5950" s="455">
        <f t="shared" ca="1" si="216"/>
        <v>-38131997847088.469</v>
      </c>
      <c r="L5950" s="455">
        <f t="shared" ca="1" si="217"/>
        <v>-9189811481148320</v>
      </c>
      <c r="M5950" s="471">
        <f t="shared" si="219"/>
        <v>0.05</v>
      </c>
      <c r="N5950" s="475">
        <f t="shared" si="220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18"/>
        <v>-9189811481148320</v>
      </c>
      <c r="J5951" s="455">
        <f t="array" ref="J5951">IFERROR(INDEX('Retirement Calculator'!J:J,MATCH('Isaac 401k'!N5951,'Retirement Calculator'!A:A,0),0),0)</f>
        <v>0</v>
      </c>
      <c r="K5951" s="455">
        <f t="shared" ca="1" si="216"/>
        <v>-38290881171451.336</v>
      </c>
      <c r="L5951" s="455">
        <f t="shared" ca="1" si="217"/>
        <v>-9228102362319772</v>
      </c>
      <c r="M5951" s="471">
        <f t="shared" si="219"/>
        <v>0.05</v>
      </c>
      <c r="N5951" s="475">
        <f t="shared" si="220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18"/>
        <v>-9228102362319772</v>
      </c>
      <c r="J5952" s="455">
        <f t="array" ref="J5952">IFERROR(INDEX('Retirement Calculator'!J:J,MATCH('Isaac 401k'!N5952,'Retirement Calculator'!A:A,0),0),0)</f>
        <v>0</v>
      </c>
      <c r="K5952" s="455">
        <f t="shared" ca="1" si="216"/>
        <v>-38450426509665.719</v>
      </c>
      <c r="L5952" s="455">
        <f t="shared" ca="1" si="217"/>
        <v>-9266552788829438</v>
      </c>
      <c r="M5952" s="471">
        <f t="shared" si="219"/>
        <v>0.05</v>
      </c>
      <c r="N5952" s="475">
        <f t="shared" si="220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18"/>
        <v>-9266552788829438</v>
      </c>
      <c r="J5953" s="455">
        <f t="array" ref="J5953">IFERROR(INDEX('Retirement Calculator'!J:J,MATCH('Isaac 401k'!N5953,'Retirement Calculator'!A:A,0),0),0)</f>
        <v>0</v>
      </c>
      <c r="K5953" s="455">
        <f t="shared" ca="1" si="216"/>
        <v>-38610636620122.656</v>
      </c>
      <c r="L5953" s="455">
        <f t="shared" ca="1" si="217"/>
        <v>-9305163425449560</v>
      </c>
      <c r="M5953" s="471">
        <f t="shared" si="219"/>
        <v>0.05</v>
      </c>
      <c r="N5953" s="475">
        <f t="shared" si="220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18"/>
        <v>-9305163425449560</v>
      </c>
      <c r="J5954" s="455">
        <f t="array" ref="J5954">IFERROR(INDEX('Retirement Calculator'!J:J,MATCH('Isaac 401k'!N5954,'Retirement Calculator'!A:A,0),0),0)</f>
        <v>0</v>
      </c>
      <c r="K5954" s="455">
        <f t="shared" ca="1" si="216"/>
        <v>-38771514272706.5</v>
      </c>
      <c r="L5954" s="455">
        <f t="shared" ca="1" si="217"/>
        <v>-9343934939722266</v>
      </c>
      <c r="M5954" s="471">
        <f t="shared" si="219"/>
        <v>0.05</v>
      </c>
      <c r="N5954" s="475">
        <f t="shared" si="220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18"/>
        <v>-9343934939722266</v>
      </c>
      <c r="J5955" s="455">
        <f t="array" ref="J5955">IFERROR(INDEX('Retirement Calculator'!J:J,MATCH('Isaac 401k'!N5955,'Retirement Calculator'!A:A,0),0),0)</f>
        <v>0</v>
      </c>
      <c r="K5955" s="455">
        <f t="shared" ca="1" si="216"/>
        <v>-38933062248842.773</v>
      </c>
      <c r="L5955" s="455">
        <f t="shared" ca="1" si="217"/>
        <v>-9382868001971108</v>
      </c>
      <c r="M5955" s="471">
        <f t="shared" si="219"/>
        <v>0.05</v>
      </c>
      <c r="N5955" s="475">
        <f t="shared" si="220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18"/>
        <v>-9382868001971108</v>
      </c>
      <c r="J5956" s="455">
        <f t="array" ref="J5956">IFERROR(INDEX('Retirement Calculator'!J:J,MATCH('Isaac 401k'!N5956,'Retirement Calculator'!A:A,0),0),0)</f>
        <v>0</v>
      </c>
      <c r="K5956" s="455">
        <f t="shared" ca="1" si="216"/>
        <v>-39095283341546.281</v>
      </c>
      <c r="L5956" s="455">
        <f t="shared" ca="1" si="217"/>
        <v>-9421963285312654</v>
      </c>
      <c r="M5956" s="471">
        <f t="shared" si="219"/>
        <v>0.05</v>
      </c>
      <c r="N5956" s="475">
        <f t="shared" si="220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18"/>
        <v>-9421963285312654</v>
      </c>
      <c r="J5957" s="455">
        <f t="array" ref="J5957">IFERROR(INDEX('Retirement Calculator'!J:J,MATCH('Isaac 401k'!N5957,'Retirement Calculator'!A:A,0),0),0)</f>
        <v>0</v>
      </c>
      <c r="K5957" s="455">
        <f t="shared" ca="1" si="216"/>
        <v>-39258180355469.391</v>
      </c>
      <c r="L5957" s="455">
        <f t="shared" ca="1" si="217"/>
        <v>-9461221465668124</v>
      </c>
      <c r="M5957" s="471">
        <f t="shared" si="219"/>
        <v>0.05</v>
      </c>
      <c r="N5957" s="475">
        <f t="shared" si="220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18"/>
        <v>-9461221465668124</v>
      </c>
      <c r="J5958" s="455">
        <f t="array" ref="J5958">IFERROR(INDEX('Retirement Calculator'!J:J,MATCH('Isaac 401k'!N5958,'Retirement Calculator'!A:A,0),0),0)</f>
        <v>0</v>
      </c>
      <c r="K5958" s="455">
        <f t="shared" ca="1" si="216"/>
        <v>-39421756106950.516</v>
      </c>
      <c r="L5958" s="455">
        <f t="shared" ca="1" si="217"/>
        <v>-9500643221775074</v>
      </c>
      <c r="M5958" s="471">
        <f t="shared" si="219"/>
        <v>0.05</v>
      </c>
      <c r="N5958" s="475">
        <f t="shared" si="220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18"/>
        <v>-9500643221775074</v>
      </c>
      <c r="J5959" s="455">
        <f t="array" ref="J5959">IFERROR(INDEX('Retirement Calculator'!J:J,MATCH('Isaac 401k'!N5959,'Retirement Calculator'!A:A,0),0),0)</f>
        <v>0</v>
      </c>
      <c r="K5959" s="455">
        <f t="shared" ca="1" si="216"/>
        <v>-39586013424062.805</v>
      </c>
      <c r="L5959" s="455">
        <f t="shared" ca="1" si="217"/>
        <v>-9540229235199136</v>
      </c>
      <c r="M5959" s="471">
        <f t="shared" si="219"/>
        <v>0.05</v>
      </c>
      <c r="N5959" s="475">
        <f t="shared" si="220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18"/>
        <v>-9540229235199136</v>
      </c>
      <c r="J5960" s="455">
        <f t="array" ref="J5960">IFERROR(INDEX('Retirement Calculator'!J:J,MATCH('Isaac 401k'!N5960,'Retirement Calculator'!A:A,0),0),0)</f>
        <v>0</v>
      </c>
      <c r="K5960" s="455">
        <f t="shared" ca="1" si="216"/>
        <v>-39750955146663.063</v>
      </c>
      <c r="L5960" s="455">
        <f t="shared" ca="1" si="217"/>
        <v>-9579980190345800</v>
      </c>
      <c r="M5960" s="471">
        <f t="shared" si="219"/>
        <v>0.05</v>
      </c>
      <c r="N5960" s="475">
        <f t="shared" si="220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18"/>
        <v>-9579980190345800</v>
      </c>
      <c r="J5961" s="455">
        <f t="array" ref="J5961">IFERROR(INDEX('Retirement Calculator'!J:J,MATCH('Isaac 401k'!N5961,'Retirement Calculator'!A:A,0),0),0)</f>
        <v>0</v>
      </c>
      <c r="K5961" s="455">
        <f t="shared" ca="1" si="216"/>
        <v>-39916584126440.836</v>
      </c>
      <c r="L5961" s="455">
        <f t="shared" ca="1" si="217"/>
        <v>-9619896774472240</v>
      </c>
      <c r="M5961" s="471">
        <f t="shared" si="219"/>
        <v>0.05</v>
      </c>
      <c r="N5961" s="475">
        <f t="shared" si="220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18"/>
        <v>-9619896774472240</v>
      </c>
      <c r="J5962" s="455">
        <f t="array" ref="J5962">IFERROR(INDEX('Retirement Calculator'!J:J,MATCH('Isaac 401k'!N5962,'Retirement Calculator'!A:A,0),0),0)</f>
        <v>0</v>
      </c>
      <c r="K5962" s="455">
        <f t="shared" ca="1" si="216"/>
        <v>-40082903226967.664</v>
      </c>
      <c r="L5962" s="455">
        <f t="shared" ca="1" si="217"/>
        <v>-9659979677699208</v>
      </c>
      <c r="M5962" s="471">
        <f t="shared" si="219"/>
        <v>0.05</v>
      </c>
      <c r="N5962" s="475">
        <f t="shared" si="220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18"/>
        <v>-9659979677699208</v>
      </c>
      <c r="J5963" s="455">
        <f t="array" ref="J5963">IFERROR(INDEX('Retirement Calculator'!J:J,MATCH('Isaac 401k'!N5963,'Retirement Calculator'!A:A,0),0),0)</f>
        <v>0</v>
      </c>
      <c r="K5963" s="455">
        <f t="shared" ca="1" si="216"/>
        <v>-40249915323746.703</v>
      </c>
      <c r="L5963" s="455">
        <f t="shared" ca="1" si="217"/>
        <v>-9700229593022954</v>
      </c>
      <c r="M5963" s="471">
        <f t="shared" si="219"/>
        <v>0.05</v>
      </c>
      <c r="N5963" s="475">
        <f t="shared" si="220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18"/>
        <v>-9700229593022954</v>
      </c>
      <c r="J5964" s="455">
        <f t="array" ref="J5964">IFERROR(INDEX('Retirement Calculator'!J:J,MATCH('Isaac 401k'!N5964,'Retirement Calculator'!A:A,0),0),0)</f>
        <v>0</v>
      </c>
      <c r="K5964" s="455">
        <f t="shared" ca="1" si="216"/>
        <v>-40417623304262.305</v>
      </c>
      <c r="L5964" s="455">
        <f t="shared" ca="1" si="217"/>
        <v>-9740647216327216</v>
      </c>
      <c r="M5964" s="471">
        <f t="shared" si="219"/>
        <v>0.05</v>
      </c>
      <c r="N5964" s="475">
        <f t="shared" si="220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18"/>
        <v>-9740647216327216</v>
      </c>
      <c r="J5965" s="455">
        <f t="array" ref="J5965">IFERROR(INDEX('Retirement Calculator'!J:J,MATCH('Isaac 401k'!N5965,'Retirement Calculator'!A:A,0),0),0)</f>
        <v>0</v>
      </c>
      <c r="K5965" s="455">
        <f t="shared" ca="1" si="216"/>
        <v>-40586030068030.063</v>
      </c>
      <c r="L5965" s="455">
        <f t="shared" ca="1" si="217"/>
        <v>-9781233246395246</v>
      </c>
      <c r="M5965" s="471">
        <f t="shared" si="219"/>
        <v>0.05</v>
      </c>
      <c r="N5965" s="475">
        <f t="shared" si="220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18"/>
        <v>-9781233246395246</v>
      </c>
      <c r="J5966" s="455">
        <f t="array" ref="J5966">IFERROR(INDEX('Retirement Calculator'!J:J,MATCH('Isaac 401k'!N5966,'Retirement Calculator'!A:A,0),0),0)</f>
        <v>0</v>
      </c>
      <c r="K5966" s="455">
        <f t="shared" ca="1" si="216"/>
        <v>-40755138526646.859</v>
      </c>
      <c r="L5966" s="455">
        <f t="shared" ca="1" si="217"/>
        <v>-9821988384921892</v>
      </c>
      <c r="M5966" s="471">
        <f t="shared" si="219"/>
        <v>0.05</v>
      </c>
      <c r="N5966" s="475">
        <f t="shared" si="220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18"/>
        <v>-9821988384921892</v>
      </c>
      <c r="J5967" s="455">
        <f t="array" ref="J5967">IFERROR(INDEX('Retirement Calculator'!J:J,MATCH('Isaac 401k'!N5967,'Retirement Calculator'!A:A,0),0),0)</f>
        <v>0</v>
      </c>
      <c r="K5967" s="455">
        <f t="shared" ca="1" si="216"/>
        <v>-40924951603841.219</v>
      </c>
      <c r="L5967" s="455">
        <f t="shared" ca="1" si="217"/>
        <v>-9862913336525734</v>
      </c>
      <c r="M5967" s="471">
        <f t="shared" si="219"/>
        <v>0.05</v>
      </c>
      <c r="N5967" s="475">
        <f t="shared" si="220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18"/>
        <v>-9862913336525734</v>
      </c>
      <c r="J5968" s="455">
        <f t="array" ref="J5968">IFERROR(INDEX('Retirement Calculator'!J:J,MATCH('Isaac 401k'!N5968,'Retirement Calculator'!A:A,0),0),0)</f>
        <v>0</v>
      </c>
      <c r="K5968" s="455">
        <f t="shared" ca="1" si="216"/>
        <v>-41095472235523.891</v>
      </c>
      <c r="L5968" s="455">
        <f t="shared" ca="1" si="217"/>
        <v>-9904008808761258</v>
      </c>
      <c r="M5968" s="471">
        <f t="shared" si="219"/>
        <v>0.05</v>
      </c>
      <c r="N5968" s="475">
        <f t="shared" si="220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18"/>
        <v>-9904008808761258</v>
      </c>
      <c r="J5969" s="455">
        <f t="array" ref="J5969">IFERROR(INDEX('Retirement Calculator'!J:J,MATCH('Isaac 401k'!N5969,'Retirement Calculator'!A:A,0),0),0)</f>
        <v>0</v>
      </c>
      <c r="K5969" s="455">
        <f t="shared" ca="1" si="216"/>
        <v>-41266703369838.578</v>
      </c>
      <c r="L5969" s="455">
        <f t="shared" ca="1" si="217"/>
        <v>-9945275512131096</v>
      </c>
      <c r="M5969" s="471">
        <f t="shared" si="219"/>
        <v>0.05</v>
      </c>
      <c r="N5969" s="475">
        <f t="shared" si="220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18"/>
        <v>-9945275512131096</v>
      </c>
      <c r="J5970" s="455">
        <f t="array" ref="J5970">IFERROR(INDEX('Retirement Calculator'!J:J,MATCH('Isaac 401k'!N5970,'Retirement Calculator'!A:A,0),0),0)</f>
        <v>0</v>
      </c>
      <c r="K5970" s="455">
        <f t="shared" ca="1" si="216"/>
        <v>-41438647967212.898</v>
      </c>
      <c r="L5970" s="455">
        <f t="shared" ca="1" si="217"/>
        <v>-9986714160098308</v>
      </c>
      <c r="M5970" s="471">
        <f t="shared" si="219"/>
        <v>0.05</v>
      </c>
      <c r="N5970" s="475">
        <f t="shared" si="220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18"/>
        <v>-9986714160098308</v>
      </c>
      <c r="J5971" s="455">
        <f t="array" ref="J5971">IFERROR(INDEX('Retirement Calculator'!J:J,MATCH('Isaac 401k'!N5971,'Retirement Calculator'!A:A,0),0),0)</f>
        <v>0</v>
      </c>
      <c r="K5971" s="455">
        <f t="shared" ca="1" si="216"/>
        <v>-41611309000409.617</v>
      </c>
      <c r="L5971" s="455">
        <f t="shared" ca="1" si="217"/>
        <v>-1.0028325469098718E+16</v>
      </c>
      <c r="M5971" s="471">
        <f t="shared" si="219"/>
        <v>0.05</v>
      </c>
      <c r="N5971" s="475">
        <f t="shared" si="220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18"/>
        <v>-1.0028325469098718E+16</v>
      </c>
      <c r="J5972" s="455">
        <f t="array" ref="J5972">IFERROR(INDEX('Retirement Calculator'!J:J,MATCH('Isaac 401k'!N5972,'Retirement Calculator'!A:A,0),0),0)</f>
        <v>0</v>
      </c>
      <c r="K5972" s="455">
        <f t="shared" ca="1" si="216"/>
        <v>-41784689454577.992</v>
      </c>
      <c r="L5972" s="455">
        <f t="shared" ca="1" si="217"/>
        <v>-1.0070110158553296E+16</v>
      </c>
      <c r="M5972" s="471">
        <f t="shared" si="219"/>
        <v>0.05</v>
      </c>
      <c r="N5972" s="475">
        <f t="shared" si="220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18"/>
        <v>-1.0070110158553296E+16</v>
      </c>
      <c r="J5973" s="455">
        <f t="array" ref="J5973">IFERROR(INDEX('Retirement Calculator'!J:J,MATCH('Isaac 401k'!N5973,'Retirement Calculator'!A:A,0),0),0)</f>
        <v>0</v>
      </c>
      <c r="K5973" s="455">
        <f t="shared" ca="1" si="216"/>
        <v>-41958792327305.398</v>
      </c>
      <c r="L5973" s="455">
        <f t="shared" ca="1" si="217"/>
        <v>-1.0112068950880602E+16</v>
      </c>
      <c r="M5973" s="471">
        <f t="shared" si="219"/>
        <v>0.05</v>
      </c>
      <c r="N5973" s="475">
        <f t="shared" si="220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18"/>
        <v>-1.0112068950880602E+16</v>
      </c>
      <c r="J5974" s="455">
        <f t="array" ref="J5974">IFERROR(INDEX('Retirement Calculator'!J:J,MATCH('Isaac 401k'!N5974,'Retirement Calculator'!A:A,0),0),0)</f>
        <v>0</v>
      </c>
      <c r="K5974" s="455">
        <f t="shared" ca="1" si="216"/>
        <v>-42133620628669.172</v>
      </c>
      <c r="L5974" s="455">
        <f t="shared" ca="1" si="217"/>
        <v>-1.0154202571509272E+16</v>
      </c>
      <c r="M5974" s="471">
        <f t="shared" si="219"/>
        <v>0.05</v>
      </c>
      <c r="N5974" s="475">
        <f t="shared" si="220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18"/>
        <v>-1.0154202571509272E+16</v>
      </c>
      <c r="J5975" s="455">
        <f t="array" ref="J5975">IFERROR(INDEX('Retirement Calculator'!J:J,MATCH('Isaac 401k'!N5975,'Retirement Calculator'!A:A,0),0),0)</f>
        <v>0</v>
      </c>
      <c r="K5975" s="455">
        <f t="shared" ca="1" si="216"/>
        <v>-42309177381288.633</v>
      </c>
      <c r="L5975" s="455">
        <f t="shared" ca="1" si="217"/>
        <v>-1.019651174889056E+16</v>
      </c>
      <c r="M5975" s="471">
        <f t="shared" si="219"/>
        <v>0.05</v>
      </c>
      <c r="N5975" s="475">
        <f t="shared" si="220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18"/>
        <v>-1.019651174889056E+16</v>
      </c>
      <c r="J5976" s="455">
        <f t="array" ref="J5976">IFERROR(INDEX('Retirement Calculator'!J:J,MATCH('Isaac 401k'!N5976,'Retirement Calculator'!A:A,0),0),0)</f>
        <v>0</v>
      </c>
      <c r="K5976" s="455">
        <f t="shared" ca="1" si="216"/>
        <v>-42485465620377.336</v>
      </c>
      <c r="L5976" s="455">
        <f t="shared" ca="1" si="217"/>
        <v>-1.0238997214510938E+16</v>
      </c>
      <c r="M5976" s="471">
        <f t="shared" si="219"/>
        <v>0.05</v>
      </c>
      <c r="N5976" s="475">
        <f t="shared" si="220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18"/>
        <v>-1.0238997214510938E+16</v>
      </c>
      <c r="J5977" s="455">
        <f t="array" ref="J5977">IFERROR(INDEX('Retirement Calculator'!J:J,MATCH('Isaac 401k'!N5977,'Retirement Calculator'!A:A,0),0),0)</f>
        <v>0</v>
      </c>
      <c r="K5977" s="455">
        <f t="shared" ca="1" si="216"/>
        <v>-42662488393795.578</v>
      </c>
      <c r="L5977" s="455">
        <f t="shared" ca="1" si="217"/>
        <v>-1.0281659702904734E+16</v>
      </c>
      <c r="M5977" s="471">
        <f t="shared" si="219"/>
        <v>0.05</v>
      </c>
      <c r="N5977" s="475">
        <f t="shared" si="220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18"/>
        <v>-1.0281659702904734E+16</v>
      </c>
      <c r="J5978" s="455">
        <f t="array" ref="J5978">IFERROR(INDEX('Retirement Calculator'!J:J,MATCH('Isaac 401k'!N5978,'Retirement Calculator'!A:A,0),0),0)</f>
        <v>0</v>
      </c>
      <c r="K5978" s="455">
        <f t="shared" ca="1" si="216"/>
        <v>-42840248762103.055</v>
      </c>
      <c r="L5978" s="455">
        <f t="shared" ca="1" si="217"/>
        <v>-1.0324499951666838E+16</v>
      </c>
      <c r="M5978" s="471">
        <f t="shared" si="219"/>
        <v>0.05</v>
      </c>
      <c r="N5978" s="475">
        <f t="shared" si="220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18"/>
        <v>-1.0324499951666838E+16</v>
      </c>
      <c r="J5979" s="455">
        <f t="array" ref="J5979">IFERROR(INDEX('Retirement Calculator'!J:J,MATCH('Isaac 401k'!N5979,'Retirement Calculator'!A:A,0),0),0)</f>
        <v>0</v>
      </c>
      <c r="K5979" s="455">
        <f t="shared" ca="1" si="216"/>
        <v>-43018749798611.828</v>
      </c>
      <c r="L5979" s="455">
        <f t="shared" ca="1" si="217"/>
        <v>-1.036751870146545E+16</v>
      </c>
      <c r="M5979" s="471">
        <f t="shared" si="219"/>
        <v>0.05</v>
      </c>
      <c r="N5979" s="475">
        <f t="shared" si="220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18"/>
        <v>-1.036751870146545E+16</v>
      </c>
      <c r="J5980" s="455">
        <f t="array" ref="J5980">IFERROR(INDEX('Retirement Calculator'!J:J,MATCH('Isaac 401k'!N5980,'Retirement Calculator'!A:A,0),0),0)</f>
        <v>0</v>
      </c>
      <c r="K5980" s="455">
        <f t="shared" ca="1" si="216"/>
        <v>-43197994589439.375</v>
      </c>
      <c r="L5980" s="455">
        <f t="shared" ca="1" si="217"/>
        <v>-1.041071669605489E+16</v>
      </c>
      <c r="M5980" s="471">
        <f t="shared" si="219"/>
        <v>0.05</v>
      </c>
      <c r="N5980" s="475">
        <f t="shared" si="220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18"/>
        <v>-1.041071669605489E+16</v>
      </c>
      <c r="J5981" s="455">
        <f t="array" ref="J5981">IFERROR(INDEX('Retirement Calculator'!J:J,MATCH('Isaac 401k'!N5981,'Retirement Calculator'!A:A,0),0),0)</f>
        <v>0</v>
      </c>
      <c r="K5981" s="455">
        <f t="shared" ca="1" si="216"/>
        <v>-43377986233562.039</v>
      </c>
      <c r="L5981" s="455">
        <f t="shared" ca="1" si="217"/>
        <v>-1.0454094682288452E+16</v>
      </c>
      <c r="M5981" s="471">
        <f t="shared" si="219"/>
        <v>0.05</v>
      </c>
      <c r="N5981" s="475">
        <f t="shared" si="220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18"/>
        <v>-1.0454094682288452E+16</v>
      </c>
      <c r="J5982" s="455">
        <f t="array" ref="J5982">IFERROR(INDEX('Retirement Calculator'!J:J,MATCH('Isaac 401k'!N5982,'Retirement Calculator'!A:A,0),0),0)</f>
        <v>0</v>
      </c>
      <c r="K5982" s="455">
        <f t="shared" ca="1" si="216"/>
        <v>-43558727842868.547</v>
      </c>
      <c r="L5982" s="455">
        <f t="shared" ca="1" si="217"/>
        <v>-1.049765341013132E+16</v>
      </c>
      <c r="M5982" s="471">
        <f t="shared" si="219"/>
        <v>0.05</v>
      </c>
      <c r="N5982" s="475">
        <f t="shared" si="220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18"/>
        <v>-1.049765341013132E+16</v>
      </c>
      <c r="J5983" s="455">
        <f t="array" ref="J5983">IFERROR(INDEX('Retirement Calculator'!J:J,MATCH('Isaac 401k'!N5983,'Retirement Calculator'!A:A,0),0),0)</f>
        <v>0</v>
      </c>
      <c r="K5983" s="455">
        <f t="shared" ca="1" si="216"/>
        <v>-43740222542213.836</v>
      </c>
      <c r="L5983" s="455">
        <f t="shared" ca="1" si="217"/>
        <v>-1.0541393632673534E+16</v>
      </c>
      <c r="M5983" s="471">
        <f t="shared" si="219"/>
        <v>0.05</v>
      </c>
      <c r="N5983" s="475">
        <f t="shared" si="220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18"/>
        <v>-1.0541393632673534E+16</v>
      </c>
      <c r="J5984" s="455">
        <f t="array" ref="J5984">IFERROR(INDEX('Retirement Calculator'!J:J,MATCH('Isaac 401k'!N5984,'Retirement Calculator'!A:A,0),0),0)</f>
        <v>0</v>
      </c>
      <c r="K5984" s="455">
        <f t="shared" ca="1" si="216"/>
        <v>-43922473469473.055</v>
      </c>
      <c r="L5984" s="455">
        <f t="shared" ca="1" si="217"/>
        <v>-1.0585316106143008E+16</v>
      </c>
      <c r="M5984" s="471">
        <f t="shared" si="219"/>
        <v>0.05</v>
      </c>
      <c r="N5984" s="475">
        <f t="shared" si="220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18"/>
        <v>-1.0585316106143008E+16</v>
      </c>
      <c r="J5985" s="455">
        <f t="array" ref="J5985">IFERROR(INDEX('Retirement Calculator'!J:J,MATCH('Isaac 401k'!N5985,'Retirement Calculator'!A:A,0),0),0)</f>
        <v>0</v>
      </c>
      <c r="K5985" s="455">
        <f t="shared" ca="1" si="216"/>
        <v>-44105483775595.867</v>
      </c>
      <c r="L5985" s="455">
        <f t="shared" ca="1" si="217"/>
        <v>-1.0629421589918604E+16</v>
      </c>
      <c r="M5985" s="471">
        <f t="shared" si="219"/>
        <v>0.05</v>
      </c>
      <c r="N5985" s="475">
        <f t="shared" si="220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18"/>
        <v>-1.0629421589918604E+16</v>
      </c>
      <c r="J5986" s="455">
        <f t="array" ref="J5986">IFERROR(INDEX('Retirement Calculator'!J:J,MATCH('Isaac 401k'!N5986,'Retirement Calculator'!A:A,0),0),0)</f>
        <v>0</v>
      </c>
      <c r="K5986" s="455">
        <f t="shared" ca="1" si="216"/>
        <v>-44289256624660.852</v>
      </c>
      <c r="L5986" s="455">
        <f t="shared" ca="1" si="217"/>
        <v>-1.0673710846543264E+16</v>
      </c>
      <c r="M5986" s="471">
        <f t="shared" si="219"/>
        <v>0.05</v>
      </c>
      <c r="N5986" s="475">
        <f t="shared" si="220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18"/>
        <v>-1.0673710846543264E+16</v>
      </c>
      <c r="J5987" s="455">
        <f t="array" ref="J5987">IFERROR(INDEX('Retirement Calculator'!J:J,MATCH('Isaac 401k'!N5987,'Retirement Calculator'!A:A,0),0),0)</f>
        <v>0</v>
      </c>
      <c r="K5987" s="455">
        <f t="shared" ca="1" si="216"/>
        <v>-44473795193930.266</v>
      </c>
      <c r="L5987" s="455">
        <f t="shared" ca="1" si="217"/>
        <v>-1.0718184641737194E+16</v>
      </c>
      <c r="M5987" s="471">
        <f t="shared" si="219"/>
        <v>0.05</v>
      </c>
      <c r="N5987" s="475">
        <f t="shared" si="220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18"/>
        <v>-1.0718184641737194E+16</v>
      </c>
      <c r="J5988" s="455">
        <f t="array" ref="J5988">IFERROR(INDEX('Retirement Calculator'!J:J,MATCH('Isaac 401k'!N5988,'Retirement Calculator'!A:A,0),0),0)</f>
        <v>0</v>
      </c>
      <c r="K5988" s="455">
        <f t="shared" ca="1" si="216"/>
        <v>-44659102673904.977</v>
      </c>
      <c r="L5988" s="455">
        <f t="shared" ca="1" si="217"/>
        <v>-1.0762843744411098E+16</v>
      </c>
      <c r="M5988" s="471">
        <f t="shared" si="219"/>
        <v>0.05</v>
      </c>
      <c r="N5988" s="475">
        <f t="shared" si="220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18"/>
        <v>-1.0762843744411098E+16</v>
      </c>
      <c r="J5989" s="455">
        <f t="array" ref="J5989">IFERROR(INDEX('Retirement Calculator'!J:J,MATCH('Isaac 401k'!N5989,'Retirement Calculator'!A:A,0),0),0)</f>
        <v>0</v>
      </c>
      <c r="K5989" s="455">
        <f t="shared" ca="1" si="216"/>
        <v>-44845182268379.578</v>
      </c>
      <c r="L5989" s="455">
        <f t="shared" ca="1" si="217"/>
        <v>-1.0807688926679478E+16</v>
      </c>
      <c r="M5989" s="471">
        <f t="shared" si="219"/>
        <v>0.05</v>
      </c>
      <c r="N5989" s="475">
        <f t="shared" si="220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18"/>
        <v>-1.0807688926679478E+16</v>
      </c>
      <c r="J5990" s="455">
        <f t="array" ref="J5990">IFERROR(INDEX('Retirement Calculator'!J:J,MATCH('Isaac 401k'!N5990,'Retirement Calculator'!A:A,0),0),0)</f>
        <v>0</v>
      </c>
      <c r="K5990" s="455">
        <f t="shared" ca="1" si="216"/>
        <v>-45032037194497.828</v>
      </c>
      <c r="L5990" s="455">
        <f t="shared" ca="1" si="217"/>
        <v>-1.0852720963873976E+16</v>
      </c>
      <c r="M5990" s="471">
        <f t="shared" si="219"/>
        <v>0.05</v>
      </c>
      <c r="N5990" s="475">
        <f t="shared" si="220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18"/>
        <v>-1.0852720963873976E+16</v>
      </c>
      <c r="J5991" s="455">
        <f t="array" ref="J5991">IFERROR(INDEX('Retirement Calculator'!J:J,MATCH('Isaac 401k'!N5991,'Retirement Calculator'!A:A,0),0),0)</f>
        <v>0</v>
      </c>
      <c r="K5991" s="455">
        <f t="shared" ca="1" si="216"/>
        <v>-45219670682808.234</v>
      </c>
      <c r="L5991" s="455">
        <f t="shared" ca="1" si="217"/>
        <v>-1.0897940634556784E+16</v>
      </c>
      <c r="M5991" s="471">
        <f t="shared" si="219"/>
        <v>0.05</v>
      </c>
      <c r="N5991" s="475">
        <f t="shared" si="220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18"/>
        <v>-1.0897940634556784E+16</v>
      </c>
      <c r="J5992" s="455">
        <f t="array" ref="J5992">IFERROR(INDEX('Retirement Calculator'!J:J,MATCH('Isaac 401k'!N5992,'Retirement Calculator'!A:A,0),0),0)</f>
        <v>0</v>
      </c>
      <c r="K5992" s="455">
        <f t="shared" ca="1" si="216"/>
        <v>-45408085977319.93</v>
      </c>
      <c r="L5992" s="455">
        <f t="shared" ca="1" si="217"/>
        <v>-1.0943348720534104E+16</v>
      </c>
      <c r="M5992" s="471">
        <f t="shared" si="219"/>
        <v>0.05</v>
      </c>
      <c r="N5992" s="475">
        <f t="shared" si="220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18"/>
        <v>-1.0943348720534104E+16</v>
      </c>
      <c r="J5993" s="455">
        <f t="array" ref="J5993">IFERROR(INDEX('Retirement Calculator'!J:J,MATCH('Isaac 401k'!N5993,'Retirement Calculator'!A:A,0),0),0)</f>
        <v>0</v>
      </c>
      <c r="K5993" s="455">
        <f t="shared" ca="1" si="216"/>
        <v>-45597286335558.766</v>
      </c>
      <c r="L5993" s="455">
        <f t="shared" ca="1" si="217"/>
        <v>-1.0988946006869662E+16</v>
      </c>
      <c r="M5993" s="471">
        <f t="shared" si="219"/>
        <v>0.05</v>
      </c>
      <c r="N5993" s="475">
        <f t="shared" si="220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18"/>
        <v>-1.0988946006869662E+16</v>
      </c>
      <c r="J5994" s="455">
        <f t="array" ref="J5994">IFERROR(INDEX('Retirement Calculator'!J:J,MATCH('Isaac 401k'!N5994,'Retirement Calculator'!A:A,0),0),0)</f>
        <v>0</v>
      </c>
      <c r="K5994" s="455">
        <f t="shared" ca="1" si="216"/>
        <v>-45787275028623.594</v>
      </c>
      <c r="L5994" s="455">
        <f t="shared" ca="1" si="217"/>
        <v>-1.1034733281898286E+16</v>
      </c>
      <c r="M5994" s="471">
        <f t="shared" si="219"/>
        <v>0.05</v>
      </c>
      <c r="N5994" s="475">
        <f t="shared" si="220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18"/>
        <v>-1.1034733281898286E+16</v>
      </c>
      <c r="J5995" s="455">
        <f t="array" ref="J5995">IFERROR(INDEX('Retirement Calculator'!J:J,MATCH('Isaac 401k'!N5995,'Retirement Calculator'!A:A,0),0),0)</f>
        <v>0</v>
      </c>
      <c r="K5995" s="455">
        <f t="shared" ca="1" si="216"/>
        <v>-45978055341242.859</v>
      </c>
      <c r="L5995" s="455">
        <f t="shared" ca="1" si="217"/>
        <v>-1.1080711337239528E+16</v>
      </c>
      <c r="M5995" s="471">
        <f t="shared" si="219"/>
        <v>0.05</v>
      </c>
      <c r="N5995" s="475">
        <f t="shared" si="220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18"/>
        <v>-1.1080711337239528E+16</v>
      </c>
      <c r="J5996" s="455">
        <f t="array" ref="J5996">IFERROR(INDEX('Retirement Calculator'!J:J,MATCH('Isaac 401k'!N5996,'Retirement Calculator'!A:A,0),0),0)</f>
        <v>0</v>
      </c>
      <c r="K5996" s="455">
        <f t="shared" ca="1" si="216"/>
        <v>-46169630571831.367</v>
      </c>
      <c r="L5996" s="455">
        <f t="shared" ca="1" si="217"/>
        <v>-1.112688096781136E+16</v>
      </c>
      <c r="M5996" s="471">
        <f t="shared" si="219"/>
        <v>0.05</v>
      </c>
      <c r="N5996" s="475">
        <f t="shared" si="220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18"/>
        <v>-1.112688096781136E+16</v>
      </c>
      <c r="J5997" s="455">
        <f t="array" ref="J5997">IFERROR(INDEX('Retirement Calculator'!J:J,MATCH('Isaac 401k'!N5997,'Retirement Calculator'!A:A,0),0),0)</f>
        <v>0</v>
      </c>
      <c r="K5997" s="455">
        <f t="shared" ca="1" si="216"/>
        <v>-46362004032547.336</v>
      </c>
      <c r="L5997" s="455">
        <f t="shared" ca="1" si="217"/>
        <v>-1.1173242971843908E+16</v>
      </c>
      <c r="M5997" s="471">
        <f t="shared" si="219"/>
        <v>0.05</v>
      </c>
      <c r="N5997" s="475">
        <f t="shared" si="220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18"/>
        <v>-1.1173242971843908E+16</v>
      </c>
      <c r="J5998" s="455">
        <f t="array" ref="J5998">IFERROR(INDEX('Retirement Calculator'!J:J,MATCH('Isaac 401k'!N5998,'Retirement Calculator'!A:A,0),0),0)</f>
        <v>0</v>
      </c>
      <c r="K5998" s="455">
        <f t="shared" ca="1" si="216"/>
        <v>-46555179049349.617</v>
      </c>
      <c r="L5998" s="455">
        <f t="shared" ca="1" si="217"/>
        <v>-1.1219798150893258E+16</v>
      </c>
      <c r="M5998" s="471">
        <f t="shared" si="219"/>
        <v>0.05</v>
      </c>
      <c r="N5998" s="475">
        <f t="shared" si="220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18"/>
        <v>-1.1219798150893258E+16</v>
      </c>
      <c r="J5999" s="455">
        <f t="array" ref="J5999">IFERROR(INDEX('Retirement Calculator'!J:J,MATCH('Isaac 401k'!N5999,'Retirement Calculator'!A:A,0),0),0)</f>
        <v>0</v>
      </c>
      <c r="K5999" s="455">
        <f t="shared" ca="1" si="216"/>
        <v>-46749158962055.242</v>
      </c>
      <c r="L5999" s="455">
        <f t="shared" ca="1" si="217"/>
        <v>-1.1266547309855314E+16</v>
      </c>
      <c r="M5999" s="471">
        <f t="shared" si="219"/>
        <v>0.05</v>
      </c>
      <c r="N5999" s="475">
        <f t="shared" si="220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18"/>
        <v>-1.1266547309855314E+16</v>
      </c>
      <c r="J6000" s="455">
        <f t="array" ref="J6000">IFERROR(INDEX('Retirement Calculator'!J:J,MATCH('Isaac 401k'!N6000,'Retirement Calculator'!A:A,0),0),0)</f>
        <v>0</v>
      </c>
      <c r="K6000" s="455">
        <f t="shared" ca="1" si="216"/>
        <v>-46943947124397.141</v>
      </c>
      <c r="L6000" s="455">
        <f t="shared" ca="1" si="217"/>
        <v>-1.1313491256979712E+16</v>
      </c>
      <c r="M6000" s="471">
        <f t="shared" si="219"/>
        <v>0.05</v>
      </c>
      <c r="N6000" s="475">
        <f t="shared" si="220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18"/>
        <v>-1.1313491256979712E+16</v>
      </c>
      <c r="J6001" s="455">
        <f t="array" ref="J6001">IFERROR(INDEX('Retirement Calculator'!J:J,MATCH('Isaac 401k'!N6001,'Retirement Calculator'!A:A,0),0),0)</f>
        <v>0</v>
      </c>
      <c r="K6001" s="455">
        <f t="shared" ca="1" si="216"/>
        <v>-47139546904082.133</v>
      </c>
      <c r="L6001" s="455">
        <f t="shared" ca="1" si="217"/>
        <v>-1.1360630803883794E+16</v>
      </c>
      <c r="M6001" s="471">
        <f t="shared" si="219"/>
        <v>0.05</v>
      </c>
      <c r="N6001" s="475">
        <f t="shared" si="220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18"/>
        <v>-1.1360630803883794E+16</v>
      </c>
      <c r="J6002" s="455">
        <f t="array" ref="J6002">IFERROR(INDEX('Retirement Calculator'!J:J,MATCH('Isaac 401k'!N6002,'Retirement Calculator'!A:A,0),0),0)</f>
        <v>0</v>
      </c>
      <c r="K6002" s="455">
        <f t="shared" ca="1" si="216"/>
        <v>-47335961682849.141</v>
      </c>
      <c r="L6002" s="455">
        <f t="shared" ca="1" si="217"/>
        <v>-1.1407966765566644E+16</v>
      </c>
      <c r="M6002" s="471">
        <f t="shared" si="219"/>
        <v>0.05</v>
      </c>
      <c r="N6002" s="475">
        <f t="shared" si="220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18"/>
        <v>-1.1407966765566644E+16</v>
      </c>
      <c r="J6003" s="455">
        <f t="array" ref="J6003">IFERROR(INDEX('Retirement Calculator'!J:J,MATCH('Isaac 401k'!N6003,'Retirement Calculator'!A:A,0),0),0)</f>
        <v>0</v>
      </c>
      <c r="K6003" s="455">
        <f t="shared" ca="1" si="216"/>
        <v>-47533194856527.68</v>
      </c>
      <c r="L6003" s="455">
        <f t="shared" ca="1" si="217"/>
        <v>-1.1455499960423172E+16</v>
      </c>
      <c r="M6003" s="471">
        <f t="shared" si="219"/>
        <v>0.05</v>
      </c>
      <c r="N6003" s="475">
        <f t="shared" si="220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18"/>
        <v>-1.1455499960423172E+16</v>
      </c>
      <c r="J6004" s="455">
        <f t="array" ref="J6004">IFERROR(INDEX('Retirement Calculator'!J:J,MATCH('Isaac 401k'!N6004,'Retirement Calculator'!A:A,0),0),0)</f>
        <v>0</v>
      </c>
      <c r="K6004" s="455">
        <f t="shared" ca="1" si="216"/>
        <v>-47731249835096.547</v>
      </c>
      <c r="L6004" s="455">
        <f t="shared" ca="1" si="217"/>
        <v>-1.1503231210258268E+16</v>
      </c>
      <c r="M6004" s="471">
        <f t="shared" si="219"/>
        <v>0.05</v>
      </c>
      <c r="N6004" s="475">
        <f t="shared" si="220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18"/>
        <v>-1.1503231210258268E+16</v>
      </c>
      <c r="J6005" s="455">
        <f t="array" ref="J6005">IFERROR(INDEX('Retirement Calculator'!J:J,MATCH('Isaac 401k'!N6005,'Retirement Calculator'!A:A,0),0),0)</f>
        <v>0</v>
      </c>
      <c r="K6005" s="455">
        <f t="shared" ca="1" si="216"/>
        <v>-47930130042742.781</v>
      </c>
      <c r="L6005" s="455">
        <f t="shared" ca="1" si="217"/>
        <v>-1.155116134030101E+16</v>
      </c>
      <c r="M6005" s="471">
        <f t="shared" si="219"/>
        <v>0.05</v>
      </c>
      <c r="N6005" s="475">
        <f t="shared" si="220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18"/>
        <v>-1.155116134030101E+16</v>
      </c>
      <c r="J6006" s="455">
        <f t="array" ref="J6006">IFERROR(INDEX('Retirement Calculator'!J:J,MATCH('Isaac 401k'!N6006,'Retirement Calculator'!A:A,0),0),0)</f>
        <v>0</v>
      </c>
      <c r="K6006" s="455">
        <f t="shared" ca="1" si="216"/>
        <v>-48129838917920.875</v>
      </c>
      <c r="L6006" s="455">
        <f t="shared" ca="1" si="217"/>
        <v>-1.159929117921893E+16</v>
      </c>
      <c r="M6006" s="471">
        <f t="shared" si="219"/>
        <v>0.05</v>
      </c>
      <c r="N6006" s="475">
        <f t="shared" si="220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18"/>
        <v>-1.159929117921893E+16</v>
      </c>
      <c r="J6007" s="455">
        <f t="array" ref="J6007">IFERROR(INDEX('Retirement Calculator'!J:J,MATCH('Isaac 401k'!N6007,'Retirement Calculator'!A:A,0),0),0)</f>
        <v>0</v>
      </c>
      <c r="K6007" s="455">
        <f t="shared" ca="1" si="216"/>
        <v>-48330379913412.211</v>
      </c>
      <c r="L6007" s="455">
        <f t="shared" ca="1" si="217"/>
        <v>-1.1647621559132342E+16</v>
      </c>
      <c r="M6007" s="471">
        <f t="shared" si="219"/>
        <v>0.05</v>
      </c>
      <c r="N6007" s="475">
        <f t="shared" si="220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18"/>
        <v>-1.1647621559132342E+16</v>
      </c>
      <c r="J6008" s="455">
        <f t="array" ref="J6008">IFERROR(INDEX('Retirement Calculator'!J:J,MATCH('Isaac 401k'!N6008,'Retirement Calculator'!A:A,0),0),0)</f>
        <v>0</v>
      </c>
      <c r="K6008" s="455">
        <f t="shared" ca="1" si="216"/>
        <v>-48531756496384.758</v>
      </c>
      <c r="L6008" s="455">
        <f t="shared" ca="1" si="217"/>
        <v>-1.1696153315628726E+16</v>
      </c>
      <c r="M6008" s="471">
        <f t="shared" si="219"/>
        <v>0.05</v>
      </c>
      <c r="N6008" s="475">
        <f t="shared" si="220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18"/>
        <v>-1.1696153315628726E+16</v>
      </c>
      <c r="J6009" s="455">
        <f t="array" ref="J6009">IFERROR(INDEX('Retirement Calculator'!J:J,MATCH('Isaac 401k'!N6009,'Retirement Calculator'!A:A,0),0),0)</f>
        <v>0</v>
      </c>
      <c r="K6009" s="455">
        <f t="shared" ca="1" si="216"/>
        <v>-48733972148453.023</v>
      </c>
      <c r="L6009" s="455">
        <f t="shared" ca="1" si="217"/>
        <v>-1.174488728777718E+16</v>
      </c>
      <c r="M6009" s="471">
        <f t="shared" si="219"/>
        <v>0.05</v>
      </c>
      <c r="N6009" s="475">
        <f t="shared" si="220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18"/>
        <v>-1.174488728777718E+16</v>
      </c>
      <c r="J6010" s="455">
        <f t="array" ref="J6010">IFERROR(INDEX('Retirement Calculator'!J:J,MATCH('Isaac 401k'!N6010,'Retirement Calculator'!A:A,0),0),0)</f>
        <v>0</v>
      </c>
      <c r="K6010" s="455">
        <f t="shared" ca="1" si="216"/>
        <v>-48937030365738.25</v>
      </c>
      <c r="L6010" s="455">
        <f t="shared" ca="1" si="217"/>
        <v>-1.1793824318142918E+16</v>
      </c>
      <c r="M6010" s="471">
        <f t="shared" si="219"/>
        <v>0.05</v>
      </c>
      <c r="N6010" s="475">
        <f t="shared" si="220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18"/>
        <v>-1.1793824318142918E+16</v>
      </c>
      <c r="J6011" s="455">
        <f t="array" ref="J6011">IFERROR(INDEX('Retirement Calculator'!J:J,MATCH('Isaac 401k'!N6011,'Retirement Calculator'!A:A,0),0),0)</f>
        <v>0</v>
      </c>
      <c r="K6011" s="455">
        <f t="shared" ca="1" si="216"/>
        <v>-49140934658928.828</v>
      </c>
      <c r="L6011" s="455">
        <f t="shared" ca="1" si="217"/>
        <v>-1.1842965252801846E+16</v>
      </c>
      <c r="M6011" s="471">
        <f t="shared" si="219"/>
        <v>0.05</v>
      </c>
      <c r="N6011" s="475">
        <f t="shared" si="220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18"/>
        <v>-1.1842965252801846E+16</v>
      </c>
      <c r="J6012" s="455">
        <f t="array" ref="J6012">IFERROR(INDEX('Retirement Calculator'!J:J,MATCH('Isaac 401k'!N6012,'Retirement Calculator'!A:A,0),0),0)</f>
        <v>0</v>
      </c>
      <c r="K6012" s="455">
        <f t="shared" ca="1" si="216"/>
        <v>-49345688553341.023</v>
      </c>
      <c r="L6012" s="455">
        <f t="shared" ca="1" si="217"/>
        <v>-1.1892310941355188E+16</v>
      </c>
      <c r="M6012" s="471">
        <f t="shared" si="219"/>
        <v>0.05</v>
      </c>
      <c r="N6012" s="475">
        <f t="shared" si="220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18"/>
        <v>-1.1892310941355188E+16</v>
      </c>
      <c r="J6013" s="455">
        <f t="array" ref="J6013">IFERROR(INDEX('Retirement Calculator'!J:J,MATCH('Isaac 401k'!N6013,'Retirement Calculator'!A:A,0),0),0)</f>
        <v>0</v>
      </c>
      <c r="K6013" s="455">
        <f t="shared" ca="1" si="216"/>
        <v>-49551295588979.953</v>
      </c>
      <c r="L6013" s="455">
        <f t="shared" ca="1" si="217"/>
        <v>-1.1941862236944168E+16</v>
      </c>
      <c r="M6013" s="471">
        <f t="shared" si="219"/>
        <v>0.05</v>
      </c>
      <c r="N6013" s="475">
        <f t="shared" si="220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18"/>
        <v>-1.1941862236944168E+16</v>
      </c>
      <c r="J6014" s="455">
        <f t="array" ref="J6014">IFERROR(INDEX('Retirement Calculator'!J:J,MATCH('Isaac 401k'!N6014,'Retirement Calculator'!A:A,0),0),0)</f>
        <v>0</v>
      </c>
      <c r="K6014" s="455">
        <f t="shared" ca="1" si="216"/>
        <v>-49757759320600.703</v>
      </c>
      <c r="L6014" s="455">
        <f t="shared" ca="1" si="217"/>
        <v>-1.1991619996264768E+16</v>
      </c>
      <c r="M6014" s="471">
        <f t="shared" si="219"/>
        <v>0.05</v>
      </c>
      <c r="N6014" s="475">
        <f t="shared" si="220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18"/>
        <v>-1.1991619996264768E+16</v>
      </c>
      <c r="J6015" s="455">
        <f t="array" ref="J6015">IFERROR(INDEX('Retirement Calculator'!J:J,MATCH('Isaac 401k'!N6015,'Retirement Calculator'!A:A,0),0),0)</f>
        <v>0</v>
      </c>
      <c r="K6015" s="455">
        <f t="shared" ca="1" si="216"/>
        <v>-49965083317769.867</v>
      </c>
      <c r="L6015" s="455">
        <f t="shared" ca="1" si="217"/>
        <v>-1.2041585079582538E+16</v>
      </c>
      <c r="M6015" s="471">
        <f t="shared" si="219"/>
        <v>0.05</v>
      </c>
      <c r="N6015" s="475">
        <f t="shared" si="220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18"/>
        <v>-1.2041585079582538E+16</v>
      </c>
      <c r="J6016" s="455">
        <f t="array" ref="J6016">IFERROR(INDEX('Retirement Calculator'!J:J,MATCH('Isaac 401k'!N6016,'Retirement Calculator'!A:A,0),0),0)</f>
        <v>0</v>
      </c>
      <c r="K6016" s="455">
        <f t="shared" ca="1" si="216"/>
        <v>-50173271164927.242</v>
      </c>
      <c r="L6016" s="455">
        <f t="shared" ca="1" si="217"/>
        <v>-1.2091758350747466E+16</v>
      </c>
      <c r="M6016" s="471">
        <f t="shared" si="219"/>
        <v>0.05</v>
      </c>
      <c r="N6016" s="475">
        <f t="shared" si="220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18"/>
        <v>-1.2091758350747466E+16</v>
      </c>
      <c r="J6017" s="455">
        <f t="array" ref="J6017">IFERROR(INDEX('Retirement Calculator'!J:J,MATCH('Isaac 401k'!N6017,'Retirement Calculator'!A:A,0),0),0)</f>
        <v>0</v>
      </c>
      <c r="K6017" s="455">
        <f t="shared" ca="1" si="216"/>
        <v>-50382326461447.773</v>
      </c>
      <c r="L6017" s="455">
        <f t="shared" ca="1" si="217"/>
        <v>-1.2142140677208914E+16</v>
      </c>
      <c r="M6017" s="471">
        <f t="shared" si="219"/>
        <v>0.05</v>
      </c>
      <c r="N6017" s="475">
        <f t="shared" si="220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18"/>
        <v>-1.2142140677208914E+16</v>
      </c>
      <c r="J6018" s="455">
        <f t="array" ref="J6018">IFERROR(INDEX('Retirement Calculator'!J:J,MATCH('Isaac 401k'!N6018,'Retirement Calculator'!A:A,0),0),0)</f>
        <v>0</v>
      </c>
      <c r="K6018" s="455">
        <f t="shared" ca="1" si="216"/>
        <v>-50592252821703.805</v>
      </c>
      <c r="L6018" s="455">
        <f t="shared" ca="1" si="217"/>
        <v>-1.2192732930030618E+16</v>
      </c>
      <c r="M6018" s="471">
        <f t="shared" si="219"/>
        <v>0.05</v>
      </c>
      <c r="N6018" s="475">
        <f t="shared" si="220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18"/>
        <v>-1.2192732930030618E+16</v>
      </c>
      <c r="J6019" s="455">
        <f t="array" ref="J6019">IFERROR(INDEX('Retirement Calculator'!J:J,MATCH('Isaac 401k'!N6019,'Retirement Calculator'!A:A,0),0),0)</f>
        <v>0</v>
      </c>
      <c r="K6019" s="455">
        <f t="shared" ca="1" si="216"/>
        <v>-50803053875127.578</v>
      </c>
      <c r="L6019" s="455">
        <f t="shared" ca="1" si="217"/>
        <v>-1.2243535983905746E+16</v>
      </c>
      <c r="M6019" s="471">
        <f t="shared" si="219"/>
        <v>0.05</v>
      </c>
      <c r="N6019" s="475">
        <f t="shared" si="220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18"/>
        <v>-1.2243535983905746E+16</v>
      </c>
      <c r="J6020" s="455">
        <f t="array" ref="J6020">IFERROR(INDEX('Retirement Calculator'!J:J,MATCH('Isaac 401k'!N6020,'Retirement Calculator'!A:A,0),0),0)</f>
        <v>0</v>
      </c>
      <c r="K6020" s="455">
        <f t="shared" ca="1" si="216"/>
        <v>-51014733266273.938</v>
      </c>
      <c r="L6020" s="455">
        <f t="shared" ca="1" si="217"/>
        <v>-1.229455071717202E+16</v>
      </c>
      <c r="M6020" s="471">
        <f t="shared" si="219"/>
        <v>0.05</v>
      </c>
      <c r="N6020" s="475">
        <f t="shared" si="220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18"/>
        <v>-1.229455071717202E+16</v>
      </c>
      <c r="J6021" s="455">
        <f t="array" ref="J6021">IFERROR(INDEX('Retirement Calculator'!J:J,MATCH('Isaac 401k'!N6021,'Retirement Calculator'!A:A,0),0),0)</f>
        <v>0</v>
      </c>
      <c r="K6021" s="455">
        <f t="shared" ca="1" si="216"/>
        <v>-51227294654883.414</v>
      </c>
      <c r="L6021" s="455">
        <f t="shared" ca="1" si="217"/>
        <v>-1.2345778011826904E+16</v>
      </c>
      <c r="M6021" s="471">
        <f t="shared" si="219"/>
        <v>0.05</v>
      </c>
      <c r="N6021" s="475">
        <f t="shared" si="220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18"/>
        <v>-1.2345778011826904E+16</v>
      </c>
      <c r="J6022" s="455">
        <f t="array" ref="J6022">IFERROR(INDEX('Retirement Calculator'!J:J,MATCH('Isaac 401k'!N6022,'Retirement Calculator'!A:A,0),0),0)</f>
        <v>0</v>
      </c>
      <c r="K6022" s="455">
        <f t="shared" ca="1" si="216"/>
        <v>-51440741715945.43</v>
      </c>
      <c r="L6022" s="455">
        <f t="shared" ca="1" si="217"/>
        <v>-1.239721875354285E+16</v>
      </c>
      <c r="M6022" s="471">
        <f t="shared" si="219"/>
        <v>0.05</v>
      </c>
      <c r="N6022" s="475">
        <f t="shared" si="220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18"/>
        <v>-1.239721875354285E+16</v>
      </c>
      <c r="J6023" s="455">
        <f t="array" ref="J6023">IFERROR(INDEX('Retirement Calculator'!J:J,MATCH('Isaac 401k'!N6023,'Retirement Calculator'!A:A,0),0),0)</f>
        <v>0</v>
      </c>
      <c r="K6023" s="455">
        <f t="shared" ca="1" si="216"/>
        <v>-51655078139761.875</v>
      </c>
      <c r="L6023" s="455">
        <f t="shared" ca="1" si="217"/>
        <v>-1.2448873831682612E+16</v>
      </c>
      <c r="M6023" s="471">
        <f t="shared" si="219"/>
        <v>0.05</v>
      </c>
      <c r="N6023" s="475">
        <f t="shared" si="220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18"/>
        <v>-1.2448873831682612E+16</v>
      </c>
      <c r="J6024" s="455">
        <f t="array" ref="J6024">IFERROR(INDEX('Retirement Calculator'!J:J,MATCH('Isaac 401k'!N6024,'Retirement Calculator'!A:A,0),0),0)</f>
        <v>0</v>
      </c>
      <c r="K6024" s="455">
        <f t="shared" ca="1" si="216"/>
        <v>-51870307632010.883</v>
      </c>
      <c r="L6024" s="455">
        <f t="shared" ca="1" si="217"/>
        <v>-1.2500744139314622E+16</v>
      </c>
      <c r="M6024" s="471">
        <f t="shared" si="219"/>
        <v>0.05</v>
      </c>
      <c r="N6024" s="475">
        <f t="shared" si="220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18"/>
        <v>-1.2500744139314622E+16</v>
      </c>
      <c r="J6025" s="455">
        <f t="array" ref="J6025">IFERROR(INDEX('Retirement Calculator'!J:J,MATCH('Isaac 401k'!N6025,'Retirement Calculator'!A:A,0),0),0)</f>
        <v>0</v>
      </c>
      <c r="K6025" s="455">
        <f t="shared" ca="1" si="216"/>
        <v>-52086433913810.922</v>
      </c>
      <c r="L6025" s="455">
        <f t="shared" ca="1" si="217"/>
        <v>-1.2552830573228432E+16</v>
      </c>
      <c r="M6025" s="471">
        <f t="shared" si="219"/>
        <v>0.05</v>
      </c>
      <c r="N6025" s="475">
        <f t="shared" si="220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18"/>
        <v>-1.2552830573228432E+16</v>
      </c>
      <c r="J6026" s="455">
        <f t="array" ref="J6026">IFERROR(INDEX('Retirement Calculator'!J:J,MATCH('Isaac 401k'!N6026,'Retirement Calculator'!A:A,0),0),0)</f>
        <v>0</v>
      </c>
      <c r="K6026" s="455">
        <f t="shared" ca="1" si="216"/>
        <v>-52303460721785.133</v>
      </c>
      <c r="L6026" s="455">
        <f t="shared" ca="1" si="217"/>
        <v>-1.2605134033950218E+16</v>
      </c>
      <c r="M6026" s="471">
        <f t="shared" si="219"/>
        <v>0.05</v>
      </c>
      <c r="N6026" s="475">
        <f t="shared" si="220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18"/>
        <v>-1.2605134033950218E+16</v>
      </c>
      <c r="J6027" s="455">
        <f t="array" ref="J6027">IFERROR(INDEX('Retirement Calculator'!J:J,MATCH('Isaac 401k'!N6027,'Retirement Calculator'!A:A,0),0),0)</f>
        <v>0</v>
      </c>
      <c r="K6027" s="455">
        <f t="shared" ca="1" si="216"/>
        <v>-52521391808125.906</v>
      </c>
      <c r="L6027" s="455">
        <f t="shared" ca="1" si="217"/>
        <v>-1.2657655425758344E+16</v>
      </c>
      <c r="M6027" s="471">
        <f t="shared" si="219"/>
        <v>0.05</v>
      </c>
      <c r="N6027" s="475">
        <f t="shared" si="220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18"/>
        <v>-1.2657655425758344E+16</v>
      </c>
      <c r="J6028" s="455">
        <f t="array" ref="J6028">IFERROR(INDEX('Retirement Calculator'!J:J,MATCH('Isaac 401k'!N6028,'Retirement Calculator'!A:A,0),0),0)</f>
        <v>0</v>
      </c>
      <c r="K6028" s="455">
        <f t="shared" ca="1" si="216"/>
        <v>-52740230940659.766</v>
      </c>
      <c r="L6028" s="455">
        <f t="shared" ca="1" si="217"/>
        <v>-1.2710395656699004E+16</v>
      </c>
      <c r="M6028" s="471">
        <f t="shared" si="219"/>
        <v>0.05</v>
      </c>
      <c r="N6028" s="475">
        <f t="shared" si="220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18"/>
        <v>-1.2710395656699004E+16</v>
      </c>
      <c r="J6029" s="455">
        <f t="array" ref="J6029">IFERROR(INDEX('Retirement Calculator'!J:J,MATCH('Isaac 401k'!N6029,'Retirement Calculator'!A:A,0),0),0)</f>
        <v>0</v>
      </c>
      <c r="K6029" s="455">
        <f t="shared" ca="1" si="216"/>
        <v>-52959981902912.516</v>
      </c>
      <c r="L6029" s="455">
        <f t="shared" ca="1" si="217"/>
        <v>-1.2763355638601916E+16</v>
      </c>
      <c r="M6029" s="471">
        <f t="shared" si="219"/>
        <v>0.05</v>
      </c>
      <c r="N6029" s="475">
        <f t="shared" si="220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18"/>
        <v>-1.2763355638601916E+16</v>
      </c>
      <c r="J6030" s="455">
        <f t="array" ref="J6030">IFERROR(INDEX('Retirement Calculator'!J:J,MATCH('Isaac 401k'!N6030,'Retirement Calculator'!A:A,0),0),0)</f>
        <v>0</v>
      </c>
      <c r="K6030" s="455">
        <f t="shared" ca="1" si="216"/>
        <v>-53180648494174.648</v>
      </c>
      <c r="L6030" s="455">
        <f t="shared" ca="1" si="217"/>
        <v>-1.281653628709609E+16</v>
      </c>
      <c r="M6030" s="471">
        <f t="shared" si="219"/>
        <v>0.05</v>
      </c>
      <c r="N6030" s="475">
        <f t="shared" si="220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18"/>
        <v>-1.281653628709609E+16</v>
      </c>
      <c r="J6031" s="455">
        <f t="array" ref="J6031">IFERROR(INDEX('Retirement Calculator'!J:J,MATCH('Isaac 401k'!N6031,'Retirement Calculator'!A:A,0),0),0)</f>
        <v>0</v>
      </c>
      <c r="K6031" s="455">
        <f t="shared" ca="1" si="216"/>
        <v>-53402234529567.039</v>
      </c>
      <c r="L6031" s="455">
        <f t="shared" ca="1" si="217"/>
        <v>-1.2869938521625658E+16</v>
      </c>
      <c r="M6031" s="471">
        <f t="shared" si="219"/>
        <v>0.05</v>
      </c>
      <c r="N6031" s="475">
        <f t="shared" si="220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18"/>
        <v>-1.2869938521625658E+16</v>
      </c>
      <c r="J6032" s="455">
        <f t="array" ref="J6032">IFERROR(INDEX('Retirement Calculator'!J:J,MATCH('Isaac 401k'!N6032,'Retirement Calculator'!A:A,0),0),0)</f>
        <v>0</v>
      </c>
      <c r="K6032" s="455">
        <f t="shared" ca="1" si="216"/>
        <v>-53624743840106.906</v>
      </c>
      <c r="L6032" s="455">
        <f t="shared" ca="1" si="217"/>
        <v>-1.2923563265465764E+16</v>
      </c>
      <c r="M6032" s="471">
        <f t="shared" si="219"/>
        <v>0.05</v>
      </c>
      <c r="N6032" s="475">
        <f t="shared" si="220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18"/>
        <v>-1.2923563265465764E+16</v>
      </c>
      <c r="J6033" s="455">
        <f t="array" ref="J6033">IFERROR(INDEX('Retirement Calculator'!J:J,MATCH('Isaac 401k'!N6033,'Retirement Calculator'!A:A,0),0),0)</f>
        <v>0</v>
      </c>
      <c r="K6033" s="455">
        <f t="shared" ca="1" si="216"/>
        <v>-53848180272774.016</v>
      </c>
      <c r="L6033" s="455">
        <f t="shared" ca="1" si="217"/>
        <v>-1.2977411445738538E+16</v>
      </c>
      <c r="M6033" s="471">
        <f t="shared" si="219"/>
        <v>0.05</v>
      </c>
      <c r="N6033" s="475">
        <f t="shared" si="220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18"/>
        <v>-1.2977411445738538E+16</v>
      </c>
      <c r="J6034" s="455">
        <f t="array" ref="J6034">IFERROR(INDEX('Retirement Calculator'!J:J,MATCH('Isaac 401k'!N6034,'Retirement Calculator'!A:A,0),0),0)</f>
        <v>0</v>
      </c>
      <c r="K6034" s="455">
        <f t="shared" ca="1" si="216"/>
        <v>-54072547690577.242</v>
      </c>
      <c r="L6034" s="455">
        <f t="shared" ca="1" si="217"/>
        <v>-1.3031483993429116E+16</v>
      </c>
      <c r="M6034" s="471">
        <f t="shared" si="219"/>
        <v>0.05</v>
      </c>
      <c r="N6034" s="475">
        <f t="shared" si="220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18"/>
        <v>-1.3031483993429116E+16</v>
      </c>
      <c r="J6035" s="455">
        <f t="array" ref="J6035">IFERROR(INDEX('Retirement Calculator'!J:J,MATCH('Isaac 401k'!N6035,'Retirement Calculator'!A:A,0),0),0)</f>
        <v>0</v>
      </c>
      <c r="K6035" s="455">
        <f t="shared" ca="1" si="216"/>
        <v>-54297849972621.313</v>
      </c>
      <c r="L6035" s="455">
        <f t="shared" ca="1" si="217"/>
        <v>-1.3085781843401738E+16</v>
      </c>
      <c r="M6035" s="471">
        <f t="shared" si="219"/>
        <v>0.05</v>
      </c>
      <c r="N6035" s="475">
        <f t="shared" si="220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18"/>
        <v>-1.3085781843401738E+16</v>
      </c>
      <c r="J6036" s="455">
        <f t="array" ref="J6036">IFERROR(INDEX('Retirement Calculator'!J:J,MATCH('Isaac 401k'!N6036,'Retirement Calculator'!A:A,0),0),0)</f>
        <v>0</v>
      </c>
      <c r="K6036" s="455">
        <f t="shared" ca="1" si="216"/>
        <v>-54524091014173.906</v>
      </c>
      <c r="L6036" s="455">
        <f t="shared" ca="1" si="217"/>
        <v>-1.3140305934415912E+16</v>
      </c>
      <c r="M6036" s="471">
        <f t="shared" si="219"/>
        <v>0.05</v>
      </c>
      <c r="N6036" s="475">
        <f t="shared" si="220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18"/>
        <v>-1.3140305934415912E+16</v>
      </c>
      <c r="J6037" s="455">
        <f t="array" ref="J6037">IFERROR(INDEX('Retirement Calculator'!J:J,MATCH('Isaac 401k'!N6037,'Retirement Calculator'!A:A,0),0),0)</f>
        <v>0</v>
      </c>
      <c r="K6037" s="455">
        <f t="shared" ca="1" si="216"/>
        <v>-54751274726732.969</v>
      </c>
      <c r="L6037" s="455">
        <f t="shared" ca="1" si="217"/>
        <v>-1.3195057209142644E+16</v>
      </c>
      <c r="M6037" s="471">
        <f t="shared" si="219"/>
        <v>0.05</v>
      </c>
      <c r="N6037" s="475">
        <f t="shared" si="220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18"/>
        <v>-1.3195057209142644E+16</v>
      </c>
      <c r="J6038" s="455">
        <f t="array" ref="J6038">IFERROR(INDEX('Retirement Calculator'!J:J,MATCH('Isaac 401k'!N6038,'Retirement Calculator'!A:A,0),0),0)</f>
        <v>0</v>
      </c>
      <c r="K6038" s="455">
        <f t="shared" ca="1" si="216"/>
        <v>-54979405038094.352</v>
      </c>
      <c r="L6038" s="455">
        <f t="shared" ca="1" si="217"/>
        <v>-1.3250036614180738E+16</v>
      </c>
      <c r="M6038" s="471">
        <f t="shared" si="219"/>
        <v>0.05</v>
      </c>
      <c r="N6038" s="475">
        <f t="shared" si="220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18"/>
        <v>-1.3250036614180738E+16</v>
      </c>
      <c r="J6039" s="455">
        <f t="array" ref="J6039">IFERROR(INDEX('Retirement Calculator'!J:J,MATCH('Isaac 401k'!N6039,'Retirement Calculator'!A:A,0),0),0)</f>
        <v>0</v>
      </c>
      <c r="K6039" s="455">
        <f t="shared" ca="1" si="216"/>
        <v>-55208485892419.742</v>
      </c>
      <c r="L6039" s="455">
        <f t="shared" ca="1" si="217"/>
        <v>-1.3305245100073158E+16</v>
      </c>
      <c r="M6039" s="471">
        <f t="shared" si="219"/>
        <v>0.05</v>
      </c>
      <c r="N6039" s="475">
        <f t="shared" si="220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18"/>
        <v>-1.3305245100073158E+16</v>
      </c>
      <c r="J6040" s="455">
        <f t="array" ref="J6040">IFERROR(INDEX('Retirement Calculator'!J:J,MATCH('Isaac 401k'!N6040,'Retirement Calculator'!A:A,0),0),0)</f>
        <v>0</v>
      </c>
      <c r="K6040" s="455">
        <f t="shared" ca="1" si="216"/>
        <v>-55438521250304.828</v>
      </c>
      <c r="L6040" s="455">
        <f t="shared" ca="1" si="217"/>
        <v>-1.3360683621323462E+16</v>
      </c>
      <c r="M6040" s="471">
        <f t="shared" si="219"/>
        <v>0.05</v>
      </c>
      <c r="N6040" s="475">
        <f t="shared" si="220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18"/>
        <v>-1.3360683621323462E+16</v>
      </c>
      <c r="J6041" s="455">
        <f t="array" ref="J6041">IFERROR(INDEX('Retirement Calculator'!J:J,MATCH('Isaac 401k'!N6041,'Retirement Calculator'!A:A,0),0),0)</f>
        <v>0</v>
      </c>
      <c r="K6041" s="455">
        <f t="shared" ca="1" si="216"/>
        <v>-55669515088847.758</v>
      </c>
      <c r="L6041" s="455">
        <f t="shared" ca="1" si="217"/>
        <v>-1.341635313641231E+16</v>
      </c>
      <c r="M6041" s="471">
        <f t="shared" si="219"/>
        <v>0.05</v>
      </c>
      <c r="N6041" s="475">
        <f t="shared" si="220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18"/>
        <v>-1.341635313641231E+16</v>
      </c>
      <c r="J6042" s="455">
        <f t="array" ref="J6042">IFERROR(INDEX('Retirement Calculator'!J:J,MATCH('Isaac 401k'!N6042,'Retirement Calculator'!A:A,0),0),0)</f>
        <v>0</v>
      </c>
      <c r="K6042" s="455">
        <f t="shared" ca="1" si="216"/>
        <v>-55901471401717.961</v>
      </c>
      <c r="L6042" s="455">
        <f t="shared" ca="1" si="217"/>
        <v>-1.3472254607814028E+16</v>
      </c>
      <c r="M6042" s="471">
        <f t="shared" si="219"/>
        <v>0.05</v>
      </c>
      <c r="N6042" s="475">
        <f t="shared" si="220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18"/>
        <v>-1.3472254607814028E+16</v>
      </c>
      <c r="J6043" s="455">
        <f t="array" ref="J6043">IFERROR(INDEX('Retirement Calculator'!J:J,MATCH('Isaac 401k'!N6043,'Retirement Calculator'!A:A,0),0),0)</f>
        <v>0</v>
      </c>
      <c r="K6043" s="455">
        <f t="shared" ca="1" si="216"/>
        <v>-56134394199225.117</v>
      </c>
      <c r="L6043" s="455">
        <f t="shared" ca="1" si="217"/>
        <v>-1.3528389002013254E+16</v>
      </c>
      <c r="M6043" s="471">
        <f t="shared" si="219"/>
        <v>0.05</v>
      </c>
      <c r="N6043" s="475">
        <f t="shared" si="220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18"/>
        <v>-1.3528389002013254E+16</v>
      </c>
      <c r="J6044" s="455">
        <f t="array" ref="J6044">IFERROR(INDEX('Retirement Calculator'!J:J,MATCH('Isaac 401k'!N6044,'Retirement Calculator'!A:A,0),0),0)</f>
        <v>0</v>
      </c>
      <c r="K6044" s="455">
        <f t="shared" ca="1" si="216"/>
        <v>-56368287508388.555</v>
      </c>
      <c r="L6044" s="455">
        <f t="shared" ca="1" si="217"/>
        <v>-1.3584757289521642E+16</v>
      </c>
      <c r="M6044" s="471">
        <f t="shared" si="219"/>
        <v>0.05</v>
      </c>
      <c r="N6044" s="475">
        <f t="shared" si="220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18"/>
        <v>-1.3584757289521642E+16</v>
      </c>
      <c r="J6045" s="455">
        <f t="array" ref="J6045">IFERROR(INDEX('Retirement Calculator'!J:J,MATCH('Isaac 401k'!N6045,'Retirement Calculator'!A:A,0),0),0)</f>
        <v>0</v>
      </c>
      <c r="K6045" s="455">
        <f t="shared" ca="1" si="216"/>
        <v>-56603155373006.844</v>
      </c>
      <c r="L6045" s="455">
        <f t="shared" ca="1" si="217"/>
        <v>-1.3641360444894648E+16</v>
      </c>
      <c r="M6045" s="471">
        <f t="shared" si="219"/>
        <v>0.05</v>
      </c>
      <c r="N6045" s="475">
        <f t="shared" si="220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18"/>
        <v>-1.3641360444894648E+16</v>
      </c>
      <c r="J6046" s="455">
        <f t="array" ref="J6046">IFERROR(INDEX('Retirement Calculator'!J:J,MATCH('Isaac 401k'!N6046,'Retirement Calculator'!A:A,0),0),0)</f>
        <v>0</v>
      </c>
      <c r="K6046" s="455">
        <f t="shared" ca="1" si="216"/>
        <v>-56839001853727.695</v>
      </c>
      <c r="L6046" s="455">
        <f t="shared" ca="1" si="217"/>
        <v>-1.3698199446748376E+16</v>
      </c>
      <c r="M6046" s="471">
        <f t="shared" si="219"/>
        <v>0.05</v>
      </c>
      <c r="N6046" s="475">
        <f t="shared" si="220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18"/>
        <v>-1.3698199446748376E+16</v>
      </c>
      <c r="J6047" s="455">
        <f t="array" ref="J6047">IFERROR(INDEX('Retirement Calculator'!J:J,MATCH('Isaac 401k'!N6047,'Retirement Calculator'!A:A,0),0),0)</f>
        <v>0</v>
      </c>
      <c r="K6047" s="455">
        <f t="shared" ca="1" si="216"/>
        <v>-57075831028118.234</v>
      </c>
      <c r="L6047" s="455">
        <f t="shared" ca="1" si="217"/>
        <v>-1.3755275277776494E+16</v>
      </c>
      <c r="M6047" s="471">
        <f t="shared" si="219"/>
        <v>0.05</v>
      </c>
      <c r="N6047" s="475">
        <f t="shared" si="220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18"/>
        <v>-1.3755275277776494E+16</v>
      </c>
      <c r="J6048" s="455">
        <f t="array" ref="J6048">IFERROR(INDEX('Retirement Calculator'!J:J,MATCH('Isaac 401k'!N6048,'Retirement Calculator'!A:A,0),0),0)</f>
        <v>0</v>
      </c>
      <c r="K6048" s="455">
        <f t="shared" ca="1" si="216"/>
        <v>-57313646990735.391</v>
      </c>
      <c r="L6048" s="455">
        <f t="shared" ca="1" si="217"/>
        <v>-1.381258892476723E+16</v>
      </c>
      <c r="M6048" s="471">
        <f t="shared" si="219"/>
        <v>0.05</v>
      </c>
      <c r="N6048" s="475">
        <f t="shared" si="220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18"/>
        <v>-1.381258892476723E+16</v>
      </c>
      <c r="J6049" s="455">
        <f t="array" ref="J6049">IFERROR(INDEX('Retirement Calculator'!J:J,MATCH('Isaac 401k'!N6049,'Retirement Calculator'!A:A,0),0),0)</f>
        <v>0</v>
      </c>
      <c r="K6049" s="455">
        <f t="shared" ca="1" si="216"/>
        <v>-57552453853196.789</v>
      </c>
      <c r="L6049" s="455">
        <f t="shared" ca="1" si="217"/>
        <v>-1.3870141378620426E+16</v>
      </c>
      <c r="M6049" s="471">
        <f t="shared" si="219"/>
        <v>0.05</v>
      </c>
      <c r="N6049" s="475">
        <f t="shared" si="220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18"/>
        <v>-1.3870141378620426E+16</v>
      </c>
      <c r="J6050" s="455">
        <f t="array" ref="J6050">IFERROR(INDEX('Retirement Calculator'!J:J,MATCH('Isaac 401k'!N6050,'Retirement Calculator'!A:A,0),0),0)</f>
        <v>0</v>
      </c>
      <c r="K6050" s="455">
        <f t="shared" ca="1" si="216"/>
        <v>-57792255744251.773</v>
      </c>
      <c r="L6050" s="455">
        <f t="shared" ca="1" si="217"/>
        <v>-1.3927933634364678E+16</v>
      </c>
      <c r="M6050" s="471">
        <f t="shared" si="219"/>
        <v>0.05</v>
      </c>
      <c r="N6050" s="475">
        <f t="shared" si="220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18"/>
        <v>-1.3927933634364678E+16</v>
      </c>
      <c r="J6051" s="455">
        <f t="array" ref="J6051">IFERROR(INDEX('Retirement Calculator'!J:J,MATCH('Isaac 401k'!N6051,'Retirement Calculator'!A:A,0),0),0)</f>
        <v>0</v>
      </c>
      <c r="K6051" s="455">
        <f t="shared" ca="1" si="216"/>
        <v>-58033056809852.82</v>
      </c>
      <c r="L6051" s="455">
        <f t="shared" ca="1" si="217"/>
        <v>-1.398596669117453E+16</v>
      </c>
      <c r="M6051" s="471">
        <f t="shared" si="219"/>
        <v>0.05</v>
      </c>
      <c r="N6051" s="475">
        <f t="shared" si="220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18"/>
        <v>-1.398596669117453E+16</v>
      </c>
      <c r="J6052" s="455">
        <f t="array" ref="J6052">IFERROR(INDEX('Retirement Calculator'!J:J,MATCH('Isaac 401k'!N6052,'Retirement Calculator'!A:A,0),0),0)</f>
        <v>0</v>
      </c>
      <c r="K6052" s="455">
        <f t="shared" ca="1" si="216"/>
        <v>-58274861213227.211</v>
      </c>
      <c r="L6052" s="455">
        <f t="shared" ca="1" si="217"/>
        <v>-1.4044241552387758E+16</v>
      </c>
      <c r="M6052" s="471">
        <f t="shared" si="219"/>
        <v>0.05</v>
      </c>
      <c r="N6052" s="475">
        <f t="shared" si="220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18"/>
        <v>-1.4044241552387758E+16</v>
      </c>
      <c r="J6053" s="455">
        <f t="array" ref="J6053">IFERROR(INDEX('Retirement Calculator'!J:J,MATCH('Isaac 401k'!N6053,'Retirement Calculator'!A:A,0),0),0)</f>
        <v>0</v>
      </c>
      <c r="K6053" s="455">
        <f t="shared" ca="1" si="216"/>
        <v>-58517673134948.992</v>
      </c>
      <c r="L6053" s="455">
        <f t="shared" ca="1" si="217"/>
        <v>-1.4102759225522706E+16</v>
      </c>
      <c r="M6053" s="471">
        <f t="shared" si="219"/>
        <v>0.05</v>
      </c>
      <c r="N6053" s="475">
        <f t="shared" si="220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18"/>
        <v>-1.4102759225522706E+16</v>
      </c>
      <c r="J6054" s="455">
        <f t="array" ref="J6054">IFERROR(INDEX('Retirement Calculator'!J:J,MATCH('Isaac 401k'!N6054,'Retirement Calculator'!A:A,0),0),0)</f>
        <v>0</v>
      </c>
      <c r="K6054" s="455">
        <f t="shared" ca="1" si="216"/>
        <v>-58761496773011.266</v>
      </c>
      <c r="L6054" s="455">
        <f t="shared" ca="1" si="217"/>
        <v>-1.4161520722295718E+16</v>
      </c>
      <c r="M6054" s="471">
        <f t="shared" si="219"/>
        <v>0.05</v>
      </c>
      <c r="N6054" s="475">
        <f t="shared" si="220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18"/>
        <v>-1.4161520722295718E+16</v>
      </c>
      <c r="J6055" s="455">
        <f t="array" ref="J6055">IFERROR(INDEX('Retirement Calculator'!J:J,MATCH('Isaac 401k'!N6055,'Retirement Calculator'!A:A,0),0),0)</f>
        <v>0</v>
      </c>
      <c r="K6055" s="455">
        <f t="shared" ca="1" si="216"/>
        <v>-59006336342898.836</v>
      </c>
      <c r="L6055" s="455">
        <f t="shared" ca="1" si="217"/>
        <v>-1.4220527058638616E+16</v>
      </c>
      <c r="M6055" s="471">
        <f t="shared" si="219"/>
        <v>0.05</v>
      </c>
      <c r="N6055" s="475">
        <f t="shared" si="220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18"/>
        <v>-1.4220527058638616E+16</v>
      </c>
      <c r="J6056" s="455">
        <f t="array" ref="J6056">IFERROR(INDEX('Retirement Calculator'!J:J,MATCH('Isaac 401k'!N6056,'Retirement Calculator'!A:A,0),0),0)</f>
        <v>0</v>
      </c>
      <c r="K6056" s="455">
        <f t="shared" ca="1" si="216"/>
        <v>-59252196077660.898</v>
      </c>
      <c r="L6056" s="455">
        <f t="shared" ca="1" si="217"/>
        <v>-1.4279779254716276E+16</v>
      </c>
      <c r="M6056" s="471">
        <f t="shared" si="219"/>
        <v>0.05</v>
      </c>
      <c r="N6056" s="475">
        <f t="shared" si="220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18"/>
        <v>-1.4279779254716276E+16</v>
      </c>
      <c r="J6057" s="455">
        <f t="array" ref="J6057">IFERROR(INDEX('Retirement Calculator'!J:J,MATCH('Isaac 401k'!N6057,'Retirement Calculator'!A:A,0),0),0)</f>
        <v>0</v>
      </c>
      <c r="K6057" s="455">
        <f t="shared" ca="1" si="216"/>
        <v>-59499080227984.484</v>
      </c>
      <c r="L6057" s="455">
        <f t="shared" ca="1" si="217"/>
        <v>-1.433927833494426E+16</v>
      </c>
      <c r="M6057" s="471">
        <f t="shared" si="219"/>
        <v>0.05</v>
      </c>
      <c r="N6057" s="475">
        <f t="shared" si="220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18"/>
        <v>-1.433927833494426E+16</v>
      </c>
      <c r="J6058" s="455">
        <f t="array" ref="J6058">IFERROR(INDEX('Retirement Calculator'!J:J,MATCH('Isaac 401k'!N6058,'Retirement Calculator'!A:A,0),0),0)</f>
        <v>0</v>
      </c>
      <c r="K6058" s="455">
        <f t="shared" ca="1" si="216"/>
        <v>-59746993062267.758</v>
      </c>
      <c r="L6058" s="455">
        <f t="shared" ca="1" si="217"/>
        <v>-1.4399025328006528E+16</v>
      </c>
      <c r="M6058" s="471">
        <f t="shared" si="219"/>
        <v>0.05</v>
      </c>
      <c r="N6058" s="475">
        <f t="shared" si="220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18"/>
        <v>-1.4399025328006528E+16</v>
      </c>
      <c r="J6059" s="455">
        <f t="array" ref="J6059">IFERROR(INDEX('Retirement Calculator'!J:J,MATCH('Isaac 401k'!N6059,'Retirement Calculator'!A:A,0),0),0)</f>
        <v>0</v>
      </c>
      <c r="K6059" s="455">
        <f t="shared" ca="1" si="216"/>
        <v>-59995938866693.867</v>
      </c>
      <c r="L6059" s="455">
        <f t="shared" ca="1" si="217"/>
        <v>-1.4459021266873222E+16</v>
      </c>
      <c r="M6059" s="471">
        <f t="shared" si="219"/>
        <v>0.05</v>
      </c>
      <c r="N6059" s="475">
        <f t="shared" si="220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18"/>
        <v>-1.4459021266873222E+16</v>
      </c>
      <c r="J6060" s="455">
        <f t="array" ref="J6060">IFERROR(INDEX('Retirement Calculator'!J:J,MATCH('Isaac 401k'!N6060,'Retirement Calculator'!A:A,0),0),0)</f>
        <v>0</v>
      </c>
      <c r="K6060" s="455">
        <f t="shared" ca="1" si="216"/>
        <v>-60245921945305.094</v>
      </c>
      <c r="L6060" s="455">
        <f t="shared" ca="1" si="217"/>
        <v>-1.4519267188818528E+16</v>
      </c>
      <c r="M6060" s="471">
        <f t="shared" si="219"/>
        <v>0.05</v>
      </c>
      <c r="N6060" s="475">
        <f t="shared" si="220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18"/>
        <v>-1.4519267188818528E+16</v>
      </c>
      <c r="J6061" s="455">
        <f t="array" ref="J6061">IFERROR(INDEX('Retirement Calculator'!J:J,MATCH('Isaac 401k'!N6061,'Retirement Calculator'!A:A,0),0),0)</f>
        <v>0</v>
      </c>
      <c r="K6061" s="455">
        <f t="shared" ca="1" si="216"/>
        <v>-60496946620077.195</v>
      </c>
      <c r="L6061" s="455">
        <f t="shared" ca="1" si="217"/>
        <v>-1.4579764135438606E+16</v>
      </c>
      <c r="M6061" s="471">
        <f t="shared" si="219"/>
        <v>0.05</v>
      </c>
      <c r="N6061" s="475">
        <f t="shared" si="220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18"/>
        <v>-1.4579764135438606E+16</v>
      </c>
      <c r="J6062" s="455">
        <f t="array" ref="J6062">IFERROR(INDEX('Retirement Calculator'!J:J,MATCH('Isaac 401k'!N6062,'Retirement Calculator'!A:A,0),0),0)</f>
        <v>0</v>
      </c>
      <c r="K6062" s="455">
        <f t="shared" ca="1" si="216"/>
        <v>-60749017230994.188</v>
      </c>
      <c r="L6062" s="455">
        <f t="shared" ca="1" si="217"/>
        <v>-1.46405131526696E+16</v>
      </c>
      <c r="M6062" s="471">
        <f t="shared" si="219"/>
        <v>0.05</v>
      </c>
      <c r="N6062" s="475">
        <f t="shared" si="220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18"/>
        <v>-1.46405131526696E+16</v>
      </c>
      <c r="J6063" s="455">
        <f t="array" ref="J6063">IFERROR(INDEX('Retirement Calculator'!J:J,MATCH('Isaac 401k'!N6063,'Retirement Calculator'!A:A,0),0),0)</f>
        <v>0</v>
      </c>
      <c r="K6063" s="455">
        <f t="shared" ca="1" si="216"/>
        <v>-61002138136123.336</v>
      </c>
      <c r="L6063" s="455">
        <f t="shared" ca="1" si="217"/>
        <v>-1.4701515290805724E+16</v>
      </c>
      <c r="M6063" s="471">
        <f t="shared" si="219"/>
        <v>0.05</v>
      </c>
      <c r="N6063" s="475">
        <f t="shared" si="220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18"/>
        <v>-1.4701515290805724E+16</v>
      </c>
      <c r="J6064" s="455">
        <f t="array" ref="J6064">IFERROR(INDEX('Retirement Calculator'!J:J,MATCH('Isaac 401k'!N6064,'Retirement Calculator'!A:A,0),0),0)</f>
        <v>0</v>
      </c>
      <c r="K6064" s="455">
        <f t="shared" ca="1" si="216"/>
        <v>-61256313711690.516</v>
      </c>
      <c r="L6064" s="455">
        <f t="shared" ca="1" si="217"/>
        <v>-1.4762771604517414E+16</v>
      </c>
      <c r="M6064" s="471">
        <f t="shared" si="219"/>
        <v>0.05</v>
      </c>
      <c r="N6064" s="475">
        <f t="shared" si="220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18"/>
        <v>-1.4762771604517414E+16</v>
      </c>
      <c r="J6065" s="455">
        <f t="array" ref="J6065">IFERROR(INDEX('Retirement Calculator'!J:J,MATCH('Isaac 401k'!N6065,'Retirement Calculator'!A:A,0),0),0)</f>
        <v>0</v>
      </c>
      <c r="K6065" s="455">
        <f t="shared" ca="1" si="216"/>
        <v>-61511548352155.891</v>
      </c>
      <c r="L6065" s="455">
        <f t="shared" ca="1" si="217"/>
        <v>-1.482428315286957E+16</v>
      </c>
      <c r="M6065" s="471">
        <f t="shared" si="219"/>
        <v>0.05</v>
      </c>
      <c r="N6065" s="475">
        <f t="shared" si="220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18"/>
        <v>-1.482428315286957E+16</v>
      </c>
      <c r="J6066" s="455">
        <f t="array" ref="J6066">IFERROR(INDEX('Retirement Calculator'!J:J,MATCH('Isaac 401k'!N6066,'Retirement Calculator'!A:A,0),0),0)</f>
        <v>0</v>
      </c>
      <c r="K6066" s="455">
        <f t="shared" ca="1" si="216"/>
        <v>-61767846470289.875</v>
      </c>
      <c r="L6066" s="455">
        <f t="shared" ca="1" si="217"/>
        <v>-1.488605099933986E+16</v>
      </c>
      <c r="M6066" s="471">
        <f t="shared" si="219"/>
        <v>0.05</v>
      </c>
      <c r="N6066" s="475">
        <f t="shared" si="220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18"/>
        <v>-1.488605099933986E+16</v>
      </c>
      <c r="J6067" s="455">
        <f t="array" ref="J6067">IFERROR(INDEX('Retirement Calculator'!J:J,MATCH('Isaac 401k'!N6067,'Retirement Calculator'!A:A,0),0),0)</f>
        <v>0</v>
      </c>
      <c r="K6067" s="455">
        <f t="shared" ca="1" si="216"/>
        <v>-62025212497249.414</v>
      </c>
      <c r="L6067" s="455">
        <f t="shared" ca="1" si="217"/>
        <v>-1.494807621183711E+16</v>
      </c>
      <c r="M6067" s="471">
        <f t="shared" si="219"/>
        <v>0.05</v>
      </c>
      <c r="N6067" s="475">
        <f t="shared" si="220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18"/>
        <v>-1.494807621183711E+16</v>
      </c>
      <c r="J6068" s="455">
        <f t="array" ref="J6068">IFERROR(INDEX('Retirement Calculator'!J:J,MATCH('Isaac 401k'!N6068,'Retirement Calculator'!A:A,0),0),0)</f>
        <v>0</v>
      </c>
      <c r="K6068" s="455">
        <f t="shared" ca="1" si="216"/>
        <v>-62283650882654.617</v>
      </c>
      <c r="L6068" s="455">
        <f t="shared" ca="1" si="217"/>
        <v>-1.5010359862719764E+16</v>
      </c>
      <c r="M6068" s="471">
        <f t="shared" si="219"/>
        <v>0.05</v>
      </c>
      <c r="N6068" s="475">
        <f t="shared" si="220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18"/>
        <v>-1.5010359862719764E+16</v>
      </c>
      <c r="J6069" s="455">
        <f t="array" ref="J6069">IFERROR(INDEX('Retirement Calculator'!J:J,MATCH('Isaac 401k'!N6069,'Retirement Calculator'!A:A,0),0),0)</f>
        <v>0</v>
      </c>
      <c r="K6069" s="455">
        <f t="shared" ca="1" si="216"/>
        <v>-62543166094665.688</v>
      </c>
      <c r="L6069" s="455">
        <f t="shared" ca="1" si="217"/>
        <v>-1.507290302881443E+16</v>
      </c>
      <c r="M6069" s="471">
        <f t="shared" si="219"/>
        <v>0.05</v>
      </c>
      <c r="N6069" s="475">
        <f t="shared" si="220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18"/>
        <v>-1.507290302881443E+16</v>
      </c>
      <c r="J6070" s="455">
        <f t="array" ref="J6070">IFERROR(INDEX('Retirement Calculator'!J:J,MATCH('Isaac 401k'!N6070,'Retirement Calculator'!A:A,0),0),0)</f>
        <v>0</v>
      </c>
      <c r="K6070" s="455">
        <f t="shared" ca="1" si="216"/>
        <v>-62803762620060.125</v>
      </c>
      <c r="L6070" s="455">
        <f t="shared" ca="1" si="217"/>
        <v>-1.513570679143449E+16</v>
      </c>
      <c r="M6070" s="471">
        <f t="shared" si="219"/>
        <v>0.05</v>
      </c>
      <c r="N6070" s="475">
        <f t="shared" si="220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18"/>
        <v>-1.513570679143449E+16</v>
      </c>
      <c r="J6071" s="455">
        <f t="array" ref="J6071">IFERROR(INDEX('Retirement Calculator'!J:J,MATCH('Isaac 401k'!N6071,'Retirement Calculator'!A:A,0),0),0)</f>
        <v>0</v>
      </c>
      <c r="K6071" s="455">
        <f t="shared" ca="1" si="216"/>
        <v>-63065444964310.375</v>
      </c>
      <c r="L6071" s="455">
        <f t="shared" ca="1" si="217"/>
        <v>-1.51987722363988E+16</v>
      </c>
      <c r="M6071" s="471">
        <f t="shared" si="219"/>
        <v>0.05</v>
      </c>
      <c r="N6071" s="475">
        <f t="shared" si="220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18"/>
        <v>-1.51987722363988E+16</v>
      </c>
      <c r="J6072" s="455">
        <f t="array" ref="J6072">IFERROR(INDEX('Retirement Calculator'!J:J,MATCH('Isaac 401k'!N6072,'Retirement Calculator'!A:A,0),0),0)</f>
        <v>0</v>
      </c>
      <c r="K6072" s="455">
        <f t="shared" ca="1" si="216"/>
        <v>-63328217651661.664</v>
      </c>
      <c r="L6072" s="455">
        <f t="shared" ca="1" si="217"/>
        <v>-1.5262100454050462E+16</v>
      </c>
      <c r="M6072" s="471">
        <f t="shared" si="219"/>
        <v>0.05</v>
      </c>
      <c r="N6072" s="475">
        <f t="shared" si="220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18"/>
        <v>-1.5262100454050462E+16</v>
      </c>
      <c r="J6073" s="455">
        <f t="array" ref="J6073">IFERROR(INDEX('Retirement Calculator'!J:J,MATCH('Isaac 401k'!N6073,'Retirement Calculator'!A:A,0),0),0)</f>
        <v>0</v>
      </c>
      <c r="K6073" s="455">
        <f t="shared" ca="1" si="216"/>
        <v>-63592085225210.258</v>
      </c>
      <c r="L6073" s="455">
        <f t="shared" ca="1" si="217"/>
        <v>-1.5325692539275672E+16</v>
      </c>
      <c r="M6073" s="471">
        <f t="shared" si="219"/>
        <v>0.05</v>
      </c>
      <c r="N6073" s="475">
        <f t="shared" si="220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18"/>
        <v>-1.5325692539275672E+16</v>
      </c>
      <c r="J6074" s="455">
        <f t="array" ref="J6074">IFERROR(INDEX('Retirement Calculator'!J:J,MATCH('Isaac 401k'!N6074,'Retirement Calculator'!A:A,0),0),0)</f>
        <v>0</v>
      </c>
      <c r="K6074" s="455">
        <f t="shared" ca="1" si="216"/>
        <v>-63857052246981.961</v>
      </c>
      <c r="L6074" s="455">
        <f t="shared" ca="1" si="217"/>
        <v>-1.5389549591522654E+16</v>
      </c>
      <c r="M6074" s="471">
        <f t="shared" si="219"/>
        <v>0.05</v>
      </c>
      <c r="N6074" s="475">
        <f t="shared" si="220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18"/>
        <v>-1.5389549591522654E+16</v>
      </c>
      <c r="J6075" s="455">
        <f t="array" ref="J6075">IFERROR(INDEX('Retirement Calculator'!J:J,MATCH('Isaac 401k'!N6075,'Retirement Calculator'!A:A,0),0),0)</f>
        <v>0</v>
      </c>
      <c r="K6075" s="455">
        <f t="shared" ca="1" si="216"/>
        <v>-64123123298011.063</v>
      </c>
      <c r="L6075" s="455">
        <f t="shared" ca="1" si="217"/>
        <v>-1.5453672714820666E+16</v>
      </c>
      <c r="M6075" s="471">
        <f t="shared" si="219"/>
        <v>0.05</v>
      </c>
      <c r="N6075" s="475">
        <f t="shared" si="220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18"/>
        <v>-1.5453672714820666E+16</v>
      </c>
      <c r="J6076" s="455">
        <f t="array" ref="J6076">IFERROR(INDEX('Retirement Calculator'!J:J,MATCH('Isaac 401k'!N6076,'Retirement Calculator'!A:A,0),0),0)</f>
        <v>0</v>
      </c>
      <c r="K6076" s="455">
        <f t="shared" ca="1" si="216"/>
        <v>-64390302978419.438</v>
      </c>
      <c r="L6076" s="455">
        <f t="shared" ca="1" si="217"/>
        <v>-1.5518063017799086E+16</v>
      </c>
      <c r="M6076" s="471">
        <f t="shared" si="219"/>
        <v>0.05</v>
      </c>
      <c r="N6076" s="475">
        <f t="shared" si="220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18"/>
        <v>-1.5518063017799086E+16</v>
      </c>
      <c r="J6077" s="455">
        <f t="array" ref="J6077">IFERROR(INDEX('Retirement Calculator'!J:J,MATCH('Isaac 401k'!N6077,'Retirement Calculator'!A:A,0),0),0)</f>
        <v>0</v>
      </c>
      <c r="K6077" s="455">
        <f t="shared" ca="1" si="216"/>
        <v>-64658595907496.188</v>
      </c>
      <c r="L6077" s="455">
        <f t="shared" ca="1" si="217"/>
        <v>-1.5582721613706582E+16</v>
      </c>
      <c r="M6077" s="471">
        <f t="shared" si="219"/>
        <v>0.05</v>
      </c>
      <c r="N6077" s="475">
        <f t="shared" si="220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18"/>
        <v>-1.5582721613706582E+16</v>
      </c>
      <c r="J6078" s="455">
        <f t="array" ref="J6078">IFERROR(INDEX('Retirement Calculator'!J:J,MATCH('Isaac 401k'!N6078,'Retirement Calculator'!A:A,0),0),0)</f>
        <v>0</v>
      </c>
      <c r="K6078" s="455">
        <f t="shared" ca="1" si="216"/>
        <v>-64928006723777.43</v>
      </c>
      <c r="L6078" s="455">
        <f t="shared" ca="1" si="217"/>
        <v>-1.564764962043036E+16</v>
      </c>
      <c r="M6078" s="471">
        <f t="shared" si="219"/>
        <v>0.05</v>
      </c>
      <c r="N6078" s="475">
        <f t="shared" si="220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18"/>
        <v>-1.564764962043036E+16</v>
      </c>
      <c r="J6079" s="455">
        <f t="array" ref="J6079">IFERROR(INDEX('Retirement Calculator'!J:J,MATCH('Isaac 401k'!N6079,'Retirement Calculator'!A:A,0),0),0)</f>
        <v>0</v>
      </c>
      <c r="K6079" s="455">
        <f t="shared" ca="1" si="216"/>
        <v>-65198540085126.5</v>
      </c>
      <c r="L6079" s="455">
        <f t="shared" ca="1" si="217"/>
        <v>-1.5712848160515486E+16</v>
      </c>
      <c r="M6079" s="471">
        <f t="shared" si="219"/>
        <v>0.05</v>
      </c>
      <c r="N6079" s="475">
        <f t="shared" si="220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18"/>
        <v>-1.5712848160515486E+16</v>
      </c>
      <c r="J6080" s="455">
        <f t="array" ref="J6080">IFERROR(INDEX('Retirement Calculator'!J:J,MATCH('Isaac 401k'!N6080,'Retirement Calculator'!A:A,0),0),0)</f>
        <v>0</v>
      </c>
      <c r="K6080" s="455">
        <f t="shared" ca="1" si="216"/>
        <v>-65470200668814.523</v>
      </c>
      <c r="L6080" s="455">
        <f t="shared" ca="1" si="217"/>
        <v>-1.57783183611843E+16</v>
      </c>
      <c r="M6080" s="471">
        <f t="shared" si="219"/>
        <v>0.05</v>
      </c>
      <c r="N6080" s="475">
        <f t="shared" si="220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18"/>
        <v>-1.57783183611843E+16</v>
      </c>
      <c r="J6081" s="455">
        <f t="array" ref="J6081">IFERROR(INDEX('Retirement Calculator'!J:J,MATCH('Isaac 401k'!N6081,'Retirement Calculator'!A:A,0),0),0)</f>
        <v>0</v>
      </c>
      <c r="K6081" s="455">
        <f t="shared" ca="1" si="216"/>
        <v>-65742993171601.258</v>
      </c>
      <c r="L6081" s="455">
        <f t="shared" ca="1" si="217"/>
        <v>-1.5844061354355902E+16</v>
      </c>
      <c r="M6081" s="471">
        <f t="shared" si="219"/>
        <v>0.05</v>
      </c>
      <c r="N6081" s="475">
        <f t="shared" si="220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18"/>
        <v>-1.5844061354355902E+16</v>
      </c>
      <c r="J6082" s="455">
        <f t="array" ref="J6082">IFERROR(INDEX('Retirement Calculator'!J:J,MATCH('Isaac 401k'!N6082,'Retirement Calculator'!A:A,0),0),0)</f>
        <v>0</v>
      </c>
      <c r="K6082" s="455">
        <f t="shared" ca="1" si="216"/>
        <v>-66016922309816.258</v>
      </c>
      <c r="L6082" s="455">
        <f t="shared" ca="1" si="217"/>
        <v>-1.5910078276665718E+16</v>
      </c>
      <c r="M6082" s="471">
        <f t="shared" si="219"/>
        <v>0.05</v>
      </c>
      <c r="N6082" s="475">
        <f t="shared" si="220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18"/>
        <v>-1.5910078276665718E+16</v>
      </c>
      <c r="J6083" s="455">
        <f t="array" ref="J6083">IFERROR(INDEX('Retirement Calculator'!J:J,MATCH('Isaac 401k'!N6083,'Retirement Calculator'!A:A,0),0),0)</f>
        <v>0</v>
      </c>
      <c r="K6083" s="455">
        <f t="shared" ca="1" si="216"/>
        <v>-66291992819440.492</v>
      </c>
      <c r="L6083" s="455">
        <f t="shared" ca="1" si="217"/>
        <v>-1.5976370269485158E+16</v>
      </c>
      <c r="M6083" s="471">
        <f t="shared" si="219"/>
        <v>0.05</v>
      </c>
      <c r="N6083" s="475">
        <f t="shared" si="220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18"/>
        <v>-1.5976370269485158E+16</v>
      </c>
      <c r="J6084" s="455">
        <f t="array" ref="J6084">IFERROR(INDEX('Retirement Calculator'!J:J,MATCH('Isaac 401k'!N6084,'Retirement Calculator'!A:A,0),0),0)</f>
        <v>0</v>
      </c>
      <c r="K6084" s="455">
        <f t="shared" ca="1" si="216"/>
        <v>-66568209456188.156</v>
      </c>
      <c r="L6084" s="455">
        <f t="shared" ca="1" si="217"/>
        <v>-1.6042938478941346E+16</v>
      </c>
      <c r="M6084" s="471">
        <f t="shared" si="219"/>
        <v>0.05</v>
      </c>
      <c r="N6084" s="475">
        <f t="shared" si="220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18"/>
        <v>-1.6042938478941346E+16</v>
      </c>
      <c r="J6085" s="455">
        <f t="array" ref="J6085">IFERROR(INDEX('Retirement Calculator'!J:J,MATCH('Isaac 401k'!N6085,'Retirement Calculator'!A:A,0),0),0)</f>
        <v>0</v>
      </c>
      <c r="K6085" s="455">
        <f t="shared" ca="1" si="216"/>
        <v>-66845576995588.938</v>
      </c>
      <c r="L6085" s="455">
        <f t="shared" ca="1" si="217"/>
        <v>-1.6109784055936934E+16</v>
      </c>
      <c r="M6085" s="471">
        <f t="shared" si="219"/>
        <v>0.05</v>
      </c>
      <c r="N6085" s="475">
        <f t="shared" si="220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18"/>
        <v>-1.6109784055936934E+16</v>
      </c>
      <c r="J6086" s="455">
        <f t="array" ref="J6086">IFERROR(INDEX('Retirement Calculator'!J:J,MATCH('Isaac 401k'!N6086,'Retirement Calculator'!A:A,0),0),0)</f>
        <v>0</v>
      </c>
      <c r="K6086" s="455">
        <f t="shared" ca="1" si="216"/>
        <v>-67124100233070.555</v>
      </c>
      <c r="L6086" s="455">
        <f t="shared" ca="1" si="217"/>
        <v>-1.6176908156170004E+16</v>
      </c>
      <c r="M6086" s="471">
        <f t="shared" si="219"/>
        <v>0.05</v>
      </c>
      <c r="N6086" s="475">
        <f t="shared" si="220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18"/>
        <v>-1.6176908156170004E+16</v>
      </c>
      <c r="J6087" s="455">
        <f t="array" ref="J6087">IFERROR(INDEX('Retirement Calculator'!J:J,MATCH('Isaac 401k'!N6087,'Retirement Calculator'!A:A,0),0),0)</f>
        <v>0</v>
      </c>
      <c r="K6087" s="455">
        <f t="shared" ca="1" si="216"/>
        <v>-67403783984041.68</v>
      </c>
      <c r="L6087" s="455">
        <f t="shared" ca="1" si="217"/>
        <v>-1.6244311940154046E+16</v>
      </c>
      <c r="M6087" s="471">
        <f t="shared" si="219"/>
        <v>0.05</v>
      </c>
      <c r="N6087" s="475">
        <f t="shared" si="220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18"/>
        <v>-1.6244311940154046E+16</v>
      </c>
      <c r="J6088" s="455">
        <f t="array" ref="J6088">IFERROR(INDEX('Retirement Calculator'!J:J,MATCH('Isaac 401k'!N6088,'Retirement Calculator'!A:A,0),0),0)</f>
        <v>0</v>
      </c>
      <c r="K6088" s="455">
        <f t="shared" ca="1" si="216"/>
        <v>-67684633083975.18</v>
      </c>
      <c r="L6088" s="455">
        <f t="shared" ca="1" si="217"/>
        <v>-1.6311996573238022E+16</v>
      </c>
      <c r="M6088" s="471">
        <f t="shared" si="219"/>
        <v>0.05</v>
      </c>
      <c r="N6088" s="475">
        <f t="shared" si="220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18"/>
        <v>-1.6311996573238022E+16</v>
      </c>
      <c r="J6089" s="455">
        <f t="array" ref="J6089">IFERROR(INDEX('Retirement Calculator'!J:J,MATCH('Isaac 401k'!N6089,'Retirement Calculator'!A:A,0),0),0)</f>
        <v>0</v>
      </c>
      <c r="K6089" s="455">
        <f t="shared" ca="1" si="216"/>
        <v>-67966652388491.758</v>
      </c>
      <c r="L6089" s="455">
        <f t="shared" ca="1" si="217"/>
        <v>-1.6379963225626514E+16</v>
      </c>
      <c r="M6089" s="471">
        <f t="shared" si="219"/>
        <v>0.05</v>
      </c>
      <c r="N6089" s="475">
        <f t="shared" si="220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18"/>
        <v>-1.6379963225626514E+16</v>
      </c>
      <c r="J6090" s="455">
        <f t="array" ref="J6090">IFERROR(INDEX('Retirement Calculator'!J:J,MATCH('Isaac 401k'!N6090,'Retirement Calculator'!A:A,0),0),0)</f>
        <v>0</v>
      </c>
      <c r="K6090" s="455">
        <f t="shared" ca="1" si="216"/>
        <v>-68249846773443.813</v>
      </c>
      <c r="L6090" s="455">
        <f t="shared" ca="1" si="217"/>
        <v>-1.6448213072399958E+16</v>
      </c>
      <c r="M6090" s="471">
        <f t="shared" si="219"/>
        <v>0.05</v>
      </c>
      <c r="N6090" s="475">
        <f t="shared" si="220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18"/>
        <v>-1.6448213072399958E+16</v>
      </c>
      <c r="J6091" s="455">
        <f t="array" ref="J6091">IFERROR(INDEX('Retirement Calculator'!J:J,MATCH('Isaac 401k'!N6091,'Retirement Calculator'!A:A,0),0),0)</f>
        <v>0</v>
      </c>
      <c r="K6091" s="455">
        <f t="shared" ca="1" si="216"/>
        <v>-68534221134999.82</v>
      </c>
      <c r="L6091" s="455">
        <f t="shared" ca="1" si="217"/>
        <v>-1.6516747293534958E+16</v>
      </c>
      <c r="M6091" s="471">
        <f t="shared" si="219"/>
        <v>0.05</v>
      </c>
      <c r="N6091" s="475">
        <f t="shared" si="220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18"/>
        <v>-1.6516747293534958E+16</v>
      </c>
      <c r="J6092" s="455">
        <f t="array" ref="J6092">IFERROR(INDEX('Retirement Calculator'!J:J,MATCH('Isaac 401k'!N6092,'Retirement Calculator'!A:A,0),0),0)</f>
        <v>0</v>
      </c>
      <c r="K6092" s="455">
        <f t="shared" ca="1" si="216"/>
        <v>-68819780389728.992</v>
      </c>
      <c r="L6092" s="455">
        <f t="shared" ca="1" si="217"/>
        <v>-1.6585567073924686E+16</v>
      </c>
      <c r="M6092" s="471">
        <f t="shared" si="219"/>
        <v>0.05</v>
      </c>
      <c r="N6092" s="475">
        <f t="shared" si="220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18"/>
        <v>-1.6585567073924686E+16</v>
      </c>
      <c r="J6093" s="455">
        <f t="array" ref="J6093">IFERROR(INDEX('Retirement Calculator'!J:J,MATCH('Isaac 401k'!N6093,'Retirement Calculator'!A:A,0),0),0)</f>
        <v>0</v>
      </c>
      <c r="K6093" s="455">
        <f t="shared" ca="1" si="216"/>
        <v>-69106529474686.195</v>
      </c>
      <c r="L6093" s="455">
        <f t="shared" ca="1" si="217"/>
        <v>-1.6654673603399372E+16</v>
      </c>
      <c r="M6093" s="471">
        <f t="shared" si="219"/>
        <v>0.05</v>
      </c>
      <c r="N6093" s="475">
        <f t="shared" si="220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18"/>
        <v>-1.6654673603399372E+16</v>
      </c>
      <c r="J6094" s="455">
        <f t="array" ref="J6094">IFERROR(INDEX('Retirement Calculator'!J:J,MATCH('Isaac 401k'!N6094,'Retirement Calculator'!A:A,0),0),0)</f>
        <v>0</v>
      </c>
      <c r="K6094" s="455">
        <f t="shared" ca="1" si="216"/>
        <v>-69394473347497.383</v>
      </c>
      <c r="L6094" s="455">
        <f t="shared" ca="1" si="217"/>
        <v>-1.672406807674687E+16</v>
      </c>
      <c r="M6094" s="471">
        <f t="shared" si="219"/>
        <v>0.05</v>
      </c>
      <c r="N6094" s="475">
        <f t="shared" si="220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18"/>
        <v>-1.672406807674687E+16</v>
      </c>
      <c r="J6095" s="455">
        <f t="array" ref="J6095">IFERROR(INDEX('Retirement Calculator'!J:J,MATCH('Isaac 401k'!N6095,'Retirement Calculator'!A:A,0),0),0)</f>
        <v>0</v>
      </c>
      <c r="K6095" s="455">
        <f t="shared" ca="1" si="216"/>
        <v>-69683616986445.297</v>
      </c>
      <c r="L6095" s="455">
        <f t="shared" ca="1" si="217"/>
        <v>-1.6793751693733316E+16</v>
      </c>
      <c r="M6095" s="471">
        <f t="shared" si="219"/>
        <v>0.05</v>
      </c>
      <c r="N6095" s="475">
        <f t="shared" si="220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18"/>
        <v>-1.6793751693733316E+16</v>
      </c>
      <c r="J6096" s="455">
        <f t="array" ref="J6096">IFERROR(INDEX('Retirement Calculator'!J:J,MATCH('Isaac 401k'!N6096,'Retirement Calculator'!A:A,0),0),0)</f>
        <v>0</v>
      </c>
      <c r="K6096" s="455">
        <f t="shared" ca="1" si="216"/>
        <v>-69973965390555.484</v>
      </c>
      <c r="L6096" s="455">
        <f t="shared" ca="1" si="217"/>
        <v>-1.6863725659123872E+16</v>
      </c>
      <c r="M6096" s="471">
        <f t="shared" si="219"/>
        <v>0.05</v>
      </c>
      <c r="N6096" s="475">
        <f t="shared" si="220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18"/>
        <v>-1.6863725659123872E+16</v>
      </c>
      <c r="J6097" s="455">
        <f t="array" ref="J6097">IFERROR(INDEX('Retirement Calculator'!J:J,MATCH('Isaac 401k'!N6097,'Retirement Calculator'!A:A,0),0),0)</f>
        <v>0</v>
      </c>
      <c r="K6097" s="455">
        <f t="shared" ca="1" si="216"/>
        <v>-70265523579682.805</v>
      </c>
      <c r="L6097" s="455">
        <f t="shared" ca="1" si="217"/>
        <v>-1.6933991182703554E+16</v>
      </c>
      <c r="M6097" s="471">
        <f t="shared" si="219"/>
        <v>0.05</v>
      </c>
      <c r="N6097" s="475">
        <f t="shared" si="220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18"/>
        <v>-1.6933991182703554E+16</v>
      </c>
      <c r="J6098" s="455">
        <f t="array" ref="J6098">IFERROR(INDEX('Retirement Calculator'!J:J,MATCH('Isaac 401k'!N6098,'Retirement Calculator'!A:A,0),0),0)</f>
        <v>0</v>
      </c>
      <c r="K6098" s="455">
        <f t="shared" ca="1" si="216"/>
        <v>-70558296594598.125</v>
      </c>
      <c r="L6098" s="455">
        <f t="shared" ca="1" si="217"/>
        <v>-1.7004549479298152E+16</v>
      </c>
      <c r="M6098" s="471">
        <f t="shared" si="219"/>
        <v>0.05</v>
      </c>
      <c r="N6098" s="475">
        <f t="shared" si="220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18"/>
        <v>-1.7004549479298152E+16</v>
      </c>
      <c r="J6099" s="455">
        <f t="array" ref="J6099">IFERROR(INDEX('Retirement Calculator'!J:J,MATCH('Isaac 401k'!N6099,'Retirement Calculator'!A:A,0),0),0)</f>
        <v>0</v>
      </c>
      <c r="K6099" s="455">
        <f t="shared" ca="1" si="216"/>
        <v>-70852289497075.625</v>
      </c>
      <c r="L6099" s="455">
        <f t="shared" ca="1" si="217"/>
        <v>-1.7075401768795228E+16</v>
      </c>
      <c r="M6099" s="471">
        <f t="shared" si="219"/>
        <v>0.05</v>
      </c>
      <c r="N6099" s="475">
        <f t="shared" si="220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18"/>
        <v>-1.7075401768795228E+16</v>
      </c>
      <c r="J6100" s="455">
        <f t="array" ref="J6100">IFERROR(INDEX('Retirement Calculator'!J:J,MATCH('Isaac 401k'!N6100,'Retirement Calculator'!A:A,0),0),0)</f>
        <v>0</v>
      </c>
      <c r="K6100" s="455">
        <f t="shared" ca="1" si="216"/>
        <v>-71147507369980.109</v>
      </c>
      <c r="L6100" s="455">
        <f t="shared" ca="1" si="217"/>
        <v>-1.7146549276165208E+16</v>
      </c>
      <c r="M6100" s="471">
        <f t="shared" si="219"/>
        <v>0.05</v>
      </c>
      <c r="N6100" s="475">
        <f t="shared" si="220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18"/>
        <v>-1.7146549276165208E+16</v>
      </c>
      <c r="J6101" s="455">
        <f t="array" ref="J6101">IFERROR(INDEX('Retirement Calculator'!J:J,MATCH('Isaac 401k'!N6101,'Retirement Calculator'!A:A,0),0),0)</f>
        <v>0</v>
      </c>
      <c r="K6101" s="455">
        <f t="shared" ca="1" si="216"/>
        <v>-71443955317355.031</v>
      </c>
      <c r="L6101" s="455">
        <f t="shared" ca="1" si="217"/>
        <v>-1.7217993231482564E+16</v>
      </c>
      <c r="M6101" s="471">
        <f t="shared" si="219"/>
        <v>0.05</v>
      </c>
      <c r="N6101" s="475">
        <f t="shared" si="220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18"/>
        <v>-1.7217993231482564E+16</v>
      </c>
      <c r="J6102" s="455">
        <f t="array" ref="J6102">IFERROR(INDEX('Retirement Calculator'!J:J,MATCH('Isaac 401k'!N6102,'Retirement Calculator'!A:A,0),0),0)</f>
        <v>0</v>
      </c>
      <c r="K6102" s="455">
        <f t="shared" ca="1" si="216"/>
        <v>-71741638464510.688</v>
      </c>
      <c r="L6102" s="455">
        <f t="shared" ca="1" si="217"/>
        <v>-1.7289734869947074E+16</v>
      </c>
      <c r="M6102" s="471">
        <f t="shared" si="219"/>
        <v>0.05</v>
      </c>
      <c r="N6102" s="475">
        <f t="shared" si="220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18"/>
        <v>-1.7289734869947074E+16</v>
      </c>
      <c r="J6103" s="455">
        <f t="array" ref="J6103">IFERROR(INDEX('Retirement Calculator'!J:J,MATCH('Isaac 401k'!N6103,'Retirement Calculator'!A:A,0),0),0)</f>
        <v>0</v>
      </c>
      <c r="K6103" s="455">
        <f t="shared" ca="1" si="216"/>
        <v>-72040561958112.813</v>
      </c>
      <c r="L6103" s="455">
        <f t="shared" ca="1" si="217"/>
        <v>-1.7361775431905186E+16</v>
      </c>
      <c r="M6103" s="471">
        <f t="shared" si="219"/>
        <v>0.05</v>
      </c>
      <c r="N6103" s="475">
        <f t="shared" si="220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18"/>
        <v>-1.7361775431905186E+16</v>
      </c>
      <c r="J6104" s="455">
        <f t="array" ref="J6104">IFERROR(INDEX('Retirement Calculator'!J:J,MATCH('Isaac 401k'!N6104,'Retirement Calculator'!A:A,0),0),0)</f>
        <v>0</v>
      </c>
      <c r="K6104" s="455">
        <f t="shared" ca="1" si="216"/>
        <v>-72340730966271.609</v>
      </c>
      <c r="L6104" s="455">
        <f t="shared" ca="1" si="217"/>
        <v>-1.7434116162871458E+16</v>
      </c>
      <c r="M6104" s="471">
        <f t="shared" si="219"/>
        <v>0.05</v>
      </c>
      <c r="N6104" s="475">
        <f t="shared" si="220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18"/>
        <v>-1.7434116162871458E+16</v>
      </c>
      <c r="J6105" s="455">
        <f t="array" ref="J6105">IFERROR(INDEX('Retirement Calculator'!J:J,MATCH('Isaac 401k'!N6105,'Retirement Calculator'!A:A,0),0),0)</f>
        <v>0</v>
      </c>
      <c r="K6105" s="455">
        <f t="shared" ca="1" si="216"/>
        <v>-72642150678631.063</v>
      </c>
      <c r="L6105" s="455">
        <f t="shared" ca="1" si="217"/>
        <v>-1.750675831355009E+16</v>
      </c>
      <c r="M6105" s="471">
        <f t="shared" si="219"/>
        <v>0.05</v>
      </c>
      <c r="N6105" s="475">
        <f t="shared" si="220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18"/>
        <v>-1.750675831355009E+16</v>
      </c>
      <c r="J6106" s="455">
        <f t="array" ref="J6106">IFERROR(INDEX('Retirement Calculator'!J:J,MATCH('Isaac 401k'!N6106,'Retirement Calculator'!A:A,0),0),0)</f>
        <v>0</v>
      </c>
      <c r="K6106" s="455">
        <f t="shared" ca="1" si="216"/>
        <v>-72944826306458.719</v>
      </c>
      <c r="L6106" s="455">
        <f t="shared" ca="1" si="217"/>
        <v>-1.7579703139856548E+16</v>
      </c>
      <c r="M6106" s="471">
        <f t="shared" si="219"/>
        <v>0.05</v>
      </c>
      <c r="N6106" s="475">
        <f t="shared" si="220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18"/>
        <v>-1.7579703139856548E+16</v>
      </c>
      <c r="J6107" s="455">
        <f t="array" ref="J6107">IFERROR(INDEX('Retirement Calculator'!J:J,MATCH('Isaac 401k'!N6107,'Retirement Calculator'!A:A,0),0),0)</f>
        <v>0</v>
      </c>
      <c r="K6107" s="455">
        <f t="shared" ca="1" si="216"/>
        <v>-73248763082735.609</v>
      </c>
      <c r="L6107" s="455">
        <f t="shared" ca="1" si="217"/>
        <v>-1.7652951902939284E+16</v>
      </c>
      <c r="M6107" s="471">
        <f t="shared" si="219"/>
        <v>0.05</v>
      </c>
      <c r="N6107" s="475">
        <f t="shared" si="220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18"/>
        <v>-1.7652951902939284E+16</v>
      </c>
      <c r="J6108" s="455">
        <f t="array" ref="J6108">IFERROR(INDEX('Retirement Calculator'!J:J,MATCH('Isaac 401k'!N6108,'Retirement Calculator'!A:A,0),0),0)</f>
        <v>0</v>
      </c>
      <c r="K6108" s="455">
        <f t="shared" ca="1" si="216"/>
        <v>-73553966262247</v>
      </c>
      <c r="L6108" s="455">
        <f t="shared" ca="1" si="217"/>
        <v>-1.7726505869201532E+16</v>
      </c>
      <c r="M6108" s="471">
        <f t="shared" si="219"/>
        <v>0.05</v>
      </c>
      <c r="N6108" s="475">
        <f t="shared" si="220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18"/>
        <v>-1.7726505869201532E+16</v>
      </c>
      <c r="J6109" s="455">
        <f t="array" ref="J6109">IFERROR(INDEX('Retirement Calculator'!J:J,MATCH('Isaac 401k'!N6109,'Retirement Calculator'!A:A,0),0),0)</f>
        <v>0</v>
      </c>
      <c r="K6109" s="455">
        <f t="shared" ca="1" si="216"/>
        <v>-73860441121673.047</v>
      </c>
      <c r="L6109" s="455">
        <f t="shared" ca="1" si="217"/>
        <v>-1.7800366310323206E+16</v>
      </c>
      <c r="M6109" s="471">
        <f t="shared" si="219"/>
        <v>0.05</v>
      </c>
      <c r="N6109" s="475">
        <f t="shared" si="220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18"/>
        <v>-1.7800366310323206E+16</v>
      </c>
      <c r="J6110" s="455">
        <f t="array" ref="J6110">IFERROR(INDEX('Retirement Calculator'!J:J,MATCH('Isaac 401k'!N6110,'Retirement Calculator'!A:A,0),0),0)</f>
        <v>0</v>
      </c>
      <c r="K6110" s="455">
        <f t="shared" ca="1" si="216"/>
        <v>-74168192959680.016</v>
      </c>
      <c r="L6110" s="455">
        <f t="shared" ca="1" si="217"/>
        <v>-1.7874534503282886E+16</v>
      </c>
      <c r="M6110" s="471">
        <f t="shared" si="219"/>
        <v>0.05</v>
      </c>
      <c r="N6110" s="475">
        <f t="shared" si="220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18"/>
        <v>-1.7874534503282886E+16</v>
      </c>
      <c r="J6111" s="455">
        <f t="array" ref="J6111">IFERROR(INDEX('Retirement Calculator'!J:J,MATCH('Isaac 401k'!N6111,'Retirement Calculator'!A:A,0),0),0)</f>
        <v>0</v>
      </c>
      <c r="K6111" s="455">
        <f t="shared" ca="1" si="216"/>
        <v>-74477227097012.031</v>
      </c>
      <c r="L6111" s="455">
        <f t="shared" ca="1" si="217"/>
        <v>-1.7949011730379898E+16</v>
      </c>
      <c r="M6111" s="471">
        <f t="shared" si="219"/>
        <v>0.05</v>
      </c>
      <c r="N6111" s="475">
        <f t="shared" si="220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18"/>
        <v>-1.7949011730379898E+16</v>
      </c>
      <c r="J6112" s="455">
        <f t="array" ref="J6112">IFERROR(INDEX('Retirement Calculator'!J:J,MATCH('Isaac 401k'!N6112,'Retirement Calculator'!A:A,0),0),0)</f>
        <v>0</v>
      </c>
      <c r="K6112" s="455">
        <f t="shared" ca="1" si="216"/>
        <v>-74787548876582.906</v>
      </c>
      <c r="L6112" s="455">
        <f t="shared" ca="1" si="217"/>
        <v>-1.802379927925648E+16</v>
      </c>
      <c r="M6112" s="471">
        <f t="shared" si="219"/>
        <v>0.05</v>
      </c>
      <c r="N6112" s="475">
        <f t="shared" si="220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18"/>
        <v>-1.802379927925648E+16</v>
      </c>
      <c r="J6113" s="455">
        <f t="array" ref="J6113">IFERROR(INDEX('Retirement Calculator'!J:J,MATCH('Isaac 401k'!N6113,'Retirement Calculator'!A:A,0),0),0)</f>
        <v>0</v>
      </c>
      <c r="K6113" s="455">
        <f t="shared" ca="1" si="216"/>
        <v>-75099163663568.672</v>
      </c>
      <c r="L6113" s="455">
        <f t="shared" ca="1" si="217"/>
        <v>-1.8098898442920048E+16</v>
      </c>
      <c r="M6113" s="471">
        <f t="shared" si="219"/>
        <v>0.05</v>
      </c>
      <c r="N6113" s="475">
        <f t="shared" si="220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18"/>
        <v>-1.8098898442920048E+16</v>
      </c>
      <c r="J6114" s="455">
        <f t="array" ref="J6114">IFERROR(INDEX('Retirement Calculator'!J:J,MATCH('Isaac 401k'!N6114,'Retirement Calculator'!A:A,0),0),0)</f>
        <v>0</v>
      </c>
      <c r="K6114" s="455">
        <f t="shared" ca="1" si="216"/>
        <v>-75412076845500.203</v>
      </c>
      <c r="L6114" s="455">
        <f t="shared" ca="1" si="217"/>
        <v>-1.8174310519765548E+16</v>
      </c>
      <c r="M6114" s="471">
        <f t="shared" si="219"/>
        <v>0.05</v>
      </c>
      <c r="N6114" s="475">
        <f t="shared" si="220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18"/>
        <v>-1.8174310519765548E+16</v>
      </c>
      <c r="J6115" s="455">
        <f t="array" ref="J6115">IFERROR(INDEX('Retirement Calculator'!J:J,MATCH('Isaac 401k'!N6115,'Retirement Calculator'!A:A,0),0),0)</f>
        <v>0</v>
      </c>
      <c r="K6115" s="455">
        <f t="shared" ca="1" si="216"/>
        <v>-75726293832356.453</v>
      </c>
      <c r="L6115" s="455">
        <f t="shared" ca="1" si="217"/>
        <v>-1.8250036813597904E+16</v>
      </c>
      <c r="M6115" s="471">
        <f t="shared" si="219"/>
        <v>0.05</v>
      </c>
      <c r="N6115" s="475">
        <f t="shared" si="220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18"/>
        <v>-1.8250036813597904E+16</v>
      </c>
      <c r="J6116" s="455">
        <f t="array" ref="J6116">IFERROR(INDEX('Retirement Calculator'!J:J,MATCH('Isaac 401k'!N6116,'Retirement Calculator'!A:A,0),0),0)</f>
        <v>0</v>
      </c>
      <c r="K6116" s="455">
        <f t="shared" ca="1" si="216"/>
        <v>-76041820056657.938</v>
      </c>
      <c r="L6116" s="455">
        <f t="shared" ca="1" si="217"/>
        <v>-1.832607863365456E+16</v>
      </c>
      <c r="M6116" s="471">
        <f t="shared" si="219"/>
        <v>0.05</v>
      </c>
      <c r="N6116" s="475">
        <f t="shared" si="220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18"/>
        <v>-1.832607863365456E+16</v>
      </c>
      <c r="J6117" s="455">
        <f t="array" ref="J6117">IFERROR(INDEX('Retirement Calculator'!J:J,MATCH('Isaac 401k'!N6117,'Retirement Calculator'!A:A,0),0),0)</f>
        <v>0</v>
      </c>
      <c r="K6117" s="455">
        <f t="shared" ca="1" si="216"/>
        <v>-76358660973560.672</v>
      </c>
      <c r="L6117" s="455">
        <f t="shared" ca="1" si="217"/>
        <v>-1.840243729462812E+16</v>
      </c>
      <c r="M6117" s="471">
        <f t="shared" si="219"/>
        <v>0.05</v>
      </c>
      <c r="N6117" s="475">
        <f t="shared" si="220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18"/>
        <v>-1.840243729462812E+16</v>
      </c>
      <c r="J6118" s="455">
        <f t="array" ref="J6118">IFERROR(INDEX('Retirement Calculator'!J:J,MATCH('Isaac 401k'!N6118,'Retirement Calculator'!A:A,0),0),0)</f>
        <v>0</v>
      </c>
      <c r="K6118" s="455">
        <f t="shared" ca="1" si="216"/>
        <v>-76676822060950.5</v>
      </c>
      <c r="L6118" s="455">
        <f t="shared" ca="1" si="217"/>
        <v>-1.8479114116689072E+16</v>
      </c>
      <c r="M6118" s="471">
        <f t="shared" si="219"/>
        <v>0.05</v>
      </c>
      <c r="N6118" s="475">
        <f t="shared" si="220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18"/>
        <v>-1.8479114116689072E+16</v>
      </c>
      <c r="J6119" s="455">
        <f t="array" ref="J6119">IFERROR(INDEX('Retirement Calculator'!J:J,MATCH('Isaac 401k'!N6119,'Retirement Calculator'!A:A,0),0),0)</f>
        <v>0</v>
      </c>
      <c r="K6119" s="455">
        <f t="shared" ca="1" si="216"/>
        <v>-76996308819537.797</v>
      </c>
      <c r="L6119" s="455">
        <f t="shared" ca="1" si="217"/>
        <v>-1.8556110425508608E+16</v>
      </c>
      <c r="M6119" s="471">
        <f t="shared" si="219"/>
        <v>0.05</v>
      </c>
      <c r="N6119" s="475">
        <f t="shared" si="220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18"/>
        <v>-1.8556110425508608E+16</v>
      </c>
      <c r="J6120" s="455">
        <f t="array" ref="J6120">IFERROR(INDEX('Retirement Calculator'!J:J,MATCH('Isaac 401k'!N6120,'Retirement Calculator'!A:A,0),0),0)</f>
        <v>0</v>
      </c>
      <c r="K6120" s="455">
        <f t="shared" ca="1" si="216"/>
        <v>-77317126772952.531</v>
      </c>
      <c r="L6120" s="455">
        <f t="shared" ca="1" si="217"/>
        <v>-1.863342755228156E+16</v>
      </c>
      <c r="M6120" s="471">
        <f t="shared" si="219"/>
        <v>0.05</v>
      </c>
      <c r="N6120" s="475">
        <f t="shared" si="220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18"/>
        <v>-1.863342755228156E+16</v>
      </c>
      <c r="J6121" s="455">
        <f t="array" ref="J6121">IFERROR(INDEX('Retirement Calculator'!J:J,MATCH('Isaac 401k'!N6121,'Retirement Calculator'!A:A,0),0),0)</f>
        <v>0</v>
      </c>
      <c r="K6121" s="455">
        <f t="shared" ca="1" si="216"/>
        <v>-77639281467839.828</v>
      </c>
      <c r="L6121" s="455">
        <f t="shared" ca="1" si="217"/>
        <v>-1.87110668337494E+16</v>
      </c>
      <c r="M6121" s="471">
        <f t="shared" si="219"/>
        <v>0.05</v>
      </c>
      <c r="N6121" s="475">
        <f t="shared" si="220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18"/>
        <v>-1.87110668337494E+16</v>
      </c>
      <c r="J6122" s="455">
        <f t="array" ref="J6122">IFERROR(INDEX('Retirement Calculator'!J:J,MATCH('Isaac 401k'!N6122,'Retirement Calculator'!A:A,0),0),0)</f>
        <v>0</v>
      </c>
      <c r="K6122" s="455">
        <f t="shared" ca="1" si="216"/>
        <v>-77962778473955.828</v>
      </c>
      <c r="L6122" s="455">
        <f t="shared" ca="1" si="217"/>
        <v>-1.8789029612223356E+16</v>
      </c>
      <c r="M6122" s="471">
        <f t="shared" si="219"/>
        <v>0.05</v>
      </c>
      <c r="N6122" s="475">
        <f t="shared" si="220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18"/>
        <v>-1.8789029612223356E+16</v>
      </c>
      <c r="J6123" s="455">
        <f t="array" ref="J6123">IFERROR(INDEX('Retirement Calculator'!J:J,MATCH('Isaac 401k'!N6123,'Retirement Calculator'!A:A,0),0),0)</f>
        <v>0</v>
      </c>
      <c r="K6123" s="455">
        <f t="shared" ca="1" si="216"/>
        <v>-78287623384263.984</v>
      </c>
      <c r="L6123" s="455">
        <f t="shared" ca="1" si="217"/>
        <v>-1.886731723560762E+16</v>
      </c>
      <c r="M6123" s="471">
        <f t="shared" si="219"/>
        <v>0.05</v>
      </c>
      <c r="N6123" s="475">
        <f t="shared" si="220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18"/>
        <v>-1.886731723560762E+16</v>
      </c>
      <c r="J6124" s="455">
        <f t="array" ref="J6124">IFERROR(INDEX('Retirement Calculator'!J:J,MATCH('Isaac 401k'!N6124,'Retirement Calculator'!A:A,0),0),0)</f>
        <v>0</v>
      </c>
      <c r="K6124" s="455">
        <f t="shared" ca="1" si="216"/>
        <v>-78613821815031.75</v>
      </c>
      <c r="L6124" s="455">
        <f t="shared" ca="1" si="217"/>
        <v>-1.8945931057422652E+16</v>
      </c>
      <c r="M6124" s="471">
        <f t="shared" si="219"/>
        <v>0.05</v>
      </c>
      <c r="N6124" s="475">
        <f t="shared" si="220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18"/>
        <v>-1.8945931057422652E+16</v>
      </c>
      <c r="J6125" s="455">
        <f t="array" ref="J6125">IFERROR(INDEX('Retirement Calculator'!J:J,MATCH('Isaac 401k'!N6125,'Retirement Calculator'!A:A,0),0),0)</f>
        <v>0</v>
      </c>
      <c r="K6125" s="455">
        <f t="shared" ca="1" si="216"/>
        <v>-78941379405927.719</v>
      </c>
      <c r="L6125" s="455">
        <f t="shared" ca="1" si="217"/>
        <v>-1.902487243682858E+16</v>
      </c>
      <c r="M6125" s="471">
        <f t="shared" si="219"/>
        <v>0.05</v>
      </c>
      <c r="N6125" s="475">
        <f t="shared" si="220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18"/>
        <v>-1.902487243682858E+16</v>
      </c>
      <c r="J6126" s="455">
        <f t="array" ref="J6126">IFERROR(INDEX('Retirement Calculator'!J:J,MATCH('Isaac 401k'!N6126,'Retirement Calculator'!A:A,0),0),0)</f>
        <v>0</v>
      </c>
      <c r="K6126" s="455">
        <f t="shared" ca="1" si="216"/>
        <v>-79270301820119.078</v>
      </c>
      <c r="L6126" s="455">
        <f t="shared" ca="1" si="217"/>
        <v>-1.91041427386487E+16</v>
      </c>
      <c r="M6126" s="471">
        <f t="shared" si="219"/>
        <v>0.05</v>
      </c>
      <c r="N6126" s="475">
        <f t="shared" si="220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18"/>
        <v>-1.91041427386487E+16</v>
      </c>
      <c r="J6127" s="455">
        <f t="array" ref="J6127">IFERROR(INDEX('Retirement Calculator'!J:J,MATCH('Isaac 401k'!N6127,'Retirement Calculator'!A:A,0),0),0)</f>
        <v>0</v>
      </c>
      <c r="K6127" s="455">
        <f t="shared" ca="1" si="216"/>
        <v>-79600594744369.578</v>
      </c>
      <c r="L6127" s="455">
        <f t="shared" ca="1" si="217"/>
        <v>-1.9183743333393068E+16</v>
      </c>
      <c r="M6127" s="471">
        <f t="shared" si="219"/>
        <v>0.05</v>
      </c>
      <c r="N6127" s="475">
        <f t="shared" si="220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18"/>
        <v>-1.9183743333393068E+16</v>
      </c>
      <c r="J6128" s="455">
        <f t="array" ref="J6128">IFERROR(INDEX('Retirement Calculator'!J:J,MATCH('Isaac 401k'!N6128,'Retirement Calculator'!A:A,0),0),0)</f>
        <v>0</v>
      </c>
      <c r="K6128" s="455">
        <f t="shared" ref="K6128:K6250" ca="1" si="221">IPMT(M6128/12,1,12,-I6128+J6128,,0)</f>
        <v>-79932263889137.781</v>
      </c>
      <c r="L6128" s="455">
        <f t="shared" ref="L6128:L6250" ca="1" si="222">I6128-J6128+K6128</f>
        <v>-1.9263675597282204E+16</v>
      </c>
      <c r="M6128" s="471">
        <f t="shared" si="219"/>
        <v>0.05</v>
      </c>
      <c r="N6128" s="475">
        <f t="shared" si="220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23">L6128</f>
        <v>-1.9263675597282204E+16</v>
      </c>
      <c r="J6129" s="455">
        <f t="array" ref="J6129">IFERROR(INDEX('Retirement Calculator'!J:J,MATCH('Isaac 401k'!N6129,'Retirement Calculator'!A:A,0),0),0)</f>
        <v>0</v>
      </c>
      <c r="K6129" s="455">
        <f t="shared" ca="1" si="221"/>
        <v>-80265314988675.844</v>
      </c>
      <c r="L6129" s="455">
        <f t="shared" ca="1" si="222"/>
        <v>-1.934394091227088E+16</v>
      </c>
      <c r="M6129" s="471">
        <f t="shared" ref="M6129:M6250" si="224">M6128</f>
        <v>0.05</v>
      </c>
      <c r="N6129" s="475">
        <f t="shared" ref="N6129:N6250" si="225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23"/>
        <v>-1.934394091227088E+16</v>
      </c>
      <c r="J6130" s="455">
        <f t="array" ref="J6130">IFERROR(INDEX('Retirement Calculator'!J:J,MATCH('Isaac 401k'!N6130,'Retirement Calculator'!A:A,0),0),0)</f>
        <v>0</v>
      </c>
      <c r="K6130" s="455">
        <f t="shared" ca="1" si="221"/>
        <v>-80599753801128.672</v>
      </c>
      <c r="L6130" s="455">
        <f t="shared" ca="1" si="222"/>
        <v>-1.9424540666072008E+16</v>
      </c>
      <c r="M6130" s="471">
        <f t="shared" si="224"/>
        <v>0.05</v>
      </c>
      <c r="N6130" s="475">
        <f t="shared" si="225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23"/>
        <v>-1.9424540666072008E+16</v>
      </c>
      <c r="J6131" s="455">
        <f t="array" ref="J6131">IFERROR(INDEX('Retirement Calculator'!J:J,MATCH('Isaac 401k'!N6131,'Retirement Calculator'!A:A,0),0),0)</f>
        <v>0</v>
      </c>
      <c r="K6131" s="455">
        <f t="shared" ca="1" si="221"/>
        <v>-80935586108633.359</v>
      </c>
      <c r="L6131" s="455">
        <f t="shared" ca="1" si="222"/>
        <v>-1.950547625218064E+16</v>
      </c>
      <c r="M6131" s="471">
        <f t="shared" si="224"/>
        <v>0.05</v>
      </c>
      <c r="N6131" s="475">
        <f t="shared" si="225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23"/>
        <v>-1.950547625218064E+16</v>
      </c>
      <c r="J6132" s="455">
        <f t="array" ref="J6132">IFERROR(INDEX('Retirement Calculator'!J:J,MATCH('Isaac 401k'!N6132,'Retirement Calculator'!A:A,0),0),0)</f>
        <v>0</v>
      </c>
      <c r="K6132" s="455">
        <f t="shared" ca="1" si="221"/>
        <v>-81272817717419.328</v>
      </c>
      <c r="L6132" s="455">
        <f t="shared" ca="1" si="222"/>
        <v>-1.958674906989806E+16</v>
      </c>
      <c r="M6132" s="471">
        <f t="shared" si="224"/>
        <v>0.05</v>
      </c>
      <c r="N6132" s="475">
        <f t="shared" si="225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23"/>
        <v>-1.958674906989806E+16</v>
      </c>
      <c r="J6133" s="455">
        <f t="array" ref="J6133">IFERROR(INDEX('Retirement Calculator'!J:J,MATCH('Isaac 401k'!N6133,'Retirement Calculator'!A:A,0),0),0)</f>
        <v>0</v>
      </c>
      <c r="K6133" s="455">
        <f t="shared" ca="1" si="221"/>
        <v>-81611454457908.578</v>
      </c>
      <c r="L6133" s="455">
        <f t="shared" ca="1" si="222"/>
        <v>-1.9668360524355968E+16</v>
      </c>
      <c r="M6133" s="471">
        <f t="shared" si="224"/>
        <v>0.05</v>
      </c>
      <c r="N6133" s="475">
        <f t="shared" si="225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23"/>
        <v>-1.9668360524355968E+16</v>
      </c>
      <c r="J6134" s="455">
        <f t="array" ref="J6134">IFERROR(INDEX('Retirement Calculator'!J:J,MATCH('Isaac 401k'!N6134,'Retirement Calculator'!A:A,0),0),0)</f>
        <v>0</v>
      </c>
      <c r="K6134" s="455">
        <f t="shared" ca="1" si="221"/>
        <v>-81951502184816.531</v>
      </c>
      <c r="L6134" s="455">
        <f t="shared" ca="1" si="222"/>
        <v>-1.9750312026540784E+16</v>
      </c>
      <c r="M6134" s="471">
        <f t="shared" si="224"/>
        <v>0.05</v>
      </c>
      <c r="N6134" s="475">
        <f t="shared" si="225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23"/>
        <v>-1.9750312026540784E+16</v>
      </c>
      <c r="J6135" s="455">
        <f t="array" ref="J6135">IFERROR(INDEX('Retirement Calculator'!J:J,MATCH('Isaac 401k'!N6135,'Retirement Calculator'!A:A,0),0),0)</f>
        <v>0</v>
      </c>
      <c r="K6135" s="455">
        <f t="shared" ca="1" si="221"/>
        <v>-82292966777253.266</v>
      </c>
      <c r="L6135" s="455">
        <f t="shared" ca="1" si="222"/>
        <v>-1.9832604993318036E+16</v>
      </c>
      <c r="M6135" s="471">
        <f t="shared" si="224"/>
        <v>0.05</v>
      </c>
      <c r="N6135" s="475">
        <f t="shared" si="225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23"/>
        <v>-1.9832604993318036E+16</v>
      </c>
      <c r="J6136" s="455">
        <f t="array" ref="J6136">IFERROR(INDEX('Retirement Calculator'!J:J,MATCH('Isaac 401k'!N6136,'Retirement Calculator'!A:A,0),0),0)</f>
        <v>0</v>
      </c>
      <c r="K6136" s="455">
        <f t="shared" ca="1" si="221"/>
        <v>-82635854138825.156</v>
      </c>
      <c r="L6136" s="455">
        <f t="shared" ca="1" si="222"/>
        <v>-1.991524084745686E+16</v>
      </c>
      <c r="M6136" s="471">
        <f t="shared" si="224"/>
        <v>0.05</v>
      </c>
      <c r="N6136" s="475">
        <f t="shared" si="225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23"/>
        <v>-1.991524084745686E+16</v>
      </c>
      <c r="J6137" s="455">
        <f t="array" ref="J6137">IFERROR(INDEX('Retirement Calculator'!J:J,MATCH('Isaac 401k'!N6137,'Retirement Calculator'!A:A,0),0),0)</f>
        <v>0</v>
      </c>
      <c r="K6137" s="455">
        <f t="shared" ca="1" si="221"/>
        <v>-82980170197736.922</v>
      </c>
      <c r="L6137" s="455">
        <f t="shared" ca="1" si="222"/>
        <v>-1.9998221017654596E+16</v>
      </c>
      <c r="M6137" s="471">
        <f t="shared" si="224"/>
        <v>0.05</v>
      </c>
      <c r="N6137" s="475">
        <f t="shared" si="225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23"/>
        <v>-1.9998221017654596E+16</v>
      </c>
      <c r="J6138" s="455">
        <f t="array" ref="J6138">IFERROR(INDEX('Retirement Calculator'!J:J,MATCH('Isaac 401k'!N6138,'Retirement Calculator'!A:A,0),0),0)</f>
        <v>0</v>
      </c>
      <c r="K6138" s="455">
        <f t="shared" ca="1" si="221"/>
        <v>-83325920906894.156</v>
      </c>
      <c r="L6138" s="455">
        <f t="shared" ca="1" si="222"/>
        <v>-2.0081546938561492E+16</v>
      </c>
      <c r="M6138" s="471">
        <f t="shared" si="224"/>
        <v>0.05</v>
      </c>
      <c r="N6138" s="475">
        <f t="shared" si="225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23"/>
        <v>-2.0081546938561492E+16</v>
      </c>
      <c r="J6139" s="455">
        <f t="array" ref="J6139">IFERROR(INDEX('Retirement Calculator'!J:J,MATCH('Isaac 401k'!N6139,'Retirement Calculator'!A:A,0),0),0)</f>
        <v>0</v>
      </c>
      <c r="K6139" s="455">
        <f t="shared" ca="1" si="221"/>
        <v>-83673112244006.219</v>
      </c>
      <c r="L6139" s="455">
        <f t="shared" ca="1" si="222"/>
        <v>-2.01652200508055E+16</v>
      </c>
      <c r="M6139" s="471">
        <f t="shared" si="224"/>
        <v>0.05</v>
      </c>
      <c r="N6139" s="475">
        <f t="shared" si="225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23"/>
        <v>-2.01652200508055E+16</v>
      </c>
      <c r="J6140" s="455">
        <f t="array" ref="J6140">IFERROR(INDEX('Retirement Calculator'!J:J,MATCH('Isaac 401k'!N6140,'Retirement Calculator'!A:A,0),0),0)</f>
        <v>0</v>
      </c>
      <c r="K6140" s="455">
        <f t="shared" ca="1" si="221"/>
        <v>-84021750211689.578</v>
      </c>
      <c r="L6140" s="455">
        <f t="shared" ca="1" si="222"/>
        <v>-2.0249241801017188E+16</v>
      </c>
      <c r="M6140" s="471">
        <f t="shared" si="224"/>
        <v>0.05</v>
      </c>
      <c r="N6140" s="475">
        <f t="shared" si="225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23"/>
        <v>-2.0249241801017188E+16</v>
      </c>
      <c r="J6141" s="455">
        <f t="array" ref="J6141">IFERROR(INDEX('Retirement Calculator'!J:J,MATCH('Isaac 401k'!N6141,'Retirement Calculator'!A:A,0),0),0)</f>
        <v>0</v>
      </c>
      <c r="K6141" s="455">
        <f t="shared" ca="1" si="221"/>
        <v>-84371840837571.609</v>
      </c>
      <c r="L6141" s="455">
        <f t="shared" ca="1" si="222"/>
        <v>-2.033361364185476E+16</v>
      </c>
      <c r="M6141" s="471">
        <f t="shared" si="224"/>
        <v>0.05</v>
      </c>
      <c r="N6141" s="475">
        <f t="shared" si="225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23"/>
        <v>-2.033361364185476E+16</v>
      </c>
      <c r="J6142" s="455">
        <f t="array" ref="J6142">IFERROR(INDEX('Retirement Calculator'!J:J,MATCH('Isaac 401k'!N6142,'Retirement Calculator'!A:A,0),0),0)</f>
        <v>0</v>
      </c>
      <c r="K6142" s="455">
        <f t="shared" ca="1" si="221"/>
        <v>-84723390174394.828</v>
      </c>
      <c r="L6142" s="455">
        <f t="shared" ca="1" si="222"/>
        <v>-2.0418337032029156E+16</v>
      </c>
      <c r="M6142" s="471">
        <f t="shared" si="224"/>
        <v>0.05</v>
      </c>
      <c r="N6142" s="475">
        <f t="shared" si="225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23"/>
        <v>-2.0418337032029156E+16</v>
      </c>
      <c r="J6143" s="455">
        <f t="array" ref="J6143">IFERROR(INDEX('Retirement Calculator'!J:J,MATCH('Isaac 401k'!N6143,'Retirement Calculator'!A:A,0),0),0)</f>
        <v>0</v>
      </c>
      <c r="K6143" s="455">
        <f t="shared" ca="1" si="221"/>
        <v>-85076404300121.484</v>
      </c>
      <c r="L6143" s="455">
        <f t="shared" ca="1" si="222"/>
        <v>-2.0503413436329276E+16</v>
      </c>
      <c r="M6143" s="471">
        <f t="shared" si="224"/>
        <v>0.05</v>
      </c>
      <c r="N6143" s="475">
        <f t="shared" si="225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23"/>
        <v>-2.0503413436329276E+16</v>
      </c>
      <c r="J6144" s="455">
        <f t="array" ref="J6144">IFERROR(INDEX('Retirement Calculator'!J:J,MATCH('Isaac 401k'!N6144,'Retirement Calculator'!A:A,0),0),0)</f>
        <v>0</v>
      </c>
      <c r="K6144" s="455">
        <f t="shared" ca="1" si="221"/>
        <v>-85430889318038.656</v>
      </c>
      <c r="L6144" s="455">
        <f t="shared" ca="1" si="222"/>
        <v>-2.0588844325647316E+16</v>
      </c>
      <c r="M6144" s="471">
        <f t="shared" si="224"/>
        <v>0.05</v>
      </c>
      <c r="N6144" s="475">
        <f t="shared" si="225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23"/>
        <v>-2.0588844325647316E+16</v>
      </c>
      <c r="J6145" s="455">
        <f t="array" ref="J6145">IFERROR(INDEX('Retirement Calculator'!J:J,MATCH('Isaac 401k'!N6145,'Retirement Calculator'!A:A,0),0),0)</f>
        <v>0</v>
      </c>
      <c r="K6145" s="455">
        <f t="shared" ca="1" si="221"/>
        <v>-85786851356863.813</v>
      </c>
      <c r="L6145" s="455">
        <f t="shared" ca="1" si="222"/>
        <v>-2.067463117700418E+16</v>
      </c>
      <c r="M6145" s="471">
        <f t="shared" si="224"/>
        <v>0.05</v>
      </c>
      <c r="N6145" s="475">
        <f t="shared" si="225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23"/>
        <v>-2.067463117700418E+16</v>
      </c>
      <c r="J6146" s="455">
        <f t="array" ref="J6146">IFERROR(INDEX('Retirement Calculator'!J:J,MATCH('Isaac 401k'!N6146,'Retirement Calculator'!A:A,0),0),0)</f>
        <v>0</v>
      </c>
      <c r="K6146" s="455">
        <f t="shared" ca="1" si="221"/>
        <v>-86144296570850.75</v>
      </c>
      <c r="L6146" s="455">
        <f t="shared" ca="1" si="222"/>
        <v>-2.0760775473575032E+16</v>
      </c>
      <c r="M6146" s="471">
        <f t="shared" si="224"/>
        <v>0.05</v>
      </c>
      <c r="N6146" s="475">
        <f t="shared" si="225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23"/>
        <v>-2.0760775473575032E+16</v>
      </c>
      <c r="J6147" s="455">
        <f t="array" ref="J6147">IFERROR(INDEX('Retirement Calculator'!J:J,MATCH('Isaac 401k'!N6147,'Retirement Calculator'!A:A,0),0),0)</f>
        <v>0</v>
      </c>
      <c r="K6147" s="455">
        <f t="shared" ca="1" si="221"/>
        <v>-86503231139895.969</v>
      </c>
      <c r="L6147" s="455">
        <f t="shared" ca="1" si="222"/>
        <v>-2.0847278704714928E+16</v>
      </c>
      <c r="M6147" s="471">
        <f t="shared" si="224"/>
        <v>0.05</v>
      </c>
      <c r="N6147" s="475">
        <f t="shared" si="225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23"/>
        <v>-2.0847278704714928E+16</v>
      </c>
      <c r="J6148" s="455">
        <f t="array" ref="J6148">IFERROR(INDEX('Retirement Calculator'!J:J,MATCH('Isaac 401k'!N6148,'Retirement Calculator'!A:A,0),0),0)</f>
        <v>0</v>
      </c>
      <c r="K6148" s="455">
        <f t="shared" ca="1" si="221"/>
        <v>-86863661269645.531</v>
      </c>
      <c r="L6148" s="455">
        <f t="shared" ca="1" si="222"/>
        <v>-2.0934142365984572E+16</v>
      </c>
      <c r="M6148" s="471">
        <f t="shared" si="224"/>
        <v>0.05</v>
      </c>
      <c r="N6148" s="475">
        <f t="shared" si="225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23"/>
        <v>-2.0934142365984572E+16</v>
      </c>
      <c r="J6149" s="455">
        <f t="array" ref="J6149">IFERROR(INDEX('Retirement Calculator'!J:J,MATCH('Isaac 401k'!N6149,'Retirement Calculator'!A:A,0),0),0)</f>
        <v>0</v>
      </c>
      <c r="K6149" s="455">
        <f t="shared" ca="1" si="221"/>
        <v>-87225593191602.375</v>
      </c>
      <c r="L6149" s="455">
        <f t="shared" ca="1" si="222"/>
        <v>-2.1021367959176176E+16</v>
      </c>
      <c r="M6149" s="471">
        <f t="shared" si="224"/>
        <v>0.05</v>
      </c>
      <c r="N6149" s="475">
        <f t="shared" si="225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23"/>
        <v>-2.1021367959176176E+16</v>
      </c>
      <c r="J6150" s="455">
        <f t="array" ref="J6150">IFERROR(INDEX('Retirement Calculator'!J:J,MATCH('Isaac 401k'!N6150,'Retirement Calculator'!A:A,0),0),0)</f>
        <v>0</v>
      </c>
      <c r="K6150" s="455">
        <f t="shared" ca="1" si="221"/>
        <v>-87589033163234.063</v>
      </c>
      <c r="L6150" s="455">
        <f t="shared" ca="1" si="222"/>
        <v>-2.1108956992339412E+16</v>
      </c>
      <c r="M6150" s="471">
        <f t="shared" si="224"/>
        <v>0.05</v>
      </c>
      <c r="N6150" s="475">
        <f t="shared" si="225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23"/>
        <v>-2.1108956992339412E+16</v>
      </c>
      <c r="J6151" s="455">
        <f t="array" ref="J6151">IFERROR(INDEX('Retirement Calculator'!J:J,MATCH('Isaac 401k'!N6151,'Retirement Calculator'!A:A,0),0),0)</f>
        <v>0</v>
      </c>
      <c r="K6151" s="455">
        <f t="shared" ca="1" si="221"/>
        <v>-87953987468080.875</v>
      </c>
      <c r="L6151" s="455">
        <f t="shared" ca="1" si="222"/>
        <v>-2.1196910979807492E+16</v>
      </c>
      <c r="M6151" s="471">
        <f t="shared" si="224"/>
        <v>0.05</v>
      </c>
      <c r="N6151" s="475">
        <f t="shared" si="225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23"/>
        <v>-2.1196910979807492E+16</v>
      </c>
      <c r="J6152" s="455">
        <f t="array" ref="J6152">IFERROR(INDEX('Retirement Calculator'!J:J,MATCH('Isaac 401k'!N6152,'Retirement Calculator'!A:A,0),0),0)</f>
        <v>0</v>
      </c>
      <c r="K6152" s="455">
        <f t="shared" ca="1" si="221"/>
        <v>-88320462415864.547</v>
      </c>
      <c r="L6152" s="455">
        <f t="shared" ca="1" si="222"/>
        <v>-2.1285231442223356E+16</v>
      </c>
      <c r="M6152" s="471">
        <f t="shared" si="224"/>
        <v>0.05</v>
      </c>
      <c r="N6152" s="475">
        <f t="shared" si="225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23"/>
        <v>-2.1285231442223356E+16</v>
      </c>
      <c r="J6153" s="455">
        <f t="array" ref="J6153">IFERROR(INDEX('Retirement Calculator'!J:J,MATCH('Isaac 401k'!N6153,'Retirement Calculator'!A:A,0),0),0)</f>
        <v>0</v>
      </c>
      <c r="K6153" s="455">
        <f t="shared" ca="1" si="221"/>
        <v>-88688464342597.313</v>
      </c>
      <c r="L6153" s="455">
        <f t="shared" ca="1" si="222"/>
        <v>-2.1373919906565952E+16</v>
      </c>
      <c r="M6153" s="471">
        <f t="shared" si="224"/>
        <v>0.05</v>
      </c>
      <c r="N6153" s="475">
        <f t="shared" si="225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23"/>
        <v>-2.1373919906565952E+16</v>
      </c>
      <c r="J6154" s="455">
        <f t="array" ref="J6154">IFERROR(INDEX('Retirement Calculator'!J:J,MATCH('Isaac 401k'!N6154,'Retirement Calculator'!A:A,0),0),0)</f>
        <v>0</v>
      </c>
      <c r="K6154" s="455">
        <f t="shared" ca="1" si="221"/>
        <v>-89057999610691.469</v>
      </c>
      <c r="L6154" s="455">
        <f t="shared" ca="1" si="222"/>
        <v>-2.1462977906176644E+16</v>
      </c>
      <c r="M6154" s="471">
        <f t="shared" si="224"/>
        <v>0.05</v>
      </c>
      <c r="N6154" s="475">
        <f t="shared" si="225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23"/>
        <v>-2.1462977906176644E+16</v>
      </c>
      <c r="J6155" s="455">
        <f t="array" ref="J6155">IFERROR(INDEX('Retirement Calculator'!J:J,MATCH('Isaac 401k'!N6155,'Retirement Calculator'!A:A,0),0),0)</f>
        <v>0</v>
      </c>
      <c r="K6155" s="455">
        <f t="shared" ca="1" si="221"/>
        <v>-89429074609069.344</v>
      </c>
      <c r="L6155" s="455">
        <f t="shared" ca="1" si="222"/>
        <v>-2.1552406980785712E+16</v>
      </c>
      <c r="M6155" s="471">
        <f t="shared" si="224"/>
        <v>0.05</v>
      </c>
      <c r="N6155" s="475">
        <f t="shared" si="225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23"/>
        <v>-2.1552406980785712E+16</v>
      </c>
      <c r="J6156" s="455">
        <f t="array" ref="J6156">IFERROR(INDEX('Retirement Calculator'!J:J,MATCH('Isaac 401k'!N6156,'Retirement Calculator'!A:A,0),0),0)</f>
        <v>0</v>
      </c>
      <c r="K6156" s="455">
        <f t="shared" ca="1" si="221"/>
        <v>-89801695753273.797</v>
      </c>
      <c r="L6156" s="455">
        <f t="shared" ca="1" si="222"/>
        <v>-2.1642208676538984E+16</v>
      </c>
      <c r="M6156" s="471">
        <f t="shared" si="224"/>
        <v>0.05</v>
      </c>
      <c r="N6156" s="475">
        <f t="shared" si="225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23"/>
        <v>-2.1642208676538984E+16</v>
      </c>
      <c r="J6157" s="455">
        <f t="array" ref="J6157">IFERROR(INDEX('Retirement Calculator'!J:J,MATCH('Isaac 401k'!N6157,'Retirement Calculator'!A:A,0),0),0)</f>
        <v>0</v>
      </c>
      <c r="K6157" s="455">
        <f t="shared" ca="1" si="221"/>
        <v>-90175869485579.094</v>
      </c>
      <c r="L6157" s="455">
        <f t="shared" ca="1" si="222"/>
        <v>-2.1732384546024564E+16</v>
      </c>
      <c r="M6157" s="471">
        <f t="shared" si="224"/>
        <v>0.05</v>
      </c>
      <c r="N6157" s="475">
        <f t="shared" si="225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23"/>
        <v>-2.1732384546024564E+16</v>
      </c>
      <c r="J6158" s="455">
        <f t="array" ref="J6158">IFERROR(INDEX('Retirement Calculator'!J:J,MATCH('Isaac 401k'!N6158,'Retirement Calculator'!A:A,0),0),0)</f>
        <v>0</v>
      </c>
      <c r="K6158" s="455">
        <f t="shared" ca="1" si="221"/>
        <v>-90551602275102.344</v>
      </c>
      <c r="L6158" s="455">
        <f t="shared" ca="1" si="222"/>
        <v>-2.1822936148299668E+16</v>
      </c>
      <c r="M6158" s="471">
        <f t="shared" si="224"/>
        <v>0.05</v>
      </c>
      <c r="N6158" s="475">
        <f t="shared" si="225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23"/>
        <v>-2.1822936148299668E+16</v>
      </c>
      <c r="J6159" s="455">
        <f t="array" ref="J6159">IFERROR(INDEX('Retirement Calculator'!J:J,MATCH('Isaac 401k'!N6159,'Retirement Calculator'!A:A,0),0),0)</f>
        <v>0</v>
      </c>
      <c r="K6159" s="455">
        <f t="shared" ca="1" si="221"/>
        <v>-90928900617915.281</v>
      </c>
      <c r="L6159" s="455">
        <f t="shared" ca="1" si="222"/>
        <v>-2.1913865048917584E+16</v>
      </c>
      <c r="M6159" s="471">
        <f t="shared" si="224"/>
        <v>0.05</v>
      </c>
      <c r="N6159" s="475">
        <f t="shared" si="225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23"/>
        <v>-2.1913865048917584E+16</v>
      </c>
      <c r="J6160" s="455">
        <f t="array" ref="J6160">IFERROR(INDEX('Retirement Calculator'!J:J,MATCH('Isaac 401k'!N6160,'Retirement Calculator'!A:A,0),0),0)</f>
        <v>0</v>
      </c>
      <c r="K6160" s="455">
        <f t="shared" ca="1" si="221"/>
        <v>-91307771037156.594</v>
      </c>
      <c r="L6160" s="455">
        <f t="shared" ca="1" si="222"/>
        <v>-2.200517281995474E+16</v>
      </c>
      <c r="M6160" s="471">
        <f t="shared" si="224"/>
        <v>0.05</v>
      </c>
      <c r="N6160" s="475">
        <f t="shared" si="225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23"/>
        <v>-2.200517281995474E+16</v>
      </c>
      <c r="J6161" s="455">
        <f t="array" ref="J6161">IFERROR(INDEX('Retirement Calculator'!J:J,MATCH('Isaac 401k'!N6161,'Retirement Calculator'!A:A,0),0),0)</f>
        <v>0</v>
      </c>
      <c r="K6161" s="455">
        <f t="shared" ca="1" si="221"/>
        <v>-91688220083144.75</v>
      </c>
      <c r="L6161" s="455">
        <f t="shared" ca="1" si="222"/>
        <v>-2.2096861040037884E+16</v>
      </c>
      <c r="M6161" s="471">
        <f t="shared" si="224"/>
        <v>0.05</v>
      </c>
      <c r="N6161" s="475">
        <f t="shared" si="225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23"/>
        <v>-2.2096861040037884E+16</v>
      </c>
      <c r="J6162" s="455">
        <f t="array" ref="J6162">IFERROR(INDEX('Retirement Calculator'!J:J,MATCH('Isaac 401k'!N6162,'Retirement Calculator'!A:A,0),0),0)</f>
        <v>0</v>
      </c>
      <c r="K6162" s="455">
        <f t="shared" ca="1" si="221"/>
        <v>-92070254333491.188</v>
      </c>
      <c r="L6162" s="455">
        <f t="shared" ca="1" si="222"/>
        <v>-2.2188931294371376E+16</v>
      </c>
      <c r="M6162" s="471">
        <f t="shared" si="224"/>
        <v>0.05</v>
      </c>
      <c r="N6162" s="475">
        <f t="shared" si="225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23"/>
        <v>-2.2188931294371376E+16</v>
      </c>
      <c r="J6163" s="455">
        <f t="array" ref="J6163">IFERROR(INDEX('Retirement Calculator'!J:J,MATCH('Isaac 401k'!N6163,'Retirement Calculator'!A:A,0),0),0)</f>
        <v>0</v>
      </c>
      <c r="K6163" s="455">
        <f t="shared" ca="1" si="221"/>
        <v>-92453880393214.063</v>
      </c>
      <c r="L6163" s="455">
        <f t="shared" ca="1" si="222"/>
        <v>-2.2281385174764592E+16</v>
      </c>
      <c r="M6163" s="471">
        <f t="shared" si="224"/>
        <v>0.05</v>
      </c>
      <c r="N6163" s="475">
        <f t="shared" si="225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23"/>
        <v>-2.2281385174764592E+16</v>
      </c>
      <c r="J6164" s="455">
        <f t="array" ref="J6164">IFERROR(INDEX('Retirement Calculator'!J:J,MATCH('Isaac 401k'!N6164,'Retirement Calculator'!A:A,0),0),0)</f>
        <v>0</v>
      </c>
      <c r="K6164" s="455">
        <f t="shared" ca="1" si="221"/>
        <v>-92839104894852.469</v>
      </c>
      <c r="L6164" s="455">
        <f t="shared" ca="1" si="222"/>
        <v>-2.2374224279659444E+16</v>
      </c>
      <c r="M6164" s="471">
        <f t="shared" si="224"/>
        <v>0.05</v>
      </c>
      <c r="N6164" s="475">
        <f t="shared" si="225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23"/>
        <v>-2.2374224279659444E+16</v>
      </c>
      <c r="J6165" s="455">
        <f t="array" ref="J6165">IFERROR(INDEX('Retirement Calculator'!J:J,MATCH('Isaac 401k'!N6165,'Retirement Calculator'!A:A,0),0),0)</f>
        <v>0</v>
      </c>
      <c r="K6165" s="455">
        <f t="shared" ca="1" si="221"/>
        <v>-93225934498581.016</v>
      </c>
      <c r="L6165" s="455">
        <f t="shared" ca="1" si="222"/>
        <v>-2.2467450214158024E+16</v>
      </c>
      <c r="M6165" s="471">
        <f t="shared" si="224"/>
        <v>0.05</v>
      </c>
      <c r="N6165" s="475">
        <f t="shared" si="225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23"/>
        <v>-2.2467450214158024E+16</v>
      </c>
      <c r="J6166" s="455">
        <f t="array" ref="J6166">IFERROR(INDEX('Retirement Calculator'!J:J,MATCH('Isaac 401k'!N6166,'Retirement Calculator'!A:A,0),0),0)</f>
        <v>0</v>
      </c>
      <c r="K6166" s="455">
        <f t="shared" ca="1" si="221"/>
        <v>-93614375892325.094</v>
      </c>
      <c r="L6166" s="455">
        <f t="shared" ca="1" si="222"/>
        <v>-2.2561064590050348E+16</v>
      </c>
      <c r="M6166" s="471">
        <f t="shared" si="224"/>
        <v>0.05</v>
      </c>
      <c r="N6166" s="475">
        <f t="shared" si="225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23"/>
        <v>-2.2561064590050348E+16</v>
      </c>
      <c r="J6167" s="455">
        <f t="array" ref="J6167">IFERROR(INDEX('Retirement Calculator'!J:J,MATCH('Isaac 401k'!N6167,'Retirement Calculator'!A:A,0),0),0)</f>
        <v>0</v>
      </c>
      <c r="K6167" s="455">
        <f t="shared" ca="1" si="221"/>
        <v>-94004435791876.453</v>
      </c>
      <c r="L6167" s="455">
        <f t="shared" ca="1" si="222"/>
        <v>-2.2655069025842224E+16</v>
      </c>
      <c r="M6167" s="471">
        <f t="shared" si="224"/>
        <v>0.05</v>
      </c>
      <c r="N6167" s="475">
        <f t="shared" si="225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23"/>
        <v>-2.2655069025842224E+16</v>
      </c>
      <c r="J6168" s="455">
        <f t="array" ref="J6168">IFERROR(INDEX('Retirement Calculator'!J:J,MATCH('Isaac 401k'!N6168,'Retirement Calculator'!A:A,0),0),0)</f>
        <v>0</v>
      </c>
      <c r="K6168" s="455">
        <f t="shared" ca="1" si="221"/>
        <v>-94396120941009.266</v>
      </c>
      <c r="L6168" s="455">
        <f t="shared" ca="1" si="222"/>
        <v>-2.2749465146783232E+16</v>
      </c>
      <c r="M6168" s="471">
        <f t="shared" si="224"/>
        <v>0.05</v>
      </c>
      <c r="N6168" s="475">
        <f t="shared" si="225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23"/>
        <v>-2.2749465146783232E+16</v>
      </c>
      <c r="J6169" s="455">
        <f t="array" ref="J6169">IFERROR(INDEX('Retirement Calculator'!J:J,MATCH('Isaac 401k'!N6169,'Retirement Calculator'!A:A,0),0),0)</f>
        <v>0</v>
      </c>
      <c r="K6169" s="455">
        <f t="shared" ca="1" si="221"/>
        <v>-94789438111596.797</v>
      </c>
      <c r="L6169" s="455">
        <f t="shared" ca="1" si="222"/>
        <v>-2.2844254584894828E+16</v>
      </c>
      <c r="M6169" s="471">
        <f t="shared" si="224"/>
        <v>0.05</v>
      </c>
      <c r="N6169" s="475">
        <f t="shared" si="225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23"/>
        <v>-2.2844254584894828E+16</v>
      </c>
      <c r="J6170" s="455">
        <f t="array" ref="J6170">IFERROR(INDEX('Retirement Calculator'!J:J,MATCH('Isaac 401k'!N6170,'Retirement Calculator'!A:A,0),0),0)</f>
        <v>0</v>
      </c>
      <c r="K6170" s="455">
        <f t="shared" ca="1" si="221"/>
        <v>-95184394103728.453</v>
      </c>
      <c r="L6170" s="455">
        <f t="shared" ca="1" si="222"/>
        <v>-2.2939438978998556E+16</v>
      </c>
      <c r="M6170" s="471">
        <f t="shared" si="224"/>
        <v>0.05</v>
      </c>
      <c r="N6170" s="475">
        <f t="shared" si="225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23"/>
        <v>-2.2939438978998556E+16</v>
      </c>
      <c r="J6171" s="455">
        <f t="array" ref="J6171">IFERROR(INDEX('Retirement Calculator'!J:J,MATCH('Isaac 401k'!N6171,'Retirement Calculator'!A:A,0),0),0)</f>
        <v>0</v>
      </c>
      <c r="K6171" s="455">
        <f t="shared" ca="1" si="221"/>
        <v>-95580995745827.313</v>
      </c>
      <c r="L6171" s="455">
        <f t="shared" ca="1" si="222"/>
        <v>-2.3035019974744384E+16</v>
      </c>
      <c r="M6171" s="471">
        <f t="shared" si="224"/>
        <v>0.05</v>
      </c>
      <c r="N6171" s="475">
        <f t="shared" si="225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23"/>
        <v>-2.3035019974744384E+16</v>
      </c>
      <c r="J6172" s="455">
        <f t="array" ref="J6172">IFERROR(INDEX('Retirement Calculator'!J:J,MATCH('Isaac 401k'!N6172,'Retirement Calculator'!A:A,0),0),0)</f>
        <v>0</v>
      </c>
      <c r="K6172" s="455">
        <f t="shared" ca="1" si="221"/>
        <v>-95979249894768.266</v>
      </c>
      <c r="L6172" s="455">
        <f t="shared" ca="1" si="222"/>
        <v>-2.3130999224639152E+16</v>
      </c>
      <c r="M6172" s="471">
        <f t="shared" si="224"/>
        <v>0.05</v>
      </c>
      <c r="N6172" s="475">
        <f t="shared" si="225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23"/>
        <v>-2.3130999224639152E+16</v>
      </c>
      <c r="J6173" s="455">
        <f t="array" ref="J6173">IFERROR(INDEX('Retirement Calculator'!J:J,MATCH('Isaac 401k'!N6173,'Retirement Calculator'!A:A,0),0),0)</f>
        <v>0</v>
      </c>
      <c r="K6173" s="455">
        <f t="shared" ca="1" si="221"/>
        <v>-96379163435996.469</v>
      </c>
      <c r="L6173" s="455">
        <f t="shared" ca="1" si="222"/>
        <v>-2.3227378388075148E+16</v>
      </c>
      <c r="M6173" s="471">
        <f t="shared" si="224"/>
        <v>0.05</v>
      </c>
      <c r="N6173" s="475">
        <f t="shared" si="225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23"/>
        <v>-2.3227378388075148E+16</v>
      </c>
      <c r="J6174" s="455">
        <f t="array" ref="J6174">IFERROR(INDEX('Retirement Calculator'!J:J,MATCH('Isaac 401k'!N6174,'Retirement Calculator'!A:A,0),0),0)</f>
        <v>0</v>
      </c>
      <c r="K6174" s="455">
        <f t="shared" ca="1" si="221"/>
        <v>-96780743283646.453</v>
      </c>
      <c r="L6174" s="455">
        <f t="shared" ca="1" si="222"/>
        <v>-2.3324159131358796E+16</v>
      </c>
      <c r="M6174" s="471">
        <f t="shared" si="224"/>
        <v>0.05</v>
      </c>
      <c r="N6174" s="475">
        <f t="shared" si="225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23"/>
        <v>-2.3324159131358796E+16</v>
      </c>
      <c r="J6175" s="455">
        <f t="array" ref="J6175">IFERROR(INDEX('Retirement Calculator'!J:J,MATCH('Isaac 401k'!N6175,'Retirement Calculator'!A:A,0),0),0)</f>
        <v>0</v>
      </c>
      <c r="K6175" s="455">
        <f t="shared" ca="1" si="221"/>
        <v>-97183996380661.656</v>
      </c>
      <c r="L6175" s="455">
        <f t="shared" ca="1" si="222"/>
        <v>-2.3421343127739456E+16</v>
      </c>
      <c r="M6175" s="471">
        <f t="shared" si="224"/>
        <v>0.05</v>
      </c>
      <c r="N6175" s="475">
        <f t="shared" si="225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23"/>
        <v>-2.3421343127739456E+16</v>
      </c>
      <c r="J6176" s="455">
        <f t="array" ref="J6176">IFERROR(INDEX('Retirement Calculator'!J:J,MATCH('Isaac 401k'!N6176,'Retirement Calculator'!A:A,0),0),0)</f>
        <v>0</v>
      </c>
      <c r="K6176" s="455">
        <f t="shared" ca="1" si="221"/>
        <v>-97588929698914.406</v>
      </c>
      <c r="L6176" s="455">
        <f t="shared" ca="1" si="222"/>
        <v>-2.3518932057438372E+16</v>
      </c>
      <c r="M6176" s="471">
        <f t="shared" si="224"/>
        <v>0.05</v>
      </c>
      <c r="N6176" s="475">
        <f t="shared" si="225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23"/>
        <v>-2.3518932057438372E+16</v>
      </c>
      <c r="J6177" s="455">
        <f t="array" ref="J6177">IFERROR(INDEX('Retirement Calculator'!J:J,MATCH('Isaac 401k'!N6177,'Retirement Calculator'!A:A,0),0),0)</f>
        <v>0</v>
      </c>
      <c r="K6177" s="455">
        <f t="shared" ca="1" si="221"/>
        <v>-97995550239326.547</v>
      </c>
      <c r="L6177" s="455">
        <f t="shared" ca="1" si="222"/>
        <v>-2.36169276076777E+16</v>
      </c>
      <c r="M6177" s="471">
        <f t="shared" si="224"/>
        <v>0.05</v>
      </c>
      <c r="N6177" s="475">
        <f t="shared" si="225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23"/>
        <v>-2.36169276076777E+16</v>
      </c>
      <c r="J6178" s="455">
        <f t="array" ref="J6178">IFERROR(INDEX('Retirement Calculator'!J:J,MATCH('Isaac 401k'!N6178,'Retirement Calculator'!A:A,0),0),0)</f>
        <v>0</v>
      </c>
      <c r="K6178" s="455">
        <f t="shared" ca="1" si="221"/>
        <v>-98403865031990.422</v>
      </c>
      <c r="L6178" s="455">
        <f t="shared" ca="1" si="222"/>
        <v>-2.3715331472709692E+16</v>
      </c>
      <c r="M6178" s="471">
        <f t="shared" si="224"/>
        <v>0.05</v>
      </c>
      <c r="N6178" s="475">
        <f t="shared" si="225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23"/>
        <v>-2.3715331472709692E+16</v>
      </c>
      <c r="J6179" s="455">
        <f t="array" ref="J6179">IFERROR(INDEX('Retirement Calculator'!J:J,MATCH('Isaac 401k'!N6179,'Retirement Calculator'!A:A,0),0),0)</f>
        <v>0</v>
      </c>
      <c r="K6179" s="455">
        <f t="shared" ca="1" si="221"/>
        <v>-98813881136290.375</v>
      </c>
      <c r="L6179" s="455">
        <f t="shared" ca="1" si="222"/>
        <v>-2.3814145353845984E+16</v>
      </c>
      <c r="M6179" s="471">
        <f t="shared" si="224"/>
        <v>0.05</v>
      </c>
      <c r="N6179" s="475">
        <f t="shared" si="225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23"/>
        <v>-2.3814145353845984E+16</v>
      </c>
      <c r="J6180" s="455">
        <f t="array" ref="J6180">IFERROR(INDEX('Retirement Calculator'!J:J,MATCH('Isaac 401k'!N6180,'Retirement Calculator'!A:A,0),0),0)</f>
        <v>0</v>
      </c>
      <c r="K6180" s="455">
        <f t="shared" ca="1" si="221"/>
        <v>-99225605641024.938</v>
      </c>
      <c r="L6180" s="455">
        <f t="shared" ca="1" si="222"/>
        <v>-2.3913370959487008E+16</v>
      </c>
      <c r="M6180" s="471">
        <f t="shared" si="224"/>
        <v>0.05</v>
      </c>
      <c r="N6180" s="475">
        <f t="shared" si="225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23"/>
        <v>-2.3913370959487008E+16</v>
      </c>
      <c r="J6181" s="455">
        <f t="array" ref="J6181">IFERROR(INDEX('Retirement Calculator'!J:J,MATCH('Isaac 401k'!N6181,'Retirement Calculator'!A:A,0),0),0)</f>
        <v>0</v>
      </c>
      <c r="K6181" s="455">
        <f t="shared" ca="1" si="221"/>
        <v>-99639045664529.203</v>
      </c>
      <c r="L6181" s="455">
        <f t="shared" ca="1" si="222"/>
        <v>-2.4013010005151536E+16</v>
      </c>
      <c r="M6181" s="471">
        <f t="shared" si="224"/>
        <v>0.05</v>
      </c>
      <c r="N6181" s="475">
        <f t="shared" si="225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23"/>
        <v>-2.4013010005151536E+16</v>
      </c>
      <c r="J6182" s="455">
        <f t="array" ref="J6182">IFERROR(INDEX('Retirement Calculator'!J:J,MATCH('Isaac 401k'!N6182,'Retirement Calculator'!A:A,0),0),0)</f>
        <v>0</v>
      </c>
      <c r="K6182" s="455">
        <f t="shared" ca="1" si="221"/>
        <v>-100054208354798.06</v>
      </c>
      <c r="L6182" s="455">
        <f t="shared" ca="1" si="222"/>
        <v>-2.4113064213506336E+16</v>
      </c>
      <c r="M6182" s="471">
        <f t="shared" si="224"/>
        <v>0.05</v>
      </c>
      <c r="N6182" s="475">
        <f t="shared" si="225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23"/>
        <v>-2.4113064213506336E+16</v>
      </c>
      <c r="J6183" s="455">
        <f t="array" ref="J6183">IFERROR(INDEX('Retirement Calculator'!J:J,MATCH('Isaac 401k'!N6183,'Retirement Calculator'!A:A,0),0),0)</f>
        <v>0</v>
      </c>
      <c r="K6183" s="455">
        <f t="shared" ca="1" si="221"/>
        <v>-100471100889609.73</v>
      </c>
      <c r="L6183" s="455">
        <f t="shared" ca="1" si="222"/>
        <v>-2.4213535314395944E+16</v>
      </c>
      <c r="M6183" s="471">
        <f t="shared" si="224"/>
        <v>0.05</v>
      </c>
      <c r="N6183" s="475">
        <f t="shared" si="225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23"/>
        <v>-2.4213535314395944E+16</v>
      </c>
      <c r="J6184" s="455">
        <f t="array" ref="J6184">IFERROR(INDEX('Retirement Calculator'!J:J,MATCH('Isaac 401k'!N6184,'Retirement Calculator'!A:A,0),0),0)</f>
        <v>0</v>
      </c>
      <c r="K6184" s="455">
        <f t="shared" ca="1" si="221"/>
        <v>-100889730476649.77</v>
      </c>
      <c r="L6184" s="455">
        <f t="shared" ca="1" si="222"/>
        <v>-2.4314425044872592E+16</v>
      </c>
      <c r="M6184" s="471">
        <f t="shared" si="224"/>
        <v>0.05</v>
      </c>
      <c r="N6184" s="475">
        <f t="shared" si="225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23"/>
        <v>-2.4314425044872592E+16</v>
      </c>
      <c r="J6185" s="455">
        <f t="array" ref="J6185">IFERROR(INDEX('Retirement Calculator'!J:J,MATCH('Isaac 401k'!N6185,'Retirement Calculator'!A:A,0),0),0)</f>
        <v>0</v>
      </c>
      <c r="K6185" s="455">
        <f t="shared" ca="1" si="221"/>
        <v>-101310104353635.8</v>
      </c>
      <c r="L6185" s="455">
        <f t="shared" ca="1" si="222"/>
        <v>-2.4415735149226228E+16</v>
      </c>
      <c r="M6185" s="471">
        <f t="shared" si="224"/>
        <v>0.05</v>
      </c>
      <c r="N6185" s="475">
        <f t="shared" si="225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23"/>
        <v>-2.4415735149226228E+16</v>
      </c>
      <c r="J6186" s="455">
        <f t="array" ref="J6186">IFERROR(INDEX('Retirement Calculator'!J:J,MATCH('Isaac 401k'!N6186,'Retirement Calculator'!A:A,0),0),0)</f>
        <v>0</v>
      </c>
      <c r="K6186" s="455">
        <f t="shared" ca="1" si="221"/>
        <v>-101732229788442.61</v>
      </c>
      <c r="L6186" s="455">
        <f t="shared" ca="1" si="222"/>
        <v>-2.4517467379014672E+16</v>
      </c>
      <c r="M6186" s="471">
        <f t="shared" si="224"/>
        <v>0.05</v>
      </c>
      <c r="N6186" s="475">
        <f t="shared" si="225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23"/>
        <v>-2.4517467379014672E+16</v>
      </c>
      <c r="J6187" s="455">
        <f t="array" ref="J6187">IFERROR(INDEX('Retirement Calculator'!J:J,MATCH('Isaac 401k'!N6187,'Retirement Calculator'!A:A,0),0),0)</f>
        <v>0</v>
      </c>
      <c r="K6187" s="455">
        <f t="shared" ca="1" si="221"/>
        <v>-102156114079227.8</v>
      </c>
      <c r="L6187" s="455">
        <f t="shared" ca="1" si="222"/>
        <v>-2.46196234930939E+16</v>
      </c>
      <c r="M6187" s="471">
        <f t="shared" si="224"/>
        <v>0.05</v>
      </c>
      <c r="N6187" s="475">
        <f t="shared" si="225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23"/>
        <v>-2.46196234930939E+16</v>
      </c>
      <c r="J6188" s="455">
        <f t="array" ref="J6188">IFERROR(INDEX('Retirement Calculator'!J:J,MATCH('Isaac 401k'!N6188,'Retirement Calculator'!A:A,0),0),0)</f>
        <v>0</v>
      </c>
      <c r="K6188" s="455">
        <f t="shared" ca="1" si="221"/>
        <v>-102581764554557.92</v>
      </c>
      <c r="L6188" s="455">
        <f t="shared" ca="1" si="222"/>
        <v>-2.4722205257648456E+16</v>
      </c>
      <c r="M6188" s="471">
        <f t="shared" si="224"/>
        <v>0.05</v>
      </c>
      <c r="N6188" s="475">
        <f t="shared" si="225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23"/>
        <v>-2.4722205257648456E+16</v>
      </c>
      <c r="J6189" s="455">
        <f t="array" ref="J6189">IFERROR(INDEX('Retirement Calculator'!J:J,MATCH('Isaac 401k'!N6189,'Retirement Calculator'!A:A,0),0),0)</f>
        <v>0</v>
      </c>
      <c r="K6189" s="455">
        <f t="shared" ca="1" si="221"/>
        <v>-103009188573535.23</v>
      </c>
      <c r="L6189" s="455">
        <f t="shared" ca="1" si="222"/>
        <v>-2.4825214446221992E+16</v>
      </c>
      <c r="M6189" s="471">
        <f t="shared" si="224"/>
        <v>0.05</v>
      </c>
      <c r="N6189" s="475">
        <f t="shared" si="225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23"/>
        <v>-2.4825214446221992E+16</v>
      </c>
      <c r="J6190" s="455">
        <f t="array" ref="J6190">IFERROR(INDEX('Retirement Calculator'!J:J,MATCH('Isaac 401k'!N6190,'Retirement Calculator'!A:A,0),0),0)</f>
        <v>0</v>
      </c>
      <c r="K6190" s="455">
        <f t="shared" ca="1" si="221"/>
        <v>-103438393525924.97</v>
      </c>
      <c r="L6190" s="455">
        <f t="shared" ca="1" si="222"/>
        <v>-2.4928652839747916E+16</v>
      </c>
      <c r="M6190" s="471">
        <f t="shared" si="224"/>
        <v>0.05</v>
      </c>
      <c r="N6190" s="475">
        <f t="shared" si="225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23"/>
        <v>-2.4928652839747916E+16</v>
      </c>
      <c r="J6191" s="455">
        <f t="array" ref="J6191">IFERROR(INDEX('Retirement Calculator'!J:J,MATCH('Isaac 401k'!N6191,'Retirement Calculator'!A:A,0),0),0)</f>
        <v>0</v>
      </c>
      <c r="K6191" s="455">
        <f t="shared" ca="1" si="221"/>
        <v>-103869386832282.98</v>
      </c>
      <c r="L6191" s="455">
        <f t="shared" ca="1" si="222"/>
        <v>-2.50325222265802E+16</v>
      </c>
      <c r="M6191" s="471">
        <f t="shared" si="224"/>
        <v>0.05</v>
      </c>
      <c r="N6191" s="475">
        <f t="shared" si="225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23"/>
        <v>-2.50325222265802E+16</v>
      </c>
      <c r="J6192" s="455">
        <f t="array" ref="J6192">IFERROR(INDEX('Retirement Calculator'!J:J,MATCH('Isaac 401k'!N6192,'Retirement Calculator'!A:A,0),0),0)</f>
        <v>0</v>
      </c>
      <c r="K6192" s="455">
        <f t="shared" ca="1" si="221"/>
        <v>-104302175944084.17</v>
      </c>
      <c r="L6192" s="455">
        <f t="shared" ca="1" si="222"/>
        <v>-2.5136824402524284E+16</v>
      </c>
      <c r="M6192" s="471">
        <f t="shared" si="224"/>
        <v>0.05</v>
      </c>
      <c r="N6192" s="475">
        <f t="shared" si="225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23"/>
        <v>-2.5136824402524284E+16</v>
      </c>
      <c r="J6193" s="455">
        <f t="array" ref="J6193">IFERROR(INDEX('Retirement Calculator'!J:J,MATCH('Isaac 401k'!N6193,'Retirement Calculator'!A:A,0),0),0)</f>
        <v>0</v>
      </c>
      <c r="K6193" s="455">
        <f t="shared" ca="1" si="221"/>
        <v>-104736768343851.19</v>
      </c>
      <c r="L6193" s="455">
        <f t="shared" ca="1" si="222"/>
        <v>-2.5241561170868136E+16</v>
      </c>
      <c r="M6193" s="471">
        <f t="shared" si="224"/>
        <v>0.05</v>
      </c>
      <c r="N6193" s="475">
        <f t="shared" si="225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23"/>
        <v>-2.5241561170868136E+16</v>
      </c>
      <c r="J6194" s="455">
        <f t="array" ref="J6194">IFERROR(INDEX('Retirement Calculator'!J:J,MATCH('Isaac 401k'!N6194,'Retirement Calculator'!A:A,0),0),0)</f>
        <v>0</v>
      </c>
      <c r="K6194" s="455">
        <f t="shared" ca="1" si="221"/>
        <v>-105173171545283.91</v>
      </c>
      <c r="L6194" s="455">
        <f t="shared" ca="1" si="222"/>
        <v>-2.534673434241342E+16</v>
      </c>
      <c r="M6194" s="471">
        <f t="shared" si="224"/>
        <v>0.05</v>
      </c>
      <c r="N6194" s="475">
        <f t="shared" si="225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23"/>
        <v>-2.534673434241342E+16</v>
      </c>
      <c r="J6195" s="455">
        <f t="array" ref="J6195">IFERROR(INDEX('Retirement Calculator'!J:J,MATCH('Isaac 401k'!N6195,'Retirement Calculator'!A:A,0),0),0)</f>
        <v>0</v>
      </c>
      <c r="K6195" s="455">
        <f t="shared" ca="1" si="221"/>
        <v>-105611393093389.25</v>
      </c>
      <c r="L6195" s="455">
        <f t="shared" ca="1" si="222"/>
        <v>-2.5452345735506808E+16</v>
      </c>
      <c r="M6195" s="471">
        <f t="shared" si="224"/>
        <v>0.05</v>
      </c>
      <c r="N6195" s="475">
        <f t="shared" si="225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23"/>
        <v>-2.5452345735506808E+16</v>
      </c>
      <c r="J6196" s="455">
        <f t="array" ref="J6196">IFERROR(INDEX('Retirement Calculator'!J:J,MATCH('Isaac 401k'!N6196,'Retirement Calculator'!A:A,0),0),0)</f>
        <v>0</v>
      </c>
      <c r="K6196" s="455">
        <f t="shared" ca="1" si="221"/>
        <v>-106051440564611.7</v>
      </c>
      <c r="L6196" s="455">
        <f t="shared" ca="1" si="222"/>
        <v>-2.555839717607142E+16</v>
      </c>
      <c r="M6196" s="471">
        <f t="shared" si="224"/>
        <v>0.05</v>
      </c>
      <c r="N6196" s="475">
        <f t="shared" si="225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23"/>
        <v>-2.555839717607142E+16</v>
      </c>
      <c r="J6197" s="455">
        <f t="array" ref="J6197">IFERROR(INDEX('Retirement Calculator'!J:J,MATCH('Isaac 401k'!N6197,'Retirement Calculator'!A:A,0),0),0)</f>
        <v>0</v>
      </c>
      <c r="K6197" s="455">
        <f t="shared" ca="1" si="221"/>
        <v>-106493321566964.25</v>
      </c>
      <c r="L6197" s="455">
        <f t="shared" ca="1" si="222"/>
        <v>-2.5664890497638384E+16</v>
      </c>
      <c r="M6197" s="471">
        <f t="shared" si="224"/>
        <v>0.05</v>
      </c>
      <c r="N6197" s="475">
        <f t="shared" si="225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23"/>
        <v>-2.5664890497638384E+16</v>
      </c>
      <c r="J6198" s="455">
        <f t="array" ref="J6198">IFERROR(INDEX('Retirement Calculator'!J:J,MATCH('Isaac 401k'!N6198,'Retirement Calculator'!A:A,0),0),0)</f>
        <v>0</v>
      </c>
      <c r="K6198" s="455">
        <f t="shared" ca="1" si="221"/>
        <v>-106937043740159.94</v>
      </c>
      <c r="L6198" s="455">
        <f t="shared" ca="1" si="222"/>
        <v>-2.5771827541378544E+16</v>
      </c>
      <c r="M6198" s="471">
        <f t="shared" si="224"/>
        <v>0.05</v>
      </c>
      <c r="N6198" s="475">
        <f t="shared" si="225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23"/>
        <v>-2.5771827541378544E+16</v>
      </c>
      <c r="J6199" s="455">
        <f t="array" ref="J6199">IFERROR(INDEX('Retirement Calculator'!J:J,MATCH('Isaac 401k'!N6199,'Retirement Calculator'!A:A,0),0),0)</f>
        <v>0</v>
      </c>
      <c r="K6199" s="455">
        <f t="shared" ca="1" si="221"/>
        <v>-107382614755743.94</v>
      </c>
      <c r="L6199" s="455">
        <f t="shared" ca="1" si="222"/>
        <v>-2.5879210156134288E+16</v>
      </c>
      <c r="M6199" s="471">
        <f t="shared" si="224"/>
        <v>0.05</v>
      </c>
      <c r="N6199" s="475">
        <f t="shared" si="225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23"/>
        <v>-2.5879210156134288E+16</v>
      </c>
      <c r="J6200" s="455">
        <f t="array" ref="J6200">IFERROR(INDEX('Retirement Calculator'!J:J,MATCH('Isaac 401k'!N6200,'Retirement Calculator'!A:A,0),0),0)</f>
        <v>0</v>
      </c>
      <c r="K6200" s="455">
        <f t="shared" ca="1" si="221"/>
        <v>-107830042317226.2</v>
      </c>
      <c r="L6200" s="455">
        <f t="shared" ca="1" si="222"/>
        <v>-2.5987040198451516E+16</v>
      </c>
      <c r="M6200" s="471">
        <f t="shared" si="224"/>
        <v>0.05</v>
      </c>
      <c r="N6200" s="475">
        <f t="shared" si="225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23"/>
        <v>-2.5987040198451516E+16</v>
      </c>
      <c r="J6201" s="455">
        <f t="array" ref="J6201">IFERROR(INDEX('Retirement Calculator'!J:J,MATCH('Isaac 401k'!N6201,'Retirement Calculator'!A:A,0),0),0)</f>
        <v>0</v>
      </c>
      <c r="K6201" s="455">
        <f t="shared" ca="1" si="221"/>
        <v>-108279334160214.66</v>
      </c>
      <c r="L6201" s="455">
        <f t="shared" ca="1" si="222"/>
        <v>-2.6095319532611732E+16</v>
      </c>
      <c r="M6201" s="471">
        <f t="shared" si="224"/>
        <v>0.05</v>
      </c>
      <c r="N6201" s="475">
        <f t="shared" si="225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23"/>
        <v>-2.6095319532611732E+16</v>
      </c>
      <c r="J6202" s="455">
        <f t="array" ref="J6202">IFERROR(INDEX('Retirement Calculator'!J:J,MATCH('Isaac 401k'!N6202,'Retirement Calculator'!A:A,0),0),0)</f>
        <v>0</v>
      </c>
      <c r="K6202" s="455">
        <f t="shared" ca="1" si="221"/>
        <v>-108730498052548.88</v>
      </c>
      <c r="L6202" s="455">
        <f t="shared" ca="1" si="222"/>
        <v>-2.620405003066428E+16</v>
      </c>
      <c r="M6202" s="471">
        <f t="shared" si="224"/>
        <v>0.05</v>
      </c>
      <c r="N6202" s="475">
        <f t="shared" si="225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23"/>
        <v>-2.620405003066428E+16</v>
      </c>
      <c r="J6203" s="455">
        <f t="array" ref="J6203">IFERROR(INDEX('Retirement Calculator'!J:J,MATCH('Isaac 401k'!N6203,'Retirement Calculator'!A:A,0),0),0)</f>
        <v>0</v>
      </c>
      <c r="K6203" s="455">
        <f t="shared" ca="1" si="221"/>
        <v>-109183541794434.5</v>
      </c>
      <c r="L6203" s="455">
        <f t="shared" ca="1" si="222"/>
        <v>-2.6313233572458716E+16</v>
      </c>
      <c r="M6203" s="471">
        <f t="shared" si="224"/>
        <v>0.05</v>
      </c>
      <c r="N6203" s="475">
        <f t="shared" si="225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23"/>
        <v>-2.6313233572458716E+16</v>
      </c>
      <c r="J6204" s="455">
        <f t="array" ref="J6204">IFERROR(INDEX('Retirement Calculator'!J:J,MATCH('Isaac 401k'!N6204,'Retirement Calculator'!A:A,0),0),0)</f>
        <v>0</v>
      </c>
      <c r="K6204" s="455">
        <f t="shared" ca="1" si="221"/>
        <v>-109638473218577.98</v>
      </c>
      <c r="L6204" s="455">
        <f t="shared" ca="1" si="222"/>
        <v>-2.6422872045677292E+16</v>
      </c>
      <c r="M6204" s="471">
        <f t="shared" si="224"/>
        <v>0.05</v>
      </c>
      <c r="N6204" s="475">
        <f t="shared" si="225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23"/>
        <v>-2.6422872045677292E+16</v>
      </c>
      <c r="J6205" s="455">
        <f t="array" ref="J6205">IFERROR(INDEX('Retirement Calculator'!J:J,MATCH('Isaac 401k'!N6205,'Retirement Calculator'!A:A,0),0),0)</f>
        <v>0</v>
      </c>
      <c r="K6205" s="455">
        <f t="shared" ca="1" si="221"/>
        <v>-110095300190322.05</v>
      </c>
      <c r="L6205" s="455">
        <f t="shared" ca="1" si="222"/>
        <v>-2.6532967345867616E+16</v>
      </c>
      <c r="M6205" s="471">
        <f t="shared" si="224"/>
        <v>0.05</v>
      </c>
      <c r="N6205" s="475">
        <f t="shared" si="225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23"/>
        <v>-2.6532967345867616E+16</v>
      </c>
      <c r="J6206" s="455">
        <f t="array" ref="J6206">IFERROR(INDEX('Retirement Calculator'!J:J,MATCH('Isaac 401k'!N6206,'Retirement Calculator'!A:A,0),0),0)</f>
        <v>0</v>
      </c>
      <c r="K6206" s="455">
        <f t="shared" ca="1" si="221"/>
        <v>-110554030607781.73</v>
      </c>
      <c r="L6206" s="455">
        <f t="shared" ca="1" si="222"/>
        <v>-2.6643521376475396E+16</v>
      </c>
      <c r="M6206" s="471">
        <f t="shared" si="224"/>
        <v>0.05</v>
      </c>
      <c r="N6206" s="475">
        <f t="shared" si="225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23"/>
        <v>-2.6643521376475396E+16</v>
      </c>
      <c r="J6207" s="455">
        <f t="array" ref="J6207">IFERROR(INDEX('Retirement Calculator'!J:J,MATCH('Isaac 401k'!N6207,'Retirement Calculator'!A:A,0),0),0)</f>
        <v>0</v>
      </c>
      <c r="K6207" s="455">
        <f t="shared" ca="1" si="221"/>
        <v>-111014672401980.81</v>
      </c>
      <c r="L6207" s="455">
        <f t="shared" ca="1" si="222"/>
        <v>-2.6754536048877376E+16</v>
      </c>
      <c r="M6207" s="471">
        <f t="shared" si="224"/>
        <v>0.05</v>
      </c>
      <c r="N6207" s="475">
        <f t="shared" si="225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23"/>
        <v>-2.6754536048877376E+16</v>
      </c>
      <c r="J6208" s="455">
        <f t="array" ref="J6208">IFERROR(INDEX('Retirement Calculator'!J:J,MATCH('Isaac 401k'!N6208,'Retirement Calculator'!A:A,0),0),0)</f>
        <v>0</v>
      </c>
      <c r="K6208" s="455">
        <f t="shared" ca="1" si="221"/>
        <v>-111477233536989.06</v>
      </c>
      <c r="L6208" s="455">
        <f t="shared" ca="1" si="222"/>
        <v>-2.6866013282414364E+16</v>
      </c>
      <c r="M6208" s="471">
        <f t="shared" si="224"/>
        <v>0.05</v>
      </c>
      <c r="N6208" s="475">
        <f t="shared" si="225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23"/>
        <v>-2.6866013282414364E+16</v>
      </c>
      <c r="J6209" s="455">
        <f t="array" ref="J6209">IFERROR(INDEX('Retirement Calculator'!J:J,MATCH('Isaac 401k'!N6209,'Retirement Calculator'!A:A,0),0),0)</f>
        <v>0</v>
      </c>
      <c r="K6209" s="455">
        <f t="shared" ca="1" si="221"/>
        <v>-111941722010059.84</v>
      </c>
      <c r="L6209" s="455">
        <f t="shared" ca="1" si="222"/>
        <v>-2.6977955004424424E+16</v>
      </c>
      <c r="M6209" s="471">
        <f t="shared" si="224"/>
        <v>0.05</v>
      </c>
      <c r="N6209" s="475">
        <f t="shared" si="225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23"/>
        <v>-2.6977955004424424E+16</v>
      </c>
      <c r="J6210" s="455">
        <f t="array" ref="J6210">IFERROR(INDEX('Retirement Calculator'!J:J,MATCH('Isaac 401k'!N6210,'Retirement Calculator'!A:A,0),0),0)</f>
        <v>0</v>
      </c>
      <c r="K6210" s="455">
        <f t="shared" ca="1" si="221"/>
        <v>-112408145851768.44</v>
      </c>
      <c r="L6210" s="455">
        <f t="shared" ca="1" si="222"/>
        <v>-2.7090363150276192E+16</v>
      </c>
      <c r="M6210" s="471">
        <f t="shared" si="224"/>
        <v>0.05</v>
      </c>
      <c r="N6210" s="475">
        <f t="shared" si="225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23"/>
        <v>-2.7090363150276192E+16</v>
      </c>
      <c r="J6211" s="455">
        <f t="array" ref="J6211">IFERROR(INDEX('Retirement Calculator'!J:J,MATCH('Isaac 401k'!N6211,'Retirement Calculator'!A:A,0),0),0)</f>
        <v>0</v>
      </c>
      <c r="K6211" s="455">
        <f t="shared" ca="1" si="221"/>
        <v>-112876513126150.8</v>
      </c>
      <c r="L6211" s="455">
        <f t="shared" ca="1" si="222"/>
        <v>-2.7203239663402344E+16</v>
      </c>
      <c r="M6211" s="471">
        <f t="shared" si="224"/>
        <v>0.05</v>
      </c>
      <c r="N6211" s="475">
        <f t="shared" si="225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23"/>
        <v>-2.7203239663402344E+16</v>
      </c>
      <c r="J6212" s="455">
        <f t="array" ref="J6212">IFERROR(INDEX('Retirement Calculator'!J:J,MATCH('Isaac 401k'!N6212,'Retirement Calculator'!A:A,0),0),0)</f>
        <v>0</v>
      </c>
      <c r="K6212" s="455">
        <f t="shared" ca="1" si="221"/>
        <v>-113346831930843.09</v>
      </c>
      <c r="L6212" s="455">
        <f t="shared" ca="1" si="222"/>
        <v>-2.7316586495333188E+16</v>
      </c>
      <c r="M6212" s="471">
        <f t="shared" si="224"/>
        <v>0.05</v>
      </c>
      <c r="N6212" s="475">
        <f t="shared" si="225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23"/>
        <v>-2.7316586495333188E+16</v>
      </c>
      <c r="J6213" s="455">
        <f t="array" ref="J6213">IFERROR(INDEX('Retirement Calculator'!J:J,MATCH('Isaac 401k'!N6213,'Retirement Calculator'!A:A,0),0),0)</f>
        <v>0</v>
      </c>
      <c r="K6213" s="455">
        <f t="shared" ca="1" si="221"/>
        <v>-113819110397221.61</v>
      </c>
      <c r="L6213" s="455">
        <f t="shared" ca="1" si="222"/>
        <v>-2.7430405605730408E+16</v>
      </c>
      <c r="M6213" s="471">
        <f t="shared" si="224"/>
        <v>0.05</v>
      </c>
      <c r="N6213" s="475">
        <f t="shared" si="225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23"/>
        <v>-2.7430405605730408E+16</v>
      </c>
      <c r="J6214" s="455">
        <f t="array" ref="J6214">IFERROR(INDEX('Retirement Calculator'!J:J,MATCH('Isaac 401k'!N6214,'Retirement Calculator'!A:A,0),0),0)</f>
        <v>0</v>
      </c>
      <c r="K6214" s="455">
        <f t="shared" ca="1" si="221"/>
        <v>-114293356690543.36</v>
      </c>
      <c r="L6214" s="455">
        <f t="shared" ca="1" si="222"/>
        <v>-2.7544698962420952E+16</v>
      </c>
      <c r="M6214" s="471">
        <f t="shared" si="224"/>
        <v>0.05</v>
      </c>
      <c r="N6214" s="475">
        <f t="shared" si="225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23"/>
        <v>-2.7544698962420952E+16</v>
      </c>
      <c r="J6215" s="455">
        <f t="array" ref="J6215">IFERROR(INDEX('Retirement Calculator'!J:J,MATCH('Isaac 401k'!N6215,'Retirement Calculator'!A:A,0),0),0)</f>
        <v>0</v>
      </c>
      <c r="K6215" s="455">
        <f t="shared" ca="1" si="221"/>
        <v>-114769579010087.3</v>
      </c>
      <c r="L6215" s="455">
        <f t="shared" ca="1" si="222"/>
        <v>-2.765946854143104E+16</v>
      </c>
      <c r="M6215" s="471">
        <f t="shared" si="224"/>
        <v>0.05</v>
      </c>
      <c r="N6215" s="475">
        <f t="shared" si="225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23"/>
        <v>-2.765946854143104E+16</v>
      </c>
      <c r="J6216" s="455">
        <f t="array" ref="J6216">IFERROR(INDEX('Retirement Calculator'!J:J,MATCH('Isaac 401k'!N6216,'Retirement Calculator'!A:A,0),0),0)</f>
        <v>0</v>
      </c>
      <c r="K6216" s="455">
        <f t="shared" ca="1" si="221"/>
        <v>-115247785589296</v>
      </c>
      <c r="L6216" s="455">
        <f t="shared" ca="1" si="222"/>
        <v>-2.7774716327020336E+16</v>
      </c>
      <c r="M6216" s="471">
        <f t="shared" si="224"/>
        <v>0.05</v>
      </c>
      <c r="N6216" s="475">
        <f t="shared" si="225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23"/>
        <v>-2.7774716327020336E+16</v>
      </c>
      <c r="J6217" s="455">
        <f t="array" ref="J6217">IFERROR(INDEX('Retirement Calculator'!J:J,MATCH('Isaac 401k'!N6217,'Retirement Calculator'!A:A,0),0),0)</f>
        <v>0</v>
      </c>
      <c r="K6217" s="455">
        <f t="shared" ca="1" si="221"/>
        <v>-115727984695918.06</v>
      </c>
      <c r="L6217" s="455">
        <f t="shared" ca="1" si="222"/>
        <v>-2.7890444311716256E+16</v>
      </c>
      <c r="M6217" s="471">
        <f t="shared" si="224"/>
        <v>0.05</v>
      </c>
      <c r="N6217" s="475">
        <f t="shared" si="225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23"/>
        <v>-2.7890444311716256E+16</v>
      </c>
      <c r="J6218" s="455">
        <f t="array" ref="J6218">IFERROR(INDEX('Retirement Calculator'!J:J,MATCH('Isaac 401k'!N6218,'Retirement Calculator'!A:A,0),0),0)</f>
        <v>0</v>
      </c>
      <c r="K6218" s="455">
        <f t="shared" ca="1" si="221"/>
        <v>-116210184632151.06</v>
      </c>
      <c r="L6218" s="455">
        <f t="shared" ca="1" si="222"/>
        <v>-2.8006654496348408E+16</v>
      </c>
      <c r="M6218" s="471">
        <f t="shared" si="224"/>
        <v>0.05</v>
      </c>
      <c r="N6218" s="475">
        <f t="shared" si="225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23"/>
        <v>-2.8006654496348408E+16</v>
      </c>
      <c r="J6219" s="455">
        <f t="array" ref="J6219">IFERROR(INDEX('Retirement Calculator'!J:J,MATCH('Isaac 401k'!N6219,'Retirement Calculator'!A:A,0),0),0)</f>
        <v>0</v>
      </c>
      <c r="K6219" s="455">
        <f t="shared" ca="1" si="221"/>
        <v>-116694393734785.03</v>
      </c>
      <c r="L6219" s="455">
        <f t="shared" ca="1" si="222"/>
        <v>-2.8123348890083192E+16</v>
      </c>
      <c r="M6219" s="471">
        <f t="shared" si="224"/>
        <v>0.05</v>
      </c>
      <c r="N6219" s="475">
        <f t="shared" si="225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23"/>
        <v>-2.8123348890083192E+16</v>
      </c>
      <c r="J6220" s="455">
        <f t="array" ref="J6220">IFERROR(INDEX('Retirement Calculator'!J:J,MATCH('Isaac 401k'!N6220,'Retirement Calculator'!A:A,0),0),0)</f>
        <v>0</v>
      </c>
      <c r="K6220" s="455">
        <f t="shared" ca="1" si="221"/>
        <v>-117180620375346.63</v>
      </c>
      <c r="L6220" s="455">
        <f t="shared" ca="1" si="222"/>
        <v>-2.824052951045854E+16</v>
      </c>
      <c r="M6220" s="471">
        <f t="shared" si="224"/>
        <v>0.05</v>
      </c>
      <c r="N6220" s="475">
        <f t="shared" si="225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23"/>
        <v>-2.824052951045854E+16</v>
      </c>
      <c r="J6221" s="455">
        <f t="array" ref="J6221">IFERROR(INDEX('Retirement Calculator'!J:J,MATCH('Isaac 401k'!N6221,'Retirement Calculator'!A:A,0),0),0)</f>
        <v>0</v>
      </c>
      <c r="K6221" s="455">
        <f t="shared" ca="1" si="221"/>
        <v>-117668872960243.92</v>
      </c>
      <c r="L6221" s="455">
        <f t="shared" ca="1" si="222"/>
        <v>-2.8358198383418784E+16</v>
      </c>
      <c r="M6221" s="471">
        <f t="shared" si="224"/>
        <v>0.05</v>
      </c>
      <c r="N6221" s="475">
        <f t="shared" si="225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23"/>
        <v>-2.8358198383418784E+16</v>
      </c>
      <c r="J6222" s="455">
        <f t="array" ref="J6222">IFERROR(INDEX('Retirement Calculator'!J:J,MATCH('Isaac 401k'!N6222,'Retirement Calculator'!A:A,0),0),0)</f>
        <v>0</v>
      </c>
      <c r="K6222" s="455">
        <f t="shared" ca="1" si="221"/>
        <v>-118159159930911.58</v>
      </c>
      <c r="L6222" s="455">
        <f t="shared" ca="1" si="222"/>
        <v>-2.8476357543349696E+16</v>
      </c>
      <c r="M6222" s="471">
        <f t="shared" si="224"/>
        <v>0.05</v>
      </c>
      <c r="N6222" s="475">
        <f t="shared" si="225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23"/>
        <v>-2.8476357543349696E+16</v>
      </c>
      <c r="J6223" s="455">
        <f t="array" ref="J6223">IFERROR(INDEX('Retirement Calculator'!J:J,MATCH('Isaac 401k'!N6223,'Retirement Calculator'!A:A,0),0),0)</f>
        <v>0</v>
      </c>
      <c r="K6223" s="455">
        <f t="shared" ca="1" si="221"/>
        <v>-118651489763957.06</v>
      </c>
      <c r="L6223" s="455">
        <f t="shared" ca="1" si="222"/>
        <v>-2.8595009033113652E+16</v>
      </c>
      <c r="M6223" s="471">
        <f t="shared" si="224"/>
        <v>0.05</v>
      </c>
      <c r="N6223" s="475">
        <f t="shared" si="225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23"/>
        <v>-2.8595009033113652E+16</v>
      </c>
      <c r="J6224" s="455">
        <f t="array" ref="J6224">IFERROR(INDEX('Retirement Calculator'!J:J,MATCH('Isaac 401k'!N6224,'Retirement Calculator'!A:A,0),0),0)</f>
        <v>0</v>
      </c>
      <c r="K6224" s="455">
        <f t="shared" ca="1" si="221"/>
        <v>-119145870971306.88</v>
      </c>
      <c r="L6224" s="455">
        <f t="shared" ca="1" si="222"/>
        <v>-2.871415490408496E+16</v>
      </c>
      <c r="M6224" s="471">
        <f t="shared" si="224"/>
        <v>0.05</v>
      </c>
      <c r="N6224" s="475">
        <f t="shared" si="225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23"/>
        <v>-2.871415490408496E+16</v>
      </c>
      <c r="J6225" s="455">
        <f t="array" ref="J6225">IFERROR(INDEX('Retirement Calculator'!J:J,MATCH('Isaac 401k'!N6225,'Retirement Calculator'!A:A,0),0),0)</f>
        <v>0</v>
      </c>
      <c r="K6225" s="455">
        <f t="shared" ca="1" si="221"/>
        <v>-119642312100354</v>
      </c>
      <c r="L6225" s="455">
        <f t="shared" ca="1" si="222"/>
        <v>-2.8833797216185312E+16</v>
      </c>
      <c r="M6225" s="471">
        <f t="shared" si="224"/>
        <v>0.05</v>
      </c>
      <c r="N6225" s="475">
        <f t="shared" si="225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23"/>
        <v>-2.8833797216185312E+16</v>
      </c>
      <c r="J6226" s="455">
        <f t="array" ref="J6226">IFERROR(INDEX('Retirement Calculator'!J:J,MATCH('Isaac 401k'!N6226,'Retirement Calculator'!A:A,0),0),0)</f>
        <v>0</v>
      </c>
      <c r="K6226" s="455">
        <f t="shared" ca="1" si="221"/>
        <v>-120140821734105.45</v>
      </c>
      <c r="L6226" s="455">
        <f t="shared" ca="1" si="222"/>
        <v>-2.8953938037919416E+16</v>
      </c>
      <c r="M6226" s="471">
        <f t="shared" si="224"/>
        <v>0.05</v>
      </c>
      <c r="N6226" s="475">
        <f t="shared" si="225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23"/>
        <v>-2.8953938037919416E+16</v>
      </c>
      <c r="J6227" s="455">
        <f t="array" ref="J6227">IFERROR(INDEX('Retirement Calculator'!J:J,MATCH('Isaac 401k'!N6227,'Retirement Calculator'!A:A,0),0),0)</f>
        <v>0</v>
      </c>
      <c r="K6227" s="455">
        <f t="shared" ca="1" si="221"/>
        <v>-120641408491330.89</v>
      </c>
      <c r="L6227" s="455">
        <f t="shared" ca="1" si="222"/>
        <v>-2.9074579446410748E+16</v>
      </c>
      <c r="M6227" s="471">
        <f t="shared" si="224"/>
        <v>0.05</v>
      </c>
      <c r="N6227" s="475">
        <f t="shared" si="225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23"/>
        <v>-2.9074579446410748E+16</v>
      </c>
      <c r="J6228" s="455">
        <f t="array" ref="J6228">IFERROR(INDEX('Retirement Calculator'!J:J,MATCH('Isaac 401k'!N6228,'Retirement Calculator'!A:A,0),0),0)</f>
        <v>0</v>
      </c>
      <c r="K6228" s="455">
        <f t="shared" ca="1" si="221"/>
        <v>-121144081026711.45</v>
      </c>
      <c r="L6228" s="455">
        <f t="shared" ca="1" si="222"/>
        <v>-2.919572352743746E+16</v>
      </c>
      <c r="M6228" s="471">
        <f t="shared" si="224"/>
        <v>0.05</v>
      </c>
      <c r="N6228" s="475">
        <f t="shared" si="225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23"/>
        <v>-2.919572352743746E+16</v>
      </c>
      <c r="J6229" s="455">
        <f t="array" ref="J6229">IFERROR(INDEX('Retirement Calculator'!J:J,MATCH('Isaac 401k'!N6229,'Retirement Calculator'!A:A,0),0),0)</f>
        <v>0</v>
      </c>
      <c r="K6229" s="455">
        <f t="shared" ca="1" si="221"/>
        <v>-121648848030989.39</v>
      </c>
      <c r="L6229" s="455">
        <f t="shared" ca="1" si="222"/>
        <v>-2.9317372375468448E+16</v>
      </c>
      <c r="M6229" s="471">
        <f t="shared" si="224"/>
        <v>0.05</v>
      </c>
      <c r="N6229" s="475">
        <f t="shared" si="225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23"/>
        <v>-2.9317372375468448E+16</v>
      </c>
      <c r="J6230" s="455">
        <f t="array" ref="J6230">IFERROR(INDEX('Retirement Calculator'!J:J,MATCH('Isaac 401k'!N6230,'Retirement Calculator'!A:A,0),0),0)</f>
        <v>0</v>
      </c>
      <c r="K6230" s="455">
        <f t="shared" ca="1" si="221"/>
        <v>-122155718231118.53</v>
      </c>
      <c r="L6230" s="455">
        <f t="shared" ca="1" si="222"/>
        <v>-2.9439528093699568E+16</v>
      </c>
      <c r="M6230" s="471">
        <f t="shared" si="224"/>
        <v>0.05</v>
      </c>
      <c r="N6230" s="475">
        <f t="shared" si="225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23"/>
        <v>-2.9439528093699568E+16</v>
      </c>
      <c r="J6231" s="455">
        <f t="array" ref="J6231">IFERROR(INDEX('Retirement Calculator'!J:J,MATCH('Isaac 401k'!N6231,'Retirement Calculator'!A:A,0),0),0)</f>
        <v>0</v>
      </c>
      <c r="K6231" s="455">
        <f t="shared" ca="1" si="221"/>
        <v>-122664700390414.86</v>
      </c>
      <c r="L6231" s="455">
        <f t="shared" ca="1" si="222"/>
        <v>-2.9562192794089984E+16</v>
      </c>
      <c r="M6231" s="471">
        <f t="shared" si="224"/>
        <v>0.05</v>
      </c>
      <c r="N6231" s="475">
        <f t="shared" si="225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23"/>
        <v>-2.9562192794089984E+16</v>
      </c>
      <c r="J6232" s="455">
        <f t="array" ref="J6232">IFERROR(INDEX('Retirement Calculator'!J:J,MATCH('Isaac 401k'!N6232,'Retirement Calculator'!A:A,0),0),0)</f>
        <v>0</v>
      </c>
      <c r="K6232" s="455">
        <f t="shared" ca="1" si="221"/>
        <v>-123175803308708.25</v>
      </c>
      <c r="L6232" s="455">
        <f t="shared" ca="1" si="222"/>
        <v>-2.9685368597398692E+16</v>
      </c>
      <c r="M6232" s="471">
        <f t="shared" si="224"/>
        <v>0.05</v>
      </c>
      <c r="N6232" s="475">
        <f t="shared" si="225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23"/>
        <v>-2.9685368597398692E+16</v>
      </c>
      <c r="J6233" s="455">
        <f t="array" ref="J6233">IFERROR(INDEX('Retirement Calculator'!J:J,MATCH('Isaac 401k'!N6233,'Retirement Calculator'!A:A,0),0),0)</f>
        <v>0</v>
      </c>
      <c r="K6233" s="455">
        <f t="shared" ca="1" si="221"/>
        <v>-123689035822494.55</v>
      </c>
      <c r="L6233" s="455">
        <f t="shared" ca="1" si="222"/>
        <v>-2.9809057633221188E+16</v>
      </c>
      <c r="M6233" s="471">
        <f t="shared" si="224"/>
        <v>0.05</v>
      </c>
      <c r="N6233" s="475">
        <f t="shared" si="225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23"/>
        <v>-2.9809057633221188E+16</v>
      </c>
      <c r="J6234" s="455">
        <f t="array" ref="J6234">IFERROR(INDEX('Retirement Calculator'!J:J,MATCH('Isaac 401k'!N6234,'Retirement Calculator'!A:A,0),0),0)</f>
        <v>0</v>
      </c>
      <c r="K6234" s="455">
        <f t="shared" ca="1" si="221"/>
        <v>-124204406805088.28</v>
      </c>
      <c r="L6234" s="455">
        <f t="shared" ca="1" si="222"/>
        <v>-2.9933262040026276E+16</v>
      </c>
      <c r="M6234" s="471">
        <f t="shared" si="224"/>
        <v>0.05</v>
      </c>
      <c r="N6234" s="475">
        <f t="shared" si="225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23"/>
        <v>-2.9933262040026276E+16</v>
      </c>
      <c r="J6235" s="455">
        <f t="array" ref="J6235">IFERROR(INDEX('Retirement Calculator'!J:J,MATCH('Isaac 401k'!N6235,'Retirement Calculator'!A:A,0),0),0)</f>
        <v>0</v>
      </c>
      <c r="K6235" s="455">
        <f t="shared" ca="1" si="221"/>
        <v>-124721925166776.14</v>
      </c>
      <c r="L6235" s="455">
        <f t="shared" ca="1" si="222"/>
        <v>-3.0057983965193052E+16</v>
      </c>
      <c r="M6235" s="471">
        <f t="shared" si="224"/>
        <v>0.05</v>
      </c>
      <c r="N6235" s="475">
        <f t="shared" si="225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23"/>
        <v>-3.0057983965193052E+16</v>
      </c>
      <c r="J6236" s="455">
        <f t="array" ref="J6236">IFERROR(INDEX('Retirement Calculator'!J:J,MATCH('Isaac 401k'!N6236,'Retirement Calculator'!A:A,0),0),0)</f>
        <v>0</v>
      </c>
      <c r="K6236" s="455">
        <f t="shared" ca="1" si="221"/>
        <v>-125241599854971.05</v>
      </c>
      <c r="L6236" s="455">
        <f t="shared" ca="1" si="222"/>
        <v>-3.0183225565048024E+16</v>
      </c>
      <c r="M6236" s="471">
        <f t="shared" si="224"/>
        <v>0.05</v>
      </c>
      <c r="N6236" s="475">
        <f t="shared" si="225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23"/>
        <v>-3.0183225565048024E+16</v>
      </c>
      <c r="J6237" s="455">
        <f t="array" ref="J6237">IFERROR(INDEX('Retirement Calculator'!J:J,MATCH('Isaac 401k'!N6237,'Retirement Calculator'!A:A,0),0),0)</f>
        <v>0</v>
      </c>
      <c r="K6237" s="455">
        <f t="shared" ca="1" si="221"/>
        <v>-125763439854366.77</v>
      </c>
      <c r="L6237" s="455">
        <f t="shared" ca="1" si="222"/>
        <v>-3.0308989004902392E+16</v>
      </c>
      <c r="M6237" s="471">
        <f t="shared" si="224"/>
        <v>0.05</v>
      </c>
      <c r="N6237" s="475">
        <f t="shared" si="225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23"/>
        <v>-3.0308989004902392E+16</v>
      </c>
      <c r="J6238" s="455">
        <f t="array" ref="J6238">IFERROR(INDEX('Retirement Calculator'!J:J,MATCH('Isaac 401k'!N6238,'Retirement Calculator'!A:A,0),0),0)</f>
        <v>0</v>
      </c>
      <c r="K6238" s="455">
        <f t="shared" ca="1" si="221"/>
        <v>-126287454187093.3</v>
      </c>
      <c r="L6238" s="455">
        <f t="shared" ca="1" si="222"/>
        <v>-3.0435276459089484E+16</v>
      </c>
      <c r="M6238" s="471">
        <f t="shared" si="224"/>
        <v>0.05</v>
      </c>
      <c r="N6238" s="475">
        <f t="shared" si="225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23"/>
        <v>-3.0435276459089484E+16</v>
      </c>
      <c r="J6239" s="455">
        <f t="array" ref="J6239">IFERROR(INDEX('Retirement Calculator'!J:J,MATCH('Isaac 401k'!N6239,'Retirement Calculator'!A:A,0),0),0)</f>
        <v>0</v>
      </c>
      <c r="K6239" s="455">
        <f t="shared" ca="1" si="221"/>
        <v>-126813651912872.86</v>
      </c>
      <c r="L6239" s="455">
        <f t="shared" ca="1" si="222"/>
        <v>-3.0562090111002356E+16</v>
      </c>
      <c r="M6239" s="471">
        <f t="shared" si="224"/>
        <v>0.05</v>
      </c>
      <c r="N6239" s="475">
        <f t="shared" si="225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23"/>
        <v>-3.0562090111002356E+16</v>
      </c>
      <c r="J6240" s="455">
        <f t="array" ref="J6240">IFERROR(INDEX('Retirement Calculator'!J:J,MATCH('Isaac 401k'!N6240,'Retirement Calculator'!A:A,0),0),0)</f>
        <v>0</v>
      </c>
      <c r="K6240" s="455">
        <f t="shared" ca="1" si="221"/>
        <v>-127342042129176.47</v>
      </c>
      <c r="L6240" s="455">
        <f t="shared" ca="1" si="222"/>
        <v>-3.0689432153131532E+16</v>
      </c>
      <c r="M6240" s="471">
        <f t="shared" si="224"/>
        <v>0.05</v>
      </c>
      <c r="N6240" s="475">
        <f t="shared" si="225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23"/>
        <v>-3.0689432153131532E+16</v>
      </c>
      <c r="J6241" s="455">
        <f t="array" ref="J6241">IFERROR(INDEX('Retirement Calculator'!J:J,MATCH('Isaac 401k'!N6241,'Retirement Calculator'!A:A,0),0),0)</f>
        <v>0</v>
      </c>
      <c r="K6241" s="455">
        <f t="shared" ca="1" si="221"/>
        <v>-127872633971381.38</v>
      </c>
      <c r="L6241" s="455">
        <f t="shared" ca="1" si="222"/>
        <v>-3.0817304787102912E+16</v>
      </c>
      <c r="M6241" s="471">
        <f t="shared" si="224"/>
        <v>0.05</v>
      </c>
      <c r="N6241" s="475">
        <f t="shared" si="225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23"/>
        <v>-3.0817304787102912E+16</v>
      </c>
      <c r="J6242" s="455">
        <f t="array" ref="J6242">IFERROR(INDEX('Retirement Calculator'!J:J,MATCH('Isaac 401k'!N6242,'Retirement Calculator'!A:A,0),0),0)</f>
        <v>0</v>
      </c>
      <c r="K6242" s="455">
        <f t="shared" ca="1" si="221"/>
        <v>-128405436612928.81</v>
      </c>
      <c r="L6242" s="455">
        <f t="shared" ca="1" si="222"/>
        <v>-3.094571022371584E+16</v>
      </c>
      <c r="M6242" s="471">
        <f t="shared" si="224"/>
        <v>0.05</v>
      </c>
      <c r="N6242" s="475">
        <f t="shared" si="225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23"/>
        <v>-3.094571022371584E+16</v>
      </c>
      <c r="J6243" s="455">
        <f t="array" ref="J6243">IFERROR(INDEX('Retirement Calculator'!J:J,MATCH('Isaac 401k'!N6243,'Retirement Calculator'!A:A,0),0),0)</f>
        <v>0</v>
      </c>
      <c r="K6243" s="455">
        <f t="shared" ca="1" si="221"/>
        <v>-128940459265482.67</v>
      </c>
      <c r="L6243" s="455">
        <f t="shared" ca="1" si="222"/>
        <v>-3.1074650682981324E+16</v>
      </c>
      <c r="M6243" s="471">
        <f t="shared" si="224"/>
        <v>0.05</v>
      </c>
      <c r="N6243" s="475">
        <f t="shared" si="225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23"/>
        <v>-3.1074650682981324E+16</v>
      </c>
      <c r="J6244" s="455">
        <f t="array" ref="J6244">IFERROR(INDEX('Retirement Calculator'!J:J,MATCH('Isaac 401k'!N6244,'Retirement Calculator'!A:A,0),0),0)</f>
        <v>0</v>
      </c>
      <c r="K6244" s="455">
        <f t="shared" ca="1" si="221"/>
        <v>-129477711179088.84</v>
      </c>
      <c r="L6244" s="455">
        <f t="shared" ca="1" si="222"/>
        <v>-3.1204128394160412E+16</v>
      </c>
      <c r="M6244" s="471">
        <f t="shared" si="224"/>
        <v>0.05</v>
      </c>
      <c r="N6244" s="475">
        <f t="shared" si="225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23"/>
        <v>-3.1204128394160412E+16</v>
      </c>
      <c r="J6245" s="455">
        <f t="array" ref="J6245">IFERROR(INDEX('Retirement Calculator'!J:J,MATCH('Isaac 401k'!N6245,'Retirement Calculator'!A:A,0),0),0)</f>
        <v>0</v>
      </c>
      <c r="K6245" s="455">
        <f t="shared" ca="1" si="221"/>
        <v>-130017201642335.03</v>
      </c>
      <c r="L6245" s="455">
        <f t="shared" ca="1" si="222"/>
        <v>-3.1334145595802748E+16</v>
      </c>
      <c r="M6245" s="471">
        <f t="shared" si="224"/>
        <v>0.05</v>
      </c>
      <c r="N6245" s="475">
        <f t="shared" si="225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23"/>
        <v>-3.1334145595802748E+16</v>
      </c>
      <c r="J6246" s="455">
        <f t="array" ref="J6246">IFERROR(INDEX('Retirement Calculator'!J:J,MATCH('Isaac 401k'!N6246,'Retirement Calculator'!A:A,0),0),0)</f>
        <v>0</v>
      </c>
      <c r="K6246" s="455">
        <f t="shared" ca="1" si="221"/>
        <v>-130558939982511.45</v>
      </c>
      <c r="L6246" s="455">
        <f t="shared" ca="1" si="222"/>
        <v>-3.146470453578526E+16</v>
      </c>
      <c r="M6246" s="471">
        <f t="shared" si="224"/>
        <v>0.05</v>
      </c>
      <c r="N6246" s="475">
        <f t="shared" si="225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23"/>
        <v>-3.146470453578526E+16</v>
      </c>
      <c r="J6247" s="455">
        <f t="array" ref="J6247">IFERROR(INDEX('Retirement Calculator'!J:J,MATCH('Isaac 401k'!N6247,'Retirement Calculator'!A:A,0),0),0)</f>
        <v>0</v>
      </c>
      <c r="K6247" s="455">
        <f t="shared" ca="1" si="221"/>
        <v>-131102935565771.89</v>
      </c>
      <c r="L6247" s="455">
        <f t="shared" ca="1" si="222"/>
        <v>-3.1595807471351032E+16</v>
      </c>
      <c r="M6247" s="471">
        <f t="shared" si="224"/>
        <v>0.05</v>
      </c>
      <c r="N6247" s="475">
        <f t="shared" si="225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23"/>
        <v>-3.1595807471351032E+16</v>
      </c>
      <c r="J6248" s="455">
        <f t="array" ref="J6248">IFERROR(INDEX('Retirement Calculator'!J:J,MATCH('Isaac 401k'!N6248,'Retirement Calculator'!A:A,0),0),0)</f>
        <v>0</v>
      </c>
      <c r="K6248" s="455">
        <f t="shared" ca="1" si="221"/>
        <v>-131649197797295.98</v>
      </c>
      <c r="L6248" s="455">
        <f t="shared" ca="1" si="222"/>
        <v>-3.1727456669148328E+16</v>
      </c>
      <c r="M6248" s="471">
        <f t="shared" si="224"/>
        <v>0.05</v>
      </c>
      <c r="N6248" s="475">
        <f t="shared" si="225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23"/>
        <v>-3.1727456669148328E+16</v>
      </c>
      <c r="J6249" s="455">
        <f t="array" ref="J6249">IFERROR(INDEX('Retirement Calculator'!J:J,MATCH('Isaac 401k'!N6249,'Retirement Calculator'!A:A,0),0),0)</f>
        <v>0</v>
      </c>
      <c r="K6249" s="455">
        <f t="shared" ca="1" si="221"/>
        <v>-132197736121451.36</v>
      </c>
      <c r="L6249" s="455">
        <f t="shared" ca="1" si="222"/>
        <v>-3.185965440526978E+16</v>
      </c>
      <c r="M6249" s="471">
        <f t="shared" si="224"/>
        <v>0.05</v>
      </c>
      <c r="N6249" s="475">
        <f t="shared" si="225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23"/>
        <v>-3.185965440526978E+16</v>
      </c>
      <c r="J6250" s="455">
        <f t="array" ref="J6250">IFERROR(INDEX('Retirement Calculator'!J:J,MATCH('Isaac 401k'!N6250,'Retirement Calculator'!A:A,0),0),0)</f>
        <v>0</v>
      </c>
      <c r="K6250" s="455">
        <f t="shared" ca="1" si="221"/>
        <v>-132748560021957.42</v>
      </c>
      <c r="L6250" s="455">
        <f t="shared" ca="1" si="222"/>
        <v>-3.1992402965291736E+16</v>
      </c>
      <c r="M6250" s="471">
        <f t="shared" si="224"/>
        <v>0.05</v>
      </c>
      <c r="N6250" s="475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70" t="s">
        <v>671</v>
      </c>
      <c r="B1" s="455">
        <f ca="1">'Combined Retirement'!I8+'Combined Retirement'!K8</f>
        <v>3266097.1981255049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75"/>
    </row>
    <row r="2" spans="1:14" ht="11.25" customHeight="1" x14ac:dyDescent="0.3">
      <c r="A2" s="470" t="s">
        <v>672</v>
      </c>
      <c r="B2" s="471">
        <v>0.05</v>
      </c>
      <c r="C2" s="457" t="s">
        <v>681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75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75"/>
    </row>
    <row r="4" spans="1:14" ht="11.25" customHeight="1" x14ac:dyDescent="0.3">
      <c r="A4" s="470" t="s">
        <v>674</v>
      </c>
      <c r="B4" s="462">
        <f ca="1">(SUMIFS(H:H,I:I,"&gt;0",L:L,"&lt;0"))/12</f>
        <v>46.916666666666664</v>
      </c>
      <c r="C4" s="474">
        <f ca="1">(SUMIFS(H:H,I:I,"&gt;0",L:L,"&lt;0"))</f>
        <v>563</v>
      </c>
      <c r="D4" s="467">
        <f t="array" aca="1" ref="D4" ca="1">INDEX(N:N,MATCH(C4,H:H,0),0)</f>
        <v>68393</v>
      </c>
      <c r="E4" s="457"/>
      <c r="F4" s="457"/>
      <c r="G4" s="470"/>
      <c r="H4" s="470"/>
      <c r="I4" s="457"/>
      <c r="J4" s="442"/>
      <c r="K4" s="442"/>
      <c r="L4" s="442"/>
      <c r="M4" s="473"/>
      <c r="N4" s="475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75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75"/>
    </row>
    <row r="7" spans="1:14" ht="11.25" customHeight="1" x14ac:dyDescent="0.3">
      <c r="A7" s="470" t="s">
        <v>675</v>
      </c>
      <c r="B7" s="457" t="s">
        <v>676</v>
      </c>
      <c r="C7" s="457" t="s">
        <v>677</v>
      </c>
      <c r="D7" s="457" t="s">
        <v>678</v>
      </c>
      <c r="E7" s="457" t="s">
        <v>679</v>
      </c>
      <c r="F7" s="457"/>
      <c r="G7" s="470" t="s">
        <v>680</v>
      </c>
      <c r="H7" s="470" t="s">
        <v>224</v>
      </c>
      <c r="I7" s="457" t="s">
        <v>676</v>
      </c>
      <c r="J7" s="457" t="s">
        <v>677</v>
      </c>
      <c r="K7" s="457" t="s">
        <v>678</v>
      </c>
      <c r="L7" s="457" t="s">
        <v>679</v>
      </c>
      <c r="M7" s="471"/>
      <c r="N7" s="475" t="s">
        <v>606</v>
      </c>
    </row>
    <row r="8" spans="1:14" ht="11.25" customHeight="1" x14ac:dyDescent="0.3">
      <c r="A8" s="470">
        <v>1</v>
      </c>
      <c r="B8" s="458">
        <f ca="1">B1</f>
        <v>3266097.1981255049</v>
      </c>
      <c r="C8" s="458">
        <f t="shared" ref="C8:C71" si="0">SUMIF(G:G,A8,J:J)</f>
        <v>0</v>
      </c>
      <c r="D8" s="458">
        <f ca="1">SUMIF(G:G,1,K:K)</f>
        <v>167099.731322312</v>
      </c>
      <c r="E8" s="458">
        <f t="shared" ref="E8:E71" ca="1" si="1">B8-C8+D8</f>
        <v>3433196.9294478167</v>
      </c>
      <c r="F8" s="442"/>
      <c r="G8" s="470">
        <v>1</v>
      </c>
      <c r="H8" s="470">
        <v>1</v>
      </c>
      <c r="I8" s="455">
        <f ca="1">B1</f>
        <v>3266097.1981255049</v>
      </c>
      <c r="J8" s="455">
        <f t="array" ref="J8">IFERROR(INDEX('Retirement Calculator'!K:K,MATCH('Lorri 401b'!N8,'Retirement Calculator'!A:A,0),0),0)</f>
        <v>0</v>
      </c>
      <c r="K8" s="455">
        <f t="shared" ref="K8:K262" ca="1" si="2">IPMT(M8/12,1,12,-I8+J8,,0)</f>
        <v>13608.738325522936</v>
      </c>
      <c r="L8" s="455">
        <f t="shared" ref="L8:L262" ca="1" si="3">I8-J8+K8</f>
        <v>3279705.9364510276</v>
      </c>
      <c r="M8" s="471">
        <f>B2</f>
        <v>0.05</v>
      </c>
      <c r="N8" s="475">
        <f>'Retirement Calculator'!D7</f>
        <v>51288</v>
      </c>
    </row>
    <row r="9" spans="1:14" ht="11.25" customHeight="1" x14ac:dyDescent="0.3">
      <c r="A9" s="470">
        <v>2</v>
      </c>
      <c r="B9" s="458">
        <f t="shared" ref="B9:B71" ca="1" si="4">E8</f>
        <v>3433196.9294478167</v>
      </c>
      <c r="C9" s="458">
        <f t="shared" si="0"/>
        <v>0</v>
      </c>
      <c r="D9" s="458">
        <f ca="1">SUMIF(G:G,2,K:K)</f>
        <v>175648.87071228915</v>
      </c>
      <c r="E9" s="458">
        <f t="shared" ca="1" si="1"/>
        <v>3608845.8001601058</v>
      </c>
      <c r="F9" s="442"/>
      <c r="G9" s="470">
        <v>1</v>
      </c>
      <c r="H9" s="470">
        <v>2</v>
      </c>
      <c r="I9" s="455">
        <f t="shared" ref="I9:I263" ca="1" si="5">L8</f>
        <v>3279705.9364510276</v>
      </c>
      <c r="J9" s="455">
        <f t="array" ref="J9">IFERROR(INDEX('Retirement Calculator'!K:K,MATCH('Lorri 401b'!N9,'Retirement Calculator'!A:A,0),0),0)</f>
        <v>0</v>
      </c>
      <c r="K9" s="455">
        <f t="shared" ca="1" si="2"/>
        <v>13665.441401879281</v>
      </c>
      <c r="L9" s="455">
        <f t="shared" ca="1" si="3"/>
        <v>3293371.3778529069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3608845.8001601058</v>
      </c>
      <c r="C10" s="458">
        <f t="shared" si="0"/>
        <v>0</v>
      </c>
      <c r="D10" s="458">
        <f ca="1">SUMIF(G:G,3,K:K)</f>
        <v>184635.40029871307</v>
      </c>
      <c r="E10" s="458">
        <f t="shared" ca="1" si="1"/>
        <v>3793481.200458819</v>
      </c>
      <c r="F10" s="442"/>
      <c r="G10" s="470">
        <v>1</v>
      </c>
      <c r="H10" s="470">
        <v>3</v>
      </c>
      <c r="I10" s="455">
        <f t="shared" ca="1" si="5"/>
        <v>3293371.3778529069</v>
      </c>
      <c r="J10" s="455">
        <f t="array" ref="J10">IFERROR(INDEX('Retirement Calculator'!K:K,MATCH('Lorri 401b'!N10,'Retirement Calculator'!A:A,0),0),0)</f>
        <v>0</v>
      </c>
      <c r="K10" s="455">
        <f t="shared" ca="1" si="2"/>
        <v>13722.380741053777</v>
      </c>
      <c r="L10" s="455">
        <f t="shared" ca="1" si="3"/>
        <v>3307093.7585939607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3793481.200458819</v>
      </c>
      <c r="C11" s="458">
        <f t="shared" si="0"/>
        <v>0</v>
      </c>
      <c r="D11" s="458">
        <f ca="1">SUMIF(G:G,4,K:K)</f>
        <v>194081.6977941487</v>
      </c>
      <c r="E11" s="458">
        <f t="shared" ca="1" si="1"/>
        <v>3987562.8982529677</v>
      </c>
      <c r="F11" s="442"/>
      <c r="G11" s="470">
        <v>1</v>
      </c>
      <c r="H11" s="470">
        <v>4</v>
      </c>
      <c r="I11" s="455">
        <f t="shared" ca="1" si="5"/>
        <v>3307093.7585939607</v>
      </c>
      <c r="J11" s="455">
        <f t="array" ref="J11">IFERROR(INDEX('Retirement Calculator'!K:K,MATCH('Lorri 401b'!N11,'Retirement Calculator'!A:A,0),0),0)</f>
        <v>0</v>
      </c>
      <c r="K11" s="455">
        <f t="shared" ca="1" si="2"/>
        <v>13779.557327474837</v>
      </c>
      <c r="L11" s="455">
        <f t="shared" ca="1" si="3"/>
        <v>3320873.3159214356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3987562.8982529677</v>
      </c>
      <c r="C12" s="458">
        <f t="shared" si="0"/>
        <v>0</v>
      </c>
      <c r="D12" s="458">
        <f ca="1">SUMIF(G:G,5,K:K)</f>
        <v>204011.28579740634</v>
      </c>
      <c r="E12" s="458">
        <f t="shared" ca="1" si="1"/>
        <v>4191574.1840503742</v>
      </c>
      <c r="F12" s="442"/>
      <c r="G12" s="470">
        <v>1</v>
      </c>
      <c r="H12" s="470">
        <v>5</v>
      </c>
      <c r="I12" s="455">
        <f t="shared" ca="1" si="5"/>
        <v>3320873.3159214356</v>
      </c>
      <c r="J12" s="455">
        <f t="array" ref="J12">IFERROR(INDEX('Retirement Calculator'!K:K,MATCH('Lorri 401b'!N12,'Retirement Calculator'!A:A,0),0),0)</f>
        <v>0</v>
      </c>
      <c r="K12" s="455">
        <f t="shared" ca="1" si="2"/>
        <v>13836.972149672649</v>
      </c>
      <c r="L12" s="455">
        <f t="shared" ca="1" si="3"/>
        <v>3334710.2880711081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4191574.1840503742</v>
      </c>
      <c r="C13" s="458">
        <f t="shared" si="0"/>
        <v>110129.63259692027</v>
      </c>
      <c r="D13" s="458">
        <f ca="1">SUMIF(G:G,6,K:K)</f>
        <v>213064.59812996001</v>
      </c>
      <c r="E13" s="458">
        <f t="shared" ca="1" si="1"/>
        <v>4294509.1495834142</v>
      </c>
      <c r="F13" s="442"/>
      <c r="G13" s="470">
        <v>1</v>
      </c>
      <c r="H13" s="470">
        <v>6</v>
      </c>
      <c r="I13" s="455">
        <f t="shared" ca="1" si="5"/>
        <v>3334710.2880711081</v>
      </c>
      <c r="J13" s="455">
        <f t="array" ref="J13">IFERROR(INDEX('Retirement Calculator'!K:K,MATCH('Lorri 401b'!N13,'Retirement Calculator'!A:A,0),0),0)</f>
        <v>0</v>
      </c>
      <c r="K13" s="455">
        <f t="shared" ca="1" si="2"/>
        <v>13894.626200296285</v>
      </c>
      <c r="L13" s="455">
        <f t="shared" ca="1" si="3"/>
        <v>3348604.9142714045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4294509.1495834142</v>
      </c>
      <c r="C14" s="458">
        <f t="shared" si="0"/>
        <v>264311.11823260866</v>
      </c>
      <c r="D14" s="458">
        <f ca="1">SUMIF(G:G,7,K:K)</f>
        <v>212446.29979196042</v>
      </c>
      <c r="E14" s="458">
        <f t="shared" ca="1" si="1"/>
        <v>4242644.3311427655</v>
      </c>
      <c r="F14" s="442"/>
      <c r="G14" s="470">
        <v>1</v>
      </c>
      <c r="H14" s="470">
        <v>7</v>
      </c>
      <c r="I14" s="455">
        <f t="shared" ca="1" si="5"/>
        <v>3348604.9142714045</v>
      </c>
      <c r="J14" s="455">
        <f t="array" ref="J14">IFERROR(INDEX('Retirement Calculator'!K:K,MATCH('Lorri 401b'!N14,'Retirement Calculator'!A:A,0),0),0)</f>
        <v>0</v>
      </c>
      <c r="K14" s="455">
        <f t="shared" ca="1" si="2"/>
        <v>13952.520476130852</v>
      </c>
      <c r="L14" s="455">
        <f t="shared" ca="1" si="3"/>
        <v>3362557.4347475353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4242644.3311427655</v>
      </c>
      <c r="C15" s="458">
        <f t="shared" si="0"/>
        <v>264311.11823260866</v>
      </c>
      <c r="D15" s="458">
        <f ca="1">SUMIF(G:G,8,K:K)</f>
        <v>209792.79724724556</v>
      </c>
      <c r="E15" s="458">
        <f t="shared" ca="1" si="1"/>
        <v>4188126.0101574021</v>
      </c>
      <c r="F15" s="442"/>
      <c r="G15" s="470">
        <v>1</v>
      </c>
      <c r="H15" s="470">
        <v>8</v>
      </c>
      <c r="I15" s="455">
        <f t="shared" ca="1" si="5"/>
        <v>3362557.4347475353</v>
      </c>
      <c r="J15" s="455">
        <f t="array" ref="J15">IFERROR(INDEX('Retirement Calculator'!K:K,MATCH('Lorri 401b'!N15,'Retirement Calculator'!A:A,0),0),0)</f>
        <v>0</v>
      </c>
      <c r="K15" s="455">
        <f t="shared" ca="1" si="2"/>
        <v>14010.655978114732</v>
      </c>
      <c r="L15" s="455">
        <f t="shared" ca="1" si="3"/>
        <v>3376568.0907256501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4188126.0101574021</v>
      </c>
      <c r="C16" s="458">
        <f t="shared" si="0"/>
        <v>245128.2138326086</v>
      </c>
      <c r="D16" s="458">
        <f ca="1">SUMIF(G:G,9,K:K)</f>
        <v>207489.83267968008</v>
      </c>
      <c r="E16" s="458">
        <f t="shared" ca="1" si="1"/>
        <v>4150487.6290044738</v>
      </c>
      <c r="F16" s="442"/>
      <c r="G16" s="470">
        <v>1</v>
      </c>
      <c r="H16" s="470">
        <v>9</v>
      </c>
      <c r="I16" s="455">
        <f t="shared" ca="1" si="5"/>
        <v>3376568.0907256501</v>
      </c>
      <c r="J16" s="455">
        <f t="array" ref="J16">IFERROR(INDEX('Retirement Calculator'!K:K,MATCH('Lorri 401b'!N16,'Retirement Calculator'!A:A,0),0),0)</f>
        <v>0</v>
      </c>
      <c r="K16" s="455">
        <f t="shared" ca="1" si="2"/>
        <v>14069.033711356875</v>
      </c>
      <c r="L16" s="455">
        <f t="shared" ca="1" si="3"/>
        <v>3390637.1244370071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4150487.6290044738</v>
      </c>
      <c r="C17" s="458">
        <f t="shared" si="0"/>
        <v>243384.31343260861</v>
      </c>
      <c r="D17" s="458">
        <f ca="1">SUMIF(G:G,10,K:K)</f>
        <v>205653.40292088102</v>
      </c>
      <c r="E17" s="458">
        <f t="shared" ca="1" si="1"/>
        <v>4112756.7184927459</v>
      </c>
      <c r="F17" s="442"/>
      <c r="G17" s="470">
        <v>1</v>
      </c>
      <c r="H17" s="470">
        <v>10</v>
      </c>
      <c r="I17" s="455">
        <f t="shared" ca="1" si="5"/>
        <v>3390637.1244370071</v>
      </c>
      <c r="J17" s="455">
        <f t="array" ref="J17">IFERROR(INDEX('Retirement Calculator'!K:K,MATCH('Lorri 401b'!N17,'Retirement Calculator'!A:A,0),0),0)</f>
        <v>0</v>
      </c>
      <c r="K17" s="455">
        <f t="shared" ca="1" si="2"/>
        <v>14127.654685154195</v>
      </c>
      <c r="L17" s="455">
        <f t="shared" ca="1" si="3"/>
        <v>3404764.7791221612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4112756.7184927459</v>
      </c>
      <c r="C18" s="458">
        <f t="shared" si="0"/>
        <v>243384.31343260861</v>
      </c>
      <c r="D18" s="458">
        <f ca="1">SUMIF(G:G,11,K:K)</f>
        <v>203723.0179302952</v>
      </c>
      <c r="E18" s="458">
        <f t="shared" ca="1" si="1"/>
        <v>4073095.4229904325</v>
      </c>
      <c r="F18" s="442"/>
      <c r="G18" s="470">
        <v>1</v>
      </c>
      <c r="H18" s="470">
        <v>11</v>
      </c>
      <c r="I18" s="455">
        <f t="shared" ca="1" si="5"/>
        <v>3404764.7791221612</v>
      </c>
      <c r="J18" s="455">
        <f t="array" ref="J18">IFERROR(INDEX('Retirement Calculator'!K:K,MATCH('Lorri 401b'!N18,'Retirement Calculator'!A:A,0),0),0)</f>
        <v>0</v>
      </c>
      <c r="K18" s="455">
        <f t="shared" ca="1" si="2"/>
        <v>14186.519913009004</v>
      </c>
      <c r="L18" s="455">
        <f t="shared" ca="1" si="3"/>
        <v>3418951.2990351701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4073095.4229904325</v>
      </c>
      <c r="C19" s="458">
        <f t="shared" si="0"/>
        <v>243384.31343260861</v>
      </c>
      <c r="D19" s="458">
        <f ca="1">SUMIF(G:G,12,K:K)</f>
        <v>201693.8707799486</v>
      </c>
      <c r="E19" s="458">
        <f t="shared" ca="1" si="1"/>
        <v>4031404.9803377725</v>
      </c>
      <c r="F19" s="442"/>
      <c r="G19" s="470">
        <v>1</v>
      </c>
      <c r="H19" s="470">
        <v>12</v>
      </c>
      <c r="I19" s="455">
        <f t="shared" ca="1" si="5"/>
        <v>3418951.2990351701</v>
      </c>
      <c r="J19" s="455">
        <f t="array" ref="J19">IFERROR(INDEX('Retirement Calculator'!K:K,MATCH('Lorri 401b'!N19,'Retirement Calculator'!A:A,0),0),0)</f>
        <v>0</v>
      </c>
      <c r="K19" s="455">
        <f t="shared" ca="1" si="2"/>
        <v>14245.630412646542</v>
      </c>
      <c r="L19" s="455">
        <f t="shared" ca="1" si="3"/>
        <v>3433196.9294478167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4031404.9803377725</v>
      </c>
      <c r="C20" s="458">
        <f t="shared" si="0"/>
        <v>243384.31343260861</v>
      </c>
      <c r="D20" s="458">
        <f ca="1">SUMIF(G:G,13,K:K)</f>
        <v>199560.90861030904</v>
      </c>
      <c r="E20" s="458">
        <f t="shared" ca="1" si="1"/>
        <v>3987581.5755154728</v>
      </c>
      <c r="F20" s="442"/>
      <c r="G20" s="470">
        <v>2</v>
      </c>
      <c r="H20" s="470">
        <v>13</v>
      </c>
      <c r="I20" s="455">
        <f t="shared" ca="1" si="5"/>
        <v>3433196.9294478167</v>
      </c>
      <c r="J20" s="455">
        <f t="array" ref="J20">IFERROR(INDEX('Retirement Calculator'!K:K,MATCH('Lorri 401b'!N20,'Retirement Calculator'!A:A,0),0),0)</f>
        <v>0</v>
      </c>
      <c r="K20" s="455">
        <f t="shared" ca="1" si="2"/>
        <v>14304.987206032571</v>
      </c>
      <c r="L20" s="455">
        <f t="shared" ca="1" si="3"/>
        <v>3447501.9166538492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3987581.5755154728</v>
      </c>
      <c r="C21" s="458">
        <f t="shared" si="0"/>
        <v>243384.31343260861</v>
      </c>
      <c r="D21" s="458">
        <f ca="1">SUMIF(G:G,14,K:K)</f>
        <v>197318.82004796073</v>
      </c>
      <c r="E21" s="458">
        <f t="shared" ca="1" si="1"/>
        <v>3941516.0821308247</v>
      </c>
      <c r="F21" s="442"/>
      <c r="G21" s="470">
        <v>2</v>
      </c>
      <c r="H21" s="470">
        <v>14</v>
      </c>
      <c r="I21" s="455">
        <f t="shared" ca="1" si="5"/>
        <v>3447501.9166538492</v>
      </c>
      <c r="J21" s="455">
        <f t="array" ref="J21">IFERROR(INDEX('Retirement Calculator'!K:K,MATCH('Lorri 401b'!N21,'Retirement Calculator'!A:A,0),0),0)</f>
        <v>0</v>
      </c>
      <c r="K21" s="455">
        <f t="shared" ca="1" si="2"/>
        <v>14364.59131939104</v>
      </c>
      <c r="L21" s="455">
        <f t="shared" ca="1" si="3"/>
        <v>3461866.5079732402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3941516.0821308247</v>
      </c>
      <c r="C22" s="458">
        <f t="shared" si="0"/>
        <v>243384.31343260861</v>
      </c>
      <c r="D22" s="458">
        <f ca="1">SUMIF(G:G,15,K:K)</f>
        <v>194962.02197954379</v>
      </c>
      <c r="E22" s="458">
        <f t="shared" ca="1" si="1"/>
        <v>3893093.7906777598</v>
      </c>
      <c r="F22" s="442"/>
      <c r="G22" s="470">
        <v>2</v>
      </c>
      <c r="H22" s="470">
        <v>15</v>
      </c>
      <c r="I22" s="455">
        <f t="shared" ca="1" si="5"/>
        <v>3461866.5079732402</v>
      </c>
      <c r="J22" s="455">
        <f t="array" ref="J22">IFERROR(INDEX('Retirement Calculator'!K:K,MATCH('Lorri 401b'!N22,'Retirement Calculator'!A:A,0),0),0)</f>
        <v>0</v>
      </c>
      <c r="K22" s="455">
        <f t="shared" ca="1" si="2"/>
        <v>14424.443783221832</v>
      </c>
      <c r="L22" s="455">
        <f t="shared" ca="1" si="3"/>
        <v>3476290.951756462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3893093.7906777598</v>
      </c>
      <c r="C23" s="458">
        <f t="shared" si="0"/>
        <v>243384.31343260861</v>
      </c>
      <c r="D23" s="458">
        <f ca="1">SUMIF(G:G,16,K:K)</f>
        <v>192484.6456490226</v>
      </c>
      <c r="E23" s="458">
        <f t="shared" ca="1" si="1"/>
        <v>3842194.1228941735</v>
      </c>
      <c r="F23" s="442"/>
      <c r="G23" s="470">
        <v>2</v>
      </c>
      <c r="H23" s="470">
        <v>16</v>
      </c>
      <c r="I23" s="455">
        <f t="shared" ca="1" si="5"/>
        <v>3476290.951756462</v>
      </c>
      <c r="J23" s="455">
        <f t="array" ref="J23">IFERROR(INDEX('Retirement Calculator'!K:K,MATCH('Lorri 401b'!N23,'Retirement Calculator'!A:A,0),0),0)</f>
        <v>0</v>
      </c>
      <c r="K23" s="455">
        <f t="shared" ca="1" si="2"/>
        <v>14484.545632318592</v>
      </c>
      <c r="L23" s="455">
        <f t="shared" ca="1" si="3"/>
        <v>3490775.4973887806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3842194.1228941735</v>
      </c>
      <c r="C24" s="458">
        <f t="shared" si="0"/>
        <v>243384.31343260861</v>
      </c>
      <c r="D24" s="458">
        <f ca="1">SUMIF(G:G,17,K:K)</f>
        <v>189880.52204366459</v>
      </c>
      <c r="E24" s="458">
        <f t="shared" ca="1" si="1"/>
        <v>3788690.3315052292</v>
      </c>
      <c r="F24" s="442"/>
      <c r="G24" s="470">
        <v>2</v>
      </c>
      <c r="H24" s="470">
        <v>17</v>
      </c>
      <c r="I24" s="455">
        <f t="shared" ca="1" si="5"/>
        <v>3490775.4973887806</v>
      </c>
      <c r="J24" s="455">
        <f t="array" ref="J24">IFERROR(INDEX('Retirement Calculator'!K:K,MATCH('Lorri 401b'!N24,'Retirement Calculator'!A:A,0),0),0)</f>
        <v>0</v>
      </c>
      <c r="K24" s="455">
        <f t="shared" ca="1" si="2"/>
        <v>14544.897905786585</v>
      </c>
      <c r="L24" s="455">
        <f t="shared" ca="1" si="3"/>
        <v>3505320.3952945671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3788690.3315052292</v>
      </c>
      <c r="C25" s="458">
        <f t="shared" si="0"/>
        <v>243384.31343260861</v>
      </c>
      <c r="D25" s="458">
        <f ca="1">SUMIF(G:G,18,K:K)</f>
        <v>187143.16653233796</v>
      </c>
      <c r="E25" s="458">
        <f t="shared" ca="1" si="1"/>
        <v>3732449.1846049586</v>
      </c>
      <c r="F25" s="442"/>
      <c r="G25" s="470">
        <v>2</v>
      </c>
      <c r="H25" s="470">
        <v>18</v>
      </c>
      <c r="I25" s="455">
        <f t="shared" ca="1" si="5"/>
        <v>3505320.3952945671</v>
      </c>
      <c r="J25" s="455">
        <f t="array" ref="J25">IFERROR(INDEX('Retirement Calculator'!K:K,MATCH('Lorri 401b'!N25,'Retirement Calculator'!A:A,0),0),0)</f>
        <v>0</v>
      </c>
      <c r="K25" s="455">
        <f t="shared" ca="1" si="2"/>
        <v>14605.501647060695</v>
      </c>
      <c r="L25" s="455">
        <f t="shared" ca="1" si="3"/>
        <v>3519925.8969416278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3732449.1846049586</v>
      </c>
      <c r="C26" s="458">
        <f t="shared" si="0"/>
        <v>243384.31343260861</v>
      </c>
      <c r="D26" s="458">
        <f ca="1">SUMIF(G:G,19,K:K)</f>
        <v>184265.76271787481</v>
      </c>
      <c r="E26" s="458">
        <f t="shared" ca="1" si="1"/>
        <v>3673330.6338902246</v>
      </c>
      <c r="F26" s="442"/>
      <c r="G26" s="470">
        <v>2</v>
      </c>
      <c r="H26" s="470">
        <v>19</v>
      </c>
      <c r="I26" s="455">
        <f t="shared" ca="1" si="5"/>
        <v>3519925.8969416278</v>
      </c>
      <c r="J26" s="455">
        <f t="array" ref="J26">IFERROR(INDEX('Retirement Calculator'!K:K,MATCH('Lorri 401b'!N26,'Retirement Calculator'!A:A,0),0),0)</f>
        <v>0</v>
      </c>
      <c r="K26" s="455">
        <f t="shared" ca="1" si="2"/>
        <v>14666.357903923452</v>
      </c>
      <c r="L26" s="455">
        <f t="shared" ca="1" si="3"/>
        <v>3534592.2548455512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3673330.6338902246</v>
      </c>
      <c r="C27" s="458">
        <f t="shared" si="0"/>
        <v>243384.31343260861</v>
      </c>
      <c r="D27" s="458">
        <f ca="1">SUMIF(G:G,20,K:K)</f>
        <v>181241.14546329156</v>
      </c>
      <c r="E27" s="458">
        <f t="shared" ca="1" si="1"/>
        <v>3611187.4659209074</v>
      </c>
      <c r="F27" s="442"/>
      <c r="G27" s="470">
        <v>2</v>
      </c>
      <c r="H27" s="470">
        <v>20</v>
      </c>
      <c r="I27" s="455">
        <f t="shared" ca="1" si="5"/>
        <v>3534592.2548455512</v>
      </c>
      <c r="J27" s="455">
        <f t="array" ref="J27">IFERROR(INDEX('Retirement Calculator'!K:K,MATCH('Lorri 401b'!N27,'Retirement Calculator'!A:A,0),0),0)</f>
        <v>0</v>
      </c>
      <c r="K27" s="455">
        <f t="shared" ca="1" si="2"/>
        <v>14727.46772852313</v>
      </c>
      <c r="L27" s="455">
        <f t="shared" ca="1" si="3"/>
        <v>3549319.7225740743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3611187.4659209074</v>
      </c>
      <c r="C28" s="458">
        <f t="shared" si="0"/>
        <v>243384.31343260861</v>
      </c>
      <c r="D28" s="458">
        <f ca="1">SUMIF(G:G,21,K:K)</f>
        <v>178061.78304959807</v>
      </c>
      <c r="E28" s="458">
        <f t="shared" ca="1" si="1"/>
        <v>3545864.9355378966</v>
      </c>
      <c r="F28" s="442"/>
      <c r="G28" s="470">
        <v>2</v>
      </c>
      <c r="H28" s="470">
        <v>21</v>
      </c>
      <c r="I28" s="455">
        <f t="shared" ca="1" si="5"/>
        <v>3549319.7225740743</v>
      </c>
      <c r="J28" s="455">
        <f t="array" ref="J28">IFERROR(INDEX('Retirement Calculator'!K:K,MATCH('Lorri 401b'!N28,'Retirement Calculator'!A:A,0),0),0)</f>
        <v>0</v>
      </c>
      <c r="K28" s="455">
        <f t="shared" ca="1" si="2"/>
        <v>14788.832177391976</v>
      </c>
      <c r="L28" s="455">
        <f t="shared" ca="1" si="3"/>
        <v>3564108.5547514665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3545864.9355378966</v>
      </c>
      <c r="C29" s="458">
        <f t="shared" si="0"/>
        <v>243384.31343260861</v>
      </c>
      <c r="D29" s="458">
        <f ca="1">SUMIF(G:G,22,K:K)</f>
        <v>174719.75842076607</v>
      </c>
      <c r="E29" s="458">
        <f t="shared" ca="1" si="1"/>
        <v>3477200.3805260537</v>
      </c>
      <c r="F29" s="442"/>
      <c r="G29" s="470">
        <v>2</v>
      </c>
      <c r="H29" s="470">
        <v>22</v>
      </c>
      <c r="I29" s="455">
        <f t="shared" ca="1" si="5"/>
        <v>3564108.5547514665</v>
      </c>
      <c r="J29" s="455">
        <f t="array" ref="J29">IFERROR(INDEX('Retirement Calculator'!K:K,MATCH('Lorri 401b'!N29,'Retirement Calculator'!A:A,0),0),0)</f>
        <v>0</v>
      </c>
      <c r="K29" s="455">
        <f t="shared" ca="1" si="2"/>
        <v>14850.452311464443</v>
      </c>
      <c r="L29" s="455">
        <f t="shared" ca="1" si="3"/>
        <v>3578959.0070629311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3477200.3805260537</v>
      </c>
      <c r="C30" s="458">
        <f t="shared" si="0"/>
        <v>243384.31343260861</v>
      </c>
      <c r="D30" s="458">
        <f ca="1">SUMIF(G:G,23,K:K)</f>
        <v>171206.74946915556</v>
      </c>
      <c r="E30" s="458">
        <f t="shared" ca="1" si="1"/>
        <v>3405022.8165626004</v>
      </c>
      <c r="F30" s="442"/>
      <c r="G30" s="470">
        <v>2</v>
      </c>
      <c r="H30" s="470">
        <v>23</v>
      </c>
      <c r="I30" s="455">
        <f t="shared" ca="1" si="5"/>
        <v>3578959.0070629311</v>
      </c>
      <c r="J30" s="455">
        <f t="array" ref="J30">IFERROR(INDEX('Retirement Calculator'!K:K,MATCH('Lorri 401b'!N30,'Retirement Calculator'!A:A,0),0),0)</f>
        <v>0</v>
      </c>
      <c r="K30" s="455">
        <f t="shared" ca="1" si="2"/>
        <v>14912.329196095547</v>
      </c>
      <c r="L30" s="455">
        <f t="shared" ca="1" si="3"/>
        <v>3593871.3362590265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3405022.8165626004</v>
      </c>
      <c r="C31" s="458">
        <f t="shared" si="0"/>
        <v>243384.31343260861</v>
      </c>
      <c r="D31" s="458">
        <f ca="1">SUMIF(G:G,24,K:K)</f>
        <v>167514.0083123052</v>
      </c>
      <c r="E31" s="458">
        <f t="shared" ca="1" si="1"/>
        <v>3329152.5114422971</v>
      </c>
      <c r="F31" s="442"/>
      <c r="G31" s="470">
        <v>2</v>
      </c>
      <c r="H31" s="470">
        <v>24</v>
      </c>
      <c r="I31" s="455">
        <f t="shared" ca="1" si="5"/>
        <v>3593871.3362590265</v>
      </c>
      <c r="J31" s="455">
        <f t="array" ref="J31">IFERROR(INDEX('Retirement Calculator'!K:K,MATCH('Lorri 401b'!N31,'Retirement Calculator'!A:A,0),0),0)</f>
        <v>0</v>
      </c>
      <c r="K31" s="455">
        <f t="shared" ca="1" si="2"/>
        <v>14974.46390107928</v>
      </c>
      <c r="L31" s="455">
        <f t="shared" ca="1" si="3"/>
        <v>3608845.8001601058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3329152.5114422971</v>
      </c>
      <c r="C32" s="458">
        <f t="shared" si="0"/>
        <v>243384.31343260861</v>
      </c>
      <c r="D32" s="458">
        <f ca="1">SUMIF(G:G,25,K:K)</f>
        <v>163632.33950948433</v>
      </c>
      <c r="E32" s="458">
        <f t="shared" ca="1" si="1"/>
        <v>3249400.5375191728</v>
      </c>
      <c r="F32" s="442"/>
      <c r="G32" s="470">
        <v>3</v>
      </c>
      <c r="H32" s="470">
        <v>25</v>
      </c>
      <c r="I32" s="455">
        <f t="shared" ca="1" si="5"/>
        <v>3608845.8001601058</v>
      </c>
      <c r="J32" s="455">
        <f t="array" ref="J32">IFERROR(INDEX('Retirement Calculator'!K:K,MATCH('Lorri 401b'!N32,'Retirement Calculator'!A:A,0),0),0)</f>
        <v>0</v>
      </c>
      <c r="K32" s="455">
        <f t="shared" ca="1" si="2"/>
        <v>15036.857500667107</v>
      </c>
      <c r="L32" s="455">
        <f t="shared" ca="1" si="3"/>
        <v>3623882.657660773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3249400.5375191728</v>
      </c>
      <c r="C33" s="458">
        <f t="shared" si="0"/>
        <v>243384.31343260861</v>
      </c>
      <c r="D33" s="458">
        <f ca="1">SUMIF(G:G,26,K:K)</f>
        <v>159552.07716376285</v>
      </c>
      <c r="E33" s="458">
        <f t="shared" ca="1" si="1"/>
        <v>3165568.3012503269</v>
      </c>
      <c r="F33" s="442"/>
      <c r="G33" s="470">
        <v>3</v>
      </c>
      <c r="H33" s="470">
        <v>26</v>
      </c>
      <c r="I33" s="455">
        <f t="shared" ca="1" si="5"/>
        <v>3623882.657660773</v>
      </c>
      <c r="J33" s="455">
        <f t="array" ref="J33">IFERROR(INDEX('Retirement Calculator'!K:K,MATCH('Lorri 401b'!N33,'Retirement Calculator'!A:A,0),0),0)</f>
        <v>0</v>
      </c>
      <c r="K33" s="455">
        <f t="shared" ca="1" si="2"/>
        <v>15099.511073586555</v>
      </c>
      <c r="L33" s="455">
        <f t="shared" ca="1" si="3"/>
        <v>3638982.1687343596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3165568.3012503269</v>
      </c>
      <c r="C34" s="458">
        <f t="shared" si="0"/>
        <v>243384.31343260861</v>
      </c>
      <c r="D34" s="458">
        <f ca="1">SUMIF(G:G,27,K:K)</f>
        <v>155263.06085257881</v>
      </c>
      <c r="E34" s="458">
        <f t="shared" ca="1" si="1"/>
        <v>3077447.048670297</v>
      </c>
      <c r="F34" s="442"/>
      <c r="G34" s="470">
        <v>3</v>
      </c>
      <c r="H34" s="470">
        <v>27</v>
      </c>
      <c r="I34" s="455">
        <f t="shared" ca="1" si="5"/>
        <v>3638982.1687343596</v>
      </c>
      <c r="J34" s="455">
        <f t="array" ref="J34">IFERROR(INDEX('Retirement Calculator'!K:K,MATCH('Lorri 401b'!N34,'Retirement Calculator'!A:A,0),0),0)</f>
        <v>0</v>
      </c>
      <c r="K34" s="455">
        <f t="shared" ca="1" si="2"/>
        <v>15162.425703059831</v>
      </c>
      <c r="L34" s="455">
        <f t="shared" ca="1" si="3"/>
        <v>3654144.5944374194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3077447.048670297</v>
      </c>
      <c r="C35" s="458">
        <f t="shared" si="0"/>
        <v>243384.31343260861</v>
      </c>
      <c r="D35" s="458">
        <f ca="1">SUMIF(G:G,28,K:K)</f>
        <v>150754.61032686901</v>
      </c>
      <c r="E35" s="458">
        <f t="shared" ca="1" si="1"/>
        <v>2984817.3455645572</v>
      </c>
      <c r="F35" s="442"/>
      <c r="G35" s="470">
        <v>3</v>
      </c>
      <c r="H35" s="470">
        <v>28</v>
      </c>
      <c r="I35" s="455">
        <f t="shared" ca="1" si="5"/>
        <v>3654144.5944374194</v>
      </c>
      <c r="J35" s="455">
        <f t="array" ref="J35">IFERROR(INDEX('Retirement Calculator'!K:K,MATCH('Lorri 401b'!N35,'Retirement Calculator'!A:A,0),0),0)</f>
        <v>0</v>
      </c>
      <c r="K35" s="455">
        <f t="shared" ca="1" si="2"/>
        <v>15225.602476822582</v>
      </c>
      <c r="L35" s="455">
        <f t="shared" ca="1" si="3"/>
        <v>3669370.1969142421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2984817.3455645572</v>
      </c>
      <c r="C36" s="458">
        <f t="shared" si="0"/>
        <v>243384.31343260861</v>
      </c>
      <c r="D36" s="458">
        <f ca="1">SUMIF(G:G,29,K:K)</f>
        <v>146015.4989157579</v>
      </c>
      <c r="E36" s="458">
        <f t="shared" ca="1" si="1"/>
        <v>2887448.5310477065</v>
      </c>
      <c r="F36" s="442"/>
      <c r="G36" s="470">
        <v>3</v>
      </c>
      <c r="H36" s="470">
        <v>29</v>
      </c>
      <c r="I36" s="455">
        <f t="shared" ca="1" si="5"/>
        <v>3669370.1969142421</v>
      </c>
      <c r="J36" s="455">
        <f t="array" ref="J36">IFERROR(INDEX('Retirement Calculator'!K:K,MATCH('Lorri 401b'!N36,'Retirement Calculator'!A:A,0),0),0)</f>
        <v>0</v>
      </c>
      <c r="K36" s="455">
        <f t="shared" ca="1" si="2"/>
        <v>15289.042487142677</v>
      </c>
      <c r="L36" s="455">
        <f t="shared" ca="1" si="3"/>
        <v>3684659.2394013847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2887448.5310477065</v>
      </c>
      <c r="C37" s="458">
        <f t="shared" si="0"/>
        <v>243384.31343260861</v>
      </c>
      <c r="D37" s="458">
        <f ca="1">SUMIF(G:G,30,K:K)</f>
        <v>141033.92557058137</v>
      </c>
      <c r="E37" s="458">
        <f t="shared" ca="1" si="1"/>
        <v>2785098.1431856793</v>
      </c>
      <c r="F37" s="442"/>
      <c r="G37" s="470">
        <v>3</v>
      </c>
      <c r="H37" s="470">
        <v>30</v>
      </c>
      <c r="I37" s="455">
        <f t="shared" ca="1" si="5"/>
        <v>3684659.2394013847</v>
      </c>
      <c r="J37" s="455">
        <f t="array" ref="J37">IFERROR(INDEX('Retirement Calculator'!K:K,MATCH('Lorri 401b'!N37,'Retirement Calculator'!A:A,0),0),0)</f>
        <v>0</v>
      </c>
      <c r="K37" s="455">
        <f t="shared" ca="1" si="2"/>
        <v>15352.746830839102</v>
      </c>
      <c r="L37" s="455">
        <f t="shared" ca="1" si="3"/>
        <v>3700011.9862322239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2785098.1431856793</v>
      </c>
      <c r="C38" s="458">
        <f t="shared" si="0"/>
        <v>243384.31343260861</v>
      </c>
      <c r="D38" s="458">
        <f ca="1">SUMIF(G:G,31,K:K)</f>
        <v>135797.48547862863</v>
      </c>
      <c r="E38" s="458">
        <f t="shared" ca="1" si="1"/>
        <v>2677511.315231699</v>
      </c>
      <c r="F38" s="442"/>
      <c r="G38" s="470">
        <v>3</v>
      </c>
      <c r="H38" s="470">
        <v>31</v>
      </c>
      <c r="I38" s="455">
        <f t="shared" ca="1" si="5"/>
        <v>3700011.9862322239</v>
      </c>
      <c r="J38" s="455">
        <f t="array" ref="J38">IFERROR(INDEX('Retirement Calculator'!K:K,MATCH('Lorri 401b'!N38,'Retirement Calculator'!A:A,0),0),0)</f>
        <v>0</v>
      </c>
      <c r="K38" s="455">
        <f t="shared" ca="1" si="2"/>
        <v>15416.716609300933</v>
      </c>
      <c r="L38" s="455">
        <f t="shared" ca="1" si="3"/>
        <v>3715428.702841525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2677511.315231699</v>
      </c>
      <c r="C39" s="458">
        <f t="shared" si="0"/>
        <v>243384.31343260861</v>
      </c>
      <c r="D39" s="458">
        <f ca="1">SUMIF(G:G,32,K:K)</f>
        <v>130293.13917342751</v>
      </c>
      <c r="E39" s="458">
        <f t="shared" ca="1" si="1"/>
        <v>2564420.1409725179</v>
      </c>
      <c r="F39" s="442"/>
      <c r="G39" s="470">
        <v>3</v>
      </c>
      <c r="H39" s="470">
        <v>32</v>
      </c>
      <c r="I39" s="455">
        <f t="shared" ca="1" si="5"/>
        <v>3715428.702841525</v>
      </c>
      <c r="J39" s="455">
        <f t="array" ref="J39">IFERROR(INDEX('Retirement Calculator'!K:K,MATCH('Lorri 401b'!N39,'Retirement Calculator'!A:A,0),0),0)</f>
        <v>0</v>
      </c>
      <c r="K39" s="455">
        <f t="shared" ca="1" si="2"/>
        <v>15480.952928506355</v>
      </c>
      <c r="L39" s="455">
        <f t="shared" ca="1" si="3"/>
        <v>3730909.6557700313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2564420.1409725179</v>
      </c>
      <c r="C40" s="458">
        <f t="shared" si="0"/>
        <v>243384.31343260861</v>
      </c>
      <c r="D40" s="458">
        <f ca="1">SUMIF(G:G,33,K:K)</f>
        <v>124507.18006465405</v>
      </c>
      <c r="E40" s="458">
        <f t="shared" ca="1" si="1"/>
        <v>2445543.0076045631</v>
      </c>
      <c r="F40" s="442"/>
      <c r="G40" s="470">
        <v>3</v>
      </c>
      <c r="H40" s="470">
        <v>33</v>
      </c>
      <c r="I40" s="455">
        <f t="shared" ca="1" si="5"/>
        <v>3730909.6557700313</v>
      </c>
      <c r="J40" s="455">
        <f t="array" ref="J40">IFERROR(INDEX('Retirement Calculator'!K:K,MATCH('Lorri 401b'!N40,'Retirement Calculator'!A:A,0),0),0)</f>
        <v>0</v>
      </c>
      <c r="K40" s="455">
        <f t="shared" ca="1" si="2"/>
        <v>15545.456899041796</v>
      </c>
      <c r="L40" s="455">
        <f t="shared" ca="1" si="3"/>
        <v>3746455.112669073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2445543.0076045631</v>
      </c>
      <c r="C41" s="458">
        <f t="shared" si="0"/>
        <v>243384.31343260861</v>
      </c>
      <c r="D41" s="458">
        <f ca="1">SUMIF(G:G,34,K:K)</f>
        <v>118425.20030680965</v>
      </c>
      <c r="E41" s="458">
        <f t="shared" ca="1" si="1"/>
        <v>2320583.8944787639</v>
      </c>
      <c r="F41" s="442"/>
      <c r="G41" s="470">
        <v>3</v>
      </c>
      <c r="H41" s="470">
        <v>34</v>
      </c>
      <c r="I41" s="455">
        <f t="shared" ca="1" si="5"/>
        <v>3746455.112669073</v>
      </c>
      <c r="J41" s="455">
        <f t="array" ref="J41">IFERROR(INDEX('Retirement Calculator'!K:K,MATCH('Lorri 401b'!N41,'Retirement Calculator'!A:A,0),0),0)</f>
        <v>0</v>
      </c>
      <c r="K41" s="455">
        <f t="shared" ca="1" si="2"/>
        <v>15610.229636121137</v>
      </c>
      <c r="L41" s="455">
        <f t="shared" ca="1" si="3"/>
        <v>3762065.3423051941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2320583.8944787639</v>
      </c>
      <c r="C42" s="458">
        <f t="shared" si="0"/>
        <v>243384.31343260861</v>
      </c>
      <c r="D42" s="458">
        <f ca="1">SUMIF(G:G,35,K:K)</f>
        <v>112032.05492167562</v>
      </c>
      <c r="E42" s="458">
        <f t="shared" ca="1" si="1"/>
        <v>2189231.6359678307</v>
      </c>
      <c r="F42" s="442"/>
      <c r="G42" s="470">
        <v>3</v>
      </c>
      <c r="H42" s="470">
        <v>35</v>
      </c>
      <c r="I42" s="455">
        <f t="shared" ca="1" si="5"/>
        <v>3762065.3423051941</v>
      </c>
      <c r="J42" s="455">
        <f t="array" ref="J42">IFERROR(INDEX('Retirement Calculator'!K:K,MATCH('Lorri 401b'!N42,'Retirement Calculator'!A:A,0),0),0)</f>
        <v>0</v>
      </c>
      <c r="K42" s="455">
        <f t="shared" ca="1" si="2"/>
        <v>15675.272259604975</v>
      </c>
      <c r="L42" s="455">
        <f t="shared" ca="1" si="3"/>
        <v>3777740.6145647992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2189231.6359678307</v>
      </c>
      <c r="C43" s="458">
        <f t="shared" si="0"/>
        <v>243384.31343260861</v>
      </c>
      <c r="D43" s="458">
        <f ca="1">SUMIF(G:G,36,K:K)</f>
        <v>105311.82408520427</v>
      </c>
      <c r="E43" s="458">
        <f t="shared" ca="1" si="1"/>
        <v>2051159.1466204261</v>
      </c>
      <c r="F43" s="442"/>
      <c r="G43" s="470">
        <v>3</v>
      </c>
      <c r="H43" s="470">
        <v>36</v>
      </c>
      <c r="I43" s="455">
        <f t="shared" ca="1" si="5"/>
        <v>3777740.6145647992</v>
      </c>
      <c r="J43" s="455">
        <f t="array" ref="J43">IFERROR(INDEX('Retirement Calculator'!K:K,MATCH('Lorri 401b'!N43,'Retirement Calculator'!A:A,0),0),0)</f>
        <v>0</v>
      </c>
      <c r="K43" s="455">
        <f t="shared" ca="1" si="2"/>
        <v>15740.585894019998</v>
      </c>
      <c r="L43" s="455">
        <f t="shared" ca="1" si="3"/>
        <v>3793481.200458819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2051159.1466204261</v>
      </c>
      <c r="C44" s="458">
        <f t="shared" si="0"/>
        <v>243384.31343260861</v>
      </c>
      <c r="D44" s="458">
        <f ca="1">SUMIF(G:G,37,K:K)</f>
        <v>98247.773484935693</v>
      </c>
      <c r="E44" s="458">
        <f t="shared" ca="1" si="1"/>
        <v>1906022.6066727533</v>
      </c>
      <c r="F44" s="442"/>
      <c r="G44" s="470">
        <v>4</v>
      </c>
      <c r="H44" s="470">
        <v>37</v>
      </c>
      <c r="I44" s="455">
        <f t="shared" ca="1" si="5"/>
        <v>3793481.200458819</v>
      </c>
      <c r="J44" s="455">
        <f t="array" ref="J44">IFERROR(INDEX('Retirement Calculator'!K:K,MATCH('Lorri 401b'!N44,'Retirement Calculator'!A:A,0),0),0)</f>
        <v>0</v>
      </c>
      <c r="K44" s="455">
        <f t="shared" ca="1" si="2"/>
        <v>15806.171668578412</v>
      </c>
      <c r="L44" s="455">
        <f t="shared" ca="1" si="3"/>
        <v>3809287.3721273975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1906022.6066727533</v>
      </c>
      <c r="C45" s="458">
        <f t="shared" si="0"/>
        <v>243384.31343260861</v>
      </c>
      <c r="D45" s="458">
        <f ca="1">SUMIF(G:G,38,K:K)</f>
        <v>90822.312649224827</v>
      </c>
      <c r="E45" s="458">
        <f t="shared" ca="1" si="1"/>
        <v>1753460.6058893697</v>
      </c>
      <c r="F45" s="442"/>
      <c r="G45" s="470">
        <v>4</v>
      </c>
      <c r="H45" s="470">
        <v>38</v>
      </c>
      <c r="I45" s="455">
        <f t="shared" ca="1" si="5"/>
        <v>3809287.3721273975</v>
      </c>
      <c r="J45" s="455">
        <f t="array" ref="J45">IFERROR(INDEX('Retirement Calculator'!K:K,MATCH('Lorri 401b'!N45,'Retirement Calculator'!A:A,0),0),0)</f>
        <v>0</v>
      </c>
      <c r="K45" s="455">
        <f t="shared" ca="1" si="2"/>
        <v>15872.030717197489</v>
      </c>
      <c r="L45" s="455">
        <f t="shared" ca="1" si="3"/>
        <v>3825159.4028445948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1753460.6058893697</v>
      </c>
      <c r="C46" s="458">
        <f t="shared" si="0"/>
        <v>243384.31343260861</v>
      </c>
      <c r="D46" s="458">
        <f ca="1">SUMIF(G:G,39,K:K)</f>
        <v>83016.951144512495</v>
      </c>
      <c r="E46" s="458">
        <f t="shared" ca="1" si="1"/>
        <v>1593093.2436012735</v>
      </c>
      <c r="F46" s="442"/>
      <c r="G46" s="470">
        <v>4</v>
      </c>
      <c r="H46" s="470">
        <v>39</v>
      </c>
      <c r="I46" s="455">
        <f t="shared" ca="1" si="5"/>
        <v>3825159.4028445948</v>
      </c>
      <c r="J46" s="455">
        <f t="array" ref="J46">IFERROR(INDEX('Retirement Calculator'!K:K,MATCH('Lorri 401b'!N46,'Retirement Calculator'!A:A,0),0),0)</f>
        <v>0</v>
      </c>
      <c r="K46" s="455">
        <f t="shared" ca="1" si="2"/>
        <v>15938.164178519144</v>
      </c>
      <c r="L46" s="455">
        <f t="shared" ca="1" si="3"/>
        <v>3841097.5670231138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1593093.2436012735</v>
      </c>
      <c r="C47" s="458">
        <f t="shared" si="0"/>
        <v>243384.31343260861</v>
      </c>
      <c r="D47" s="458">
        <f ca="1">SUMIF(G:G,40,K:K)</f>
        <v>74812.252531566075</v>
      </c>
      <c r="E47" s="458">
        <f t="shared" ca="1" si="1"/>
        <v>1424521.1827002312</v>
      </c>
      <c r="F47" s="442"/>
      <c r="G47" s="470">
        <v>4</v>
      </c>
      <c r="H47" s="470">
        <v>40</v>
      </c>
      <c r="I47" s="455">
        <f t="shared" ca="1" si="5"/>
        <v>3841097.5670231138</v>
      </c>
      <c r="J47" s="455">
        <f t="array" ref="J47">IFERROR(INDEX('Retirement Calculator'!K:K,MATCH('Lorri 401b'!N47,'Retirement Calculator'!A:A,0),0),0)</f>
        <v>0</v>
      </c>
      <c r="K47" s="455">
        <f t="shared" ca="1" si="2"/>
        <v>16004.573195929641</v>
      </c>
      <c r="L47" s="455">
        <f t="shared" ca="1" si="3"/>
        <v>3857102.1402190435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1424521.1827002312</v>
      </c>
      <c r="C48" s="458">
        <f t="shared" si="0"/>
        <v>243384.31343260861</v>
      </c>
      <c r="D48" s="458">
        <f ca="1">SUMIF(G:G,41,K:K)</f>
        <v>66187.785966033669</v>
      </c>
      <c r="E48" s="458">
        <f t="shared" ca="1" si="1"/>
        <v>1247324.6552336561</v>
      </c>
      <c r="F48" s="442"/>
      <c r="G48" s="470">
        <v>4</v>
      </c>
      <c r="H48" s="470">
        <v>41</v>
      </c>
      <c r="I48" s="455">
        <f t="shared" ca="1" si="5"/>
        <v>3857102.1402190435</v>
      </c>
      <c r="J48" s="455">
        <f t="array" ref="J48">IFERROR(INDEX('Retirement Calculator'!K:K,MATCH('Lorri 401b'!N48,'Retirement Calculator'!A:A,0),0),0)</f>
        <v>0</v>
      </c>
      <c r="K48" s="455">
        <f t="shared" ca="1" si="2"/>
        <v>16071.258917579347</v>
      </c>
      <c r="L48" s="455">
        <f t="shared" ca="1" si="3"/>
        <v>3873173.3991366229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1247324.6552336561</v>
      </c>
      <c r="C49" s="458">
        <f t="shared" si="0"/>
        <v>243384.31343260861</v>
      </c>
      <c r="D49" s="458">
        <f ca="1">SUMIF(G:G,42,K:K)</f>
        <v>57122.07532279109</v>
      </c>
      <c r="E49" s="458">
        <f t="shared" ca="1" si="1"/>
        <v>1061062.4171238386</v>
      </c>
      <c r="F49" s="442"/>
      <c r="G49" s="470">
        <v>4</v>
      </c>
      <c r="H49" s="470">
        <v>42</v>
      </c>
      <c r="I49" s="455">
        <f t="shared" ca="1" si="5"/>
        <v>3873173.3991366229</v>
      </c>
      <c r="J49" s="455">
        <f t="array" ref="J49">IFERROR(INDEX('Retirement Calculator'!K:K,MATCH('Lorri 401b'!N49,'Retirement Calculator'!A:A,0),0),0)</f>
        <v>0</v>
      </c>
      <c r="K49" s="455">
        <f t="shared" ca="1" si="2"/>
        <v>16138.222496402597</v>
      </c>
      <c r="L49" s="455">
        <f t="shared" ca="1" si="3"/>
        <v>3889311.6216330254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1061062.4171238386</v>
      </c>
      <c r="C50" s="458">
        <f t="shared" si="0"/>
        <v>243384.31343260861</v>
      </c>
      <c r="D50" s="458">
        <f ca="1">SUMIF(G:G,43,K:K)</f>
        <v>47592.545717393514</v>
      </c>
      <c r="E50" s="458">
        <f t="shared" ca="1" si="1"/>
        <v>865270.64940862346</v>
      </c>
      <c r="F50" s="442"/>
      <c r="G50" s="470">
        <v>4</v>
      </c>
      <c r="H50" s="470">
        <v>43</v>
      </c>
      <c r="I50" s="455">
        <f t="shared" ca="1" si="5"/>
        <v>3889311.6216330254</v>
      </c>
      <c r="J50" s="455">
        <f t="array" ref="J50">IFERROR(INDEX('Retirement Calculator'!K:K,MATCH('Lorri 401b'!N50,'Retirement Calculator'!A:A,0),0),0)</f>
        <v>0</v>
      </c>
      <c r="K50" s="455">
        <f t="shared" ca="1" si="2"/>
        <v>16205.465090137606</v>
      </c>
      <c r="L50" s="455">
        <f t="shared" ca="1" si="3"/>
        <v>3905517.0867231628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865270.64940862346</v>
      </c>
      <c r="C51" s="458">
        <f t="shared" si="0"/>
        <v>243384.31343260861</v>
      </c>
      <c r="D51" s="458">
        <f ca="1">SUMIF(G:G,44,K:K)</f>
        <v>37575.467291463639</v>
      </c>
      <c r="E51" s="458">
        <f t="shared" ca="1" si="1"/>
        <v>659461.80326747848</v>
      </c>
      <c r="F51" s="442"/>
      <c r="G51" s="470">
        <v>4</v>
      </c>
      <c r="H51" s="470">
        <v>44</v>
      </c>
      <c r="I51" s="455">
        <f t="shared" ca="1" si="5"/>
        <v>3905517.0867231628</v>
      </c>
      <c r="J51" s="455">
        <f t="array" ref="J51">IFERROR(INDEX('Retirement Calculator'!K:K,MATCH('Lorri 401b'!N51,'Retirement Calculator'!A:A,0),0),0)</f>
        <v>0</v>
      </c>
      <c r="K51" s="455">
        <f t="shared" ca="1" si="2"/>
        <v>16272.987861346512</v>
      </c>
      <c r="L51" s="455">
        <f t="shared" ca="1" si="3"/>
        <v>3921790.0745845092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659461.80326747848</v>
      </c>
      <c r="C52" s="458">
        <f t="shared" si="0"/>
        <v>243384.31343260861</v>
      </c>
      <c r="D52" s="458">
        <f ca="1">SUMIF(G:G,45,K:K)</f>
        <v>27045.896122033013</v>
      </c>
      <c r="E52" s="458">
        <f t="shared" ca="1" si="1"/>
        <v>443123.38595690287</v>
      </c>
      <c r="F52" s="442"/>
      <c r="G52" s="470">
        <v>4</v>
      </c>
      <c r="H52" s="470">
        <v>45</v>
      </c>
      <c r="I52" s="455">
        <f t="shared" ca="1" si="5"/>
        <v>3921790.0745845092</v>
      </c>
      <c r="J52" s="455">
        <f t="array" ref="J52">IFERROR(INDEX('Retirement Calculator'!K:K,MATCH('Lorri 401b'!N52,'Retirement Calculator'!A:A,0),0),0)</f>
        <v>0</v>
      </c>
      <c r="K52" s="455">
        <f t="shared" ca="1" si="2"/>
        <v>16340.791977435454</v>
      </c>
      <c r="L52" s="455">
        <f t="shared" ca="1" si="3"/>
        <v>3938130.8665619446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443123.38595690287</v>
      </c>
      <c r="C53" s="458">
        <f t="shared" si="0"/>
        <v>243384.31343260861</v>
      </c>
      <c r="D53" s="458">
        <f ca="1">SUMIF(G:G,46,K:K)</f>
        <v>15977.612107693563</v>
      </c>
      <c r="E53" s="458">
        <f t="shared" ca="1" si="1"/>
        <v>215716.68463198782</v>
      </c>
      <c r="F53" s="442"/>
      <c r="G53" s="470">
        <v>4</v>
      </c>
      <c r="H53" s="470">
        <v>46</v>
      </c>
      <c r="I53" s="455">
        <f t="shared" ca="1" si="5"/>
        <v>3938130.8665619446</v>
      </c>
      <c r="J53" s="455">
        <f t="array" ref="J53">IFERROR(INDEX('Retirement Calculator'!K:K,MATCH('Lorri 401b'!N53,'Retirement Calculator'!A:A,0),0),0)</f>
        <v>0</v>
      </c>
      <c r="K53" s="455">
        <f t="shared" ca="1" si="2"/>
        <v>16408.878610674768</v>
      </c>
      <c r="L53" s="455">
        <f t="shared" ca="1" si="3"/>
        <v>3954539.7451726194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215716.68463198782</v>
      </c>
      <c r="C54" s="458">
        <f t="shared" si="0"/>
        <v>243384.31343260861</v>
      </c>
      <c r="D54" s="458">
        <f ca="1">SUMIF(G:G,47,K:K)</f>
        <v>4343.0536768864577</v>
      </c>
      <c r="E54" s="458">
        <f t="shared" ca="1" si="1"/>
        <v>-23324.575123734332</v>
      </c>
      <c r="F54" s="442"/>
      <c r="G54" s="470">
        <v>4</v>
      </c>
      <c r="H54" s="470">
        <v>47</v>
      </c>
      <c r="I54" s="455">
        <f t="shared" ca="1" si="5"/>
        <v>3954539.7451726194</v>
      </c>
      <c r="J54" s="455">
        <f t="array" ref="J54">IFERROR(INDEX('Retirement Calculator'!K:K,MATCH('Lorri 401b'!N54,'Retirement Calculator'!A:A,0),0),0)</f>
        <v>0</v>
      </c>
      <c r="K54" s="455">
        <f t="shared" ca="1" si="2"/>
        <v>16477.248938219247</v>
      </c>
      <c r="L54" s="455">
        <f t="shared" ca="1" si="3"/>
        <v>3971016.9941108385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-23324.575123734332</v>
      </c>
      <c r="C55" s="458">
        <f t="shared" si="0"/>
        <v>243384.31343260861</v>
      </c>
      <c r="D55" s="458">
        <f ca="1">SUMIF(G:G,48,K:K)</f>
        <v>-7886.7508442566577</v>
      </c>
      <c r="E55" s="458">
        <f t="shared" ca="1" si="1"/>
        <v>-274595.63940059958</v>
      </c>
      <c r="F55" s="442"/>
      <c r="G55" s="470">
        <v>4</v>
      </c>
      <c r="H55" s="470">
        <v>48</v>
      </c>
      <c r="I55" s="455">
        <f t="shared" ca="1" si="5"/>
        <v>3971016.9941108385</v>
      </c>
      <c r="J55" s="455">
        <f t="array" ref="J55">IFERROR(INDEX('Retirement Calculator'!K:K,MATCH('Lorri 401b'!N55,'Retirement Calculator'!A:A,0),0),0)</f>
        <v>0</v>
      </c>
      <c r="K55" s="455">
        <f t="shared" ca="1" si="2"/>
        <v>16545.904142128493</v>
      </c>
      <c r="L55" s="455">
        <f t="shared" ca="1" si="3"/>
        <v>3987562.8982529668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-274595.63940059958</v>
      </c>
      <c r="C56" s="458">
        <f t="shared" si="0"/>
        <v>243384.31343260861</v>
      </c>
      <c r="D56" s="458">
        <f ca="1">SUMIF(G:G,49,K:K)</f>
        <v>-20742.255375424054</v>
      </c>
      <c r="E56" s="458">
        <f t="shared" ca="1" si="1"/>
        <v>-538722.20820863231</v>
      </c>
      <c r="F56" s="442"/>
      <c r="G56" s="470">
        <f>G55+1</f>
        <v>5</v>
      </c>
      <c r="H56" s="470">
        <v>49</v>
      </c>
      <c r="I56" s="455">
        <f t="shared" ca="1" si="5"/>
        <v>3987562.8982529668</v>
      </c>
      <c r="J56" s="455">
        <f t="array" ref="J56">IFERROR(INDEX('Retirement Calculator'!K:K,MATCH('Lorri 401b'!N56,'Retirement Calculator'!A:A,0),0),0)</f>
        <v>0</v>
      </c>
      <c r="K56" s="455">
        <f t="shared" ca="1" si="2"/>
        <v>16614.845409387362</v>
      </c>
      <c r="L56" s="455">
        <f t="shared" ca="1" si="3"/>
        <v>4004177.7436623541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-538722.20820863231</v>
      </c>
      <c r="C57" s="458">
        <f t="shared" si="0"/>
        <v>243384.31343260861</v>
      </c>
      <c r="D57" s="458">
        <f ca="1">SUMIF(G:G,50,K:K)</f>
        <v>-34255.471916633207</v>
      </c>
      <c r="E57" s="458">
        <f t="shared" ca="1" si="1"/>
        <v>-816361.99355787411</v>
      </c>
      <c r="F57" s="442"/>
      <c r="G57" s="470">
        <f t="shared" ref="G57:G67" si="8">G56</f>
        <v>5</v>
      </c>
      <c r="H57" s="470">
        <v>50</v>
      </c>
      <c r="I57" s="455">
        <f t="shared" ca="1" si="5"/>
        <v>4004177.7436623541</v>
      </c>
      <c r="J57" s="455">
        <f t="array" ref="J57">IFERROR(INDEX('Retirement Calculator'!K:K,MATCH('Lorri 401b'!N57,'Retirement Calculator'!A:A,0),0),0)</f>
        <v>0</v>
      </c>
      <c r="K57" s="455">
        <f t="shared" ca="1" si="2"/>
        <v>16684.073931926476</v>
      </c>
      <c r="L57" s="455">
        <f t="shared" ca="1" si="3"/>
        <v>4020861.8175942805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-816361.99355787411</v>
      </c>
      <c r="C58" s="458">
        <f t="shared" si="0"/>
        <v>243384.31343260861</v>
      </c>
      <c r="D58" s="458">
        <f ca="1">SUMIF(G:G,51,K:K)</f>
        <v>-48460.050262577482</v>
      </c>
      <c r="E58" s="458">
        <f t="shared" ca="1" si="1"/>
        <v>-1108206.3572530602</v>
      </c>
      <c r="F58" s="442"/>
      <c r="G58" s="470">
        <f t="shared" si="8"/>
        <v>5</v>
      </c>
      <c r="H58" s="470">
        <v>51</v>
      </c>
      <c r="I58" s="455">
        <f t="shared" ca="1" si="5"/>
        <v>4020861.8175942805</v>
      </c>
      <c r="J58" s="455">
        <f t="array" ref="J58">IFERROR(INDEX('Retirement Calculator'!K:K,MATCH('Lorri 401b'!N58,'Retirement Calculator'!A:A,0),0),0)</f>
        <v>0</v>
      </c>
      <c r="K58" s="455">
        <f t="shared" ca="1" si="2"/>
        <v>16753.590906642836</v>
      </c>
      <c r="L58" s="455">
        <f t="shared" ca="1" si="3"/>
        <v>4037615.4085009233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-1108206.3572530602</v>
      </c>
      <c r="C59" s="458">
        <f t="shared" si="0"/>
        <v>243384.31343260861</v>
      </c>
      <c r="D59" s="458">
        <f ca="1">SUMIF(G:G,52,K:K)</f>
        <v>-63391.361795309946</v>
      </c>
      <c r="E59" s="458">
        <f t="shared" ca="1" si="1"/>
        <v>-1414982.0324809789</v>
      </c>
      <c r="F59" s="442"/>
      <c r="G59" s="470">
        <f t="shared" si="8"/>
        <v>5</v>
      </c>
      <c r="H59" s="470">
        <v>52</v>
      </c>
      <c r="I59" s="455">
        <f t="shared" ca="1" si="5"/>
        <v>4037615.4085009233</v>
      </c>
      <c r="J59" s="455">
        <f t="array" ref="J59">IFERROR(INDEX('Retirement Calculator'!K:K,MATCH('Lorri 401b'!N59,'Retirement Calculator'!A:A,0),0),0)</f>
        <v>0</v>
      </c>
      <c r="K59" s="455">
        <f t="shared" ca="1" si="2"/>
        <v>16823.397535420514</v>
      </c>
      <c r="L59" s="455">
        <f t="shared" ca="1" si="3"/>
        <v>4054438.8060363438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-1414982.0324809789</v>
      </c>
      <c r="C60" s="458">
        <f t="shared" si="0"/>
        <v>243384.31343260861</v>
      </c>
      <c r="D60" s="458">
        <f ca="1">SUMIF(G:G,53,K:K)</f>
        <v>-79086.587563920431</v>
      </c>
      <c r="E60" s="458">
        <f t="shared" ca="1" si="1"/>
        <v>-1737452.9334775081</v>
      </c>
      <c r="F60" s="442"/>
      <c r="G60" s="470">
        <f t="shared" si="8"/>
        <v>5</v>
      </c>
      <c r="H60" s="470">
        <v>53</v>
      </c>
      <c r="I60" s="455">
        <f t="shared" ca="1" si="5"/>
        <v>4054438.8060363438</v>
      </c>
      <c r="J60" s="455">
        <f t="array" ref="J60">IFERROR(INDEX('Retirement Calculator'!K:K,MATCH('Lorri 401b'!N60,'Retirement Calculator'!A:A,0),0),0)</f>
        <v>0</v>
      </c>
      <c r="K60" s="455">
        <f t="shared" ca="1" si="2"/>
        <v>16893.495025151431</v>
      </c>
      <c r="L60" s="455">
        <f t="shared" ca="1" si="3"/>
        <v>4071332.3010614952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-1737452.9334775081</v>
      </c>
      <c r="C61" s="458">
        <f t="shared" si="0"/>
        <v>243384.31343260861</v>
      </c>
      <c r="D61" s="458">
        <f ca="1">SUMIF(G:G,54,K:K)</f>
        <v>-95584.810870535308</v>
      </c>
      <c r="E61" s="458">
        <f t="shared" ca="1" si="1"/>
        <v>-2076422.0577806518</v>
      </c>
      <c r="F61" s="442"/>
      <c r="G61" s="470">
        <f t="shared" si="8"/>
        <v>5</v>
      </c>
      <c r="H61" s="470">
        <v>54</v>
      </c>
      <c r="I61" s="455">
        <f t="shared" ca="1" si="5"/>
        <v>4071332.3010614952</v>
      </c>
      <c r="J61" s="455">
        <f t="array" ref="J61">IFERROR(INDEX('Retirement Calculator'!K:K,MATCH('Lorri 401b'!N61,'Retirement Calculator'!A:A,0),0),0)</f>
        <v>0</v>
      </c>
      <c r="K61" s="455">
        <f t="shared" ca="1" si="2"/>
        <v>16963.884587756231</v>
      </c>
      <c r="L61" s="455">
        <f t="shared" ca="1" si="3"/>
        <v>4088296.1856492516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-2076422.0577806518</v>
      </c>
      <c r="C62" s="458">
        <f t="shared" si="0"/>
        <v>243384.31343260861</v>
      </c>
      <c r="D62" s="458">
        <f ca="1">SUMIF(G:G,55,K:K)</f>
        <v>-112927.11459319327</v>
      </c>
      <c r="E62" s="458">
        <f t="shared" ca="1" si="1"/>
        <v>-2432733.485806454</v>
      </c>
      <c r="F62" s="442"/>
      <c r="G62" s="470">
        <f t="shared" si="8"/>
        <v>5</v>
      </c>
      <c r="H62" s="470">
        <v>55</v>
      </c>
      <c r="I62" s="455">
        <f t="shared" ca="1" si="5"/>
        <v>4088296.1856492516</v>
      </c>
      <c r="J62" s="455">
        <f t="array" ref="J62">IFERROR(INDEX('Retirement Calculator'!K:K,MATCH('Lorri 401b'!N62,'Retirement Calculator'!A:A,0),0),0)</f>
        <v>0</v>
      </c>
      <c r="K62" s="455">
        <f t="shared" ca="1" si="2"/>
        <v>17034.567440205214</v>
      </c>
      <c r="L62" s="455">
        <f t="shared" ca="1" si="3"/>
        <v>4105330.7530894568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-2432733.485806454</v>
      </c>
      <c r="C63" s="458">
        <f t="shared" si="0"/>
        <v>243384.31343260861</v>
      </c>
      <c r="D63" s="458">
        <f ca="1">SUMIF(G:G,56,K:K)</f>
        <v>-131156.68348794384</v>
      </c>
      <c r="E63" s="458">
        <f t="shared" ca="1" si="1"/>
        <v>-2807274.4827270065</v>
      </c>
      <c r="F63" s="442"/>
      <c r="G63" s="470">
        <f t="shared" si="8"/>
        <v>5</v>
      </c>
      <c r="H63" s="470">
        <v>56</v>
      </c>
      <c r="I63" s="455">
        <f t="shared" ca="1" si="5"/>
        <v>4105330.7530894568</v>
      </c>
      <c r="J63" s="455">
        <f t="array" ref="J63">IFERROR(INDEX('Retirement Calculator'!K:K,MATCH('Lorri 401b'!N63,'Retirement Calculator'!A:A,0),0),0)</f>
        <v>0</v>
      </c>
      <c r="K63" s="455">
        <f t="shared" ca="1" si="2"/>
        <v>17105.544804539401</v>
      </c>
      <c r="L63" s="455">
        <f t="shared" ca="1" si="3"/>
        <v>4122436.2978939964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-2807274.4827270065</v>
      </c>
      <c r="C64" s="458">
        <f t="shared" si="0"/>
        <v>243384.31343260861</v>
      </c>
      <c r="D64" s="458">
        <f ca="1">SUMIF(G:G,57,K:K)</f>
        <v>-150318.91172491564</v>
      </c>
      <c r="E64" s="458">
        <f t="shared" ca="1" si="1"/>
        <v>-3200977.707884531</v>
      </c>
      <c r="F64" s="442"/>
      <c r="G64" s="470">
        <f t="shared" si="8"/>
        <v>5</v>
      </c>
      <c r="H64" s="470">
        <v>57</v>
      </c>
      <c r="I64" s="455">
        <f t="shared" ca="1" si="5"/>
        <v>4122436.2978939964</v>
      </c>
      <c r="J64" s="455">
        <f t="array" ref="J64">IFERROR(INDEX('Retirement Calculator'!K:K,MATCH('Lorri 401b'!N64,'Retirement Calculator'!A:A,0),0),0)</f>
        <v>0</v>
      </c>
      <c r="K64" s="455">
        <f t="shared" ca="1" si="2"/>
        <v>17176.817907891655</v>
      </c>
      <c r="L64" s="455">
        <f t="shared" ca="1" si="3"/>
        <v>4139613.1158018881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-3200977.707884531</v>
      </c>
      <c r="C65" s="458">
        <f t="shared" si="0"/>
        <v>243384.31343260861</v>
      </c>
      <c r="D65" s="458">
        <f ca="1">SUMIF(G:G,58,K:K)</f>
        <v>-170461.51592613384</v>
      </c>
      <c r="E65" s="458">
        <f t="shared" ca="1" si="1"/>
        <v>-3614823.5372432736</v>
      </c>
      <c r="F65" s="442"/>
      <c r="G65" s="470">
        <f t="shared" si="8"/>
        <v>5</v>
      </c>
      <c r="H65" s="470">
        <v>58</v>
      </c>
      <c r="I65" s="455">
        <f t="shared" ca="1" si="5"/>
        <v>4139613.1158018881</v>
      </c>
      <c r="J65" s="455">
        <f t="array" ref="J65">IFERROR(INDEX('Retirement Calculator'!K:K,MATCH('Lorri 401b'!N65,'Retirement Calculator'!A:A,0),0),0)</f>
        <v>0</v>
      </c>
      <c r="K65" s="455">
        <f t="shared" ca="1" si="2"/>
        <v>17248.387982507866</v>
      </c>
      <c r="L65" s="455">
        <f t="shared" ca="1" si="3"/>
        <v>4156861.5037843958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-3614823.5372432736</v>
      </c>
      <c r="C66" s="458">
        <f t="shared" si="0"/>
        <v>243384.31343260861</v>
      </c>
      <c r="D66" s="458">
        <f ca="1">SUMIF(G:G,59,K:K)</f>
        <v>-191634.65398656699</v>
      </c>
      <c r="E66" s="458">
        <f t="shared" ca="1" si="1"/>
        <v>-4049842.5046624495</v>
      </c>
      <c r="F66" s="442"/>
      <c r="G66" s="470">
        <f t="shared" si="8"/>
        <v>5</v>
      </c>
      <c r="H66" s="470">
        <v>59</v>
      </c>
      <c r="I66" s="455">
        <f t="shared" ca="1" si="5"/>
        <v>4156861.5037843958</v>
      </c>
      <c r="J66" s="455">
        <f t="array" ref="J66">IFERROR(INDEX('Retirement Calculator'!K:K,MATCH('Lorri 401b'!N66,'Retirement Calculator'!A:A,0),0),0)</f>
        <v>0</v>
      </c>
      <c r="K66" s="455">
        <f t="shared" ca="1" si="2"/>
        <v>17320.256265768316</v>
      </c>
      <c r="L66" s="455">
        <f t="shared" ca="1" si="3"/>
        <v>4174181.7600501641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-4049842.5046624495</v>
      </c>
      <c r="C67" s="458">
        <f t="shared" si="0"/>
        <v>243384.31343260861</v>
      </c>
      <c r="D67" s="458">
        <f t="shared" ref="D67:D71" ca="1" si="9">SUMIF(G:G,60,K:K)</f>
        <v>-213891.04997428381</v>
      </c>
      <c r="E67" s="458">
        <f t="shared" ca="1" si="1"/>
        <v>-4507117.8680693423</v>
      </c>
      <c r="F67" s="442"/>
      <c r="G67" s="470">
        <f t="shared" si="8"/>
        <v>5</v>
      </c>
      <c r="H67" s="470">
        <v>60</v>
      </c>
      <c r="I67" s="455">
        <f t="shared" ca="1" si="5"/>
        <v>4174181.7600501641</v>
      </c>
      <c r="J67" s="455">
        <f t="array" ref="J67">IFERROR(INDEX('Retirement Calculator'!K:K,MATCH('Lorri 401b'!N67,'Retirement Calculator'!A:A,0),0),0)</f>
        <v>0</v>
      </c>
      <c r="K67" s="455">
        <f t="shared" ca="1" si="2"/>
        <v>17392.424000209016</v>
      </c>
      <c r="L67" s="455">
        <f t="shared" ca="1" si="3"/>
        <v>4191574.1840503733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-4507117.8680693423</v>
      </c>
      <c r="C68" s="458">
        <f t="shared" si="0"/>
        <v>243384.31343260861</v>
      </c>
      <c r="D68" s="458">
        <f t="shared" ca="1" si="9"/>
        <v>-213891.04997428381</v>
      </c>
      <c r="E68" s="458">
        <f t="shared" ca="1" si="1"/>
        <v>-4964393.2314762352</v>
      </c>
      <c r="F68" s="442"/>
      <c r="G68" s="470">
        <f>G67+1</f>
        <v>6</v>
      </c>
      <c r="H68" s="470">
        <v>61</v>
      </c>
      <c r="I68" s="455">
        <f t="shared" ca="1" si="5"/>
        <v>4191574.1840503733</v>
      </c>
      <c r="J68" s="455">
        <f t="array" ref="J68">IFERROR(INDEX('Retirement Calculator'!K:K,MATCH('Lorri 401b'!N68,'Retirement Calculator'!A:A,0),0),0)</f>
        <v>0</v>
      </c>
      <c r="K68" s="455">
        <f t="shared" ca="1" si="2"/>
        <v>17464.89243354322</v>
      </c>
      <c r="L68" s="455">
        <f t="shared" ca="1" si="3"/>
        <v>4209039.0764839165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-4964393.2314762352</v>
      </c>
      <c r="C69" s="458">
        <f t="shared" si="0"/>
        <v>243384.31343260861</v>
      </c>
      <c r="D69" s="458">
        <f t="shared" ca="1" si="9"/>
        <v>-213891.04997428381</v>
      </c>
      <c r="E69" s="458">
        <f t="shared" ca="1" si="1"/>
        <v>-5421668.5948831281</v>
      </c>
      <c r="F69" s="442"/>
      <c r="G69" s="470">
        <f t="shared" ref="G69:G79" si="10">G68</f>
        <v>6</v>
      </c>
      <c r="H69" s="470">
        <v>62</v>
      </c>
      <c r="I69" s="455">
        <f t="shared" ca="1" si="5"/>
        <v>4209039.0764839165</v>
      </c>
      <c r="J69" s="455">
        <f t="array" ref="J69">IFERROR(INDEX('Retirement Calculator'!K:K,MATCH('Lorri 401b'!N69,'Retirement Calculator'!A:A,0),0),0)</f>
        <v>0</v>
      </c>
      <c r="K69" s="455">
        <f t="shared" ca="1" si="2"/>
        <v>17537.662818682984</v>
      </c>
      <c r="L69" s="455">
        <f t="shared" ca="1" si="3"/>
        <v>4226576.7393025998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-5421668.5948831281</v>
      </c>
      <c r="C70" s="458">
        <f t="shared" si="0"/>
        <v>243384.31343260861</v>
      </c>
      <c r="D70" s="458">
        <f t="shared" ca="1" si="9"/>
        <v>-213891.04997428381</v>
      </c>
      <c r="E70" s="458">
        <f t="shared" ca="1" si="1"/>
        <v>-5878943.9582900209</v>
      </c>
      <c r="F70" s="442"/>
      <c r="G70" s="470">
        <f t="shared" si="10"/>
        <v>6</v>
      </c>
      <c r="H70" s="470">
        <v>63</v>
      </c>
      <c r="I70" s="455">
        <f t="shared" ca="1" si="5"/>
        <v>4226576.7393025998</v>
      </c>
      <c r="J70" s="455">
        <f t="array" ref="J70">IFERROR(INDEX('Retirement Calculator'!K:K,MATCH('Lorri 401b'!N70,'Retirement Calculator'!A:A,0),0),0)</f>
        <v>0</v>
      </c>
      <c r="K70" s="455">
        <f t="shared" ca="1" si="2"/>
        <v>17610.736413760831</v>
      </c>
      <c r="L70" s="455">
        <f t="shared" ca="1" si="3"/>
        <v>4244187.4757163608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-5878943.9582900209</v>
      </c>
      <c r="C71" s="458">
        <f t="shared" si="0"/>
        <v>243384.31343260861</v>
      </c>
      <c r="D71" s="458">
        <f t="shared" ca="1" si="9"/>
        <v>-213891.04997428381</v>
      </c>
      <c r="E71" s="458">
        <f t="shared" ca="1" si="1"/>
        <v>-6336219.3216969138</v>
      </c>
      <c r="F71" s="442"/>
      <c r="G71" s="470">
        <f t="shared" si="10"/>
        <v>6</v>
      </c>
      <c r="H71" s="470">
        <v>64</v>
      </c>
      <c r="I71" s="455">
        <f t="shared" ca="1" si="5"/>
        <v>4244187.4757163608</v>
      </c>
      <c r="J71" s="455">
        <f t="array" ref="J71">IFERROR(INDEX('Retirement Calculator'!K:K,MATCH('Lorri 401b'!N71,'Retirement Calculator'!A:A,0),0),0)</f>
        <v>0</v>
      </c>
      <c r="K71" s="455">
        <f t="shared" ca="1" si="2"/>
        <v>17684.114482151504</v>
      </c>
      <c r="L71" s="455">
        <f t="shared" ca="1" si="3"/>
        <v>4261871.5901985122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42"/>
      <c r="C72" s="442"/>
      <c r="D72" s="442"/>
      <c r="E72" s="442"/>
      <c r="F72" s="442"/>
      <c r="G72" s="470">
        <f t="shared" si="10"/>
        <v>6</v>
      </c>
      <c r="H72" s="470">
        <v>65</v>
      </c>
      <c r="I72" s="455">
        <f t="shared" ca="1" si="5"/>
        <v>4261871.5901985122</v>
      </c>
      <c r="J72" s="455">
        <f t="array" ref="J72">IFERROR(INDEX('Retirement Calculator'!K:K,MATCH('Lorri 401b'!N72,'Retirement Calculator'!A:A,0),0),0)</f>
        <v>0</v>
      </c>
      <c r="K72" s="455">
        <f t="shared" ca="1" si="2"/>
        <v>17757.798292493801</v>
      </c>
      <c r="L72" s="455">
        <f t="shared" ca="1" si="3"/>
        <v>4279629.3884910056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42"/>
      <c r="C73" s="442"/>
      <c r="D73" s="442"/>
      <c r="E73" s="442"/>
      <c r="F73" s="442"/>
      <c r="G73" s="470">
        <f t="shared" si="10"/>
        <v>6</v>
      </c>
      <c r="H73" s="470">
        <v>66</v>
      </c>
      <c r="I73" s="455">
        <f t="shared" ca="1" si="5"/>
        <v>4279629.3884910056</v>
      </c>
      <c r="J73" s="455">
        <f t="array" ref="J73">IFERROR(INDEX('Retirement Calculator'!K:K,MATCH('Lorri 401b'!N73,'Retirement Calculator'!A:A,0),0),0)</f>
        <v>0</v>
      </c>
      <c r="K73" s="455">
        <f t="shared" ca="1" si="2"/>
        <v>17831.789118712524</v>
      </c>
      <c r="L73" s="455">
        <f t="shared" ca="1" si="3"/>
        <v>4297461.1776097184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42"/>
      <c r="C74" s="442"/>
      <c r="D74" s="442"/>
      <c r="E74" s="442"/>
      <c r="F74" s="442"/>
      <c r="G74" s="470">
        <f t="shared" si="10"/>
        <v>6</v>
      </c>
      <c r="H74" s="470">
        <v>67</v>
      </c>
      <c r="I74" s="455">
        <f t="shared" ca="1" si="5"/>
        <v>4297461.1776097184</v>
      </c>
      <c r="J74" s="455">
        <f t="array" ref="J74">IFERROR(INDEX('Retirement Calculator'!K:K,MATCH('Lorri 401b'!N74,'Retirement Calculator'!A:A,0),0),0)</f>
        <v>0</v>
      </c>
      <c r="K74" s="455">
        <f t="shared" ca="1" si="2"/>
        <v>17906.088240040492</v>
      </c>
      <c r="L74" s="455">
        <f t="shared" ca="1" si="3"/>
        <v>4315367.2658497589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42"/>
      <c r="C75" s="442"/>
      <c r="D75" s="442"/>
      <c r="E75" s="442"/>
      <c r="F75" s="442"/>
      <c r="G75" s="470">
        <f t="shared" si="10"/>
        <v>6</v>
      </c>
      <c r="H75" s="470">
        <v>68</v>
      </c>
      <c r="I75" s="455">
        <f t="shared" ca="1" si="5"/>
        <v>4315367.2658497589</v>
      </c>
      <c r="J75" s="455">
        <f t="array" ref="J75">IFERROR(INDEX('Retirement Calculator'!K:K,MATCH('Lorri 401b'!N75,'Retirement Calculator'!A:A,0),0),0)</f>
        <v>22025.926519384055</v>
      </c>
      <c r="K75" s="455">
        <f t="shared" ca="1" si="2"/>
        <v>17888.922247209895</v>
      </c>
      <c r="L75" s="455">
        <f t="shared" ca="1" si="3"/>
        <v>4311230.2615775848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42"/>
      <c r="C76" s="442"/>
      <c r="D76" s="442"/>
      <c r="E76" s="442"/>
      <c r="F76" s="442"/>
      <c r="G76" s="470">
        <f t="shared" si="10"/>
        <v>6</v>
      </c>
      <c r="H76" s="470">
        <v>69</v>
      </c>
      <c r="I76" s="455">
        <f t="shared" ca="1" si="5"/>
        <v>4311230.2615775848</v>
      </c>
      <c r="J76" s="455">
        <f t="array" ref="J76">IFERROR(INDEX('Retirement Calculator'!K:K,MATCH('Lorri 401b'!N76,'Retirement Calculator'!A:A,0),0),0)</f>
        <v>22025.926519384055</v>
      </c>
      <c r="K76" s="455">
        <f t="shared" ca="1" si="2"/>
        <v>17871.684729409171</v>
      </c>
      <c r="L76" s="455">
        <f t="shared" ca="1" si="3"/>
        <v>4307076.0197876105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42"/>
      <c r="C77" s="442"/>
      <c r="D77" s="442"/>
      <c r="E77" s="442"/>
      <c r="F77" s="442"/>
      <c r="G77" s="470">
        <f t="shared" si="10"/>
        <v>6</v>
      </c>
      <c r="H77" s="470">
        <v>70</v>
      </c>
      <c r="I77" s="455">
        <f t="shared" ca="1" si="5"/>
        <v>4307076.0197876105</v>
      </c>
      <c r="J77" s="455">
        <f t="array" ref="J77">IFERROR(INDEX('Retirement Calculator'!K:K,MATCH('Lorri 401b'!N77,'Retirement Calculator'!A:A,0),0),0)</f>
        <v>22025.926519384055</v>
      </c>
      <c r="K77" s="455">
        <f t="shared" ca="1" si="2"/>
        <v>17854.375388617613</v>
      </c>
      <c r="L77" s="455">
        <f t="shared" ca="1" si="3"/>
        <v>4302904.4686568445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42"/>
      <c r="C78" s="442"/>
      <c r="D78" s="442"/>
      <c r="E78" s="442"/>
      <c r="F78" s="442"/>
      <c r="G78" s="470">
        <f t="shared" si="10"/>
        <v>6</v>
      </c>
      <c r="H78" s="470">
        <v>71</v>
      </c>
      <c r="I78" s="455">
        <f t="shared" ca="1" si="5"/>
        <v>4302904.4686568445</v>
      </c>
      <c r="J78" s="455">
        <f t="array" ref="J78">IFERROR(INDEX('Retirement Calculator'!K:K,MATCH('Lorri 401b'!N78,'Retirement Calculator'!A:A,0),0),0)</f>
        <v>22025.926519384055</v>
      </c>
      <c r="K78" s="455">
        <f t="shared" ca="1" si="2"/>
        <v>17836.993925572751</v>
      </c>
      <c r="L78" s="455">
        <f t="shared" ca="1" si="3"/>
        <v>4298715.5360630332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42"/>
      <c r="C79" s="442"/>
      <c r="D79" s="442"/>
      <c r="E79" s="442"/>
      <c r="F79" s="442"/>
      <c r="G79" s="470">
        <f t="shared" si="10"/>
        <v>6</v>
      </c>
      <c r="H79" s="470">
        <v>72</v>
      </c>
      <c r="I79" s="455">
        <f t="shared" ca="1" si="5"/>
        <v>4298715.5360630332</v>
      </c>
      <c r="J79" s="455">
        <f t="array" ref="J79">IFERROR(INDEX('Retirement Calculator'!K:K,MATCH('Lorri 401b'!N79,'Retirement Calculator'!A:A,0),0),0)</f>
        <v>22025.926519384055</v>
      </c>
      <c r="K79" s="455">
        <f t="shared" ca="1" si="2"/>
        <v>17819.540039765205</v>
      </c>
      <c r="L79" s="455">
        <f t="shared" ca="1" si="3"/>
        <v>4294509.1495834151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42"/>
      <c r="C80" s="442"/>
      <c r="D80" s="442"/>
      <c r="E80" s="442"/>
      <c r="F80" s="442"/>
      <c r="G80" s="470">
        <f>G79+1</f>
        <v>7</v>
      </c>
      <c r="H80" s="470">
        <v>73</v>
      </c>
      <c r="I80" s="455">
        <f t="shared" ca="1" si="5"/>
        <v>4294509.1495834151</v>
      </c>
      <c r="J80" s="455">
        <f t="array" ref="J80">IFERROR(INDEX('Retirement Calculator'!K:K,MATCH('Lorri 401b'!N80,'Retirement Calculator'!A:A,0),0),0)</f>
        <v>22025.926519384055</v>
      </c>
      <c r="K80" s="455">
        <f t="shared" ca="1" si="2"/>
        <v>17802.013429433464</v>
      </c>
      <c r="L80" s="455">
        <f t="shared" ca="1" si="3"/>
        <v>4290285.2364934646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42"/>
      <c r="C81" s="442"/>
      <c r="D81" s="442"/>
      <c r="E81" s="442"/>
      <c r="F81" s="442"/>
      <c r="G81" s="470">
        <f t="shared" ref="G81:G91" si="11">G80</f>
        <v>7</v>
      </c>
      <c r="H81" s="470">
        <v>74</v>
      </c>
      <c r="I81" s="455">
        <f t="shared" ca="1" si="5"/>
        <v>4290285.2364934646</v>
      </c>
      <c r="J81" s="455">
        <f t="array" ref="J81">IFERROR(INDEX('Retirement Calculator'!K:K,MATCH('Lorri 401b'!N81,'Retirement Calculator'!A:A,0),0),0)</f>
        <v>22025.926519384055</v>
      </c>
      <c r="K81" s="455">
        <f t="shared" ca="1" si="2"/>
        <v>17784.413791558669</v>
      </c>
      <c r="L81" s="455">
        <f t="shared" ca="1" si="3"/>
        <v>4286043.7237656396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42"/>
      <c r="C82" s="442"/>
      <c r="D82" s="442"/>
      <c r="E82" s="442"/>
      <c r="F82" s="442"/>
      <c r="G82" s="470">
        <f t="shared" si="11"/>
        <v>7</v>
      </c>
      <c r="H82" s="470">
        <v>75</v>
      </c>
      <c r="I82" s="455">
        <f t="shared" ca="1" si="5"/>
        <v>4286043.7237656396</v>
      </c>
      <c r="J82" s="455">
        <f t="array" ref="J82">IFERROR(INDEX('Retirement Calculator'!K:K,MATCH('Lorri 401b'!N82,'Retirement Calculator'!A:A,0),0),0)</f>
        <v>22025.926519384055</v>
      </c>
      <c r="K82" s="455">
        <f t="shared" ca="1" si="2"/>
        <v>17766.740821859399</v>
      </c>
      <c r="L82" s="455">
        <f t="shared" ca="1" si="3"/>
        <v>4281784.5380681157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42"/>
      <c r="C83" s="442"/>
      <c r="D83" s="442"/>
      <c r="E83" s="442"/>
      <c r="F83" s="442"/>
      <c r="G83" s="470">
        <f t="shared" si="11"/>
        <v>7</v>
      </c>
      <c r="H83" s="470">
        <v>76</v>
      </c>
      <c r="I83" s="455">
        <f t="shared" ca="1" si="5"/>
        <v>4281784.5380681157</v>
      </c>
      <c r="J83" s="455">
        <f t="array" ref="J83">IFERROR(INDEX('Retirement Calculator'!K:K,MATCH('Lorri 401b'!N83,'Retirement Calculator'!A:A,0),0),0)</f>
        <v>22025.926519384055</v>
      </c>
      <c r="K83" s="455">
        <f t="shared" ca="1" si="2"/>
        <v>17748.994214786384</v>
      </c>
      <c r="L83" s="455">
        <f t="shared" ca="1" si="3"/>
        <v>4277507.6057635183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42"/>
      <c r="C84" s="442"/>
      <c r="D84" s="442"/>
      <c r="E84" s="442"/>
      <c r="F84" s="442"/>
      <c r="G84" s="470">
        <f t="shared" si="11"/>
        <v>7</v>
      </c>
      <c r="H84" s="470">
        <v>77</v>
      </c>
      <c r="I84" s="455">
        <f t="shared" ca="1" si="5"/>
        <v>4277507.6057635183</v>
      </c>
      <c r="J84" s="455">
        <f t="array" ref="J84">IFERROR(INDEX('Retirement Calculator'!K:K,MATCH('Lorri 401b'!N84,'Retirement Calculator'!A:A,0),0),0)</f>
        <v>22025.926519384055</v>
      </c>
      <c r="K84" s="455">
        <f t="shared" ca="1" si="2"/>
        <v>17731.173663517227</v>
      </c>
      <c r="L84" s="455">
        <f t="shared" ca="1" si="3"/>
        <v>4273212.852907652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42"/>
      <c r="C85" s="442"/>
      <c r="D85" s="442"/>
      <c r="E85" s="442"/>
      <c r="F85" s="442"/>
      <c r="G85" s="470">
        <f t="shared" si="11"/>
        <v>7</v>
      </c>
      <c r="H85" s="470">
        <v>78</v>
      </c>
      <c r="I85" s="455">
        <f t="shared" ca="1" si="5"/>
        <v>4273212.852907652</v>
      </c>
      <c r="J85" s="455">
        <f t="array" ref="J85">IFERROR(INDEX('Retirement Calculator'!K:K,MATCH('Lorri 401b'!N85,'Retirement Calculator'!A:A,0),0),0)</f>
        <v>22025.926519384055</v>
      </c>
      <c r="K85" s="455">
        <f t="shared" ca="1" si="2"/>
        <v>17713.278859951119</v>
      </c>
      <c r="L85" s="455">
        <f t="shared" ca="1" si="3"/>
        <v>4268900.2052482199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42"/>
      <c r="C86" s="442"/>
      <c r="D86" s="442"/>
      <c r="E86" s="442"/>
      <c r="F86" s="442"/>
      <c r="G86" s="470">
        <f t="shared" si="11"/>
        <v>7</v>
      </c>
      <c r="H86" s="470">
        <v>79</v>
      </c>
      <c r="I86" s="455">
        <f t="shared" ca="1" si="5"/>
        <v>4268900.2052482199</v>
      </c>
      <c r="J86" s="455">
        <f t="array" ref="J86">IFERROR(INDEX('Retirement Calculator'!K:K,MATCH('Lorri 401b'!N86,'Retirement Calculator'!A:A,0),0),0)</f>
        <v>22025.926519384055</v>
      </c>
      <c r="K86" s="455">
        <f t="shared" ca="1" si="2"/>
        <v>17695.309494703484</v>
      </c>
      <c r="L86" s="455">
        <f t="shared" ca="1" si="3"/>
        <v>4264569.5882235393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42"/>
      <c r="C87" s="442"/>
      <c r="D87" s="442"/>
      <c r="E87" s="442"/>
      <c r="F87" s="442"/>
      <c r="G87" s="470">
        <f t="shared" si="11"/>
        <v>7</v>
      </c>
      <c r="H87" s="470">
        <v>80</v>
      </c>
      <c r="I87" s="455">
        <f t="shared" ca="1" si="5"/>
        <v>4264569.5882235393</v>
      </c>
      <c r="J87" s="455">
        <f t="array" ref="J87">IFERROR(INDEX('Retirement Calculator'!K:K,MATCH('Lorri 401b'!N87,'Retirement Calculator'!A:A,0),0),0)</f>
        <v>22025.926519384055</v>
      </c>
      <c r="K87" s="455">
        <f t="shared" ca="1" si="2"/>
        <v>17677.265257100647</v>
      </c>
      <c r="L87" s="455">
        <f t="shared" ca="1" si="3"/>
        <v>4260220.9269612562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42"/>
      <c r="C88" s="442"/>
      <c r="D88" s="442"/>
      <c r="E88" s="442"/>
      <c r="F88" s="442"/>
      <c r="G88" s="470">
        <f t="shared" si="11"/>
        <v>7</v>
      </c>
      <c r="H88" s="470">
        <v>81</v>
      </c>
      <c r="I88" s="455">
        <f t="shared" ca="1" si="5"/>
        <v>4260220.9269612562</v>
      </c>
      <c r="J88" s="455">
        <f t="array" ref="J88">IFERROR(INDEX('Retirement Calculator'!K:K,MATCH('Lorri 401b'!N88,'Retirement Calculator'!A:A,0),0),0)</f>
        <v>22025.926519384055</v>
      </c>
      <c r="K88" s="455">
        <f t="shared" ca="1" si="2"/>
        <v>17659.14583517447</v>
      </c>
      <c r="L88" s="455">
        <f t="shared" ca="1" si="3"/>
        <v>4255854.1462770468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42"/>
      <c r="C89" s="442"/>
      <c r="D89" s="442"/>
      <c r="E89" s="442"/>
      <c r="F89" s="442"/>
      <c r="G89" s="470">
        <f t="shared" si="11"/>
        <v>7</v>
      </c>
      <c r="H89" s="470">
        <v>82</v>
      </c>
      <c r="I89" s="455">
        <f t="shared" ca="1" si="5"/>
        <v>4255854.1462770468</v>
      </c>
      <c r="J89" s="455">
        <f t="array" ref="J89">IFERROR(INDEX('Retirement Calculator'!K:K,MATCH('Lorri 401b'!N89,'Retirement Calculator'!A:A,0),0),0)</f>
        <v>22025.926519384055</v>
      </c>
      <c r="K89" s="455">
        <f t="shared" ca="1" si="2"/>
        <v>17640.950915656929</v>
      </c>
      <c r="L89" s="455">
        <f t="shared" ca="1" si="3"/>
        <v>4251469.1706733201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42"/>
      <c r="C90" s="442"/>
      <c r="D90" s="442"/>
      <c r="E90" s="442"/>
      <c r="F90" s="442"/>
      <c r="G90" s="470">
        <f t="shared" si="11"/>
        <v>7</v>
      </c>
      <c r="H90" s="470">
        <v>83</v>
      </c>
      <c r="I90" s="455">
        <f t="shared" ca="1" si="5"/>
        <v>4251469.1706733201</v>
      </c>
      <c r="J90" s="455">
        <f t="array" ref="J90">IFERROR(INDEX('Retirement Calculator'!K:K,MATCH('Lorri 401b'!N90,'Retirement Calculator'!A:A,0),0),0)</f>
        <v>22025.926519384055</v>
      </c>
      <c r="K90" s="455">
        <f t="shared" ca="1" si="2"/>
        <v>17622.680183974735</v>
      </c>
      <c r="L90" s="455">
        <f t="shared" ca="1" si="3"/>
        <v>4247065.9243379114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42"/>
      <c r="C91" s="442"/>
      <c r="D91" s="442"/>
      <c r="E91" s="442"/>
      <c r="F91" s="442"/>
      <c r="G91" s="470">
        <f t="shared" si="11"/>
        <v>7</v>
      </c>
      <c r="H91" s="470">
        <v>84</v>
      </c>
      <c r="I91" s="455">
        <f t="shared" ca="1" si="5"/>
        <v>4247065.9243379114</v>
      </c>
      <c r="J91" s="455">
        <f t="array" ref="J91">IFERROR(INDEX('Retirement Calculator'!K:K,MATCH('Lorri 401b'!N91,'Retirement Calculator'!A:A,0),0),0)</f>
        <v>22025.926519384055</v>
      </c>
      <c r="K91" s="455">
        <f t="shared" ca="1" si="2"/>
        <v>17604.333324243864</v>
      </c>
      <c r="L91" s="455">
        <f t="shared" ca="1" si="3"/>
        <v>4242644.331142772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42"/>
      <c r="C92" s="442"/>
      <c r="D92" s="442"/>
      <c r="E92" s="442"/>
      <c r="F92" s="442"/>
      <c r="G92" s="470">
        <f>G91+1</f>
        <v>8</v>
      </c>
      <c r="H92" s="470">
        <v>85</v>
      </c>
      <c r="I92" s="455">
        <f t="shared" ca="1" si="5"/>
        <v>4242644.331142772</v>
      </c>
      <c r="J92" s="455">
        <f t="array" ref="J92">IFERROR(INDEX('Retirement Calculator'!K:K,MATCH('Lorri 401b'!N92,'Retirement Calculator'!A:A,0),0),0)</f>
        <v>22025.926519384055</v>
      </c>
      <c r="K92" s="455">
        <f t="shared" ca="1" si="2"/>
        <v>17585.910019264116</v>
      </c>
      <c r="L92" s="455">
        <f t="shared" ca="1" si="3"/>
        <v>4238204.3146426529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42"/>
      <c r="C93" s="442"/>
      <c r="D93" s="442"/>
      <c r="E93" s="442"/>
      <c r="F93" s="442"/>
      <c r="G93" s="470">
        <f t="shared" ref="G93:G103" si="12">G92</f>
        <v>8</v>
      </c>
      <c r="H93" s="470">
        <v>86</v>
      </c>
      <c r="I93" s="455">
        <f t="shared" ca="1" si="5"/>
        <v>4238204.3146426529</v>
      </c>
      <c r="J93" s="455">
        <f t="array" ref="J93">IFERROR(INDEX('Retirement Calculator'!K:K,MATCH('Lorri 401b'!N93,'Retirement Calculator'!A:A,0),0),0)</f>
        <v>22025.926519384055</v>
      </c>
      <c r="K93" s="455">
        <f t="shared" ca="1" si="2"/>
        <v>17567.409950513622</v>
      </c>
      <c r="L93" s="455">
        <f t="shared" ca="1" si="3"/>
        <v>4233745.7980737826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42"/>
      <c r="C94" s="442"/>
      <c r="D94" s="442"/>
      <c r="E94" s="442"/>
      <c r="F94" s="442"/>
      <c r="G94" s="470">
        <f t="shared" si="12"/>
        <v>8</v>
      </c>
      <c r="H94" s="470">
        <v>87</v>
      </c>
      <c r="I94" s="455">
        <f t="shared" ca="1" si="5"/>
        <v>4233745.7980737826</v>
      </c>
      <c r="J94" s="455">
        <f t="array" ref="J94">IFERROR(INDEX('Retirement Calculator'!K:K,MATCH('Lorri 401b'!N94,'Retirement Calculator'!A:A,0),0),0)</f>
        <v>22025.926519384055</v>
      </c>
      <c r="K94" s="455">
        <f t="shared" ca="1" si="2"/>
        <v>17548.832798143329</v>
      </c>
      <c r="L94" s="455">
        <f t="shared" ca="1" si="3"/>
        <v>4229268.7043525418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42"/>
      <c r="C95" s="442"/>
      <c r="D95" s="442"/>
      <c r="E95" s="442"/>
      <c r="F95" s="442"/>
      <c r="G95" s="470">
        <f t="shared" si="12"/>
        <v>8</v>
      </c>
      <c r="H95" s="470">
        <v>88</v>
      </c>
      <c r="I95" s="455">
        <f t="shared" ca="1" si="5"/>
        <v>4229268.7043525418</v>
      </c>
      <c r="J95" s="455">
        <f t="array" ref="J95">IFERROR(INDEX('Retirement Calculator'!K:K,MATCH('Lorri 401b'!N95,'Retirement Calculator'!A:A,0),0),0)</f>
        <v>22025.926519384055</v>
      </c>
      <c r="K95" s="455">
        <f t="shared" ca="1" si="2"/>
        <v>17530.178240971491</v>
      </c>
      <c r="L95" s="455">
        <f t="shared" ca="1" si="3"/>
        <v>4224772.9560741298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42"/>
      <c r="C96" s="442"/>
      <c r="D96" s="442"/>
      <c r="E96" s="442"/>
      <c r="F96" s="442"/>
      <c r="G96" s="470">
        <f t="shared" si="12"/>
        <v>8</v>
      </c>
      <c r="H96" s="470">
        <v>89</v>
      </c>
      <c r="I96" s="455">
        <f t="shared" ca="1" si="5"/>
        <v>4224772.9560741298</v>
      </c>
      <c r="J96" s="455">
        <f t="array" ref="J96">IFERROR(INDEX('Retirement Calculator'!K:K,MATCH('Lorri 401b'!N96,'Retirement Calculator'!A:A,0),0),0)</f>
        <v>22025.926519384055</v>
      </c>
      <c r="K96" s="455">
        <f t="shared" ca="1" si="2"/>
        <v>17511.44595647811</v>
      </c>
      <c r="L96" s="455">
        <f t="shared" ca="1" si="3"/>
        <v>4220258.475511224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42"/>
      <c r="C97" s="442"/>
      <c r="D97" s="442"/>
      <c r="E97" s="442"/>
      <c r="F97" s="442"/>
      <c r="G97" s="470">
        <f t="shared" si="12"/>
        <v>8</v>
      </c>
      <c r="H97" s="470">
        <v>90</v>
      </c>
      <c r="I97" s="455">
        <f t="shared" ca="1" si="5"/>
        <v>4220258.475511224</v>
      </c>
      <c r="J97" s="455">
        <f t="array" ref="J97">IFERROR(INDEX('Retirement Calculator'!K:K,MATCH('Lorri 401b'!N97,'Retirement Calculator'!A:A,0),0),0)</f>
        <v>22025.926519384055</v>
      </c>
      <c r="K97" s="455">
        <f t="shared" ca="1" si="2"/>
        <v>17492.635620799334</v>
      </c>
      <c r="L97" s="455">
        <f t="shared" ca="1" si="3"/>
        <v>4215725.1846126392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42"/>
      <c r="C98" s="442"/>
      <c r="D98" s="442"/>
      <c r="E98" s="442"/>
      <c r="F98" s="442"/>
      <c r="G98" s="470">
        <f t="shared" si="12"/>
        <v>8</v>
      </c>
      <c r="H98" s="470">
        <v>91</v>
      </c>
      <c r="I98" s="455">
        <f t="shared" ca="1" si="5"/>
        <v>4215725.1846126392</v>
      </c>
      <c r="J98" s="455">
        <f t="array" ref="J98">IFERROR(INDEX('Retirement Calculator'!K:K,MATCH('Lorri 401b'!N98,'Retirement Calculator'!A:A,0),0),0)</f>
        <v>22025.926519384055</v>
      </c>
      <c r="K98" s="455">
        <f t="shared" ca="1" si="2"/>
        <v>17473.746908721892</v>
      </c>
      <c r="L98" s="455">
        <f t="shared" ca="1" si="3"/>
        <v>4211173.0050019771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42"/>
      <c r="C99" s="442"/>
      <c r="D99" s="442"/>
      <c r="E99" s="442"/>
      <c r="F99" s="442"/>
      <c r="G99" s="470">
        <f t="shared" si="12"/>
        <v>8</v>
      </c>
      <c r="H99" s="470">
        <v>92</v>
      </c>
      <c r="I99" s="455">
        <f t="shared" ca="1" si="5"/>
        <v>4211173.0050019771</v>
      </c>
      <c r="J99" s="455">
        <f t="array" ref="J99">IFERROR(INDEX('Retirement Calculator'!K:K,MATCH('Lorri 401b'!N99,'Retirement Calculator'!A:A,0),0),0)</f>
        <v>22025.926519384055</v>
      </c>
      <c r="K99" s="455">
        <f t="shared" ca="1" si="2"/>
        <v>17454.77949367747</v>
      </c>
      <c r="L99" s="455">
        <f t="shared" ca="1" si="3"/>
        <v>4206601.8579762708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42"/>
      <c r="C100" s="442"/>
      <c r="D100" s="442"/>
      <c r="E100" s="442"/>
      <c r="F100" s="442"/>
      <c r="G100" s="470">
        <f t="shared" si="12"/>
        <v>8</v>
      </c>
      <c r="H100" s="470">
        <v>93</v>
      </c>
      <c r="I100" s="455">
        <f t="shared" ca="1" si="5"/>
        <v>4206601.8579762708</v>
      </c>
      <c r="J100" s="455">
        <f t="array" ref="J100">IFERROR(INDEX('Retirement Calculator'!K:K,MATCH('Lorri 401b'!N100,'Retirement Calculator'!A:A,0),0),0)</f>
        <v>22025.926519384055</v>
      </c>
      <c r="K100" s="455">
        <f t="shared" ca="1" si="2"/>
        <v>17435.733047737027</v>
      </c>
      <c r="L100" s="455">
        <f t="shared" ca="1" si="3"/>
        <v>4202011.664504624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42"/>
      <c r="C101" s="442"/>
      <c r="D101" s="442"/>
      <c r="E101" s="442"/>
      <c r="F101" s="442"/>
      <c r="G101" s="470">
        <f t="shared" si="12"/>
        <v>8</v>
      </c>
      <c r="H101" s="470">
        <v>94</v>
      </c>
      <c r="I101" s="455">
        <f t="shared" ca="1" si="5"/>
        <v>4202011.664504624</v>
      </c>
      <c r="J101" s="455">
        <f t="array" ref="J101">IFERROR(INDEX('Retirement Calculator'!K:K,MATCH('Lorri 401b'!N101,'Retirement Calculator'!A:A,0),0),0)</f>
        <v>22025.926519384055</v>
      </c>
      <c r="K101" s="455">
        <f t="shared" ca="1" si="2"/>
        <v>17416.607241605165</v>
      </c>
      <c r="L101" s="455">
        <f t="shared" ca="1" si="3"/>
        <v>4197402.3452268448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42"/>
      <c r="C102" s="442"/>
      <c r="D102" s="442"/>
      <c r="E102" s="442"/>
      <c r="F102" s="442"/>
      <c r="G102" s="470">
        <f t="shared" si="12"/>
        <v>8</v>
      </c>
      <c r="H102" s="470">
        <v>95</v>
      </c>
      <c r="I102" s="455">
        <f t="shared" ca="1" si="5"/>
        <v>4197402.3452268448</v>
      </c>
      <c r="J102" s="455">
        <f t="array" ref="J102">IFERROR(INDEX('Retirement Calculator'!K:K,MATCH('Lorri 401b'!N102,'Retirement Calculator'!A:A,0),0),0)</f>
        <v>22025.926519384055</v>
      </c>
      <c r="K102" s="455">
        <f t="shared" ca="1" si="2"/>
        <v>17397.401744614421</v>
      </c>
      <c r="L102" s="455">
        <f t="shared" ca="1" si="3"/>
        <v>4192773.820452075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42"/>
      <c r="C103" s="442"/>
      <c r="D103" s="442"/>
      <c r="E103" s="442"/>
      <c r="F103" s="442"/>
      <c r="G103" s="470">
        <f t="shared" si="12"/>
        <v>8</v>
      </c>
      <c r="H103" s="470">
        <v>96</v>
      </c>
      <c r="I103" s="455">
        <f t="shared" ca="1" si="5"/>
        <v>4192773.820452075</v>
      </c>
      <c r="J103" s="455">
        <f t="array" ref="J103">IFERROR(INDEX('Retirement Calculator'!K:K,MATCH('Lorri 401b'!N103,'Retirement Calculator'!A:A,0),0),0)</f>
        <v>22025.926519384055</v>
      </c>
      <c r="K103" s="455">
        <f t="shared" ca="1" si="2"/>
        <v>17378.116224719546</v>
      </c>
      <c r="L103" s="455">
        <f t="shared" ca="1" si="3"/>
        <v>4188126.0101574105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42"/>
      <c r="C104" s="442"/>
      <c r="D104" s="442"/>
      <c r="E104" s="442"/>
      <c r="F104" s="442"/>
      <c r="G104" s="470">
        <f>G103+1</f>
        <v>9</v>
      </c>
      <c r="H104" s="470">
        <v>97</v>
      </c>
      <c r="I104" s="455">
        <f t="shared" ca="1" si="5"/>
        <v>4188126.0101574105</v>
      </c>
      <c r="J104" s="455">
        <f t="array" ref="J104">IFERROR(INDEX('Retirement Calculator'!K:K,MATCH('Lorri 401b'!N104,'Retirement Calculator'!A:A,0),0),0)</f>
        <v>22025.926519384055</v>
      </c>
      <c r="K104" s="455">
        <f t="shared" ca="1" si="2"/>
        <v>17358.750348491776</v>
      </c>
      <c r="L104" s="455">
        <f t="shared" ca="1" si="3"/>
        <v>4183458.833986518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42"/>
      <c r="C105" s="442"/>
      <c r="D105" s="442"/>
      <c r="E105" s="442"/>
      <c r="F105" s="442"/>
      <c r="G105" s="470">
        <f t="shared" ref="G105:G115" si="13">G104</f>
        <v>9</v>
      </c>
      <c r="H105" s="470">
        <v>98</v>
      </c>
      <c r="I105" s="455">
        <f t="shared" ca="1" si="5"/>
        <v>4183458.833986518</v>
      </c>
      <c r="J105" s="455">
        <f t="array" ref="J105">IFERROR(INDEX('Retirement Calculator'!K:K,MATCH('Lorri 401b'!N105,'Retirement Calculator'!A:A,0),0),0)</f>
        <v>20282.026119384056</v>
      </c>
      <c r="K105" s="455">
        <f t="shared" ca="1" si="2"/>
        <v>17346.570032779724</v>
      </c>
      <c r="L105" s="455">
        <f t="shared" ca="1" si="3"/>
        <v>4180523.3778999136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42"/>
      <c r="C106" s="442"/>
      <c r="D106" s="442"/>
      <c r="E106" s="442"/>
      <c r="F106" s="442"/>
      <c r="G106" s="470">
        <f t="shared" si="13"/>
        <v>9</v>
      </c>
      <c r="H106" s="470">
        <v>99</v>
      </c>
      <c r="I106" s="455">
        <f t="shared" ca="1" si="5"/>
        <v>4180523.3778999136</v>
      </c>
      <c r="J106" s="455">
        <f t="array" ref="J106">IFERROR(INDEX('Retirement Calculator'!K:K,MATCH('Lorri 401b'!N106,'Retirement Calculator'!A:A,0),0),0)</f>
        <v>20282.026119384056</v>
      </c>
      <c r="K106" s="455">
        <f t="shared" ca="1" si="2"/>
        <v>17334.338965752206</v>
      </c>
      <c r="L106" s="455">
        <f t="shared" ca="1" si="3"/>
        <v>4177575.6907462818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42"/>
      <c r="C107" s="442"/>
      <c r="D107" s="442"/>
      <c r="E107" s="442"/>
      <c r="F107" s="442"/>
      <c r="G107" s="470">
        <f t="shared" si="13"/>
        <v>9</v>
      </c>
      <c r="H107" s="470">
        <v>100</v>
      </c>
      <c r="I107" s="455">
        <f t="shared" ca="1" si="5"/>
        <v>4177575.6907462818</v>
      </c>
      <c r="J107" s="455">
        <f t="array" ref="J107">IFERROR(INDEX('Retirement Calculator'!K:K,MATCH('Lorri 401b'!N107,'Retirement Calculator'!A:A,0),0),0)</f>
        <v>20282.026119384056</v>
      </c>
      <c r="K107" s="455">
        <f t="shared" ca="1" si="2"/>
        <v>17322.056935945406</v>
      </c>
      <c r="L107" s="455">
        <f t="shared" ca="1" si="3"/>
        <v>4174615.7215628433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42"/>
      <c r="C108" s="442"/>
      <c r="D108" s="442"/>
      <c r="E108" s="442"/>
      <c r="F108" s="442"/>
      <c r="G108" s="470">
        <f t="shared" si="13"/>
        <v>9</v>
      </c>
      <c r="H108" s="470">
        <v>101</v>
      </c>
      <c r="I108" s="455">
        <f t="shared" ca="1" si="5"/>
        <v>4174615.7215628433</v>
      </c>
      <c r="J108" s="455">
        <f t="array" ref="J108">IFERROR(INDEX('Retirement Calculator'!K:K,MATCH('Lorri 401b'!N108,'Retirement Calculator'!A:A,0),0),0)</f>
        <v>20282.026119384056</v>
      </c>
      <c r="K108" s="455">
        <f t="shared" ca="1" si="2"/>
        <v>17309.723731014412</v>
      </c>
      <c r="L108" s="455">
        <f t="shared" ca="1" si="3"/>
        <v>4171643.4191744737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42"/>
      <c r="C109" s="442"/>
      <c r="D109" s="442"/>
      <c r="E109" s="442"/>
      <c r="F109" s="442"/>
      <c r="G109" s="470">
        <f t="shared" si="13"/>
        <v>9</v>
      </c>
      <c r="H109" s="470">
        <v>102</v>
      </c>
      <c r="I109" s="455">
        <f t="shared" ca="1" si="5"/>
        <v>4171643.4191744737</v>
      </c>
      <c r="J109" s="455">
        <f t="array" ref="J109">IFERROR(INDEX('Retirement Calculator'!K:K,MATCH('Lorri 401b'!N109,'Retirement Calculator'!A:A,0),0),0)</f>
        <v>20282.026119384056</v>
      </c>
      <c r="K109" s="455">
        <f t="shared" ca="1" si="2"/>
        <v>17297.339137729537</v>
      </c>
      <c r="L109" s="455">
        <f t="shared" ca="1" si="3"/>
        <v>4168658.7321928195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42"/>
      <c r="C110" s="442"/>
      <c r="D110" s="442"/>
      <c r="E110" s="442"/>
      <c r="F110" s="442"/>
      <c r="G110" s="470">
        <f t="shared" si="13"/>
        <v>9</v>
      </c>
      <c r="H110" s="470">
        <v>103</v>
      </c>
      <c r="I110" s="455">
        <f t="shared" ca="1" si="5"/>
        <v>4168658.7321928195</v>
      </c>
      <c r="J110" s="455">
        <f t="array" ref="J110">IFERROR(INDEX('Retirement Calculator'!K:K,MATCH('Lorri 401b'!N110,'Retirement Calculator'!A:A,0),0),0)</f>
        <v>20282.026119384056</v>
      </c>
      <c r="K110" s="455">
        <f t="shared" ca="1" si="2"/>
        <v>17284.902941972647</v>
      </c>
      <c r="L110" s="455">
        <f t="shared" ca="1" si="3"/>
        <v>4165661.609015408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42"/>
      <c r="C111" s="442"/>
      <c r="D111" s="442"/>
      <c r="E111" s="442"/>
      <c r="F111" s="442"/>
      <c r="G111" s="470">
        <f t="shared" si="13"/>
        <v>9</v>
      </c>
      <c r="H111" s="470">
        <v>104</v>
      </c>
      <c r="I111" s="455">
        <f t="shared" ca="1" si="5"/>
        <v>4165661.609015408</v>
      </c>
      <c r="J111" s="455">
        <f t="array" ref="J111">IFERROR(INDEX('Retirement Calculator'!K:K,MATCH('Lorri 401b'!N111,'Retirement Calculator'!A:A,0),0),0)</f>
        <v>20282.026119384056</v>
      </c>
      <c r="K111" s="455">
        <f t="shared" ca="1" si="2"/>
        <v>17272.414928733433</v>
      </c>
      <c r="L111" s="455">
        <f t="shared" ca="1" si="3"/>
        <v>4162651.9978247574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42"/>
      <c r="C112" s="442"/>
      <c r="D112" s="442"/>
      <c r="E112" s="442"/>
      <c r="F112" s="442"/>
      <c r="G112" s="470">
        <f t="shared" si="13"/>
        <v>9</v>
      </c>
      <c r="H112" s="470">
        <v>105</v>
      </c>
      <c r="I112" s="455">
        <f t="shared" ca="1" si="5"/>
        <v>4162651.9978247574</v>
      </c>
      <c r="J112" s="455">
        <f t="array" ref="J112">IFERROR(INDEX('Retirement Calculator'!K:K,MATCH('Lorri 401b'!N112,'Retirement Calculator'!A:A,0),0),0)</f>
        <v>20282.026119384056</v>
      </c>
      <c r="K112" s="455">
        <f t="shared" ca="1" si="2"/>
        <v>17259.874882105723</v>
      </c>
      <c r="L112" s="455">
        <f t="shared" ca="1" si="3"/>
        <v>4159629.8465874791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42"/>
      <c r="C113" s="442"/>
      <c r="D113" s="442"/>
      <c r="E113" s="442"/>
      <c r="F113" s="442"/>
      <c r="G113" s="470">
        <f t="shared" si="13"/>
        <v>9</v>
      </c>
      <c r="H113" s="470">
        <v>106</v>
      </c>
      <c r="I113" s="455">
        <f t="shared" ca="1" si="5"/>
        <v>4159629.8465874791</v>
      </c>
      <c r="J113" s="455">
        <f t="array" ref="J113">IFERROR(INDEX('Retirement Calculator'!K:K,MATCH('Lorri 401b'!N113,'Retirement Calculator'!A:A,0),0),0)</f>
        <v>20282.026119384056</v>
      </c>
      <c r="K113" s="455">
        <f t="shared" ca="1" si="2"/>
        <v>17247.28258528373</v>
      </c>
      <c r="L113" s="455">
        <f t="shared" ca="1" si="3"/>
        <v>4156595.1030533789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42"/>
      <c r="C114" s="442"/>
      <c r="D114" s="442"/>
      <c r="E114" s="442"/>
      <c r="F114" s="442"/>
      <c r="G114" s="470">
        <f t="shared" si="13"/>
        <v>9</v>
      </c>
      <c r="H114" s="470">
        <v>107</v>
      </c>
      <c r="I114" s="455">
        <f t="shared" ca="1" si="5"/>
        <v>4156595.1030533789</v>
      </c>
      <c r="J114" s="455">
        <f t="array" ref="J114">IFERROR(INDEX('Retirement Calculator'!K:K,MATCH('Lorri 401b'!N114,'Retirement Calculator'!A:A,0),0),0)</f>
        <v>20282.026119384056</v>
      </c>
      <c r="K114" s="455">
        <f t="shared" ca="1" si="2"/>
        <v>17234.637820558313</v>
      </c>
      <c r="L114" s="455">
        <f t="shared" ca="1" si="3"/>
        <v>4153547.714754553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42"/>
      <c r="C115" s="442"/>
      <c r="D115" s="442"/>
      <c r="E115" s="442"/>
      <c r="F115" s="442"/>
      <c r="G115" s="470">
        <f t="shared" si="13"/>
        <v>9</v>
      </c>
      <c r="H115" s="470">
        <v>108</v>
      </c>
      <c r="I115" s="455">
        <f t="shared" ca="1" si="5"/>
        <v>4153547.714754553</v>
      </c>
      <c r="J115" s="455">
        <f t="array" ref="J115">IFERROR(INDEX('Retirement Calculator'!K:K,MATCH('Lorri 401b'!N115,'Retirement Calculator'!A:A,0),0),0)</f>
        <v>20282.026119384056</v>
      </c>
      <c r="K115" s="455">
        <f t="shared" ca="1" si="2"/>
        <v>17221.940369313201</v>
      </c>
      <c r="L115" s="455">
        <f t="shared" ca="1" si="3"/>
        <v>4150487.6290044822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42"/>
      <c r="C116" s="442"/>
      <c r="D116" s="442"/>
      <c r="E116" s="442"/>
      <c r="F116" s="442"/>
      <c r="G116" s="470">
        <f>G115+1</f>
        <v>10</v>
      </c>
      <c r="H116" s="470">
        <v>109</v>
      </c>
      <c r="I116" s="455">
        <f t="shared" ca="1" si="5"/>
        <v>4150487.6290044822</v>
      </c>
      <c r="J116" s="455">
        <f t="array" ref="J116">IFERROR(INDEX('Retirement Calculator'!K:K,MATCH('Lorri 401b'!N116,'Retirement Calculator'!A:A,0),0),0)</f>
        <v>20282.026119384056</v>
      </c>
      <c r="K116" s="455">
        <f t="shared" ca="1" si="2"/>
        <v>17209.190012021245</v>
      </c>
      <c r="L116" s="455">
        <f t="shared" ca="1" si="3"/>
        <v>4147414.7928971197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42"/>
      <c r="C117" s="442"/>
      <c r="D117" s="442"/>
      <c r="E117" s="442"/>
      <c r="F117" s="442"/>
      <c r="G117" s="470">
        <f t="shared" ref="G117:G127" si="14">G116</f>
        <v>10</v>
      </c>
      <c r="H117" s="470">
        <v>110</v>
      </c>
      <c r="I117" s="455">
        <f t="shared" ca="1" si="5"/>
        <v>4147414.7928971197</v>
      </c>
      <c r="J117" s="455">
        <f t="array" ref="J117">IFERROR(INDEX('Retirement Calculator'!K:K,MATCH('Lorri 401b'!N117,'Retirement Calculator'!A:A,0),0),0)</f>
        <v>20282.026119384056</v>
      </c>
      <c r="K117" s="455">
        <f t="shared" ca="1" si="2"/>
        <v>17196.386528240564</v>
      </c>
      <c r="L117" s="455">
        <f t="shared" ca="1" si="3"/>
        <v>4144329.1533059762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42"/>
      <c r="C118" s="442"/>
      <c r="D118" s="442"/>
      <c r="E118" s="442"/>
      <c r="F118" s="442"/>
      <c r="G118" s="470">
        <f t="shared" si="14"/>
        <v>10</v>
      </c>
      <c r="H118" s="470">
        <v>111</v>
      </c>
      <c r="I118" s="455">
        <f t="shared" ca="1" si="5"/>
        <v>4144329.1533059762</v>
      </c>
      <c r="J118" s="455">
        <f t="array" ref="J118">IFERROR(INDEX('Retirement Calculator'!K:K,MATCH('Lorri 401b'!N118,'Retirement Calculator'!A:A,0),0),0)</f>
        <v>20282.026119384056</v>
      </c>
      <c r="K118" s="455">
        <f t="shared" ca="1" si="2"/>
        <v>17183.5296966108</v>
      </c>
      <c r="L118" s="455">
        <f t="shared" ca="1" si="3"/>
        <v>4141230.656883203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42"/>
      <c r="C119" s="442"/>
      <c r="D119" s="442"/>
      <c r="E119" s="442"/>
      <c r="F119" s="442"/>
      <c r="G119" s="470">
        <f t="shared" si="14"/>
        <v>10</v>
      </c>
      <c r="H119" s="470">
        <v>112</v>
      </c>
      <c r="I119" s="455">
        <f t="shared" ca="1" si="5"/>
        <v>4141230.656883203</v>
      </c>
      <c r="J119" s="455">
        <f t="array" ref="J119">IFERROR(INDEX('Retirement Calculator'!K:K,MATCH('Lorri 401b'!N119,'Retirement Calculator'!A:A,0),0),0)</f>
        <v>20282.026119384056</v>
      </c>
      <c r="K119" s="455">
        <f t="shared" ca="1" si="2"/>
        <v>17170.619294849246</v>
      </c>
      <c r="L119" s="455">
        <f t="shared" ca="1" si="3"/>
        <v>4138119.2500586682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42"/>
      <c r="C120" s="442"/>
      <c r="D120" s="442"/>
      <c r="E120" s="442"/>
      <c r="F120" s="442"/>
      <c r="G120" s="470">
        <f t="shared" si="14"/>
        <v>10</v>
      </c>
      <c r="H120" s="470">
        <v>113</v>
      </c>
      <c r="I120" s="455">
        <f t="shared" ca="1" si="5"/>
        <v>4138119.2500586682</v>
      </c>
      <c r="J120" s="455">
        <f t="array" ref="J120">IFERROR(INDEX('Retirement Calculator'!K:K,MATCH('Lorri 401b'!N120,'Retirement Calculator'!A:A,0),0),0)</f>
        <v>20282.026119384056</v>
      </c>
      <c r="K120" s="455">
        <f t="shared" ca="1" si="2"/>
        <v>17157.655099747019</v>
      </c>
      <c r="L120" s="455">
        <f t="shared" ca="1" si="3"/>
        <v>4134994.8790390315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42"/>
      <c r="C121" s="442"/>
      <c r="D121" s="442"/>
      <c r="E121" s="442"/>
      <c r="F121" s="442"/>
      <c r="G121" s="470">
        <f t="shared" si="14"/>
        <v>10</v>
      </c>
      <c r="H121" s="470">
        <v>114</v>
      </c>
      <c r="I121" s="455">
        <f t="shared" ca="1" si="5"/>
        <v>4134994.8790390315</v>
      </c>
      <c r="J121" s="455">
        <f t="array" ref="J121">IFERROR(INDEX('Retirement Calculator'!K:K,MATCH('Lorri 401b'!N121,'Retirement Calculator'!A:A,0),0),0)</f>
        <v>20282.026119384056</v>
      </c>
      <c r="K121" s="455">
        <f t="shared" ca="1" si="2"/>
        <v>17144.636887165198</v>
      </c>
      <c r="L121" s="455">
        <f t="shared" ca="1" si="3"/>
        <v>4131857.4898068127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42"/>
      <c r="C122" s="442"/>
      <c r="D122" s="442"/>
      <c r="E122" s="442"/>
      <c r="F122" s="442"/>
      <c r="G122" s="470">
        <f t="shared" si="14"/>
        <v>10</v>
      </c>
      <c r="H122" s="470">
        <v>115</v>
      </c>
      <c r="I122" s="455">
        <f t="shared" ca="1" si="5"/>
        <v>4131857.4898068127</v>
      </c>
      <c r="J122" s="455">
        <f t="array" ref="J122">IFERROR(INDEX('Retirement Calculator'!K:K,MATCH('Lorri 401b'!N122,'Retirement Calculator'!A:A,0),0),0)</f>
        <v>20282.026119384056</v>
      </c>
      <c r="K122" s="455">
        <f t="shared" ca="1" si="2"/>
        <v>17131.564432030951</v>
      </c>
      <c r="L122" s="455">
        <f t="shared" ca="1" si="3"/>
        <v>4128707.0281194597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42"/>
      <c r="C123" s="442"/>
      <c r="D123" s="442"/>
      <c r="E123" s="442"/>
      <c r="F123" s="442"/>
      <c r="G123" s="470">
        <f t="shared" si="14"/>
        <v>10</v>
      </c>
      <c r="H123" s="470">
        <v>116</v>
      </c>
      <c r="I123" s="455">
        <f t="shared" ca="1" si="5"/>
        <v>4128707.0281194597</v>
      </c>
      <c r="J123" s="455">
        <f t="array" ref="J123">IFERROR(INDEX('Retirement Calculator'!K:K,MATCH('Lorri 401b'!N123,'Retirement Calculator'!A:A,0),0),0)</f>
        <v>20282.026119384056</v>
      </c>
      <c r="K123" s="455">
        <f t="shared" ca="1" si="2"/>
        <v>17118.437508333649</v>
      </c>
      <c r="L123" s="455">
        <f t="shared" ca="1" si="3"/>
        <v>4125543.4395084092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42"/>
      <c r="C124" s="442"/>
      <c r="D124" s="442"/>
      <c r="E124" s="442"/>
      <c r="F124" s="442"/>
      <c r="G124" s="470">
        <f t="shared" si="14"/>
        <v>10</v>
      </c>
      <c r="H124" s="470">
        <v>117</v>
      </c>
      <c r="I124" s="455">
        <f t="shared" ca="1" si="5"/>
        <v>4125543.4395084092</v>
      </c>
      <c r="J124" s="455">
        <f t="array" ref="J124">IFERROR(INDEX('Retirement Calculator'!K:K,MATCH('Lorri 401b'!N124,'Retirement Calculator'!A:A,0),0),0)</f>
        <v>20282.026119384056</v>
      </c>
      <c r="K124" s="455">
        <f t="shared" ca="1" si="2"/>
        <v>17105.255889120937</v>
      </c>
      <c r="L124" s="455">
        <f t="shared" ca="1" si="3"/>
        <v>4122366.6692781462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42"/>
      <c r="C125" s="442"/>
      <c r="D125" s="442"/>
      <c r="E125" s="442"/>
      <c r="F125" s="442"/>
      <c r="G125" s="470">
        <f t="shared" si="14"/>
        <v>10</v>
      </c>
      <c r="H125" s="470">
        <v>118</v>
      </c>
      <c r="I125" s="455">
        <f t="shared" ca="1" si="5"/>
        <v>4122366.6692781462</v>
      </c>
      <c r="J125" s="455">
        <f t="array" ref="J125">IFERROR(INDEX('Retirement Calculator'!K:K,MATCH('Lorri 401b'!N125,'Retirement Calculator'!A:A,0),0),0)</f>
        <v>20282.026119384056</v>
      </c>
      <c r="K125" s="455">
        <f t="shared" ca="1" si="2"/>
        <v>17092.019346494842</v>
      </c>
      <c r="L125" s="455">
        <f t="shared" ca="1" si="3"/>
        <v>4119176.6625052569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42"/>
      <c r="C126" s="442"/>
      <c r="D126" s="442"/>
      <c r="E126" s="442"/>
      <c r="F126" s="442"/>
      <c r="G126" s="470">
        <f t="shared" si="14"/>
        <v>10</v>
      </c>
      <c r="H126" s="470">
        <v>119</v>
      </c>
      <c r="I126" s="455">
        <f t="shared" ca="1" si="5"/>
        <v>4119176.6625052569</v>
      </c>
      <c r="J126" s="455">
        <f t="array" ref="J126">IFERROR(INDEX('Retirement Calculator'!K:K,MATCH('Lorri 401b'!N126,'Retirement Calculator'!A:A,0),0),0)</f>
        <v>20282.026119384056</v>
      </c>
      <c r="K126" s="455">
        <f t="shared" ca="1" si="2"/>
        <v>17078.727651607805</v>
      </c>
      <c r="L126" s="455">
        <f t="shared" ca="1" si="3"/>
        <v>4115973.3640374807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42"/>
      <c r="C127" s="442"/>
      <c r="D127" s="442"/>
      <c r="E127" s="442"/>
      <c r="F127" s="442"/>
      <c r="G127" s="470">
        <f t="shared" si="14"/>
        <v>10</v>
      </c>
      <c r="H127" s="470">
        <v>120</v>
      </c>
      <c r="I127" s="455">
        <f t="shared" ca="1" si="5"/>
        <v>4115973.3640374807</v>
      </c>
      <c r="J127" s="455">
        <f t="array" ref="J127">IFERROR(INDEX('Retirement Calculator'!K:K,MATCH('Lorri 401b'!N127,'Retirement Calculator'!A:A,0),0),0)</f>
        <v>20282.026119384056</v>
      </c>
      <c r="K127" s="455">
        <f t="shared" ca="1" si="2"/>
        <v>17065.380574658735</v>
      </c>
      <c r="L127" s="455">
        <f t="shared" ca="1" si="3"/>
        <v>4112756.7184927552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42"/>
      <c r="C128" s="442"/>
      <c r="D128" s="442"/>
      <c r="E128" s="442"/>
      <c r="F128" s="442"/>
      <c r="G128" s="470">
        <f>G127+1</f>
        <v>11</v>
      </c>
      <c r="H128" s="470">
        <v>121</v>
      </c>
      <c r="I128" s="455">
        <f t="shared" ca="1" si="5"/>
        <v>4112756.7184927552</v>
      </c>
      <c r="J128" s="455">
        <f t="array" ref="J128">IFERROR(INDEX('Retirement Calculator'!K:K,MATCH('Lorri 401b'!N128,'Retirement Calculator'!A:A,0),0),0)</f>
        <v>20282.026119384056</v>
      </c>
      <c r="K128" s="455">
        <f t="shared" ca="1" si="2"/>
        <v>17051.977884889046</v>
      </c>
      <c r="L128" s="455">
        <f t="shared" ca="1" si="3"/>
        <v>4109526.6702582603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42"/>
      <c r="C129" s="442"/>
      <c r="D129" s="442"/>
      <c r="E129" s="442"/>
      <c r="F129" s="442"/>
      <c r="G129" s="470">
        <f t="shared" ref="G129:G139" si="15">G128</f>
        <v>11</v>
      </c>
      <c r="H129" s="470">
        <v>122</v>
      </c>
      <c r="I129" s="455">
        <f t="shared" ca="1" si="5"/>
        <v>4109526.6702582603</v>
      </c>
      <c r="J129" s="455">
        <f t="array" ref="J129">IFERROR(INDEX('Retirement Calculator'!K:K,MATCH('Lorri 401b'!N129,'Retirement Calculator'!A:A,0),0),0)</f>
        <v>20282.026119384056</v>
      </c>
      <c r="K129" s="455">
        <f t="shared" ca="1" si="2"/>
        <v>17038.519350578652</v>
      </c>
      <c r="L129" s="455">
        <f t="shared" ca="1" si="3"/>
        <v>4106283.1634894549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42"/>
      <c r="C130" s="442"/>
      <c r="D130" s="442"/>
      <c r="E130" s="442"/>
      <c r="F130" s="442"/>
      <c r="G130" s="470">
        <f t="shared" si="15"/>
        <v>11</v>
      </c>
      <c r="H130" s="470">
        <v>123</v>
      </c>
      <c r="I130" s="455">
        <f t="shared" ca="1" si="5"/>
        <v>4106283.1634894549</v>
      </c>
      <c r="J130" s="455">
        <f t="array" ref="J130">IFERROR(INDEX('Retirement Calculator'!K:K,MATCH('Lorri 401b'!N130,'Retirement Calculator'!A:A,0),0),0)</f>
        <v>20282.026119384056</v>
      </c>
      <c r="K130" s="455">
        <f t="shared" ca="1" si="2"/>
        <v>17025.00473904196</v>
      </c>
      <c r="L130" s="455">
        <f t="shared" ca="1" si="3"/>
        <v>4103026.1421091128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42"/>
      <c r="C131" s="442"/>
      <c r="D131" s="442"/>
      <c r="E131" s="442"/>
      <c r="F131" s="442"/>
      <c r="G131" s="470">
        <f t="shared" si="15"/>
        <v>11</v>
      </c>
      <c r="H131" s="470">
        <v>124</v>
      </c>
      <c r="I131" s="455">
        <f t="shared" ca="1" si="5"/>
        <v>4103026.1421091128</v>
      </c>
      <c r="J131" s="455">
        <f t="array" ref="J131">IFERROR(INDEX('Retirement Calculator'!K:K,MATCH('Lorri 401b'!N131,'Retirement Calculator'!A:A,0),0),0)</f>
        <v>20282.026119384056</v>
      </c>
      <c r="K131" s="455">
        <f t="shared" ca="1" si="2"/>
        <v>17011.43381662387</v>
      </c>
      <c r="L131" s="455">
        <f t="shared" ca="1" si="3"/>
        <v>4099755.5498063527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42"/>
      <c r="C132" s="442"/>
      <c r="D132" s="442"/>
      <c r="E132" s="442"/>
      <c r="F132" s="442"/>
      <c r="G132" s="470">
        <f t="shared" si="15"/>
        <v>11</v>
      </c>
      <c r="H132" s="470">
        <v>125</v>
      </c>
      <c r="I132" s="455">
        <f t="shared" ca="1" si="5"/>
        <v>4099755.5498063527</v>
      </c>
      <c r="J132" s="455">
        <f t="array" ref="J132">IFERROR(INDEX('Retirement Calculator'!K:K,MATCH('Lorri 401b'!N132,'Retirement Calculator'!A:A,0),0),0)</f>
        <v>20282.026119384056</v>
      </c>
      <c r="K132" s="455">
        <f t="shared" ca="1" si="2"/>
        <v>16997.806348695703</v>
      </c>
      <c r="L132" s="455">
        <f t="shared" ca="1" si="3"/>
        <v>4096471.3300356646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42"/>
      <c r="C133" s="442"/>
      <c r="D133" s="442"/>
      <c r="E133" s="442"/>
      <c r="F133" s="442"/>
      <c r="G133" s="470">
        <f t="shared" si="15"/>
        <v>11</v>
      </c>
      <c r="H133" s="470">
        <v>126</v>
      </c>
      <c r="I133" s="455">
        <f t="shared" ca="1" si="5"/>
        <v>4096471.3300356646</v>
      </c>
      <c r="J133" s="455">
        <f t="array" ref="J133">IFERROR(INDEX('Retirement Calculator'!K:K,MATCH('Lorri 401b'!N133,'Retirement Calculator'!A:A,0),0),0)</f>
        <v>20282.026119384056</v>
      </c>
      <c r="K133" s="455">
        <f t="shared" ca="1" si="2"/>
        <v>16984.122099651169</v>
      </c>
      <c r="L133" s="455">
        <f t="shared" ca="1" si="3"/>
        <v>4093173.4260159316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42"/>
      <c r="C134" s="442"/>
      <c r="D134" s="442"/>
      <c r="E134" s="442"/>
      <c r="F134" s="442"/>
      <c r="G134" s="470">
        <f t="shared" si="15"/>
        <v>11</v>
      </c>
      <c r="H134" s="470">
        <v>127</v>
      </c>
      <c r="I134" s="455">
        <f t="shared" ca="1" si="5"/>
        <v>4093173.4260159316</v>
      </c>
      <c r="J134" s="455">
        <f t="array" ref="J134">IFERROR(INDEX('Retirement Calculator'!K:K,MATCH('Lorri 401b'!N134,'Retirement Calculator'!A:A,0),0),0)</f>
        <v>20282.026119384056</v>
      </c>
      <c r="K134" s="455">
        <f t="shared" ca="1" si="2"/>
        <v>16970.380832902283</v>
      </c>
      <c r="L134" s="455">
        <f t="shared" ca="1" si="3"/>
        <v>4089861.7807294498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42"/>
      <c r="C135" s="442"/>
      <c r="D135" s="442"/>
      <c r="E135" s="442"/>
      <c r="F135" s="442"/>
      <c r="G135" s="470">
        <f t="shared" si="15"/>
        <v>11</v>
      </c>
      <c r="H135" s="470">
        <v>128</v>
      </c>
      <c r="I135" s="455">
        <f t="shared" ca="1" si="5"/>
        <v>4089861.7807294498</v>
      </c>
      <c r="J135" s="455">
        <f t="array" ref="J135">IFERROR(INDEX('Retirement Calculator'!K:K,MATCH('Lorri 401b'!N135,'Retirement Calculator'!A:A,0),0),0)</f>
        <v>20282.026119384056</v>
      </c>
      <c r="K135" s="455">
        <f t="shared" ca="1" si="2"/>
        <v>16956.582310875274</v>
      </c>
      <c r="L135" s="455">
        <f t="shared" ca="1" si="3"/>
        <v>4086536.3369209412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42"/>
      <c r="C136" s="442"/>
      <c r="D136" s="442"/>
      <c r="E136" s="442"/>
      <c r="F136" s="442"/>
      <c r="G136" s="470">
        <f t="shared" si="15"/>
        <v>11</v>
      </c>
      <c r="H136" s="470">
        <v>129</v>
      </c>
      <c r="I136" s="455">
        <f t="shared" ca="1" si="5"/>
        <v>4086536.3369209412</v>
      </c>
      <c r="J136" s="455">
        <f t="array" ref="J136">IFERROR(INDEX('Retirement Calculator'!K:K,MATCH('Lorri 401b'!N136,'Retirement Calculator'!A:A,0),0),0)</f>
        <v>20282.026119384056</v>
      </c>
      <c r="K136" s="455">
        <f t="shared" ca="1" si="2"/>
        <v>16942.726295006487</v>
      </c>
      <c r="L136" s="455">
        <f t="shared" ca="1" si="3"/>
        <v>4083197.0370965637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4083197.0370965637</v>
      </c>
      <c r="J137" s="455">
        <f t="array" ref="J137">IFERROR(INDEX('Retirement Calculator'!K:K,MATCH('Lorri 401b'!N137,'Retirement Calculator'!A:A,0),0),0)</f>
        <v>20282.026119384056</v>
      </c>
      <c r="K137" s="455">
        <f t="shared" ca="1" si="2"/>
        <v>16928.812545738248</v>
      </c>
      <c r="L137" s="455">
        <f t="shared" ca="1" si="3"/>
        <v>4079843.8235229179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4079843.8235229179</v>
      </c>
      <c r="J138" s="455">
        <f t="array" ref="J138">IFERROR(INDEX('Retirement Calculator'!K:K,MATCH('Lorri 401b'!N138,'Retirement Calculator'!A:A,0),0),0)</f>
        <v>20282.026119384056</v>
      </c>
      <c r="K138" s="455">
        <f t="shared" ca="1" si="2"/>
        <v>16914.840822514725</v>
      </c>
      <c r="L138" s="455">
        <f t="shared" ca="1" si="3"/>
        <v>4076476.6382260486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4076476.6382260486</v>
      </c>
      <c r="J139" s="455">
        <f t="array" ref="J139">IFERROR(INDEX('Retirement Calculator'!K:K,MATCH('Lorri 401b'!N139,'Retirement Calculator'!A:A,0),0),0)</f>
        <v>20282.026119384056</v>
      </c>
      <c r="K139" s="455">
        <f t="shared" ca="1" si="2"/>
        <v>16900.810883777769</v>
      </c>
      <c r="L139" s="455">
        <f t="shared" ca="1" si="3"/>
        <v>4073095.4229904423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4073095.4229904423</v>
      </c>
      <c r="J140" s="455">
        <f t="array" ref="J140">IFERROR(INDEX('Retirement Calculator'!K:K,MATCH('Lorri 401b'!N140,'Retirement Calculator'!A:A,0),0),0)</f>
        <v>20282.026119384056</v>
      </c>
      <c r="K140" s="455">
        <f t="shared" ca="1" si="2"/>
        <v>16886.722486962743</v>
      </c>
      <c r="L140" s="455">
        <f t="shared" ca="1" si="3"/>
        <v>4069700.1193580208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4069700.1193580208</v>
      </c>
      <c r="J141" s="455">
        <f t="array" ref="J141">IFERROR(INDEX('Retirement Calculator'!K:K,MATCH('Lorri 401b'!N141,'Retirement Calculator'!A:A,0),0),0)</f>
        <v>20282.026119384056</v>
      </c>
      <c r="K141" s="455">
        <f t="shared" ca="1" si="2"/>
        <v>16872.575388494319</v>
      </c>
      <c r="L141" s="455">
        <f t="shared" ca="1" si="3"/>
        <v>4066290.6686271313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4066290.6686271313</v>
      </c>
      <c r="J142" s="455">
        <f t="array" ref="J142">IFERROR(INDEX('Retirement Calculator'!K:K,MATCH('Lorri 401b'!N142,'Retirement Calculator'!A:A,0),0),0)</f>
        <v>20282.026119384056</v>
      </c>
      <c r="K142" s="455">
        <f t="shared" ca="1" si="2"/>
        <v>16858.36934378228</v>
      </c>
      <c r="L142" s="455">
        <f t="shared" ca="1" si="3"/>
        <v>4062867.0118515296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4062867.0118515296</v>
      </c>
      <c r="J143" s="455">
        <f t="array" ref="J143">IFERROR(INDEX('Retirement Calculator'!K:K,MATCH('Lorri 401b'!N143,'Retirement Calculator'!A:A,0),0),0)</f>
        <v>20282.026119384056</v>
      </c>
      <c r="K143" s="455">
        <f t="shared" ca="1" si="2"/>
        <v>16844.10410721727</v>
      </c>
      <c r="L143" s="455">
        <f t="shared" ca="1" si="3"/>
        <v>4059429.089839363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4059429.089839363</v>
      </c>
      <c r="J144" s="455">
        <f t="array" ref="J144">IFERROR(INDEX('Retirement Calculator'!K:K,MATCH('Lorri 401b'!N144,'Retirement Calculator'!A:A,0),0),0)</f>
        <v>20282.026119384056</v>
      </c>
      <c r="K144" s="455">
        <f t="shared" ca="1" si="2"/>
        <v>16829.779432166579</v>
      </c>
      <c r="L144" s="455">
        <f t="shared" ca="1" si="3"/>
        <v>4055976.8431521454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4055976.8431521454</v>
      </c>
      <c r="J145" s="455">
        <f t="array" ref="J145">IFERROR(INDEX('Retirement Calculator'!K:K,MATCH('Lorri 401b'!N145,'Retirement Calculator'!A:A,0),0),0)</f>
        <v>20282.026119384056</v>
      </c>
      <c r="K145" s="455">
        <f t="shared" ca="1" si="2"/>
        <v>16815.39507096984</v>
      </c>
      <c r="L145" s="455">
        <f t="shared" ca="1" si="3"/>
        <v>4052510.2121037315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4052510.2121037315</v>
      </c>
      <c r="J146" s="455">
        <f t="array" ref="J146">IFERROR(INDEX('Retirement Calculator'!K:K,MATCH('Lorri 401b'!N146,'Retirement Calculator'!A:A,0),0),0)</f>
        <v>20282.026119384056</v>
      </c>
      <c r="K146" s="455">
        <f t="shared" ca="1" si="2"/>
        <v>16800.950774934779</v>
      </c>
      <c r="L146" s="455">
        <f t="shared" ca="1" si="3"/>
        <v>4049029.1367592821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4049029.1367592821</v>
      </c>
      <c r="J147" s="455">
        <f t="array" ref="J147">IFERROR(INDEX('Retirement Calculator'!K:K,MATCH('Lorri 401b'!N147,'Retirement Calculator'!A:A,0),0),0)</f>
        <v>20282.026119384056</v>
      </c>
      <c r="K147" s="455">
        <f t="shared" ca="1" si="2"/>
        <v>16786.446294332905</v>
      </c>
      <c r="L147" s="455">
        <f t="shared" ca="1" si="3"/>
        <v>4045533.556934231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4045533.556934231</v>
      </c>
      <c r="J148" s="455">
        <f t="array" ref="J148">IFERROR(INDEX('Retirement Calculator'!K:K,MATCH('Lorri 401b'!N148,'Retirement Calculator'!A:A,0),0),0)</f>
        <v>20282.026119384056</v>
      </c>
      <c r="K148" s="455">
        <f t="shared" ca="1" si="2"/>
        <v>16771.881378395199</v>
      </c>
      <c r="L148" s="455">
        <f t="shared" ca="1" si="3"/>
        <v>4042023.412193242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4042023.412193242</v>
      </c>
      <c r="J149" s="455">
        <f t="array" ref="J149">IFERROR(INDEX('Retirement Calculator'!K:K,MATCH('Lorri 401b'!N149,'Retirement Calculator'!A:A,0),0),0)</f>
        <v>20282.026119384056</v>
      </c>
      <c r="K149" s="455">
        <f t="shared" ca="1" si="2"/>
        <v>16757.255775307738</v>
      </c>
      <c r="L149" s="455">
        <f t="shared" ca="1" si="3"/>
        <v>4038498.6418491658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4038498.6418491658</v>
      </c>
      <c r="J150" s="455">
        <f t="array" ref="J150">IFERROR(INDEX('Retirement Calculator'!K:K,MATCH('Lorri 401b'!N150,'Retirement Calculator'!A:A,0),0),0)</f>
        <v>20282.026119384056</v>
      </c>
      <c r="K150" s="455">
        <f t="shared" ca="1" si="2"/>
        <v>16742.569232207421</v>
      </c>
      <c r="L150" s="455">
        <f t="shared" ca="1" si="3"/>
        <v>4034959.1849619891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4034959.1849619891</v>
      </c>
      <c r="J151" s="455">
        <f t="array" ref="J151">IFERROR(INDEX('Retirement Calculator'!K:K,MATCH('Lorri 401b'!N151,'Retirement Calculator'!A:A,0),0),0)</f>
        <v>20282.026119384056</v>
      </c>
      <c r="K151" s="455">
        <f t="shared" ca="1" si="2"/>
        <v>16727.821495177523</v>
      </c>
      <c r="L151" s="455">
        <f t="shared" ca="1" si="3"/>
        <v>4031404.9803377828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4031404.9803377828</v>
      </c>
      <c r="J152" s="455">
        <f t="array" ref="J152">IFERROR(INDEX('Retirement Calculator'!K:K,MATCH('Lorri 401b'!N152,'Retirement Calculator'!A:A,0),0),0)</f>
        <v>20282.026119384056</v>
      </c>
      <c r="K152" s="455">
        <f t="shared" ca="1" si="2"/>
        <v>16713.012309243328</v>
      </c>
      <c r="L152" s="455">
        <f t="shared" ca="1" si="3"/>
        <v>4027835.9665276422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4027835.9665276422</v>
      </c>
      <c r="J153" s="455">
        <f t="array" ref="J153">IFERROR(INDEX('Retirement Calculator'!K:K,MATCH('Lorri 401b'!N153,'Retirement Calculator'!A:A,0),0),0)</f>
        <v>20282.026119384056</v>
      </c>
      <c r="K153" s="455">
        <f t="shared" ca="1" si="2"/>
        <v>16698.141418367741</v>
      </c>
      <c r="L153" s="455">
        <f t="shared" ca="1" si="3"/>
        <v>4024252.0818266259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4024252.0818266259</v>
      </c>
      <c r="J154" s="455">
        <f t="array" ref="J154">IFERROR(INDEX('Retirement Calculator'!K:K,MATCH('Lorri 401b'!N154,'Retirement Calculator'!A:A,0),0),0)</f>
        <v>20282.026119384056</v>
      </c>
      <c r="K154" s="455">
        <f t="shared" ca="1" si="2"/>
        <v>16683.208565446843</v>
      </c>
      <c r="L154" s="455">
        <f t="shared" ca="1" si="3"/>
        <v>4020653.2642726889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4020653.2642726889</v>
      </c>
      <c r="J155" s="455">
        <f t="array" ref="J155">IFERROR(INDEX('Retirement Calculator'!K:K,MATCH('Lorri 401b'!N155,'Retirement Calculator'!A:A,0),0),0)</f>
        <v>20282.026119384056</v>
      </c>
      <c r="K155" s="455">
        <f t="shared" ca="1" si="2"/>
        <v>16668.213492305436</v>
      </c>
      <c r="L155" s="455">
        <f t="shared" ca="1" si="3"/>
        <v>4017039.4516456104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4017039.4516456104</v>
      </c>
      <c r="J156" s="455">
        <f t="array" ref="J156">IFERROR(INDEX('Retirement Calculator'!K:K,MATCH('Lorri 401b'!N156,'Retirement Calculator'!A:A,0),0),0)</f>
        <v>20282.026119384056</v>
      </c>
      <c r="K156" s="455">
        <f t="shared" ca="1" si="2"/>
        <v>16653.155939692613</v>
      </c>
      <c r="L156" s="455">
        <f t="shared" ca="1" si="3"/>
        <v>4013410.581465919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4013410.581465919</v>
      </c>
      <c r="J157" s="455">
        <f t="array" ref="J157">IFERROR(INDEX('Retirement Calculator'!K:K,MATCH('Lorri 401b'!N157,'Retirement Calculator'!A:A,0),0),0)</f>
        <v>20282.026119384056</v>
      </c>
      <c r="K157" s="455">
        <f t="shared" ca="1" si="2"/>
        <v>16638.035647277229</v>
      </c>
      <c r="L157" s="455">
        <f t="shared" ca="1" si="3"/>
        <v>4009766.5909938123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4009766.5909938123</v>
      </c>
      <c r="J158" s="455">
        <f t="array" ref="J158">IFERROR(INDEX('Retirement Calculator'!K:K,MATCH('Lorri 401b'!N158,'Retirement Calculator'!A:A,0),0),0)</f>
        <v>20282.026119384056</v>
      </c>
      <c r="K158" s="455">
        <f t="shared" ca="1" si="2"/>
        <v>16622.852353643451</v>
      </c>
      <c r="L158" s="455">
        <f t="shared" ca="1" si="3"/>
        <v>4006107.417228072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4006107.417228072</v>
      </c>
      <c r="J159" s="455">
        <f t="array" ref="J159">IFERROR(INDEX('Retirement Calculator'!K:K,MATCH('Lorri 401b'!N159,'Retirement Calculator'!A:A,0),0),0)</f>
        <v>20282.026119384056</v>
      </c>
      <c r="K159" s="455">
        <f t="shared" ca="1" si="2"/>
        <v>16607.605796286203</v>
      </c>
      <c r="L159" s="455">
        <f t="shared" ca="1" si="3"/>
        <v>4002432.9969049743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4002432.9969049743</v>
      </c>
      <c r="J160" s="455">
        <f t="array" ref="J160">IFERROR(INDEX('Retirement Calculator'!K:K,MATCH('Lorri 401b'!N160,'Retirement Calculator'!A:A,0),0),0)</f>
        <v>20282.026119384056</v>
      </c>
      <c r="K160" s="455">
        <f t="shared" ca="1" si="2"/>
        <v>16592.295711606625</v>
      </c>
      <c r="L160" s="455">
        <f t="shared" ca="1" si="3"/>
        <v>3998743.2664971971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3998743.2664971971</v>
      </c>
      <c r="J161" s="455">
        <f t="array" ref="J161">IFERROR(INDEX('Retirement Calculator'!K:K,MATCH('Lorri 401b'!N161,'Retirement Calculator'!A:A,0),0),0)</f>
        <v>20282.026119384056</v>
      </c>
      <c r="K161" s="455">
        <f t="shared" ca="1" si="2"/>
        <v>16576.921834907553</v>
      </c>
      <c r="L161" s="455">
        <f t="shared" ca="1" si="3"/>
        <v>3995038.1622127206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3995038.1622127206</v>
      </c>
      <c r="J162" s="455">
        <f t="array" ref="J162">IFERROR(INDEX('Retirement Calculator'!K:K,MATCH('Lorri 401b'!N162,'Retirement Calculator'!A:A,0),0),0)</f>
        <v>20282.026119384056</v>
      </c>
      <c r="K162" s="455">
        <f t="shared" ca="1" si="2"/>
        <v>16561.483900388899</v>
      </c>
      <c r="L162" s="455">
        <f t="shared" ca="1" si="3"/>
        <v>3991317.6199937253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3991317.6199937253</v>
      </c>
      <c r="J163" s="455">
        <f t="array" ref="J163">IFERROR(INDEX('Retirement Calculator'!K:K,MATCH('Lorri 401b'!N163,'Retirement Calculator'!A:A,0),0),0)</f>
        <v>20282.026119384056</v>
      </c>
      <c r="K163" s="455">
        <f t="shared" ca="1" si="2"/>
        <v>16545.981641143087</v>
      </c>
      <c r="L163" s="455">
        <f t="shared" ca="1" si="3"/>
        <v>3987581.5755154844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3987581.5755154844</v>
      </c>
      <c r="J164" s="455">
        <f t="array" ref="J164">IFERROR(INDEX('Retirement Calculator'!K:K,MATCH('Lorri 401b'!N164,'Retirement Calculator'!A:A,0),0),0)</f>
        <v>20282.026119384056</v>
      </c>
      <c r="K164" s="455">
        <f t="shared" ca="1" si="2"/>
        <v>16530.414789150418</v>
      </c>
      <c r="L164" s="455">
        <f t="shared" ca="1" si="3"/>
        <v>3983829.9641852509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3983829.9641852509</v>
      </c>
      <c r="J165" s="455">
        <f t="array" ref="J165">IFERROR(INDEX('Retirement Calculator'!K:K,MATCH('Lorri 401b'!N165,'Retirement Calculator'!A:A,0),0),0)</f>
        <v>20282.026119384056</v>
      </c>
      <c r="K165" s="455">
        <f t="shared" ca="1" si="2"/>
        <v>16514.783075274445</v>
      </c>
      <c r="L165" s="455">
        <f t="shared" ca="1" si="3"/>
        <v>3980062.7211411414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3980062.7211411414</v>
      </c>
      <c r="J166" s="455">
        <f t="array" ref="J166">IFERROR(INDEX('Retirement Calculator'!K:K,MATCH('Lorri 401b'!N166,'Retirement Calculator'!A:A,0),0),0)</f>
        <v>20282.026119384056</v>
      </c>
      <c r="K166" s="455">
        <f t="shared" ca="1" si="2"/>
        <v>16499.086229257322</v>
      </c>
      <c r="L166" s="455">
        <f t="shared" ca="1" si="3"/>
        <v>3976279.7812510147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3976279.7812510147</v>
      </c>
      <c r="J167" s="455">
        <f t="array" ref="J167">IFERROR(INDEX('Retirement Calculator'!K:K,MATCH('Lorri 401b'!N167,'Retirement Calculator'!A:A,0),0),0)</f>
        <v>20282.026119384056</v>
      </c>
      <c r="K167" s="455">
        <f t="shared" ca="1" si="2"/>
        <v>16483.323979715129</v>
      </c>
      <c r="L167" s="455">
        <f t="shared" ca="1" si="3"/>
        <v>3972481.079111346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3972481.079111346</v>
      </c>
      <c r="J168" s="455">
        <f t="array" ref="J168">IFERROR(INDEX('Retirement Calculator'!K:K,MATCH('Lorri 401b'!N168,'Retirement Calculator'!A:A,0),0),0)</f>
        <v>20282.026119384056</v>
      </c>
      <c r="K168" s="455">
        <f t="shared" ca="1" si="2"/>
        <v>16467.496054133178</v>
      </c>
      <c r="L168" s="455">
        <f t="shared" ca="1" si="3"/>
        <v>3968666.5490460955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3968666.5490460955</v>
      </c>
      <c r="J169" s="455">
        <f t="array" ref="J169">IFERROR(INDEX('Retirement Calculator'!K:K,MATCH('Lorri 401b'!N169,'Retirement Calculator'!A:A,0),0),0)</f>
        <v>20282.026119384056</v>
      </c>
      <c r="K169" s="455">
        <f t="shared" ca="1" si="2"/>
        <v>16451.602178861296</v>
      </c>
      <c r="L169" s="455">
        <f t="shared" ca="1" si="3"/>
        <v>3964836.1251055729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3964836.1251055729</v>
      </c>
      <c r="J170" s="455">
        <f t="array" ref="J170">IFERROR(INDEX('Retirement Calculator'!K:K,MATCH('Lorri 401b'!N170,'Retirement Calculator'!A:A,0),0),0)</f>
        <v>20282.026119384056</v>
      </c>
      <c r="K170" s="455">
        <f t="shared" ca="1" si="2"/>
        <v>16435.642079109119</v>
      </c>
      <c r="L170" s="455">
        <f t="shared" ca="1" si="3"/>
        <v>3960989.7410652982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3960989.7410652982</v>
      </c>
      <c r="J171" s="455">
        <f t="array" ref="J171">IFERROR(INDEX('Retirement Calculator'!K:K,MATCH('Lorri 401b'!N171,'Retirement Calculator'!A:A,0),0),0)</f>
        <v>20282.026119384056</v>
      </c>
      <c r="K171" s="455">
        <f t="shared" ca="1" si="2"/>
        <v>16419.615478941312</v>
      </c>
      <c r="L171" s="455">
        <f t="shared" ca="1" si="3"/>
        <v>3957127.3304248555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3957127.3304248555</v>
      </c>
      <c r="J172" s="455">
        <f t="array" ref="J172">IFERROR(INDEX('Retirement Calculator'!K:K,MATCH('Lorri 401b'!N172,'Retirement Calculator'!A:A,0),0),0)</f>
        <v>20282.026119384056</v>
      </c>
      <c r="K172" s="455">
        <f t="shared" ca="1" si="2"/>
        <v>16403.5221012728</v>
      </c>
      <c r="L172" s="455">
        <f t="shared" ca="1" si="3"/>
        <v>3953248.8264067443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3953248.8264067443</v>
      </c>
      <c r="J173" s="455">
        <f t="array" ref="J173">IFERROR(INDEX('Retirement Calculator'!K:K,MATCH('Lorri 401b'!N173,'Retirement Calculator'!A:A,0),0),0)</f>
        <v>20282.026119384056</v>
      </c>
      <c r="K173" s="455">
        <f t="shared" ca="1" si="2"/>
        <v>16387.361667864003</v>
      </c>
      <c r="L173" s="455">
        <f t="shared" ca="1" si="3"/>
        <v>3949354.1619552244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3949354.1619552244</v>
      </c>
      <c r="J174" s="455">
        <f t="array" ref="J174">IFERROR(INDEX('Retirement Calculator'!K:K,MATCH('Lorri 401b'!N174,'Retirement Calculator'!A:A,0),0),0)</f>
        <v>20282.026119384056</v>
      </c>
      <c r="K174" s="455">
        <f t="shared" ca="1" si="2"/>
        <v>16371.133899316001</v>
      </c>
      <c r="L174" s="455">
        <f t="shared" ca="1" si="3"/>
        <v>3945443.2697351566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3945443.2697351566</v>
      </c>
      <c r="J175" s="455">
        <f t="array" ref="J175">IFERROR(INDEX('Retirement Calculator'!K:K,MATCH('Lorri 401b'!N175,'Retirement Calculator'!A:A,0),0),0)</f>
        <v>20282.026119384056</v>
      </c>
      <c r="K175" s="455">
        <f t="shared" ca="1" si="2"/>
        <v>16354.838515065718</v>
      </c>
      <c r="L175" s="455">
        <f t="shared" ca="1" si="3"/>
        <v>3941516.0821308382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3941516.0821308382</v>
      </c>
      <c r="J176" s="455">
        <f t="array" ref="J176">IFERROR(INDEX('Retirement Calculator'!K:K,MATCH('Lorri 401b'!N176,'Retirement Calculator'!A:A,0),0),0)</f>
        <v>20282.026119384056</v>
      </c>
      <c r="K176" s="455">
        <f t="shared" ca="1" si="2"/>
        <v>16338.475233381057</v>
      </c>
      <c r="L176" s="455">
        <f t="shared" ca="1" si="3"/>
        <v>3937572.5312448354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3937572.5312448354</v>
      </c>
      <c r="J177" s="455">
        <f t="array" ref="J177">IFERROR(INDEX('Retirement Calculator'!K:K,MATCH('Lorri 401b'!N177,'Retirement Calculator'!A:A,0),0),0)</f>
        <v>20282.026119384056</v>
      </c>
      <c r="K177" s="455">
        <f t="shared" ca="1" si="2"/>
        <v>16322.043771356048</v>
      </c>
      <c r="L177" s="455">
        <f t="shared" ca="1" si="3"/>
        <v>3933612.5488968072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3933612.5488968072</v>
      </c>
      <c r="J178" s="455">
        <f t="array" ref="J178">IFERROR(INDEX('Retirement Calculator'!K:K,MATCH('Lorri 401b'!N178,'Retirement Calculator'!A:A,0),0),0)</f>
        <v>20282.026119384056</v>
      </c>
      <c r="K178" s="455">
        <f t="shared" ca="1" si="2"/>
        <v>16305.543844905929</v>
      </c>
      <c r="L178" s="455">
        <f t="shared" ca="1" si="3"/>
        <v>3929636.0666223294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3929636.0666223294</v>
      </c>
      <c r="J179" s="455">
        <f t="array" ref="J179">IFERROR(INDEX('Retirement Calculator'!K:K,MATCH('Lorri 401b'!N179,'Retirement Calculator'!A:A,0),0),0)</f>
        <v>20282.026119384056</v>
      </c>
      <c r="K179" s="455">
        <f t="shared" ca="1" si="2"/>
        <v>16288.975168762272</v>
      </c>
      <c r="L179" s="455">
        <f t="shared" ca="1" si="3"/>
        <v>3925643.0156717077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3925643.0156717077</v>
      </c>
      <c r="J180" s="455">
        <f t="array" ref="J180">IFERROR(INDEX('Retirement Calculator'!K:K,MATCH('Lorri 401b'!N180,'Retirement Calculator'!A:A,0),0),0)</f>
        <v>20282.026119384056</v>
      </c>
      <c r="K180" s="455">
        <f t="shared" ca="1" si="2"/>
        <v>16272.337456468014</v>
      </c>
      <c r="L180" s="455">
        <f t="shared" ca="1" si="3"/>
        <v>3921633.3270087917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3921633.3270087917</v>
      </c>
      <c r="J181" s="455">
        <f t="array" ref="J181">IFERROR(INDEX('Retirement Calculator'!K:K,MATCH('Lorri 401b'!N181,'Retirement Calculator'!A:A,0),0),0)</f>
        <v>20282.026119384056</v>
      </c>
      <c r="K181" s="455">
        <f t="shared" ca="1" si="2"/>
        <v>16255.630420372532</v>
      </c>
      <c r="L181" s="455">
        <f t="shared" ca="1" si="3"/>
        <v>3917606.9313097801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3917606.9313097801</v>
      </c>
      <c r="J182" s="455">
        <f t="array" ref="J182">IFERROR(INDEX('Retirement Calculator'!K:K,MATCH('Lorri 401b'!N182,'Retirement Calculator'!A:A,0),0),0)</f>
        <v>20282.026119384056</v>
      </c>
      <c r="K182" s="455">
        <f t="shared" ca="1" si="2"/>
        <v>16238.853771626651</v>
      </c>
      <c r="L182" s="455">
        <f t="shared" ca="1" si="3"/>
        <v>3913563.7589620226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3913563.7589620226</v>
      </c>
      <c r="J183" s="455">
        <f t="array" ref="J183">IFERROR(INDEX('Retirement Calculator'!K:K,MATCH('Lorri 401b'!N183,'Retirement Calculator'!A:A,0),0),0)</f>
        <v>20282.026119384056</v>
      </c>
      <c r="K183" s="455">
        <f t="shared" ca="1" si="2"/>
        <v>16222.007220177658</v>
      </c>
      <c r="L183" s="455">
        <f t="shared" ca="1" si="3"/>
        <v>3909503.7400628161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3909503.7400628161</v>
      </c>
      <c r="J184" s="455">
        <f t="array" ref="J184">IFERROR(INDEX('Retirement Calculator'!K:K,MATCH('Lorri 401b'!N184,'Retirement Calculator'!A:A,0),0),0)</f>
        <v>20282.026119384056</v>
      </c>
      <c r="K184" s="455">
        <f t="shared" ca="1" si="2"/>
        <v>16205.0904747643</v>
      </c>
      <c r="L184" s="455">
        <f t="shared" ca="1" si="3"/>
        <v>3905426.8044181964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3905426.8044181964</v>
      </c>
      <c r="J185" s="455">
        <f t="array" ref="J185">IFERROR(INDEX('Retirement Calculator'!K:K,MATCH('Lorri 401b'!N185,'Retirement Calculator'!A:A,0),0),0)</f>
        <v>20282.026119384056</v>
      </c>
      <c r="K185" s="455">
        <f t="shared" ca="1" si="2"/>
        <v>16188.103242911717</v>
      </c>
      <c r="L185" s="455">
        <f t="shared" ca="1" si="3"/>
        <v>3901332.8815417243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3901332.8815417243</v>
      </c>
      <c r="J186" s="455">
        <f t="array" ref="J186">IFERROR(INDEX('Retirement Calculator'!K:K,MATCH('Lorri 401b'!N186,'Retirement Calculator'!A:A,0),0),0)</f>
        <v>20282.026119384056</v>
      </c>
      <c r="K186" s="455">
        <f t="shared" ca="1" si="2"/>
        <v>16171.045230926416</v>
      </c>
      <c r="L186" s="455">
        <f t="shared" ca="1" si="3"/>
        <v>3897221.9006532668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3897221.9006532668</v>
      </c>
      <c r="J187" s="455">
        <f t="array" ref="J187">IFERROR(INDEX('Retirement Calculator'!K:K,MATCH('Lorri 401b'!N187,'Retirement Calculator'!A:A,0),0),0)</f>
        <v>20282.026119384056</v>
      </c>
      <c r="K187" s="455">
        <f t="shared" ca="1" si="2"/>
        <v>16153.91614389118</v>
      </c>
      <c r="L187" s="455">
        <f t="shared" ca="1" si="3"/>
        <v>3893093.7906777742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3893093.7906777742</v>
      </c>
      <c r="J188" s="455">
        <f t="array" ref="J188">IFERROR(INDEX('Retirement Calculator'!K:K,MATCH('Lorri 401b'!N188,'Retirement Calculator'!A:A,0),0),0)</f>
        <v>20282.026119384056</v>
      </c>
      <c r="K188" s="455">
        <f t="shared" ca="1" si="2"/>
        <v>16136.715685659961</v>
      </c>
      <c r="L188" s="455">
        <f t="shared" ca="1" si="3"/>
        <v>3888948.4802440503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3888948.4802440503</v>
      </c>
      <c r="J189" s="455">
        <f t="array" ref="J189">IFERROR(INDEX('Retirement Calculator'!K:K,MATCH('Lorri 401b'!N189,'Retirement Calculator'!A:A,0),0),0)</f>
        <v>20282.026119384056</v>
      </c>
      <c r="K189" s="455">
        <f t="shared" ca="1" si="2"/>
        <v>16119.443558852776</v>
      </c>
      <c r="L189" s="455">
        <f t="shared" ca="1" si="3"/>
        <v>3884785.8976835189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3884785.8976835189</v>
      </c>
      <c r="J190" s="455">
        <f t="array" ref="J190">IFERROR(INDEX('Retirement Calculator'!K:K,MATCH('Lorri 401b'!N190,'Retirement Calculator'!A:A,0),0),0)</f>
        <v>20282.026119384056</v>
      </c>
      <c r="K190" s="455">
        <f t="shared" ca="1" si="2"/>
        <v>16102.099464850562</v>
      </c>
      <c r="L190" s="455">
        <f t="shared" ca="1" si="3"/>
        <v>3880605.9710289855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3880605.9710289855</v>
      </c>
      <c r="J191" s="455">
        <f t="array" ref="J191">IFERROR(INDEX('Retirement Calculator'!K:K,MATCH('Lorri 401b'!N191,'Retirement Calculator'!A:A,0),0),0)</f>
        <v>20282.026119384056</v>
      </c>
      <c r="K191" s="455">
        <f t="shared" ca="1" si="2"/>
        <v>16084.683103790006</v>
      </c>
      <c r="L191" s="455">
        <f t="shared" ca="1" si="3"/>
        <v>3876408.6280133915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3876408.6280133915</v>
      </c>
      <c r="J192" s="455">
        <f t="array" ref="J192">IFERROR(INDEX('Retirement Calculator'!K:K,MATCH('Lorri 401b'!N192,'Retirement Calculator'!A:A,0),0),0)</f>
        <v>20282.026119384056</v>
      </c>
      <c r="K192" s="455">
        <f t="shared" ca="1" si="2"/>
        <v>16067.194174558364</v>
      </c>
      <c r="L192" s="455">
        <f t="shared" ca="1" si="3"/>
        <v>3872193.7960685659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3872193.7960685659</v>
      </c>
      <c r="J193" s="455">
        <f t="array" ref="J193">IFERROR(INDEX('Retirement Calculator'!K:K,MATCH('Lorri 401b'!N193,'Retirement Calculator'!A:A,0),0),0)</f>
        <v>20282.026119384056</v>
      </c>
      <c r="K193" s="455">
        <f t="shared" ca="1" si="2"/>
        <v>16049.632374788258</v>
      </c>
      <c r="L193" s="455">
        <f t="shared" ca="1" si="3"/>
        <v>3867961.4023239701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3867961.4023239701</v>
      </c>
      <c r="J194" s="455">
        <f t="array" ref="J194">IFERROR(INDEX('Retirement Calculator'!K:K,MATCH('Lorri 401b'!N194,'Retirement Calculator'!A:A,0),0),0)</f>
        <v>20282.026119384056</v>
      </c>
      <c r="K194" s="455">
        <f t="shared" ca="1" si="2"/>
        <v>16031.997400852442</v>
      </c>
      <c r="L194" s="455">
        <f t="shared" ca="1" si="3"/>
        <v>3863711.3736054385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3863711.3736054385</v>
      </c>
      <c r="J195" s="455">
        <f t="array" ref="J195">IFERROR(INDEX('Retirement Calculator'!K:K,MATCH('Lorri 401b'!N195,'Retirement Calculator'!A:A,0),0),0)</f>
        <v>20282.026119384056</v>
      </c>
      <c r="K195" s="455">
        <f t="shared" ca="1" si="2"/>
        <v>16014.28894785856</v>
      </c>
      <c r="L195" s="455">
        <f t="shared" ca="1" si="3"/>
        <v>3859443.6364339129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3859443.6364339129</v>
      </c>
      <c r="J196" s="455">
        <f t="array" ref="J196">IFERROR(INDEX('Retirement Calculator'!K:K,MATCH('Lorri 401b'!N196,'Retirement Calculator'!A:A,0),0),0)</f>
        <v>20282.026119384056</v>
      </c>
      <c r="K196" s="455">
        <f t="shared" ca="1" si="2"/>
        <v>15996.506709643871</v>
      </c>
      <c r="L196" s="455">
        <f t="shared" ca="1" si="3"/>
        <v>3855158.1170241726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3855158.1170241726</v>
      </c>
      <c r="J197" s="455">
        <f t="array" ref="J197">IFERROR(INDEX('Retirement Calculator'!K:K,MATCH('Lorri 401b'!N197,'Retirement Calculator'!A:A,0),0),0)</f>
        <v>20282.026119384056</v>
      </c>
      <c r="K197" s="455">
        <f t="shared" ca="1" si="2"/>
        <v>15978.650378769953</v>
      </c>
      <c r="L197" s="455">
        <f t="shared" ca="1" si="3"/>
        <v>3850854.7412835583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3850854.7412835583</v>
      </c>
      <c r="J198" s="455">
        <f t="array" ref="J198">IFERROR(INDEX('Retirement Calculator'!K:K,MATCH('Lorri 401b'!N198,'Retirement Calculator'!A:A,0),0),0)</f>
        <v>20282.026119384056</v>
      </c>
      <c r="K198" s="455">
        <f t="shared" ca="1" si="2"/>
        <v>15960.719646517393</v>
      </c>
      <c r="L198" s="455">
        <f t="shared" ca="1" si="3"/>
        <v>3846533.4348106915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3846533.4348106915</v>
      </c>
      <c r="J199" s="455">
        <f t="array" ref="J199">IFERROR(INDEX('Retirement Calculator'!K:K,MATCH('Lorri 401b'!N199,'Retirement Calculator'!A:A,0),0),0)</f>
        <v>20282.026119384056</v>
      </c>
      <c r="K199" s="455">
        <f t="shared" ca="1" si="2"/>
        <v>15942.714202880448</v>
      </c>
      <c r="L199" s="455">
        <f t="shared" ca="1" si="3"/>
        <v>3842194.1228941879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3842194.1228941879</v>
      </c>
      <c r="J200" s="455">
        <f t="array" ref="J200">IFERROR(INDEX('Retirement Calculator'!K:K,MATCH('Lorri 401b'!N200,'Retirement Calculator'!A:A,0),0),0)</f>
        <v>20282.026119384056</v>
      </c>
      <c r="K200" s="455">
        <f t="shared" ca="1" si="2"/>
        <v>15924.633736561684</v>
      </c>
      <c r="L200" s="455">
        <f t="shared" ca="1" si="3"/>
        <v>3837836.7305113655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3837836.7305113655</v>
      </c>
      <c r="J201" s="455">
        <f t="array" ref="J201">IFERROR(INDEX('Retirement Calculator'!K:K,MATCH('Lorri 401b'!N201,'Retirement Calculator'!A:A,0),0),0)</f>
        <v>20282.026119384056</v>
      </c>
      <c r="K201" s="455">
        <f t="shared" ca="1" si="2"/>
        <v>15906.477934966591</v>
      </c>
      <c r="L201" s="455">
        <f t="shared" ca="1" si="3"/>
        <v>3833461.1823269483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3833461.1823269483</v>
      </c>
      <c r="J202" s="455">
        <f t="array" ref="J202">IFERROR(INDEX('Retirement Calculator'!K:K,MATCH('Lorri 401b'!N202,'Retirement Calculator'!A:A,0),0),0)</f>
        <v>20282.026119384056</v>
      </c>
      <c r="K202" s="455">
        <f t="shared" ca="1" si="2"/>
        <v>15888.246484198184</v>
      </c>
      <c r="L202" s="455">
        <f t="shared" ca="1" si="3"/>
        <v>3829067.4026917624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3829067.4026917624</v>
      </c>
      <c r="J203" s="455">
        <f t="array" ref="J203">IFERROR(INDEX('Retirement Calculator'!K:K,MATCH('Lorri 401b'!N203,'Retirement Calculator'!A:A,0),0),0)</f>
        <v>20282.026119384056</v>
      </c>
      <c r="K203" s="455">
        <f t="shared" ca="1" si="2"/>
        <v>15869.939069051577</v>
      </c>
      <c r="L203" s="455">
        <f t="shared" ca="1" si="3"/>
        <v>3824655.3156414302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3824655.3156414302</v>
      </c>
      <c r="J204" s="455">
        <f t="array" ref="J204">IFERROR(INDEX('Retirement Calculator'!K:K,MATCH('Lorri 401b'!N204,'Retirement Calculator'!A:A,0),0),0)</f>
        <v>20282.026119384056</v>
      </c>
      <c r="K204" s="455">
        <f t="shared" ca="1" si="2"/>
        <v>15851.555373008525</v>
      </c>
      <c r="L204" s="455">
        <f t="shared" ca="1" si="3"/>
        <v>3820224.8448950546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3820224.8448950546</v>
      </c>
      <c r="J205" s="455">
        <f t="array" ref="J205">IFERROR(INDEX('Retirement Calculator'!K:K,MATCH('Lorri 401b'!N205,'Retirement Calculator'!A:A,0),0),0)</f>
        <v>20282.026119384056</v>
      </c>
      <c r="K205" s="455">
        <f t="shared" ca="1" si="2"/>
        <v>15833.095078231963</v>
      </c>
      <c r="L205" s="455">
        <f t="shared" ca="1" si="3"/>
        <v>3815775.9138539024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3815775.9138539024</v>
      </c>
      <c r="J206" s="455">
        <f t="array" ref="J206">IFERROR(INDEX('Retirement Calculator'!K:K,MATCH('Lorri 401b'!N206,'Retirement Calculator'!A:A,0),0),0)</f>
        <v>20282.026119384056</v>
      </c>
      <c r="K206" s="455">
        <f t="shared" ca="1" si="2"/>
        <v>15814.557865560493</v>
      </c>
      <c r="L206" s="455">
        <f t="shared" ca="1" si="3"/>
        <v>3811308.4456000789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3811308.4456000789</v>
      </c>
      <c r="J207" s="455">
        <f t="array" ref="J207">IFERROR(INDEX('Retirement Calculator'!K:K,MATCH('Lorri 401b'!N207,'Retirement Calculator'!A:A,0),0),0)</f>
        <v>20282.026119384056</v>
      </c>
      <c r="K207" s="455">
        <f t="shared" ca="1" si="2"/>
        <v>15795.943414502894</v>
      </c>
      <c r="L207" s="455">
        <f t="shared" ca="1" si="3"/>
        <v>3806822.3628951977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3806822.3628951977</v>
      </c>
      <c r="J208" s="455">
        <f t="array" ref="J208">IFERROR(INDEX('Retirement Calculator'!K:K,MATCH('Lorri 401b'!N208,'Retirement Calculator'!A:A,0),0),0)</f>
        <v>20282.026119384056</v>
      </c>
      <c r="K208" s="455">
        <f t="shared" ca="1" si="2"/>
        <v>15777.251403232556</v>
      </c>
      <c r="L208" s="455">
        <f t="shared" ca="1" si="3"/>
        <v>3802317.5881790463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3802317.5881790463</v>
      </c>
      <c r="J209" s="455">
        <f t="array" ref="J209">IFERROR(INDEX('Retirement Calculator'!K:K,MATCH('Lorri 401b'!N209,'Retirement Calculator'!A:A,0),0),0)</f>
        <v>20282.026119384056</v>
      </c>
      <c r="K209" s="455">
        <f t="shared" ca="1" si="2"/>
        <v>15758.481508581928</v>
      </c>
      <c r="L209" s="455">
        <f t="shared" ca="1" si="3"/>
        <v>3797794.0435682442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3797794.0435682442</v>
      </c>
      <c r="J210" s="455">
        <f t="array" ref="J210">IFERROR(INDEX('Retirement Calculator'!K:K,MATCH('Lorri 401b'!N210,'Retirement Calculator'!A:A,0),0),0)</f>
        <v>20282.026119384056</v>
      </c>
      <c r="K210" s="455">
        <f t="shared" ca="1" si="2"/>
        <v>15739.633406036915</v>
      </c>
      <c r="L210" s="455">
        <f t="shared" ca="1" si="3"/>
        <v>3793251.6508548972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3793251.6508548972</v>
      </c>
      <c r="J211" s="455">
        <f t="array" ref="J211">IFERROR(INDEX('Retirement Calculator'!K:K,MATCH('Lorri 401b'!N211,'Retirement Calculator'!A:A,0),0),0)</f>
        <v>20282.026119384056</v>
      </c>
      <c r="K211" s="455">
        <f t="shared" ca="1" si="2"/>
        <v>15720.706769731305</v>
      </c>
      <c r="L211" s="455">
        <f t="shared" ca="1" si="3"/>
        <v>3788690.3315052446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3788690.3315052446</v>
      </c>
      <c r="J212" s="455">
        <f t="array" ref="J212">IFERROR(INDEX('Retirement Calculator'!K:K,MATCH('Lorri 401b'!N212,'Retirement Calculator'!A:A,0),0),0)</f>
        <v>20282.026119384056</v>
      </c>
      <c r="K212" s="455">
        <f t="shared" ca="1" si="2"/>
        <v>15701.701272441085</v>
      </c>
      <c r="L212" s="455">
        <f t="shared" ca="1" si="3"/>
        <v>3784110.0066583017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3784110.0066583017</v>
      </c>
      <c r="J213" s="455">
        <f t="array" ref="J213">IFERROR(INDEX('Retirement Calculator'!K:K,MATCH('Lorri 401b'!N213,'Retirement Calculator'!A:A,0),0),0)</f>
        <v>20282.026119384056</v>
      </c>
      <c r="K213" s="455">
        <f t="shared" ca="1" si="2"/>
        <v>15682.616585578826</v>
      </c>
      <c r="L213" s="455">
        <f t="shared" ca="1" si="3"/>
        <v>3779510.5971244965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3779510.5971244965</v>
      </c>
      <c r="J214" s="455">
        <f t="array" ref="J214">IFERROR(INDEX('Retirement Calculator'!K:K,MATCH('Lorri 401b'!N214,'Retirement Calculator'!A:A,0),0),0)</f>
        <v>20282.026119384056</v>
      </c>
      <c r="K214" s="455">
        <f t="shared" ca="1" si="2"/>
        <v>15663.452379187969</v>
      </c>
      <c r="L214" s="455">
        <f t="shared" ca="1" si="3"/>
        <v>3774892.0233843005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3774892.0233843005</v>
      </c>
      <c r="J215" s="455">
        <f t="array" ref="J215">IFERROR(INDEX('Retirement Calculator'!K:K,MATCH('Lorri 401b'!N215,'Retirement Calculator'!A:A,0),0),0)</f>
        <v>20282.026119384056</v>
      </c>
      <c r="K215" s="455">
        <f t="shared" ca="1" si="2"/>
        <v>15644.208321937151</v>
      </c>
      <c r="L215" s="455">
        <f t="shared" ca="1" si="3"/>
        <v>3770254.2055868539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3770254.2055868539</v>
      </c>
      <c r="J216" s="455">
        <f t="array" ref="J216">IFERROR(INDEX('Retirement Calculator'!K:K,MATCH('Lorri 401b'!N216,'Retirement Calculator'!A:A,0),0),0)</f>
        <v>20282.026119384056</v>
      </c>
      <c r="K216" s="455">
        <f t="shared" ca="1" si="2"/>
        <v>15624.884081114458</v>
      </c>
      <c r="L216" s="455">
        <f t="shared" ca="1" si="3"/>
        <v>3765597.0635485845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3765597.0635485845</v>
      </c>
      <c r="J217" s="455">
        <f t="array" ref="J217">IFERROR(INDEX('Retirement Calculator'!K:K,MATCH('Lorri 401b'!N217,'Retirement Calculator'!A:A,0),0),0)</f>
        <v>20282.026119384056</v>
      </c>
      <c r="K217" s="455">
        <f t="shared" ca="1" si="2"/>
        <v>15605.479322621668</v>
      </c>
      <c r="L217" s="455">
        <f t="shared" ca="1" si="3"/>
        <v>3760920.5167518221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3760920.5167518221</v>
      </c>
      <c r="J218" s="455">
        <f t="array" ref="J218">IFERROR(INDEX('Retirement Calculator'!K:K,MATCH('Lorri 401b'!N218,'Retirement Calculator'!A:A,0),0),0)</f>
        <v>20282.026119384056</v>
      </c>
      <c r="K218" s="455">
        <f t="shared" ca="1" si="2"/>
        <v>15585.993710968494</v>
      </c>
      <c r="L218" s="455">
        <f t="shared" ca="1" si="3"/>
        <v>3756224.4843434067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3756224.4843434067</v>
      </c>
      <c r="J219" s="455">
        <f t="array" ref="J219">IFERROR(INDEX('Retirement Calculator'!K:K,MATCH('Lorri 401b'!N219,'Retirement Calculator'!A:A,0),0),0)</f>
        <v>20282.026119384056</v>
      </c>
      <c r="K219" s="455">
        <f t="shared" ca="1" si="2"/>
        <v>15566.42690926676</v>
      </c>
      <c r="L219" s="455">
        <f t="shared" ca="1" si="3"/>
        <v>3751508.8851332897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3751508.8851332897</v>
      </c>
      <c r="J220" s="455">
        <f t="array" ref="J220">IFERROR(INDEX('Retirement Calculator'!K:K,MATCH('Lorri 401b'!N220,'Retirement Calculator'!A:A,0),0),0)</f>
        <v>20282.026119384056</v>
      </c>
      <c r="K220" s="455">
        <f t="shared" ca="1" si="2"/>
        <v>15546.778579224607</v>
      </c>
      <c r="L220" s="455">
        <f t="shared" ca="1" si="3"/>
        <v>3746773.6375931306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3746773.6375931306</v>
      </c>
      <c r="J221" s="455">
        <f t="array" ref="J221">IFERROR(INDEX('Retirement Calculator'!K:K,MATCH('Lorri 401b'!N221,'Retirement Calculator'!A:A,0),0),0)</f>
        <v>20282.026119384056</v>
      </c>
      <c r="K221" s="455">
        <f t="shared" ca="1" si="2"/>
        <v>15527.048381140608</v>
      </c>
      <c r="L221" s="455">
        <f t="shared" ca="1" si="3"/>
        <v>3742018.6598548871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3742018.6598548871</v>
      </c>
      <c r="J222" s="455">
        <f t="array" ref="J222">IFERROR(INDEX('Retirement Calculator'!K:K,MATCH('Lorri 401b'!N222,'Retirement Calculator'!A:A,0),0),0)</f>
        <v>20282.026119384056</v>
      </c>
      <c r="K222" s="455">
        <f t="shared" ca="1" si="2"/>
        <v>15507.235973897928</v>
      </c>
      <c r="L222" s="455">
        <f t="shared" ca="1" si="3"/>
        <v>3737243.8697094009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3737243.8697094009</v>
      </c>
      <c r="J223" s="455">
        <f t="array" ref="J223">IFERROR(INDEX('Retirement Calculator'!K:K,MATCH('Lorri 401b'!N223,'Retirement Calculator'!A:A,0),0),0)</f>
        <v>20282.026119384056</v>
      </c>
      <c r="K223" s="455">
        <f t="shared" ca="1" si="2"/>
        <v>15487.341014958405</v>
      </c>
      <c r="L223" s="455">
        <f t="shared" ca="1" si="3"/>
        <v>3732449.1846049754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3732449.1846049754</v>
      </c>
      <c r="J224" s="455">
        <f t="array" ref="J224">IFERROR(INDEX('Retirement Calculator'!K:K,MATCH('Lorri 401b'!N224,'Retirement Calculator'!A:A,0),0),0)</f>
        <v>20282.026119384056</v>
      </c>
      <c r="K224" s="455">
        <f t="shared" ca="1" si="2"/>
        <v>15467.36316035663</v>
      </c>
      <c r="L224" s="455">
        <f t="shared" ca="1" si="3"/>
        <v>3727634.5216459478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3727634.5216459478</v>
      </c>
      <c r="J225" s="455">
        <f t="array" ref="J225">IFERROR(INDEX('Retirement Calculator'!K:K,MATCH('Lorri 401b'!N225,'Retirement Calculator'!A:A,0),0),0)</f>
        <v>20282.026119384056</v>
      </c>
      <c r="K225" s="455">
        <f t="shared" ca="1" si="2"/>
        <v>15447.302064694015</v>
      </c>
      <c r="L225" s="455">
        <f t="shared" ca="1" si="3"/>
        <v>3722799.7975912578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3722799.7975912578</v>
      </c>
      <c r="J226" s="455">
        <f t="array" ref="J226">IFERROR(INDEX('Retirement Calculator'!K:K,MATCH('Lorri 401b'!N226,'Retirement Calculator'!A:A,0),0),0)</f>
        <v>20282.026119384056</v>
      </c>
      <c r="K226" s="455">
        <f t="shared" ca="1" si="2"/>
        <v>15427.157381132809</v>
      </c>
      <c r="L226" s="455">
        <f t="shared" ca="1" si="3"/>
        <v>3717944.9288530066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3717944.9288530066</v>
      </c>
      <c r="J227" s="455">
        <f t="array" ref="J227">IFERROR(INDEX('Retirement Calculator'!K:K,MATCH('Lorri 401b'!N227,'Retirement Calculator'!A:A,0),0),0)</f>
        <v>20282.026119384056</v>
      </c>
      <c r="K227" s="455">
        <f t="shared" ca="1" si="2"/>
        <v>15406.928761390094</v>
      </c>
      <c r="L227" s="455">
        <f t="shared" ca="1" si="3"/>
        <v>3713069.8314950126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3713069.8314950126</v>
      </c>
      <c r="J228" s="455">
        <f t="array" ref="J228">IFERROR(INDEX('Retirement Calculator'!K:K,MATCH('Lorri 401b'!N228,'Retirement Calculator'!A:A,0),0),0)</f>
        <v>20282.026119384056</v>
      </c>
      <c r="K228" s="455">
        <f t="shared" ca="1" si="2"/>
        <v>15386.615855731789</v>
      </c>
      <c r="L228" s="455">
        <f t="shared" ca="1" si="3"/>
        <v>3708174.4212313606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3708174.4212313606</v>
      </c>
      <c r="J229" s="455">
        <f t="array" ref="J229">IFERROR(INDEX('Retirement Calculator'!K:K,MATCH('Lorri 401b'!N229,'Retirement Calculator'!A:A,0),0),0)</f>
        <v>20282.026119384056</v>
      </c>
      <c r="K229" s="455">
        <f t="shared" ca="1" si="2"/>
        <v>15366.21831296657</v>
      </c>
      <c r="L229" s="455">
        <f t="shared" ca="1" si="3"/>
        <v>3703258.6134249433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3703258.6134249433</v>
      </c>
      <c r="J230" s="455">
        <f t="array" ref="J230">IFERROR(INDEX('Retirement Calculator'!K:K,MATCH('Lorri 401b'!N230,'Retirement Calculator'!A:A,0),0),0)</f>
        <v>20282.026119384056</v>
      </c>
      <c r="K230" s="455">
        <f t="shared" ca="1" si="2"/>
        <v>15345.735780439831</v>
      </c>
      <c r="L230" s="455">
        <f t="shared" ca="1" si="3"/>
        <v>3698322.3230859991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3698322.3230859991</v>
      </c>
      <c r="J231" s="455">
        <f t="array" ref="J231">IFERROR(INDEX('Retirement Calculator'!K:K,MATCH('Lorri 401b'!N231,'Retirement Calculator'!A:A,0),0),0)</f>
        <v>20282.026119384056</v>
      </c>
      <c r="K231" s="455">
        <f t="shared" ca="1" si="2"/>
        <v>15325.167904027563</v>
      </c>
      <c r="L231" s="455">
        <f t="shared" ca="1" si="3"/>
        <v>3693365.4648706429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3693365.4648706429</v>
      </c>
      <c r="J232" s="455">
        <f t="array" ref="J232">IFERROR(INDEX('Retirement Calculator'!K:K,MATCH('Lorri 401b'!N232,'Retirement Calculator'!A:A,0),0),0)</f>
        <v>20282.026119384056</v>
      </c>
      <c r="K232" s="455">
        <f t="shared" ca="1" si="2"/>
        <v>15304.514328130246</v>
      </c>
      <c r="L232" s="455">
        <f t="shared" ca="1" si="3"/>
        <v>3688387.9530793889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3688387.9530793889</v>
      </c>
      <c r="J233" s="455">
        <f t="array" ref="J233">IFERROR(INDEX('Retirement Calculator'!K:K,MATCH('Lorri 401b'!N233,'Retirement Calculator'!A:A,0),0),0)</f>
        <v>20282.026119384056</v>
      </c>
      <c r="K233" s="455">
        <f t="shared" ca="1" si="2"/>
        <v>15283.774695666687</v>
      </c>
      <c r="L233" s="455">
        <f t="shared" ca="1" si="3"/>
        <v>3683389.7016556715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3683389.7016556715</v>
      </c>
      <c r="J234" s="455">
        <f t="array" ref="J234">IFERROR(INDEX('Retirement Calculator'!K:K,MATCH('Lorri 401b'!N234,'Retirement Calculator'!A:A,0),0),0)</f>
        <v>20282.026119384056</v>
      </c>
      <c r="K234" s="455">
        <f t="shared" ca="1" si="2"/>
        <v>15262.948648067866</v>
      </c>
      <c r="L234" s="455">
        <f t="shared" ca="1" si="3"/>
        <v>3678370.6241843551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3678370.6241843551</v>
      </c>
      <c r="J235" s="455">
        <f t="array" ref="J235">IFERROR(INDEX('Retirement Calculator'!K:K,MATCH('Lorri 401b'!N235,'Retirement Calculator'!A:A,0),0),0)</f>
        <v>20282.026119384056</v>
      </c>
      <c r="K235" s="455">
        <f t="shared" ca="1" si="2"/>
        <v>15242.035825270714</v>
      </c>
      <c r="L235" s="455">
        <f t="shared" ca="1" si="3"/>
        <v>3673330.6338902419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3673330.6338902419</v>
      </c>
      <c r="J236" s="455">
        <f t="array" ref="J236">IFERROR(INDEX('Retirement Calculator'!K:K,MATCH('Lorri 401b'!N236,'Retirement Calculator'!A:A,0),0),0)</f>
        <v>20282.026119384056</v>
      </c>
      <c r="K236" s="455">
        <f t="shared" ca="1" si="2"/>
        <v>15221.035865711907</v>
      </c>
      <c r="L236" s="455">
        <f t="shared" ca="1" si="3"/>
        <v>3668269.6436365698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3668269.6436365698</v>
      </c>
      <c r="J237" s="455">
        <f t="array" ref="J237">IFERROR(INDEX('Retirement Calculator'!K:K,MATCH('Lorri 401b'!N237,'Retirement Calculator'!A:A,0),0),0)</f>
        <v>20282.026119384056</v>
      </c>
      <c r="K237" s="455">
        <f t="shared" ca="1" si="2"/>
        <v>15199.948406321606</v>
      </c>
      <c r="L237" s="455">
        <f t="shared" ca="1" si="3"/>
        <v>3663187.5659235073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3663187.5659235073</v>
      </c>
      <c r="J238" s="455">
        <f t="array" ref="J238">IFERROR(INDEX('Retirement Calculator'!K:K,MATCH('Lorri 401b'!N238,'Retirement Calculator'!A:A,0),0),0)</f>
        <v>20282.026119384056</v>
      </c>
      <c r="K238" s="455">
        <f t="shared" ca="1" si="2"/>
        <v>15178.773082517182</v>
      </c>
      <c r="L238" s="455">
        <f t="shared" ca="1" si="3"/>
        <v>3658084.3128866404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3658084.3128866404</v>
      </c>
      <c r="J239" s="455">
        <f t="array" ref="J239">IFERROR(INDEX('Retirement Calculator'!K:K,MATCH('Lorri 401b'!N239,'Retirement Calculator'!A:A,0),0),0)</f>
        <v>20282.026119384056</v>
      </c>
      <c r="K239" s="455">
        <f t="shared" ca="1" si="2"/>
        <v>15157.509528196902</v>
      </c>
      <c r="L239" s="455">
        <f t="shared" ca="1" si="3"/>
        <v>3652959.7962954533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3652959.7962954533</v>
      </c>
      <c r="J240" s="455">
        <f t="array" ref="J240">IFERROR(INDEX('Retirement Calculator'!K:K,MATCH('Lorri 401b'!N240,'Retirement Calculator'!A:A,0),0),0)</f>
        <v>20282.026119384056</v>
      </c>
      <c r="K240" s="455">
        <f t="shared" ca="1" si="2"/>
        <v>15136.157375733623</v>
      </c>
      <c r="L240" s="455">
        <f t="shared" ca="1" si="3"/>
        <v>3647813.9275518032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3647813.9275518032</v>
      </c>
      <c r="J241" s="455">
        <f t="array" ref="J241">IFERROR(INDEX('Retirement Calculator'!K:K,MATCH('Lorri 401b'!N241,'Retirement Calculator'!A:A,0),0),0)</f>
        <v>20282.026119384056</v>
      </c>
      <c r="K241" s="455">
        <f t="shared" ca="1" si="2"/>
        <v>15114.716255968413</v>
      </c>
      <c r="L241" s="455">
        <f t="shared" ca="1" si="3"/>
        <v>3642646.6176883876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3642646.6176883876</v>
      </c>
      <c r="J242" s="455">
        <f t="array" ref="J242">IFERROR(INDEX('Retirement Calculator'!K:K,MATCH('Lorri 401b'!N242,'Retirement Calculator'!A:A,0),0),0)</f>
        <v>20282.026119384056</v>
      </c>
      <c r="K242" s="455">
        <f t="shared" ca="1" si="2"/>
        <v>15093.185798204182</v>
      </c>
      <c r="L242" s="455">
        <f t="shared" ca="1" si="3"/>
        <v>3637457.7773672077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3637457.7773672077</v>
      </c>
      <c r="J243" s="455">
        <f t="array" ref="J243">IFERROR(INDEX('Retirement Calculator'!K:K,MATCH('Lorri 401b'!N243,'Retirement Calculator'!A:A,0),0),0)</f>
        <v>20282.026119384056</v>
      </c>
      <c r="K243" s="455">
        <f t="shared" ca="1" si="2"/>
        <v>15071.565630199266</v>
      </c>
      <c r="L243" s="455">
        <f t="shared" ca="1" si="3"/>
        <v>3632247.3168780231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3632247.3168780231</v>
      </c>
      <c r="J244" s="455">
        <f t="array" ref="J244">IFERROR(INDEX('Retirement Calculator'!K:K,MATCH('Lorri 401b'!N244,'Retirement Calculator'!A:A,0),0),0)</f>
        <v>20282.026119384056</v>
      </c>
      <c r="K244" s="455">
        <f t="shared" ca="1" si="2"/>
        <v>15049.855378160995</v>
      </c>
      <c r="L244" s="455">
        <f t="shared" ca="1" si="3"/>
        <v>3627015.1461368003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3627015.1461368003</v>
      </c>
      <c r="J245" s="455">
        <f t="array" ref="J245">IFERROR(INDEX('Retirement Calculator'!K:K,MATCH('Lorri 401b'!N245,'Retirement Calculator'!A:A,0),0),0)</f>
        <v>20282.026119384056</v>
      </c>
      <c r="K245" s="455">
        <f t="shared" ca="1" si="2"/>
        <v>15028.054666739234</v>
      </c>
      <c r="L245" s="455">
        <f t="shared" ca="1" si="3"/>
        <v>3621761.1746841557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3621761.1746841557</v>
      </c>
      <c r="J246" s="455">
        <f t="array" ref="J246">IFERROR(INDEX('Retirement Calculator'!K:K,MATCH('Lorri 401b'!N246,'Retirement Calculator'!A:A,0),0),0)</f>
        <v>20282.026119384056</v>
      </c>
      <c r="K246" s="455">
        <f t="shared" ca="1" si="2"/>
        <v>15006.163119019882</v>
      </c>
      <c r="L246" s="455">
        <f t="shared" ca="1" si="3"/>
        <v>3616485.3116837917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3616485.3116837917</v>
      </c>
      <c r="J247" s="455">
        <f t="array" ref="J247">IFERROR(INDEX('Retirement Calculator'!K:K,MATCH('Lorri 401b'!N247,'Retirement Calculator'!A:A,0),0),0)</f>
        <v>20282.026119384056</v>
      </c>
      <c r="K247" s="455">
        <f t="shared" ca="1" si="2"/>
        <v>14984.180356518365</v>
      </c>
      <c r="L247" s="455">
        <f t="shared" ca="1" si="3"/>
        <v>3611187.4659209261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3611187.4659209261</v>
      </c>
      <c r="J248" s="455">
        <f t="array" ref="J248">IFERROR(INDEX('Retirement Calculator'!K:K,MATCH('Lorri 401b'!N248,'Retirement Calculator'!A:A,0),0),0)</f>
        <v>20282.026119384056</v>
      </c>
      <c r="K248" s="455">
        <f t="shared" ca="1" si="2"/>
        <v>14962.105999173094</v>
      </c>
      <c r="L248" s="455">
        <f t="shared" ca="1" si="3"/>
        <v>3605867.5458007152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3605867.5458007152</v>
      </c>
      <c r="J249" s="455">
        <f t="array" ref="J249">IFERROR(INDEX('Retirement Calculator'!K:K,MATCH('Lorri 401b'!N249,'Retirement Calculator'!A:A,0),0),0)</f>
        <v>20282.026119384056</v>
      </c>
      <c r="K249" s="455">
        <f t="shared" ca="1" si="2"/>
        <v>14939.939665338879</v>
      </c>
      <c r="L249" s="455">
        <f t="shared" ca="1" si="3"/>
        <v>3600525.4593466702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3600525.4593466702</v>
      </c>
      <c r="J250" s="455">
        <f t="array" ref="J250">IFERROR(INDEX('Retirement Calculator'!K:K,MATCH('Lorri 401b'!N250,'Retirement Calculator'!A:A,0),0),0)</f>
        <v>20282.026119384056</v>
      </c>
      <c r="K250" s="455">
        <f t="shared" ca="1" si="2"/>
        <v>14917.680971780357</v>
      </c>
      <c r="L250" s="455">
        <f t="shared" ca="1" si="3"/>
        <v>3595161.1141990665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3595161.1141990665</v>
      </c>
      <c r="J251" s="455">
        <f t="array" ref="J251">IFERROR(INDEX('Retirement Calculator'!K:K,MATCH('Lorri 401b'!N251,'Retirement Calculator'!A:A,0),0),0)</f>
        <v>20282.026119384056</v>
      </c>
      <c r="K251" s="455">
        <f t="shared" ca="1" si="2"/>
        <v>14895.329533665341</v>
      </c>
      <c r="L251" s="455">
        <f t="shared" ca="1" si="3"/>
        <v>3589774.417613348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3589774.417613348</v>
      </c>
      <c r="J252" s="455">
        <f t="array" ref="J252">IFERROR(INDEX('Retirement Calculator'!K:K,MATCH('Lorri 401b'!N252,'Retirement Calculator'!A:A,0),0),0)</f>
        <v>20282.026119384056</v>
      </c>
      <c r="K252" s="455">
        <f t="shared" ca="1" si="2"/>
        <v>14872.884964558185</v>
      </c>
      <c r="L252" s="455">
        <f t="shared" ca="1" si="3"/>
        <v>3584365.2764585223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3584365.2764585223</v>
      </c>
      <c r="J253" s="455">
        <f t="array" ref="J253">IFERROR(INDEX('Retirement Calculator'!K:K,MATCH('Lorri 401b'!N253,'Retirement Calculator'!A:A,0),0),0)</f>
        <v>20282.026119384056</v>
      </c>
      <c r="K253" s="455">
        <f t="shared" ca="1" si="2"/>
        <v>14850.346876413076</v>
      </c>
      <c r="L253" s="455">
        <f t="shared" ca="1" si="3"/>
        <v>3578933.5972155514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3578933.5972155514</v>
      </c>
      <c r="J254" s="455">
        <f t="array" ref="J254">IFERROR(INDEX('Retirement Calculator'!K:K,MATCH('Lorri 401b'!N254,'Retirement Calculator'!A:A,0),0),0)</f>
        <v>20282.026119384056</v>
      </c>
      <c r="K254" s="455">
        <f t="shared" ca="1" si="2"/>
        <v>14827.714879567364</v>
      </c>
      <c r="L254" s="455">
        <f t="shared" ca="1" si="3"/>
        <v>3573479.2859757347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3573479.2859757347</v>
      </c>
      <c r="J255" s="455">
        <f t="array" ref="J255">IFERROR(INDEX('Retirement Calculator'!K:K,MATCH('Lorri 401b'!N255,'Retirement Calculator'!A:A,0),0),0)</f>
        <v>20282.026119384056</v>
      </c>
      <c r="K255" s="455">
        <f t="shared" ca="1" si="2"/>
        <v>14804.988582734797</v>
      </c>
      <c r="L255" s="455">
        <f t="shared" ca="1" si="3"/>
        <v>3568002.2484390857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3568002.2484390857</v>
      </c>
      <c r="J256" s="455">
        <f t="array" ref="J256">IFERROR(INDEX('Retirement Calculator'!K:K,MATCH('Lorri 401b'!N256,'Retirement Calculator'!A:A,0),0),0)</f>
        <v>20282.026119384056</v>
      </c>
      <c r="K256" s="455">
        <f t="shared" ca="1" si="2"/>
        <v>14782.16759299876</v>
      </c>
      <c r="L256" s="455">
        <f t="shared" ca="1" si="3"/>
        <v>3562502.3899127003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3562502.3899127003</v>
      </c>
      <c r="J257" s="455">
        <f t="array" ref="J257">IFERROR(INDEX('Retirement Calculator'!K:K,MATCH('Lorri 401b'!N257,'Retirement Calculator'!A:A,0),0),0)</f>
        <v>20282.026119384056</v>
      </c>
      <c r="K257" s="455">
        <f t="shared" ca="1" si="2"/>
        <v>14759.251515805485</v>
      </c>
      <c r="L257" s="455">
        <f t="shared" ca="1" si="3"/>
        <v>3556979.6153091216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3556979.6153091216</v>
      </c>
      <c r="J258" s="455">
        <f t="array" ref="J258">IFERROR(INDEX('Retirement Calculator'!K:K,MATCH('Lorri 401b'!N258,'Retirement Calculator'!A:A,0),0),0)</f>
        <v>20282.026119384056</v>
      </c>
      <c r="K258" s="455">
        <f t="shared" ca="1" si="2"/>
        <v>14736.23995495724</v>
      </c>
      <c r="L258" s="455">
        <f t="shared" ca="1" si="3"/>
        <v>3551433.8291446948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3551433.8291446948</v>
      </c>
      <c r="J259" s="455">
        <f t="array" ref="J259">IFERROR(INDEX('Retirement Calculator'!K:K,MATCH('Lorri 401b'!N259,'Retirement Calculator'!A:A,0),0),0)</f>
        <v>20282.026119384056</v>
      </c>
      <c r="K259" s="455">
        <f t="shared" ca="1" si="2"/>
        <v>14713.132512605462</v>
      </c>
      <c r="L259" s="455">
        <f t="shared" ca="1" si="3"/>
        <v>3545864.9355379161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3545864.9355379161</v>
      </c>
      <c r="J260" s="455">
        <f t="array" ref="J260">IFERROR(INDEX('Retirement Calculator'!K:K,MATCH('Lorri 401b'!N260,'Retirement Calculator'!A:A,0),0),0)</f>
        <v>20282.026119384056</v>
      </c>
      <c r="K260" s="455">
        <f t="shared" ca="1" si="2"/>
        <v>14689.928789243884</v>
      </c>
      <c r="L260" s="455">
        <f t="shared" ca="1" si="3"/>
        <v>3540272.8382077762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3540272.8382077762</v>
      </c>
      <c r="J261" s="455">
        <f t="array" ref="J261">IFERROR(INDEX('Retirement Calculator'!K:K,MATCH('Lorri 401b'!N261,'Retirement Calculator'!A:A,0),0),0)</f>
        <v>20282.026119384056</v>
      </c>
      <c r="K261" s="455">
        <f t="shared" ca="1" si="2"/>
        <v>14666.628383701634</v>
      </c>
      <c r="L261" s="455">
        <f t="shared" ca="1" si="3"/>
        <v>3534657.4404720939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3534657.4404720939</v>
      </c>
      <c r="J262" s="455">
        <f t="array" ref="J262">IFERROR(INDEX('Retirement Calculator'!K:K,MATCH('Lorri 401b'!N262,'Retirement Calculator'!A:A,0),0),0)</f>
        <v>20282.026119384056</v>
      </c>
      <c r="K262" s="455">
        <f t="shared" ca="1" si="2"/>
        <v>14643.230893136291</v>
      </c>
      <c r="L262" s="455">
        <f t="shared" ca="1" si="3"/>
        <v>3529018.6452458464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3529018.6452458464</v>
      </c>
      <c r="J263" s="455">
        <f t="array" ref="J263">IFERROR(INDEX('Retirement Calculator'!K:K,MATCH('Lorri 401b'!N263,'Retirement Calculator'!A:A,0),0),0)</f>
        <v>20282.026119384056</v>
      </c>
      <c r="K263" s="455">
        <f t="shared" ref="K263:K517" ca="1" si="27">IPMT(M263/12,1,12,-I263+J263,,0)</f>
        <v>14619.735913026927</v>
      </c>
      <c r="L263" s="455">
        <f t="shared" ref="L263:L517" ca="1" si="28">I263-J263+K263</f>
        <v>3523356.3550394895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3523356.3550394895</v>
      </c>
      <c r="J264" s="455">
        <f t="array" ref="J264">IFERROR(INDEX('Retirement Calculator'!K:K,MATCH('Lorri 401b'!N264,'Retirement Calculator'!A:A,0),0),0)</f>
        <v>20282.026119384056</v>
      </c>
      <c r="K264" s="455">
        <f t="shared" ca="1" si="27"/>
        <v>14596.143037167103</v>
      </c>
      <c r="L264" s="455">
        <f t="shared" ca="1" si="28"/>
        <v>3517670.4719572724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3517670.4719572724</v>
      </c>
      <c r="J265" s="455">
        <f t="array" ref="J265">IFERROR(INDEX('Retirement Calculator'!K:K,MATCH('Lorri 401b'!N265,'Retirement Calculator'!A:A,0),0),0)</f>
        <v>20282.026119384056</v>
      </c>
      <c r="K265" s="455">
        <f t="shared" ca="1" si="27"/>
        <v>14572.451857657868</v>
      </c>
      <c r="L265" s="455">
        <f t="shared" ca="1" si="28"/>
        <v>3511960.897695546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3511960.897695546</v>
      </c>
      <c r="J266" s="455">
        <f t="array" ref="J266">IFERROR(INDEX('Retirement Calculator'!K:K,MATCH('Lorri 401b'!N266,'Retirement Calculator'!A:A,0),0),0)</f>
        <v>20282.026119384056</v>
      </c>
      <c r="K266" s="455">
        <f t="shared" ca="1" si="27"/>
        <v>14548.661964900675</v>
      </c>
      <c r="L266" s="455">
        <f t="shared" ca="1" si="28"/>
        <v>3506227.5335410628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3506227.5335410628</v>
      </c>
      <c r="J267" s="455">
        <f t="array" ref="J267">IFERROR(INDEX('Retirement Calculator'!K:K,MATCH('Lorri 401b'!N267,'Retirement Calculator'!A:A,0),0),0)</f>
        <v>20282.026119384056</v>
      </c>
      <c r="K267" s="455">
        <f t="shared" ca="1" si="27"/>
        <v>14524.772947590329</v>
      </c>
      <c r="L267" s="455">
        <f t="shared" ca="1" si="28"/>
        <v>3500470.2803692692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3500470.2803692692</v>
      </c>
      <c r="J268" s="455">
        <f t="array" ref="J268">IFERROR(INDEX('Retirement Calculator'!K:K,MATCH('Lorri 401b'!N268,'Retirement Calculator'!A:A,0),0),0)</f>
        <v>20282.026119384056</v>
      </c>
      <c r="K268" s="455">
        <f t="shared" ca="1" si="27"/>
        <v>14500.784392707856</v>
      </c>
      <c r="L268" s="455">
        <f t="shared" ca="1" si="28"/>
        <v>3494689.0386425932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3494689.0386425932</v>
      </c>
      <c r="J269" s="455">
        <f t="array" ref="J269">IFERROR(INDEX('Retirement Calculator'!K:K,MATCH('Lorri 401b'!N269,'Retirement Calculator'!A:A,0),0),0)</f>
        <v>20282.026119384056</v>
      </c>
      <c r="K269" s="455">
        <f t="shared" ca="1" si="27"/>
        <v>14476.695885513371</v>
      </c>
      <c r="L269" s="455">
        <f t="shared" ca="1" si="28"/>
        <v>3488883.7084087227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3488883.7084087227</v>
      </c>
      <c r="J270" s="455">
        <f t="array" ref="J270">IFERROR(INDEX('Retirement Calculator'!K:K,MATCH('Lorri 401b'!N270,'Retirement Calculator'!A:A,0),0),0)</f>
        <v>20282.026119384056</v>
      </c>
      <c r="K270" s="455">
        <f t="shared" ca="1" si="27"/>
        <v>14452.507009538913</v>
      </c>
      <c r="L270" s="455">
        <f t="shared" ca="1" si="28"/>
        <v>3483054.1892988775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3483054.1892988775</v>
      </c>
      <c r="J271" s="455">
        <f t="array" ref="J271">IFERROR(INDEX('Retirement Calculator'!K:K,MATCH('Lorri 401b'!N271,'Retirement Calculator'!A:A,0),0),0)</f>
        <v>20282.026119384056</v>
      </c>
      <c r="K271" s="455">
        <f t="shared" ca="1" si="27"/>
        <v>14428.217346581223</v>
      </c>
      <c r="L271" s="455">
        <f t="shared" ca="1" si="28"/>
        <v>3477200.3805260747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3477200.3805260747</v>
      </c>
      <c r="J272" s="455">
        <f t="array" ref="J272">IFERROR(INDEX('Retirement Calculator'!K:K,MATCH('Lorri 401b'!N272,'Retirement Calculator'!A:A,0),0),0)</f>
        <v>20282.026119384056</v>
      </c>
      <c r="K272" s="455">
        <f t="shared" ca="1" si="27"/>
        <v>14403.826476694545</v>
      </c>
      <c r="L272" s="455">
        <f t="shared" ca="1" si="28"/>
        <v>3471322.1808833852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3471322.1808833852</v>
      </c>
      <c r="J273" s="455">
        <f t="array" ref="J273">IFERROR(INDEX('Retirement Calculator'!K:K,MATCH('Lorri 401b'!N273,'Retirement Calculator'!A:A,0),0),0)</f>
        <v>20282.026119384056</v>
      </c>
      <c r="K273" s="455">
        <f t="shared" ca="1" si="27"/>
        <v>14379.33397818334</v>
      </c>
      <c r="L273" s="455">
        <f t="shared" ca="1" si="28"/>
        <v>3465419.4887421848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3465419.4887421848</v>
      </c>
      <c r="J274" s="455">
        <f t="array" ref="J274">IFERROR(INDEX('Retirement Calculator'!K:K,MATCH('Lorri 401b'!N274,'Retirement Calculator'!A:A,0),0),0)</f>
        <v>20282.026119384056</v>
      </c>
      <c r="K274" s="455">
        <f t="shared" ca="1" si="27"/>
        <v>14354.739427595003</v>
      </c>
      <c r="L274" s="455">
        <f t="shared" ca="1" si="28"/>
        <v>3459492.2020503958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3459492.2020503958</v>
      </c>
      <c r="J275" s="455">
        <f t="array" ref="J275">IFERROR(INDEX('Retirement Calculator'!K:K,MATCH('Lorri 401b'!N275,'Retirement Calculator'!A:A,0),0),0)</f>
        <v>20282.026119384056</v>
      </c>
      <c r="K275" s="455">
        <f t="shared" ca="1" si="27"/>
        <v>14330.042399712551</v>
      </c>
      <c r="L275" s="455">
        <f t="shared" ca="1" si="28"/>
        <v>3453540.2183307242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3453540.2183307242</v>
      </c>
      <c r="J276" s="455">
        <f t="array" ref="J276">IFERROR(INDEX('Retirement Calculator'!K:K,MATCH('Lorri 401b'!N276,'Retirement Calculator'!A:A,0),0),0)</f>
        <v>20282.026119384056</v>
      </c>
      <c r="K276" s="455">
        <f t="shared" ca="1" si="27"/>
        <v>14305.242467547252</v>
      </c>
      <c r="L276" s="455">
        <f t="shared" ca="1" si="28"/>
        <v>3447563.4346788875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3447563.4346788875</v>
      </c>
      <c r="J277" s="455">
        <f t="array" ref="J277">IFERROR(INDEX('Retirement Calculator'!K:K,MATCH('Lorri 401b'!N277,'Retirement Calculator'!A:A,0),0),0)</f>
        <v>20282.026119384056</v>
      </c>
      <c r="K277" s="455">
        <f t="shared" ca="1" si="27"/>
        <v>14280.339202331263</v>
      </c>
      <c r="L277" s="455">
        <f t="shared" ca="1" si="28"/>
        <v>3441561.7477618349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3441561.7477618349</v>
      </c>
      <c r="J278" s="455">
        <f t="array" ref="J278">IFERROR(INDEX('Retirement Calculator'!K:K,MATCH('Lorri 401b'!N278,'Retirement Calculator'!A:A,0),0),0)</f>
        <v>20282.026119384056</v>
      </c>
      <c r="K278" s="455">
        <f t="shared" ca="1" si="27"/>
        <v>14255.332173510213</v>
      </c>
      <c r="L278" s="455">
        <f t="shared" ca="1" si="28"/>
        <v>3435535.0538159609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3435535.0538159609</v>
      </c>
      <c r="J279" s="455">
        <f t="array" ref="J279">IFERROR(INDEX('Retirement Calculator'!K:K,MATCH('Lorri 401b'!N279,'Retirement Calculator'!A:A,0),0),0)</f>
        <v>20282.026119384056</v>
      </c>
      <c r="K279" s="455">
        <f t="shared" ca="1" si="27"/>
        <v>14230.22094873574</v>
      </c>
      <c r="L279" s="455">
        <f t="shared" ca="1" si="28"/>
        <v>3429483.2486453126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3429483.2486453126</v>
      </c>
      <c r="J280" s="455">
        <f t="array" ref="J280">IFERROR(INDEX('Retirement Calculator'!K:K,MATCH('Lorri 401b'!N280,'Retirement Calculator'!A:A,0),0),0)</f>
        <v>20282.026119384056</v>
      </c>
      <c r="K280" s="455">
        <f t="shared" ca="1" si="27"/>
        <v>14205.005093858035</v>
      </c>
      <c r="L280" s="455">
        <f t="shared" ca="1" si="28"/>
        <v>3423406.2276197867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3423406.2276197867</v>
      </c>
      <c r="J281" s="455">
        <f t="array" ref="J281">IFERROR(INDEX('Retirement Calculator'!K:K,MATCH('Lorri 401b'!N281,'Retirement Calculator'!A:A,0),0),0)</f>
        <v>20282.026119384056</v>
      </c>
      <c r="K281" s="455">
        <f t="shared" ca="1" si="27"/>
        <v>14179.684172918345</v>
      </c>
      <c r="L281" s="455">
        <f t="shared" ca="1" si="28"/>
        <v>3417303.8856733213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3417303.8856733213</v>
      </c>
      <c r="J282" s="455">
        <f t="array" ref="J282">IFERROR(INDEX('Retirement Calculator'!K:K,MATCH('Lorri 401b'!N282,'Retirement Calculator'!A:A,0),0),0)</f>
        <v>20282.026119384056</v>
      </c>
      <c r="K282" s="455">
        <f t="shared" ca="1" si="27"/>
        <v>14154.257748141405</v>
      </c>
      <c r="L282" s="455">
        <f t="shared" ca="1" si="28"/>
        <v>3411176.1173020788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3411176.1173020788</v>
      </c>
      <c r="J283" s="455">
        <f t="array" ref="J283">IFERROR(INDEX('Retirement Calculator'!K:K,MATCH('Lorri 401b'!N283,'Retirement Calculator'!A:A,0),0),0)</f>
        <v>20282.026119384056</v>
      </c>
      <c r="K283" s="455">
        <f t="shared" ca="1" si="27"/>
        <v>14128.725379927897</v>
      </c>
      <c r="L283" s="455">
        <f t="shared" ca="1" si="28"/>
        <v>3405022.8165626228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3405022.8165626228</v>
      </c>
      <c r="J284" s="455">
        <f t="array" ref="J284">IFERROR(INDEX('Retirement Calculator'!K:K,MATCH('Lorri 401b'!N284,'Retirement Calculator'!A:A,0),0),0)</f>
        <v>20282.026119384056</v>
      </c>
      <c r="K284" s="455">
        <f t="shared" ca="1" si="27"/>
        <v>14103.086626846829</v>
      </c>
      <c r="L284" s="455">
        <f t="shared" ca="1" si="28"/>
        <v>3398843.8770700856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3398843.8770700856</v>
      </c>
      <c r="J285" s="455">
        <f t="array" ref="J285">IFERROR(INDEX('Retirement Calculator'!K:K,MATCH('Lorri 401b'!N285,'Retirement Calculator'!A:A,0),0),0)</f>
        <v>20282.026119384056</v>
      </c>
      <c r="K285" s="455">
        <f t="shared" ca="1" si="27"/>
        <v>14077.341045627923</v>
      </c>
      <c r="L285" s="455">
        <f t="shared" ca="1" si="28"/>
        <v>3392639.1919963295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3392639.1919963295</v>
      </c>
      <c r="J286" s="455">
        <f t="array" ref="J286">IFERROR(INDEX('Retirement Calculator'!K:K,MATCH('Lorri 401b'!N286,'Retirement Calculator'!A:A,0),0),0)</f>
        <v>20282.026119384056</v>
      </c>
      <c r="K286" s="455">
        <f t="shared" ca="1" si="27"/>
        <v>14051.48819115394</v>
      </c>
      <c r="L286" s="455">
        <f t="shared" ca="1" si="28"/>
        <v>3386408.6540680993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3386408.6540680993</v>
      </c>
      <c r="J287" s="455">
        <f t="array" ref="J287">IFERROR(INDEX('Retirement Calculator'!K:K,MATCH('Lorri 401b'!N287,'Retirement Calculator'!A:A,0),0),0)</f>
        <v>20282.026119384056</v>
      </c>
      <c r="K287" s="455">
        <f t="shared" ca="1" si="27"/>
        <v>14025.527616452979</v>
      </c>
      <c r="L287" s="455">
        <f t="shared" ca="1" si="28"/>
        <v>3380152.1555651682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3380152.1555651682</v>
      </c>
      <c r="J288" s="455">
        <f t="array" ref="J288">IFERROR(INDEX('Retirement Calculator'!K:K,MATCH('Lorri 401b'!N288,'Retirement Calculator'!A:A,0),0),0)</f>
        <v>20282.026119384056</v>
      </c>
      <c r="K288" s="455">
        <f t="shared" ca="1" si="27"/>
        <v>13999.458872690768</v>
      </c>
      <c r="L288" s="455">
        <f t="shared" ca="1" si="28"/>
        <v>3373869.5883184751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3373869.5883184751</v>
      </c>
      <c r="J289" s="455">
        <f t="array" ref="J289">IFERROR(INDEX('Retirement Calculator'!K:K,MATCH('Lorri 401b'!N289,'Retirement Calculator'!A:A,0),0),0)</f>
        <v>20282.026119384056</v>
      </c>
      <c r="K289" s="455">
        <f t="shared" ca="1" si="27"/>
        <v>13973.28150916288</v>
      </c>
      <c r="L289" s="455">
        <f t="shared" ca="1" si="28"/>
        <v>3367560.8437082539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3367560.8437082539</v>
      </c>
      <c r="J290" s="455">
        <f t="array" ref="J290">IFERROR(INDEX('Retirement Calculator'!K:K,MATCH('Lorri 401b'!N290,'Retirement Calculator'!A:A,0),0),0)</f>
        <v>20282.026119384056</v>
      </c>
      <c r="K290" s="455">
        <f t="shared" ca="1" si="27"/>
        <v>13946.995073286957</v>
      </c>
      <c r="L290" s="455">
        <f t="shared" ca="1" si="28"/>
        <v>3361225.8126621568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3361225.8126621568</v>
      </c>
      <c r="J291" s="455">
        <f t="array" ref="J291">IFERROR(INDEX('Retirement Calculator'!K:K,MATCH('Lorri 401b'!N291,'Retirement Calculator'!A:A,0),0),0)</f>
        <v>20282.026119384056</v>
      </c>
      <c r="K291" s="455">
        <f t="shared" ca="1" si="27"/>
        <v>13920.599110594889</v>
      </c>
      <c r="L291" s="455">
        <f t="shared" ca="1" si="28"/>
        <v>3354864.3856533677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3354864.3856533677</v>
      </c>
      <c r="J292" s="455">
        <f t="array" ref="J292">IFERROR(INDEX('Retirement Calculator'!K:K,MATCH('Lorri 401b'!N292,'Retirement Calculator'!A:A,0),0),0)</f>
        <v>20282.026119384056</v>
      </c>
      <c r="K292" s="455">
        <f t="shared" ca="1" si="27"/>
        <v>13894.093164724934</v>
      </c>
      <c r="L292" s="455">
        <f t="shared" ca="1" si="28"/>
        <v>3348476.4526987085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3348476.4526987085</v>
      </c>
      <c r="J293" s="455">
        <f t="array" ref="J293">IFERROR(INDEX('Retirement Calculator'!K:K,MATCH('Lorri 401b'!N293,'Retirement Calculator'!A:A,0),0),0)</f>
        <v>20282.026119384056</v>
      </c>
      <c r="K293" s="455">
        <f t="shared" ca="1" si="27"/>
        <v>13867.476777413855</v>
      </c>
      <c r="L293" s="455">
        <f t="shared" ca="1" si="28"/>
        <v>3342061.9033567384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3342061.9033567384</v>
      </c>
      <c r="J294" s="455">
        <f t="array" ref="J294">IFERROR(INDEX('Retirement Calculator'!K:K,MATCH('Lorri 401b'!N294,'Retirement Calculator'!A:A,0),0),0)</f>
        <v>20282.026119384056</v>
      </c>
      <c r="K294" s="455">
        <f t="shared" ca="1" si="27"/>
        <v>13840.749488488978</v>
      </c>
      <c r="L294" s="455">
        <f t="shared" ca="1" si="28"/>
        <v>3335620.6267258432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3335620.6267258432</v>
      </c>
      <c r="J295" s="455">
        <f t="array" ref="J295">IFERROR(INDEX('Retirement Calculator'!K:K,MATCH('Lorri 401b'!N295,'Retirement Calculator'!A:A,0),0),0)</f>
        <v>20282.026119384056</v>
      </c>
      <c r="K295" s="455">
        <f t="shared" ca="1" si="27"/>
        <v>13813.910835860246</v>
      </c>
      <c r="L295" s="455">
        <f t="shared" ca="1" si="28"/>
        <v>3329152.5114423195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3329152.5114423195</v>
      </c>
      <c r="J296" s="455">
        <f t="array" ref="J296">IFERROR(INDEX('Retirement Calculator'!K:K,MATCH('Lorri 401b'!N296,'Retirement Calculator'!A:A,0),0),0)</f>
        <v>20282.026119384056</v>
      </c>
      <c r="K296" s="455">
        <f t="shared" ca="1" si="27"/>
        <v>13786.96035551223</v>
      </c>
      <c r="L296" s="455">
        <f t="shared" ca="1" si="28"/>
        <v>3322657.4456784478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3322657.4456784478</v>
      </c>
      <c r="J297" s="455">
        <f t="array" ref="J297">IFERROR(INDEX('Retirement Calculator'!K:K,MATCH('Lorri 401b'!N297,'Retirement Calculator'!A:A,0),0),0)</f>
        <v>20282.026119384056</v>
      </c>
      <c r="K297" s="455">
        <f t="shared" ca="1" si="27"/>
        <v>13759.8975814961</v>
      </c>
      <c r="L297" s="455">
        <f t="shared" ca="1" si="28"/>
        <v>3316135.3171405601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3316135.3171405601</v>
      </c>
      <c r="J298" s="455">
        <f t="array" ref="J298">IFERROR(INDEX('Retirement Calculator'!K:K,MATCH('Lorri 401b'!N298,'Retirement Calculator'!A:A,0),0),0)</f>
        <v>20282.026119384056</v>
      </c>
      <c r="K298" s="455">
        <f t="shared" ca="1" si="27"/>
        <v>13732.722045921566</v>
      </c>
      <c r="L298" s="455">
        <f t="shared" ca="1" si="28"/>
        <v>3309586.0130670979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3309586.0130670979</v>
      </c>
      <c r="J299" s="455">
        <f t="array" ref="J299">IFERROR(INDEX('Retirement Calculator'!K:K,MATCH('Lorri 401b'!N299,'Retirement Calculator'!A:A,0),0),0)</f>
        <v>20282.026119384056</v>
      </c>
      <c r="K299" s="455">
        <f t="shared" ca="1" si="27"/>
        <v>13705.433278948807</v>
      </c>
      <c r="L299" s="455">
        <f t="shared" ca="1" si="28"/>
        <v>3303009.4202266629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3303009.4202266629</v>
      </c>
      <c r="J300" s="455">
        <f t="array" ref="J300">IFERROR(INDEX('Retirement Calculator'!K:K,MATCH('Lorri 401b'!N300,'Retirement Calculator'!A:A,0),0),0)</f>
        <v>20282.026119384056</v>
      </c>
      <c r="K300" s="455">
        <f t="shared" ca="1" si="27"/>
        <v>13678.030808780328</v>
      </c>
      <c r="L300" s="455">
        <f t="shared" ca="1" si="28"/>
        <v>3296405.4249160592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3296405.4249160592</v>
      </c>
      <c r="J301" s="455">
        <f t="array" ref="J301">IFERROR(INDEX('Retirement Calculator'!K:K,MATCH('Lorri 401b'!N301,'Retirement Calculator'!A:A,0),0),0)</f>
        <v>20282.026119384056</v>
      </c>
      <c r="K301" s="455">
        <f t="shared" ca="1" si="27"/>
        <v>13650.514161652813</v>
      </c>
      <c r="L301" s="455">
        <f t="shared" ca="1" si="28"/>
        <v>3289773.9129583281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3289773.9129583281</v>
      </c>
      <c r="J302" s="455">
        <f t="array" ref="J302">IFERROR(INDEX('Retirement Calculator'!K:K,MATCH('Lorri 401b'!N302,'Retirement Calculator'!A:A,0),0),0)</f>
        <v>20282.026119384056</v>
      </c>
      <c r="K302" s="455">
        <f t="shared" ca="1" si="27"/>
        <v>13622.882861828934</v>
      </c>
      <c r="L302" s="455">
        <f t="shared" ca="1" si="28"/>
        <v>3283114.7697007731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3283114.7697007731</v>
      </c>
      <c r="J303" s="455">
        <f t="array" ref="J303">IFERROR(INDEX('Retirement Calculator'!K:K,MATCH('Lorri 401b'!N303,'Retirement Calculator'!A:A,0),0),0)</f>
        <v>20282.026119384056</v>
      </c>
      <c r="K303" s="455">
        <f t="shared" ca="1" si="27"/>
        <v>13595.136431589121</v>
      </c>
      <c r="L303" s="455">
        <f t="shared" ca="1" si="28"/>
        <v>3276427.8800129783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3276427.8800129783</v>
      </c>
      <c r="J304" s="455">
        <f t="array" ref="J304">IFERROR(INDEX('Retirement Calculator'!K:K,MATCH('Lorri 401b'!N304,'Retirement Calculator'!A:A,0),0),0)</f>
        <v>20282.026119384056</v>
      </c>
      <c r="K304" s="455">
        <f t="shared" ca="1" si="27"/>
        <v>13567.274391223309</v>
      </c>
      <c r="L304" s="455">
        <f t="shared" ca="1" si="28"/>
        <v>3269713.1282848176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3269713.1282848176</v>
      </c>
      <c r="J305" s="455">
        <f t="array" ref="J305">IFERROR(INDEX('Retirement Calculator'!K:K,MATCH('Lorri 401b'!N305,'Retirement Calculator'!A:A,0),0),0)</f>
        <v>20282.026119384056</v>
      </c>
      <c r="K305" s="455">
        <f t="shared" ca="1" si="27"/>
        <v>13539.29625902264</v>
      </c>
      <c r="L305" s="455">
        <f t="shared" ca="1" si="28"/>
        <v>3262970.3984244564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3262970.3984244564</v>
      </c>
      <c r="J306" s="455">
        <f t="array" ref="J306">IFERROR(INDEX('Retirement Calculator'!K:K,MATCH('Lorri 401b'!N306,'Retirement Calculator'!A:A,0),0),0)</f>
        <v>20282.026119384056</v>
      </c>
      <c r="K306" s="455">
        <f t="shared" ca="1" si="27"/>
        <v>13511.201551271135</v>
      </c>
      <c r="L306" s="455">
        <f t="shared" ca="1" si="28"/>
        <v>3256199.5738563435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3256199.5738563435</v>
      </c>
      <c r="J307" s="455">
        <f t="array" ref="J307">IFERROR(INDEX('Retirement Calculator'!K:K,MATCH('Lorri 401b'!N307,'Retirement Calculator'!A:A,0),0),0)</f>
        <v>20282.026119384056</v>
      </c>
      <c r="K307" s="455">
        <f t="shared" ca="1" si="27"/>
        <v>13482.989782237331</v>
      </c>
      <c r="L307" s="455">
        <f t="shared" ca="1" si="28"/>
        <v>3249400.537519197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3249400.537519197</v>
      </c>
      <c r="J308" s="455">
        <f t="array" ref="J308">IFERROR(INDEX('Retirement Calculator'!K:K,MATCH('Lorri 401b'!N308,'Retirement Calculator'!A:A,0),0),0)</f>
        <v>20282.026119384056</v>
      </c>
      <c r="K308" s="455">
        <f t="shared" ca="1" si="27"/>
        <v>13454.660464165887</v>
      </c>
      <c r="L308" s="455">
        <f t="shared" ca="1" si="28"/>
        <v>3242573.1718639787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3242573.1718639787</v>
      </c>
      <c r="J309" s="455">
        <f t="array" ref="J309">IFERROR(INDEX('Retirement Calculator'!K:K,MATCH('Lorri 401b'!N309,'Retirement Calculator'!A:A,0),0),0)</f>
        <v>20282.026119384056</v>
      </c>
      <c r="K309" s="455">
        <f t="shared" ca="1" si="27"/>
        <v>13426.213107269145</v>
      </c>
      <c r="L309" s="455">
        <f t="shared" ca="1" si="28"/>
        <v>3235717.358851864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3235717.358851864</v>
      </c>
      <c r="J310" s="455">
        <f t="array" ref="J310">IFERROR(INDEX('Retirement Calculator'!K:K,MATCH('Lorri 401b'!N310,'Retirement Calculator'!A:A,0),0),0)</f>
        <v>20282.026119384056</v>
      </c>
      <c r="K310" s="455">
        <f t="shared" ca="1" si="27"/>
        <v>13397.647219718667</v>
      </c>
      <c r="L310" s="455">
        <f t="shared" ca="1" si="28"/>
        <v>3228832.9799521985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3228832.9799521985</v>
      </c>
      <c r="J311" s="455">
        <f t="array" ref="J311">IFERROR(INDEX('Retirement Calculator'!K:K,MATCH('Lorri 401b'!N311,'Retirement Calculator'!A:A,0),0),0)</f>
        <v>20282.026119384056</v>
      </c>
      <c r="K311" s="455">
        <f t="shared" ca="1" si="27"/>
        <v>13368.962307636726</v>
      </c>
      <c r="L311" s="455">
        <f t="shared" ca="1" si="28"/>
        <v>3221919.9161404511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3221919.9161404511</v>
      </c>
      <c r="J312" s="455">
        <f t="array" ref="J312">IFERROR(INDEX('Retirement Calculator'!K:K,MATCH('Lorri 401b'!N312,'Retirement Calculator'!A:A,0),0),0)</f>
        <v>20282.026119384056</v>
      </c>
      <c r="K312" s="455">
        <f t="shared" ca="1" si="27"/>
        <v>13340.15787508778</v>
      </c>
      <c r="L312" s="455">
        <f t="shared" ca="1" si="28"/>
        <v>3214978.0478961547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3214978.0478961547</v>
      </c>
      <c r="J313" s="455">
        <f t="array" ref="J313">IFERROR(INDEX('Retirement Calculator'!K:K,MATCH('Lorri 401b'!N313,'Retirement Calculator'!A:A,0),0),0)</f>
        <v>20282.026119384056</v>
      </c>
      <c r="K313" s="455">
        <f t="shared" ca="1" si="27"/>
        <v>13311.233424069878</v>
      </c>
      <c r="L313" s="455">
        <f t="shared" ca="1" si="28"/>
        <v>3208007.2552008405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3208007.2552008405</v>
      </c>
      <c r="J314" s="455">
        <f t="array" ref="J314">IFERROR(INDEX('Retirement Calculator'!K:K,MATCH('Lorri 401b'!N314,'Retirement Calculator'!A:A,0),0),0)</f>
        <v>20282.026119384056</v>
      </c>
      <c r="K314" s="455">
        <f t="shared" ca="1" si="27"/>
        <v>13282.188454506069</v>
      </c>
      <c r="L314" s="455">
        <f t="shared" ca="1" si="28"/>
        <v>3201007.4175359625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3201007.4175359625</v>
      </c>
      <c r="J315" s="455">
        <f t="array" ref="J315">IFERROR(INDEX('Retirement Calculator'!K:K,MATCH('Lorri 401b'!N315,'Retirement Calculator'!A:A,0),0),0)</f>
        <v>20282.026119384056</v>
      </c>
      <c r="K315" s="455">
        <f t="shared" ca="1" si="27"/>
        <v>13253.022464235744</v>
      </c>
      <c r="L315" s="455">
        <f t="shared" ca="1" si="28"/>
        <v>3193978.4138808143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3193978.4138808143</v>
      </c>
      <c r="J316" s="455">
        <f t="array" ref="J316">IFERROR(INDEX('Retirement Calculator'!K:K,MATCH('Lorri 401b'!N316,'Retirement Calculator'!A:A,0),0),0)</f>
        <v>20282.026119384056</v>
      </c>
      <c r="K316" s="455">
        <f t="shared" ca="1" si="27"/>
        <v>13223.734949005959</v>
      </c>
      <c r="L316" s="455">
        <f t="shared" ca="1" si="28"/>
        <v>3186920.1227104361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3186920.1227104361</v>
      </c>
      <c r="J317" s="455">
        <f t="array" ref="J317">IFERROR(INDEX('Retirement Calculator'!K:K,MATCH('Lorri 401b'!N317,'Retirement Calculator'!A:A,0),0),0)</f>
        <v>20282.026119384056</v>
      </c>
      <c r="K317" s="455">
        <f t="shared" ca="1" si="27"/>
        <v>13194.325402462717</v>
      </c>
      <c r="L317" s="455">
        <f t="shared" ca="1" si="28"/>
        <v>3179832.421993515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3179832.421993515</v>
      </c>
      <c r="J318" s="455">
        <f t="array" ref="J318">IFERROR(INDEX('Retirement Calculator'!K:K,MATCH('Lorri 401b'!N318,'Retirement Calculator'!A:A,0),0),0)</f>
        <v>20282.026119384056</v>
      </c>
      <c r="K318" s="455">
        <f t="shared" ca="1" si="27"/>
        <v>13164.793316142212</v>
      </c>
      <c r="L318" s="455">
        <f t="shared" ca="1" si="28"/>
        <v>3172715.1891902732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3172715.1891902732</v>
      </c>
      <c r="J319" s="455">
        <f t="array" ref="J319">IFERROR(INDEX('Retirement Calculator'!K:K,MATCH('Lorri 401b'!N319,'Retirement Calculator'!A:A,0),0),0)</f>
        <v>20282.026119384056</v>
      </c>
      <c r="K319" s="455">
        <f t="shared" ca="1" si="27"/>
        <v>13135.138179462037</v>
      </c>
      <c r="L319" s="455">
        <f t="shared" ca="1" si="28"/>
        <v>3165568.3012503511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3165568.3012503511</v>
      </c>
      <c r="J320" s="455">
        <f t="array" ref="J320">IFERROR(INDEX('Retirement Calculator'!K:K,MATCH('Lorri 401b'!N320,'Retirement Calculator'!A:A,0),0),0)</f>
        <v>20282.026119384056</v>
      </c>
      <c r="K320" s="455">
        <f t="shared" ca="1" si="27"/>
        <v>13105.359479712362</v>
      </c>
      <c r="L320" s="455">
        <f t="shared" ca="1" si="28"/>
        <v>3158391.6346106795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3158391.6346106795</v>
      </c>
      <c r="J321" s="455">
        <f t="array" ref="J321">IFERROR(INDEX('Retirement Calculator'!K:K,MATCH('Lorri 401b'!N321,'Retirement Calculator'!A:A,0),0),0)</f>
        <v>20282.026119384056</v>
      </c>
      <c r="K321" s="455">
        <f t="shared" ca="1" si="27"/>
        <v>13075.456702047064</v>
      </c>
      <c r="L321" s="455">
        <f t="shared" ca="1" si="28"/>
        <v>3151185.0651933425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3151185.0651933425</v>
      </c>
      <c r="J322" s="455">
        <f t="array" ref="J322">IFERROR(INDEX('Retirement Calculator'!K:K,MATCH('Lorri 401b'!N322,'Retirement Calculator'!A:A,0),0),0)</f>
        <v>20282.026119384056</v>
      </c>
      <c r="K322" s="455">
        <f t="shared" ca="1" si="27"/>
        <v>13045.429329474828</v>
      </c>
      <c r="L322" s="455">
        <f t="shared" ca="1" si="28"/>
        <v>3143948.4684034334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3143948.4684034334</v>
      </c>
      <c r="J323" s="455">
        <f t="array" ref="J323">IFERROR(INDEX('Retirement Calculator'!K:K,MATCH('Lorri 401b'!N323,'Retirement Calculator'!A:A,0),0),0)</f>
        <v>20282.026119384056</v>
      </c>
      <c r="K323" s="455">
        <f t="shared" ca="1" si="27"/>
        <v>13015.276842850206</v>
      </c>
      <c r="L323" s="455">
        <f t="shared" ca="1" si="28"/>
        <v>3136681.7191268997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3136681.7191268997</v>
      </c>
      <c r="J324" s="455">
        <f t="array" ref="J324">IFERROR(INDEX('Retirement Calculator'!K:K,MATCH('Lorri 401b'!N324,'Retirement Calculator'!A:A,0),0),0)</f>
        <v>20282.026119384056</v>
      </c>
      <c r="K324" s="455">
        <f t="shared" ca="1" si="27"/>
        <v>12984.998720864649</v>
      </c>
      <c r="L324" s="455">
        <f t="shared" ca="1" si="28"/>
        <v>3129384.6917283805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3129384.6917283805</v>
      </c>
      <c r="J325" s="455">
        <f t="array" ref="J325">IFERROR(INDEX('Retirement Calculator'!K:K,MATCH('Lorri 401b'!N325,'Retirement Calculator'!A:A,0),0),0)</f>
        <v>20282.026119384056</v>
      </c>
      <c r="K325" s="455">
        <f t="shared" ca="1" si="27"/>
        <v>12954.594440037485</v>
      </c>
      <c r="L325" s="455">
        <f t="shared" ca="1" si="28"/>
        <v>3122057.2600490339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3122057.2600490339</v>
      </c>
      <c r="J326" s="455">
        <f t="array" ref="J326">IFERROR(INDEX('Retirement Calculator'!K:K,MATCH('Lorri 401b'!N326,'Retirement Calculator'!A:A,0),0),0)</f>
        <v>20282.026119384056</v>
      </c>
      <c r="K326" s="455">
        <f t="shared" ca="1" si="27"/>
        <v>12924.063474706874</v>
      </c>
      <c r="L326" s="455">
        <f t="shared" ca="1" si="28"/>
        <v>3114699.2974043568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3114699.2974043568</v>
      </c>
      <c r="J327" s="455">
        <f t="array" ref="J327">IFERROR(INDEX('Retirement Calculator'!K:K,MATCH('Lorri 401b'!N327,'Retirement Calculator'!A:A,0),0),0)</f>
        <v>20282.026119384056</v>
      </c>
      <c r="K327" s="455">
        <f t="shared" ca="1" si="27"/>
        <v>12893.405297020719</v>
      </c>
      <c r="L327" s="455">
        <f t="shared" ca="1" si="28"/>
        <v>3107310.6765819937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3107310.6765819937</v>
      </c>
      <c r="J328" s="455">
        <f t="array" ref="J328">IFERROR(INDEX('Retirement Calculator'!K:K,MATCH('Lorri 401b'!N328,'Retirement Calculator'!A:A,0),0),0)</f>
        <v>20282.026119384056</v>
      </c>
      <c r="K328" s="455">
        <f t="shared" ca="1" si="27"/>
        <v>12862.61937692754</v>
      </c>
      <c r="L328" s="455">
        <f t="shared" ca="1" si="28"/>
        <v>3099891.2698395373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3099891.2698395373</v>
      </c>
      <c r="J329" s="455">
        <f t="array" ref="J329">IFERROR(INDEX('Retirement Calculator'!K:K,MATCH('Lorri 401b'!N329,'Retirement Calculator'!A:A,0),0),0)</f>
        <v>20282.026119384056</v>
      </c>
      <c r="K329" s="455">
        <f t="shared" ca="1" si="27"/>
        <v>12831.705182167305</v>
      </c>
      <c r="L329" s="455">
        <f t="shared" ca="1" si="28"/>
        <v>3092440.9489023206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3092440.9489023206</v>
      </c>
      <c r="J330" s="455">
        <f t="array" ref="J330">IFERROR(INDEX('Retirement Calculator'!K:K,MATCH('Lorri 401b'!N330,'Retirement Calculator'!A:A,0),0),0)</f>
        <v>20282.026119384056</v>
      </c>
      <c r="K330" s="455">
        <f t="shared" ca="1" si="27"/>
        <v>12800.662178262235</v>
      </c>
      <c r="L330" s="455">
        <f t="shared" ca="1" si="28"/>
        <v>3084959.5849611987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3084959.5849611987</v>
      </c>
      <c r="J331" s="455">
        <f t="array" ref="J331">IFERROR(INDEX('Retirement Calculator'!K:K,MATCH('Lorri 401b'!N331,'Retirement Calculator'!A:A,0),0),0)</f>
        <v>20282.026119384056</v>
      </c>
      <c r="K331" s="455">
        <f t="shared" ca="1" si="27"/>
        <v>12769.489828507561</v>
      </c>
      <c r="L331" s="455">
        <f t="shared" ca="1" si="28"/>
        <v>3077447.0486703222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3077447.0486703222</v>
      </c>
      <c r="J332" s="455">
        <f t="array" ref="J332">IFERROR(INDEX('Retirement Calculator'!K:K,MATCH('Lorri 401b'!N332,'Retirement Calculator'!A:A,0),0),0)</f>
        <v>20282.026119384056</v>
      </c>
      <c r="K332" s="455">
        <f t="shared" ca="1" si="27"/>
        <v>12738.187593962242</v>
      </c>
      <c r="L332" s="455">
        <f t="shared" ca="1" si="28"/>
        <v>3069903.2101449003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3069903.2101449003</v>
      </c>
      <c r="J333" s="455">
        <f t="array" ref="J333">IFERROR(INDEX('Retirement Calculator'!K:K,MATCH('Lorri 401b'!N333,'Retirement Calculator'!A:A,0),0),0)</f>
        <v>20282.026119384056</v>
      </c>
      <c r="K333" s="455">
        <f t="shared" ca="1" si="27"/>
        <v>12706.754933439652</v>
      </c>
      <c r="L333" s="455">
        <f t="shared" ca="1" si="28"/>
        <v>3062327.9389589559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3062327.9389589559</v>
      </c>
      <c r="J334" s="455">
        <f t="array" ref="J334">IFERROR(INDEX('Retirement Calculator'!K:K,MATCH('Lorri 401b'!N334,'Retirement Calculator'!A:A,0),0),0)</f>
        <v>20282.026119384056</v>
      </c>
      <c r="K334" s="455">
        <f t="shared" ca="1" si="27"/>
        <v>12675.191303498217</v>
      </c>
      <c r="L334" s="455">
        <f t="shared" ca="1" si="28"/>
        <v>3054721.1041430701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3054721.1041430701</v>
      </c>
      <c r="J335" s="455">
        <f t="array" ref="J335">IFERROR(INDEX('Retirement Calculator'!K:K,MATCH('Lorri 401b'!N335,'Retirement Calculator'!A:A,0),0),0)</f>
        <v>20282.026119384056</v>
      </c>
      <c r="K335" s="455">
        <f t="shared" ca="1" si="27"/>
        <v>12643.496158432024</v>
      </c>
      <c r="L335" s="455">
        <f t="shared" ca="1" si="28"/>
        <v>3047082.5741821183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3047082.5741821183</v>
      </c>
      <c r="J336" s="455">
        <f t="array" ref="J336">IFERROR(INDEX('Retirement Calculator'!K:K,MATCH('Lorri 401b'!N336,'Retirement Calculator'!A:A,0),0),0)</f>
        <v>20282.026119384056</v>
      </c>
      <c r="K336" s="455">
        <f t="shared" ca="1" si="27"/>
        <v>12611.668950261394</v>
      </c>
      <c r="L336" s="455">
        <f t="shared" ca="1" si="28"/>
        <v>3039412.2170129959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3039412.2170129959</v>
      </c>
      <c r="J337" s="455">
        <f t="array" ref="J337">IFERROR(INDEX('Retirement Calculator'!K:K,MATCH('Lorri 401b'!N337,'Retirement Calculator'!A:A,0),0),0)</f>
        <v>20282.026119384056</v>
      </c>
      <c r="K337" s="455">
        <f t="shared" ca="1" si="27"/>
        <v>12579.709128723383</v>
      </c>
      <c r="L337" s="455">
        <f t="shared" ca="1" si="28"/>
        <v>3031709.9000223354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3031709.9000223354</v>
      </c>
      <c r="J338" s="455">
        <f t="array" ref="J338">IFERROR(INDEX('Retirement Calculator'!K:K,MATCH('Lorri 401b'!N338,'Retirement Calculator'!A:A,0),0),0)</f>
        <v>20282.026119384056</v>
      </c>
      <c r="K338" s="455">
        <f t="shared" ca="1" si="27"/>
        <v>12547.616141262297</v>
      </c>
      <c r="L338" s="455">
        <f t="shared" ca="1" si="28"/>
        <v>3023975.4900442138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3023975.4900442138</v>
      </c>
      <c r="J339" s="455">
        <f t="array" ref="J339">IFERROR(INDEX('Retirement Calculator'!K:K,MATCH('Lorri 401b'!N339,'Retirement Calculator'!A:A,0),0),0)</f>
        <v>20282.026119384056</v>
      </c>
      <c r="K339" s="455">
        <f t="shared" ca="1" si="27"/>
        <v>12515.389433020124</v>
      </c>
      <c r="L339" s="455">
        <f t="shared" ca="1" si="28"/>
        <v>3016208.8533578501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3016208.8533578501</v>
      </c>
      <c r="J340" s="455">
        <f t="array" ref="J340">IFERROR(INDEX('Retirement Calculator'!K:K,MATCH('Lorri 401b'!N340,'Retirement Calculator'!A:A,0),0),0)</f>
        <v>20282.026119384056</v>
      </c>
      <c r="K340" s="455">
        <f t="shared" ca="1" si="27"/>
        <v>12483.028446826942</v>
      </c>
      <c r="L340" s="455">
        <f t="shared" ca="1" si="28"/>
        <v>3008409.8556852932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3008409.8556852932</v>
      </c>
      <c r="J341" s="455">
        <f t="array" ref="J341">IFERROR(INDEX('Retirement Calculator'!K:K,MATCH('Lorri 401b'!N341,'Retirement Calculator'!A:A,0),0),0)</f>
        <v>20282.026119384056</v>
      </c>
      <c r="K341" s="455">
        <f t="shared" ca="1" si="27"/>
        <v>12450.532623191288</v>
      </c>
      <c r="L341" s="455">
        <f t="shared" ca="1" si="28"/>
        <v>3000578.3621891006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3000578.3621891006</v>
      </c>
      <c r="J342" s="455">
        <f t="array" ref="J342">IFERROR(INDEX('Retirement Calculator'!K:K,MATCH('Lorri 401b'!N342,'Retirement Calculator'!A:A,0),0),0)</f>
        <v>20282.026119384056</v>
      </c>
      <c r="K342" s="455">
        <f t="shared" ca="1" si="27"/>
        <v>12417.901400290486</v>
      </c>
      <c r="L342" s="455">
        <f t="shared" ca="1" si="28"/>
        <v>2992714.237470007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2992714.237470007</v>
      </c>
      <c r="J343" s="455">
        <f t="array" ref="J343">IFERROR(INDEX('Retirement Calculator'!K:K,MATCH('Lorri 401b'!N343,'Retirement Calculator'!A:A,0),0),0)</f>
        <v>20282.026119384056</v>
      </c>
      <c r="K343" s="455">
        <f t="shared" ca="1" si="27"/>
        <v>12385.13421396093</v>
      </c>
      <c r="L343" s="455">
        <f t="shared" ca="1" si="28"/>
        <v>2984817.3455645838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2984817.3455645838</v>
      </c>
      <c r="J344" s="455">
        <f t="array" ref="J344">IFERROR(INDEX('Retirement Calculator'!K:K,MATCH('Lorri 401b'!N344,'Retirement Calculator'!A:A,0),0),0)</f>
        <v>20282.026119384056</v>
      </c>
      <c r="K344" s="455">
        <f t="shared" ca="1" si="27"/>
        <v>12352.230497688332</v>
      </c>
      <c r="L344" s="455">
        <f t="shared" ca="1" si="28"/>
        <v>2976887.5499428883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2976887.5499428883</v>
      </c>
      <c r="J345" s="455">
        <f t="array" ref="J345">IFERROR(INDEX('Retirement Calculator'!K:K,MATCH('Lorri 401b'!N345,'Retirement Calculator'!A:A,0),0),0)</f>
        <v>20282.026119384056</v>
      </c>
      <c r="K345" s="455">
        <f t="shared" ca="1" si="27"/>
        <v>12319.189682597935</v>
      </c>
      <c r="L345" s="455">
        <f t="shared" ca="1" si="28"/>
        <v>2968924.7135061021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2968924.7135061021</v>
      </c>
      <c r="J346" s="455">
        <f t="array" ref="J346">IFERROR(INDEX('Retirement Calculator'!K:K,MATCH('Lorri 401b'!N346,'Retirement Calculator'!A:A,0),0),0)</f>
        <v>20282.026119384056</v>
      </c>
      <c r="K346" s="455">
        <f t="shared" ca="1" si="27"/>
        <v>12286.011197444659</v>
      </c>
      <c r="L346" s="455">
        <f t="shared" ca="1" si="28"/>
        <v>2960928.6985841626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2960928.6985841626</v>
      </c>
      <c r="J347" s="455">
        <f t="array" ref="J347">IFERROR(INDEX('Retirement Calculator'!K:K,MATCH('Lorri 401b'!N347,'Retirement Calculator'!A:A,0),0),0)</f>
        <v>20282.026119384056</v>
      </c>
      <c r="K347" s="455">
        <f t="shared" ca="1" si="27"/>
        <v>12252.694468603244</v>
      </c>
      <c r="L347" s="455">
        <f t="shared" ca="1" si="28"/>
        <v>2952899.3669333821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2952899.3669333821</v>
      </c>
      <c r="J348" s="455">
        <f t="array" ref="J348">IFERROR(INDEX('Retirement Calculator'!K:K,MATCH('Lorri 401b'!N348,'Retirement Calculator'!A:A,0),0),0)</f>
        <v>20282.026119384056</v>
      </c>
      <c r="K348" s="455">
        <f t="shared" ca="1" si="27"/>
        <v>12219.238920058326</v>
      </c>
      <c r="L348" s="455">
        <f t="shared" ca="1" si="28"/>
        <v>2944836.5797340563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2944836.5797340563</v>
      </c>
      <c r="J349" s="455">
        <f t="array" ref="J349">IFERROR(INDEX('Retirement Calculator'!K:K,MATCH('Lorri 401b'!N349,'Retirement Calculator'!A:A,0),0),0)</f>
        <v>20282.026119384056</v>
      </c>
      <c r="K349" s="455">
        <f t="shared" ca="1" si="27"/>
        <v>12185.643973394468</v>
      </c>
      <c r="L349" s="455">
        <f t="shared" ca="1" si="28"/>
        <v>2936740.1975880666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2936740.1975880666</v>
      </c>
      <c r="J350" s="455">
        <f t="array" ref="J350">IFERROR(INDEX('Retirement Calculator'!K:K,MATCH('Lorri 401b'!N350,'Retirement Calculator'!A:A,0),0),0)</f>
        <v>20282.026119384056</v>
      </c>
      <c r="K350" s="455">
        <f t="shared" ca="1" si="27"/>
        <v>12151.909047786177</v>
      </c>
      <c r="L350" s="455">
        <f t="shared" ca="1" si="28"/>
        <v>2928610.0805164687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2928610.0805164687</v>
      </c>
      <c r="J351" s="455">
        <f t="array" ref="J351">IFERROR(INDEX('Retirement Calculator'!K:K,MATCH('Lorri 401b'!N351,'Retirement Calculator'!A:A,0),0),0)</f>
        <v>20282.026119384056</v>
      </c>
      <c r="K351" s="455">
        <f t="shared" ca="1" si="27"/>
        <v>12118.033559987853</v>
      </c>
      <c r="L351" s="455">
        <f t="shared" ca="1" si="28"/>
        <v>2920446.0879570725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2920446.0879570725</v>
      </c>
      <c r="J352" s="455">
        <f t="array" ref="J352">IFERROR(INDEX('Retirement Calculator'!K:K,MATCH('Lorri 401b'!N352,'Retirement Calculator'!A:A,0),0),0)</f>
        <v>20282.026119384056</v>
      </c>
      <c r="K352" s="455">
        <f t="shared" ca="1" si="27"/>
        <v>12084.016924323701</v>
      </c>
      <c r="L352" s="455">
        <f t="shared" ca="1" si="28"/>
        <v>2912248.0787620121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2912248.0787620121</v>
      </c>
      <c r="J353" s="455">
        <f t="array" ref="J353">IFERROR(INDEX('Retirement Calculator'!K:K,MATCH('Lorri 401b'!N353,'Retirement Calculator'!A:A,0),0),0)</f>
        <v>20282.026119384056</v>
      </c>
      <c r="K353" s="455">
        <f t="shared" ca="1" si="27"/>
        <v>12049.858552677617</v>
      </c>
      <c r="L353" s="455">
        <f t="shared" ca="1" si="28"/>
        <v>2904015.9111953056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2904015.9111953056</v>
      </c>
      <c r="J354" s="455">
        <f t="array" ref="J354">IFERROR(INDEX('Retirement Calculator'!K:K,MATCH('Lorri 401b'!N354,'Retirement Calculator'!A:A,0),0),0)</f>
        <v>20282.026119384056</v>
      </c>
      <c r="K354" s="455">
        <f t="shared" ca="1" si="27"/>
        <v>12015.557854483006</v>
      </c>
      <c r="L354" s="455">
        <f t="shared" ca="1" si="28"/>
        <v>2895749.4429304046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2895749.4429304046</v>
      </c>
      <c r="J355" s="455">
        <f t="array" ref="J355">IFERROR(INDEX('Retirement Calculator'!K:K,MATCH('Lorri 401b'!N355,'Retirement Calculator'!A:A,0),0),0)</f>
        <v>20282.026119384056</v>
      </c>
      <c r="K355" s="455">
        <f t="shared" ca="1" si="27"/>
        <v>11981.114236712585</v>
      </c>
      <c r="L355" s="455">
        <f t="shared" ca="1" si="28"/>
        <v>2887448.531047733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2887448.531047733</v>
      </c>
      <c r="J356" s="455">
        <f t="array" ref="J356">IFERROR(INDEX('Retirement Calculator'!K:K,MATCH('Lorri 401b'!N356,'Retirement Calculator'!A:A,0),0),0)</f>
        <v>20282.026119384056</v>
      </c>
      <c r="K356" s="455">
        <f t="shared" ca="1" si="27"/>
        <v>11946.52710386812</v>
      </c>
      <c r="L356" s="455">
        <f t="shared" ca="1" si="28"/>
        <v>2879113.0320322174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2879113.0320322174</v>
      </c>
      <c r="J357" s="455">
        <f t="array" ref="J357">IFERROR(INDEX('Retirement Calculator'!K:K,MATCH('Lorri 401b'!N357,'Retirement Calculator'!A:A,0),0),0)</f>
        <v>20282.026119384056</v>
      </c>
      <c r="K357" s="455">
        <f t="shared" ca="1" si="27"/>
        <v>11911.795857970139</v>
      </c>
      <c r="L357" s="455">
        <f t="shared" ca="1" si="28"/>
        <v>2870742.8017708035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2870742.8017708035</v>
      </c>
      <c r="J358" s="455">
        <f t="array" ref="J358">IFERROR(INDEX('Retirement Calculator'!K:K,MATCH('Lorri 401b'!N358,'Retirement Calculator'!A:A,0),0),0)</f>
        <v>20282.026119384056</v>
      </c>
      <c r="K358" s="455">
        <f t="shared" ca="1" si="27"/>
        <v>11876.919898547581</v>
      </c>
      <c r="L358" s="455">
        <f t="shared" ca="1" si="28"/>
        <v>2862337.6955499672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2862337.6955499672</v>
      </c>
      <c r="J359" s="455">
        <f t="array" ref="J359">IFERROR(INDEX('Retirement Calculator'!K:K,MATCH('Lorri 401b'!N359,'Retirement Calculator'!A:A,0),0),0)</f>
        <v>20282.026119384056</v>
      </c>
      <c r="K359" s="455">
        <f t="shared" ca="1" si="27"/>
        <v>11841.89862262743</v>
      </c>
      <c r="L359" s="455">
        <f t="shared" ca="1" si="28"/>
        <v>2853897.5680532106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2853897.5680532106</v>
      </c>
      <c r="J360" s="455">
        <f t="array" ref="J360">IFERROR(INDEX('Retirement Calculator'!K:K,MATCH('Lorri 401b'!N360,'Retirement Calculator'!A:A,0),0),0)</f>
        <v>20282.026119384056</v>
      </c>
      <c r="K360" s="455">
        <f t="shared" ca="1" si="27"/>
        <v>11806.731424724278</v>
      </c>
      <c r="L360" s="455">
        <f t="shared" ca="1" si="28"/>
        <v>2845422.2733585509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2845422.2733585509</v>
      </c>
      <c r="J361" s="455">
        <f t="array" ref="J361">IFERROR(INDEX('Retirement Calculator'!K:K,MATCH('Lorri 401b'!N361,'Retirement Calculator'!A:A,0),0),0)</f>
        <v>20282.026119384056</v>
      </c>
      <c r="K361" s="455">
        <f t="shared" ca="1" si="27"/>
        <v>11771.417696829862</v>
      </c>
      <c r="L361" s="455">
        <f t="shared" ca="1" si="28"/>
        <v>2836911.6649359968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2836911.6649359968</v>
      </c>
      <c r="J362" s="455">
        <f t="array" ref="J362">IFERROR(INDEX('Retirement Calculator'!K:K,MATCH('Lorri 401b'!N362,'Retirement Calculator'!A:A,0),0),0)</f>
        <v>20282.026119384056</v>
      </c>
      <c r="K362" s="455">
        <f t="shared" ca="1" si="27"/>
        <v>11735.956828402554</v>
      </c>
      <c r="L362" s="455">
        <f t="shared" ca="1" si="28"/>
        <v>2828365.5956450151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2828365.5956450151</v>
      </c>
      <c r="J363" s="455">
        <f t="array" ref="J363">IFERROR(INDEX('Retirement Calculator'!K:K,MATCH('Lorri 401b'!N363,'Retirement Calculator'!A:A,0),0),0)</f>
        <v>20282.026119384056</v>
      </c>
      <c r="K363" s="455">
        <f t="shared" ca="1" si="27"/>
        <v>11700.348206356797</v>
      </c>
      <c r="L363" s="455">
        <f t="shared" ca="1" si="28"/>
        <v>2819783.9177319878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2819783.9177319878</v>
      </c>
      <c r="J364" s="455">
        <f t="array" ref="J364">IFERROR(INDEX('Retirement Calculator'!K:K,MATCH('Lorri 401b'!N364,'Retirement Calculator'!A:A,0),0),0)</f>
        <v>20282.026119384056</v>
      </c>
      <c r="K364" s="455">
        <f t="shared" ca="1" si="27"/>
        <v>11664.591215052516</v>
      </c>
      <c r="L364" s="455">
        <f t="shared" ca="1" si="28"/>
        <v>2811166.4828276564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2811166.4828276564</v>
      </c>
      <c r="J365" s="455">
        <f t="array" ref="J365">IFERROR(INDEX('Retirement Calculator'!K:K,MATCH('Lorri 401b'!N365,'Retirement Calculator'!A:A,0),0),0)</f>
        <v>20282.026119384056</v>
      </c>
      <c r="K365" s="455">
        <f t="shared" ca="1" si="27"/>
        <v>11628.685236284469</v>
      </c>
      <c r="L365" s="455">
        <f t="shared" ca="1" si="28"/>
        <v>2802513.141944557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2802513.141944557</v>
      </c>
      <c r="J366" s="455">
        <f t="array" ref="J366">IFERROR(INDEX('Retirement Calculator'!K:K,MATCH('Lorri 401b'!N366,'Retirement Calculator'!A:A,0),0),0)</f>
        <v>20282.026119384056</v>
      </c>
      <c r="K366" s="455">
        <f t="shared" ca="1" si="27"/>
        <v>11592.629649271554</v>
      </c>
      <c r="L366" s="455">
        <f t="shared" ca="1" si="28"/>
        <v>2793823.7454744447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2793823.7454744447</v>
      </c>
      <c r="J367" s="455">
        <f t="array" ref="J367">IFERROR(INDEX('Retirement Calculator'!K:K,MATCH('Lorri 401b'!N367,'Retirement Calculator'!A:A,0),0),0)</f>
        <v>20282.026119384056</v>
      </c>
      <c r="K367" s="455">
        <f t="shared" ca="1" si="27"/>
        <v>11556.423830646087</v>
      </c>
      <c r="L367" s="455">
        <f t="shared" ca="1" si="28"/>
        <v>2785098.1431857068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2785098.1431857068</v>
      </c>
      <c r="J368" s="455">
        <f t="array" ref="J368">IFERROR(INDEX('Retirement Calculator'!K:K,MATCH('Lorri 401b'!N368,'Retirement Calculator'!A:A,0),0),0)</f>
        <v>20282.026119384056</v>
      </c>
      <c r="K368" s="455">
        <f t="shared" ca="1" si="27"/>
        <v>11520.067154443012</v>
      </c>
      <c r="L368" s="455">
        <f t="shared" ca="1" si="28"/>
        <v>2776336.1842207657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2776336.1842207657</v>
      </c>
      <c r="J369" s="455">
        <f t="array" ref="J369">IFERROR(INDEX('Retirement Calculator'!K:K,MATCH('Lorri 401b'!N369,'Retirement Calculator'!A:A,0),0),0)</f>
        <v>20282.026119384056</v>
      </c>
      <c r="K369" s="455">
        <f t="shared" ca="1" si="27"/>
        <v>11483.558992089091</v>
      </c>
      <c r="L369" s="455">
        <f t="shared" ca="1" si="28"/>
        <v>2767537.717093471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2767537.717093471</v>
      </c>
      <c r="J370" s="455">
        <f t="array" ref="J370">IFERROR(INDEX('Retirement Calculator'!K:K,MATCH('Lorri 401b'!N370,'Retirement Calculator'!A:A,0),0),0)</f>
        <v>20282.026119384056</v>
      </c>
      <c r="K370" s="455">
        <f t="shared" ca="1" si="27"/>
        <v>11446.898712392029</v>
      </c>
      <c r="L370" s="455">
        <f t="shared" ca="1" si="28"/>
        <v>2758702.589686479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2758702.589686479</v>
      </c>
      <c r="J371" s="455">
        <f t="array" ref="J371">IFERROR(INDEX('Retirement Calculator'!K:K,MATCH('Lorri 401b'!N371,'Retirement Calculator'!A:A,0),0),0)</f>
        <v>20282.026119384056</v>
      </c>
      <c r="K371" s="455">
        <f t="shared" ca="1" si="27"/>
        <v>11410.085681529563</v>
      </c>
      <c r="L371" s="455">
        <f t="shared" ca="1" si="28"/>
        <v>2749830.6492486247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2749830.6492486247</v>
      </c>
      <c r="J372" s="455">
        <f t="array" ref="J372">IFERROR(INDEX('Retirement Calculator'!K:K,MATCH('Lorri 401b'!N372,'Retirement Calculator'!A:A,0),0),0)</f>
        <v>20282.026119384056</v>
      </c>
      <c r="K372" s="455">
        <f t="shared" ca="1" si="27"/>
        <v>11373.119263038503</v>
      </c>
      <c r="L372" s="455">
        <f t="shared" ca="1" si="28"/>
        <v>2740921.7423922792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2740921.7423922792</v>
      </c>
      <c r="J373" s="455">
        <f t="array" ref="J373">IFERROR(INDEX('Retirement Calculator'!K:K,MATCH('Lorri 401b'!N373,'Retirement Calculator'!A:A,0),0),0)</f>
        <v>20282.026119384056</v>
      </c>
      <c r="K373" s="455">
        <f t="shared" ca="1" si="27"/>
        <v>11335.998817803729</v>
      </c>
      <c r="L373" s="455">
        <f t="shared" ca="1" si="28"/>
        <v>2731975.715090699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2731975.715090699</v>
      </c>
      <c r="J374" s="455">
        <f t="array" ref="J374">IFERROR(INDEX('Retirement Calculator'!K:K,MATCH('Lorri 401b'!N374,'Retirement Calculator'!A:A,0),0),0)</f>
        <v>20282.026119384056</v>
      </c>
      <c r="K374" s="455">
        <f t="shared" ca="1" si="27"/>
        <v>11298.723704047146</v>
      </c>
      <c r="L374" s="455">
        <f t="shared" ca="1" si="28"/>
        <v>2722992.4126753621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2722992.4126753621</v>
      </c>
      <c r="J375" s="455">
        <f t="array" ref="J375">IFERROR(INDEX('Retirement Calculator'!K:K,MATCH('Lorri 401b'!N375,'Retirement Calculator'!A:A,0),0),0)</f>
        <v>20282.026119384056</v>
      </c>
      <c r="K375" s="455">
        <f t="shared" ca="1" si="27"/>
        <v>11261.293277316576</v>
      </c>
      <c r="L375" s="455">
        <f t="shared" ca="1" si="28"/>
        <v>2713971.6798332948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2713971.6798332948</v>
      </c>
      <c r="J376" s="455">
        <f t="array" ref="J376">IFERROR(INDEX('Retirement Calculator'!K:K,MATCH('Lorri 401b'!N376,'Retirement Calculator'!A:A,0),0),0)</f>
        <v>20282.026119384056</v>
      </c>
      <c r="K376" s="455">
        <f t="shared" ca="1" si="27"/>
        <v>11223.706890474628</v>
      </c>
      <c r="L376" s="455">
        <f t="shared" ca="1" si="28"/>
        <v>2704913.3606043854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2704913.3606043854</v>
      </c>
      <c r="J377" s="455">
        <f t="array" ref="J377">IFERROR(INDEX('Retirement Calculator'!K:K,MATCH('Lorri 401b'!N377,'Retirement Calculator'!A:A,0),0),0)</f>
        <v>20282.026119384056</v>
      </c>
      <c r="K377" s="455">
        <f t="shared" ca="1" si="27"/>
        <v>11185.963893687505</v>
      </c>
      <c r="L377" s="455">
        <f t="shared" ca="1" si="28"/>
        <v>2695817.2983786887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2695817.2983786887</v>
      </c>
      <c r="J378" s="455">
        <f t="array" ref="J378">IFERROR(INDEX('Retirement Calculator'!K:K,MATCH('Lorri 401b'!N378,'Retirement Calculator'!A:A,0),0),0)</f>
        <v>20282.026119384056</v>
      </c>
      <c r="K378" s="455">
        <f t="shared" ca="1" si="27"/>
        <v>11148.063634413769</v>
      </c>
      <c r="L378" s="455">
        <f t="shared" ca="1" si="28"/>
        <v>2686683.3358937185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2686683.3358937185</v>
      </c>
      <c r="J379" s="455">
        <f t="array" ref="J379">IFERROR(INDEX('Retirement Calculator'!K:K,MATCH('Lorri 401b'!N379,'Retirement Calculator'!A:A,0),0),0)</f>
        <v>20282.026119384056</v>
      </c>
      <c r="K379" s="455">
        <f t="shared" ca="1" si="27"/>
        <v>11110.005457393061</v>
      </c>
      <c r="L379" s="455">
        <f t="shared" ca="1" si="28"/>
        <v>2677511.3152317274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2677511.3152317274</v>
      </c>
      <c r="J380" s="455">
        <f t="array" ref="J380">IFERROR(INDEX('Retirement Calculator'!K:K,MATCH('Lorri 401b'!N380,'Retirement Calculator'!A:A,0),0),0)</f>
        <v>20282.026119384056</v>
      </c>
      <c r="K380" s="455">
        <f t="shared" ca="1" si="27"/>
        <v>11071.788704634764</v>
      </c>
      <c r="L380" s="455">
        <f t="shared" ca="1" si="28"/>
        <v>2668301.0778169781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2668301.0778169781</v>
      </c>
      <c r="J381" s="455">
        <f t="array" ref="J381">IFERROR(INDEX('Retirement Calculator'!K:K,MATCH('Lorri 401b'!N381,'Retirement Calculator'!A:A,0),0),0)</f>
        <v>20282.026119384056</v>
      </c>
      <c r="K381" s="455">
        <f t="shared" ca="1" si="27"/>
        <v>11033.412715406643</v>
      </c>
      <c r="L381" s="455">
        <f t="shared" ca="1" si="28"/>
        <v>2659052.4644130007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2659052.4644130007</v>
      </c>
      <c r="J382" s="455">
        <f t="array" ref="J382">IFERROR(INDEX('Retirement Calculator'!K:K,MATCH('Lorri 401b'!N382,'Retirement Calculator'!A:A,0),0),0)</f>
        <v>20282.026119384056</v>
      </c>
      <c r="K382" s="455">
        <f t="shared" ca="1" si="27"/>
        <v>10994.876826223403</v>
      </c>
      <c r="L382" s="455">
        <f t="shared" ca="1" si="28"/>
        <v>2649765.3151198402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2649765.3151198402</v>
      </c>
      <c r="J383" s="455">
        <f t="array" ref="J383">IFERROR(INDEX('Retirement Calculator'!K:K,MATCH('Lorri 401b'!N383,'Retirement Calculator'!A:A,0),0),0)</f>
        <v>20282.026119384056</v>
      </c>
      <c r="K383" s="455">
        <f t="shared" ca="1" si="27"/>
        <v>10956.180370835234</v>
      </c>
      <c r="L383" s="455">
        <f t="shared" ca="1" si="28"/>
        <v>2640439.4693712913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2640439.4693712913</v>
      </c>
      <c r="J384" s="455">
        <f t="array" ref="J384">IFERROR(INDEX('Retirement Calculator'!K:K,MATCH('Lorri 401b'!N384,'Retirement Calculator'!A:A,0),0),0)</f>
        <v>20282.026119384056</v>
      </c>
      <c r="K384" s="455">
        <f t="shared" ca="1" si="27"/>
        <v>10917.322680216281</v>
      </c>
      <c r="L384" s="455">
        <f t="shared" ca="1" si="28"/>
        <v>2631074.7659321236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2631074.7659321236</v>
      </c>
      <c r="J385" s="455">
        <f t="array" ref="J385">IFERROR(INDEX('Retirement Calculator'!K:K,MATCH('Lorri 401b'!N385,'Retirement Calculator'!A:A,0),0),0)</f>
        <v>20282.026119384056</v>
      </c>
      <c r="K385" s="455">
        <f t="shared" ca="1" si="27"/>
        <v>10878.303082553082</v>
      </c>
      <c r="L385" s="455">
        <f t="shared" ca="1" si="28"/>
        <v>2621671.0428952929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2621671.0428952929</v>
      </c>
      <c r="J386" s="455">
        <f t="array" ref="J386">IFERROR(INDEX('Retirement Calculator'!K:K,MATCH('Lorri 401b'!N386,'Retirement Calculator'!A:A,0),0),0)</f>
        <v>20282.026119384056</v>
      </c>
      <c r="K386" s="455">
        <f t="shared" ca="1" si="27"/>
        <v>10839.120903232953</v>
      </c>
      <c r="L386" s="455">
        <f t="shared" ca="1" si="28"/>
        <v>2612228.1376791419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2612228.1376791419</v>
      </c>
      <c r="J387" s="455">
        <f t="array" ref="J387">IFERROR(INDEX('Retirement Calculator'!K:K,MATCH('Lorri 401b'!N387,'Retirement Calculator'!A:A,0),0),0)</f>
        <v>20282.026119384056</v>
      </c>
      <c r="K387" s="455">
        <f t="shared" ca="1" si="27"/>
        <v>10799.775464832324</v>
      </c>
      <c r="L387" s="455">
        <f t="shared" ca="1" si="28"/>
        <v>2602745.8870245903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2602745.8870245903</v>
      </c>
      <c r="J388" s="455">
        <f t="array" ref="J388">IFERROR(INDEX('Retirement Calculator'!K:K,MATCH('Lorri 401b'!N388,'Retirement Calculator'!A:A,0),0),0)</f>
        <v>20282.026119384056</v>
      </c>
      <c r="K388" s="455">
        <f t="shared" ca="1" si="27"/>
        <v>10760.266087105027</v>
      </c>
      <c r="L388" s="455">
        <f t="shared" ca="1" si="28"/>
        <v>2593224.1269923113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2593224.1269923113</v>
      </c>
      <c r="J389" s="455">
        <f t="array" ref="J389">IFERROR(INDEX('Retirement Calculator'!K:K,MATCH('Lorri 401b'!N389,'Retirement Calculator'!A:A,0),0),0)</f>
        <v>20282.026119384056</v>
      </c>
      <c r="K389" s="455">
        <f t="shared" ca="1" si="27"/>
        <v>10720.59208697053</v>
      </c>
      <c r="L389" s="455">
        <f t="shared" ca="1" si="28"/>
        <v>2583662.6929598977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2583662.6929598977</v>
      </c>
      <c r="J390" s="455">
        <f t="array" ref="J390">IFERROR(INDEX('Retirement Calculator'!K:K,MATCH('Lorri 401b'!N390,'Retirement Calculator'!A:A,0),0),0)</f>
        <v>20282.026119384056</v>
      </c>
      <c r="K390" s="455">
        <f t="shared" ca="1" si="27"/>
        <v>10680.752778502141</v>
      </c>
      <c r="L390" s="455">
        <f t="shared" ca="1" si="28"/>
        <v>2574061.4196190159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2574061.4196190159</v>
      </c>
      <c r="J391" s="455">
        <f t="array" ref="J391">IFERROR(INDEX('Retirement Calculator'!K:K,MATCH('Lorri 401b'!N391,'Retirement Calculator'!A:A,0),0),0)</f>
        <v>20282.026119384056</v>
      </c>
      <c r="K391" s="455">
        <f t="shared" ca="1" si="27"/>
        <v>10640.747472915133</v>
      </c>
      <c r="L391" s="455">
        <f t="shared" ca="1" si="28"/>
        <v>2564420.1409725472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2564420.1409725472</v>
      </c>
      <c r="J392" s="455">
        <f t="array" ref="J392">IFERROR(INDEX('Retirement Calculator'!K:K,MATCH('Lorri 401b'!N392,'Retirement Calculator'!A:A,0),0),0)</f>
        <v>20282.026119384056</v>
      </c>
      <c r="K392" s="455">
        <f t="shared" ca="1" si="27"/>
        <v>10600.575478554847</v>
      </c>
      <c r="L392" s="455">
        <f t="shared" ca="1" si="28"/>
        <v>2554738.690331718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2554738.690331718</v>
      </c>
      <c r="J393" s="455">
        <f t="array" ref="J393">IFERROR(INDEX('Retirement Calculator'!K:K,MATCH('Lorri 401b'!N393,'Retirement Calculator'!A:A,0),0),0)</f>
        <v>20282.026119384056</v>
      </c>
      <c r="K393" s="455">
        <f t="shared" ca="1" si="27"/>
        <v>10560.236100884726</v>
      </c>
      <c r="L393" s="455">
        <f t="shared" ca="1" si="28"/>
        <v>2545016.9003132186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2545016.9003132186</v>
      </c>
      <c r="J394" s="455">
        <f t="array" ref="J394">IFERROR(INDEX('Retirement Calculator'!K:K,MATCH('Lorri 401b'!N394,'Retirement Calculator'!A:A,0),0),0)</f>
        <v>20282.026119384056</v>
      </c>
      <c r="K394" s="455">
        <f t="shared" ca="1" si="27"/>
        <v>10519.728642474311</v>
      </c>
      <c r="L394" s="455">
        <f t="shared" ca="1" si="28"/>
        <v>2535254.602836309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2535254.602836309</v>
      </c>
      <c r="J395" s="455">
        <f t="array" ref="J395">IFERROR(INDEX('Retirement Calculator'!K:K,MATCH('Lorri 401b'!N395,'Retirement Calculator'!A:A,0),0),0)</f>
        <v>20282.026119384056</v>
      </c>
      <c r="K395" s="455">
        <f t="shared" ca="1" si="27"/>
        <v>10479.052402987187</v>
      </c>
      <c r="L395" s="455">
        <f t="shared" ca="1" si="28"/>
        <v>2525451.6291199122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2525451.6291199122</v>
      </c>
      <c r="J396" s="455">
        <f t="array" ref="J396">IFERROR(INDEX('Retirement Calculator'!K:K,MATCH('Lorri 401b'!N396,'Retirement Calculator'!A:A,0),0),0)</f>
        <v>20282.026119384056</v>
      </c>
      <c r="K396" s="455">
        <f t="shared" ca="1" si="27"/>
        <v>10438.206679168867</v>
      </c>
      <c r="L396" s="455">
        <f t="shared" ca="1" si="28"/>
        <v>2515607.8096796973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2515607.8096796973</v>
      </c>
      <c r="J397" s="455">
        <f t="array" ref="J397">IFERROR(INDEX('Retirement Calculator'!K:K,MATCH('Lorri 401b'!N397,'Retirement Calculator'!A:A,0),0),0)</f>
        <v>20282.026119384056</v>
      </c>
      <c r="K397" s="455">
        <f t="shared" ca="1" si="27"/>
        <v>10397.190764834639</v>
      </c>
      <c r="L397" s="455">
        <f t="shared" ca="1" si="28"/>
        <v>2505722.9743251479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2505722.9743251479</v>
      </c>
      <c r="J398" s="455">
        <f t="array" ref="J398">IFERROR(INDEX('Retirement Calculator'!K:K,MATCH('Lorri 401b'!N398,'Retirement Calculator'!A:A,0),0),0)</f>
        <v>20282.026119384056</v>
      </c>
      <c r="K398" s="455">
        <f t="shared" ca="1" si="27"/>
        <v>10356.00395085735</v>
      </c>
      <c r="L398" s="455">
        <f t="shared" ca="1" si="28"/>
        <v>2495796.9521566215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2495796.9521566215</v>
      </c>
      <c r="J399" s="455">
        <f t="array" ref="J399">IFERROR(INDEX('Retirement Calculator'!K:K,MATCH('Lorri 401b'!N399,'Retirement Calculator'!A:A,0),0),0)</f>
        <v>20282.026119384056</v>
      </c>
      <c r="K399" s="455">
        <f t="shared" ca="1" si="27"/>
        <v>10314.645525155156</v>
      </c>
      <c r="L399" s="455">
        <f t="shared" ca="1" si="28"/>
        <v>2485829.5715623926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2485829.5715623926</v>
      </c>
      <c r="J400" s="455">
        <f t="array" ref="J400">IFERROR(INDEX('Retirement Calculator'!K:K,MATCH('Lorri 401b'!N400,'Retirement Calculator'!A:A,0),0),0)</f>
        <v>20282.026119384056</v>
      </c>
      <c r="K400" s="455">
        <f t="shared" ca="1" si="27"/>
        <v>10273.114772679202</v>
      </c>
      <c r="L400" s="455">
        <f t="shared" ca="1" si="28"/>
        <v>2475820.6602156879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2475820.6602156879</v>
      </c>
      <c r="J401" s="455">
        <f t="array" ref="J401">IFERROR(INDEX('Retirement Calculator'!K:K,MATCH('Lorri 401b'!N401,'Retirement Calculator'!A:A,0),0),0)</f>
        <v>20282.026119384056</v>
      </c>
      <c r="K401" s="455">
        <f t="shared" ca="1" si="27"/>
        <v>10231.410975401266</v>
      </c>
      <c r="L401" s="455">
        <f t="shared" ca="1" si="28"/>
        <v>2465770.0450717052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2465770.0450717052</v>
      </c>
      <c r="J402" s="455">
        <f t="array" ref="J402">IFERROR(INDEX('Retirement Calculator'!K:K,MATCH('Lorri 401b'!N402,'Retirement Calculator'!A:A,0),0),0)</f>
        <v>20282.026119384056</v>
      </c>
      <c r="K402" s="455">
        <f t="shared" ca="1" si="27"/>
        <v>10189.533412301338</v>
      </c>
      <c r="L402" s="455">
        <f t="shared" ca="1" si="28"/>
        <v>2455677.5523646227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2455677.5523646227</v>
      </c>
      <c r="J403" s="455">
        <f t="array" ref="J403">IFERROR(INDEX('Retirement Calculator'!K:K,MATCH('Lorri 401b'!N403,'Retirement Calculator'!A:A,0),0),0)</f>
        <v>20282.026119384056</v>
      </c>
      <c r="K403" s="455">
        <f t="shared" ca="1" si="27"/>
        <v>10147.481359355161</v>
      </c>
      <c r="L403" s="455">
        <f t="shared" ca="1" si="28"/>
        <v>2445543.0076045939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2445543.0076045939</v>
      </c>
      <c r="J404" s="455">
        <f t="array" ref="J404">IFERROR(INDEX('Retirement Calculator'!K:K,MATCH('Lorri 401b'!N404,'Retirement Calculator'!A:A,0),0),0)</f>
        <v>20282.026119384056</v>
      </c>
      <c r="K404" s="455">
        <f t="shared" ca="1" si="27"/>
        <v>10105.254089521708</v>
      </c>
      <c r="L404" s="455">
        <f t="shared" ca="1" si="28"/>
        <v>2435366.2355747316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2435366.2355747316</v>
      </c>
      <c r="J405" s="455">
        <f t="array" ref="J405">IFERROR(INDEX('Retirement Calculator'!K:K,MATCH('Lorri 401b'!N405,'Retirement Calculator'!A:A,0),0),0)</f>
        <v>20282.026119384056</v>
      </c>
      <c r="K405" s="455">
        <f t="shared" ca="1" si="27"/>
        <v>10062.850872730614</v>
      </c>
      <c r="L405" s="455">
        <f t="shared" ca="1" si="28"/>
        <v>2425147.0603280785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2425147.0603280785</v>
      </c>
      <c r="J406" s="455">
        <f t="array" ref="J406">IFERROR(INDEX('Retirement Calculator'!K:K,MATCH('Lorri 401b'!N406,'Retirement Calculator'!A:A,0),0),0)</f>
        <v>20282.026119384056</v>
      </c>
      <c r="K406" s="455">
        <f t="shared" ca="1" si="27"/>
        <v>10020.27097586956</v>
      </c>
      <c r="L406" s="455">
        <f t="shared" ca="1" si="28"/>
        <v>2414885.3051845641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2414885.3051845641</v>
      </c>
      <c r="J407" s="455">
        <f t="array" ref="J407">IFERROR(INDEX('Retirement Calculator'!K:K,MATCH('Lorri 401b'!N407,'Retirement Calculator'!A:A,0),0),0)</f>
        <v>20282.026119384056</v>
      </c>
      <c r="K407" s="455">
        <f t="shared" ca="1" si="27"/>
        <v>9977.5136627715838</v>
      </c>
      <c r="L407" s="455">
        <f t="shared" ca="1" si="28"/>
        <v>2404580.7927279519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2404580.7927279519</v>
      </c>
      <c r="J408" s="455">
        <f t="array" ref="J408">IFERROR(INDEX('Retirement Calculator'!K:K,MATCH('Lorri 401b'!N408,'Retirement Calculator'!A:A,0),0),0)</f>
        <v>20282.026119384056</v>
      </c>
      <c r="K408" s="455">
        <f t="shared" ca="1" si="27"/>
        <v>9934.5781942023659</v>
      </c>
      <c r="L408" s="455">
        <f t="shared" ca="1" si="28"/>
        <v>2394233.3448027703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2394233.3448027703</v>
      </c>
      <c r="J409" s="455">
        <f t="array" ref="J409">IFERROR(INDEX('Retirement Calculator'!K:K,MATCH('Lorri 401b'!N409,'Retirement Calculator'!A:A,0),0),0)</f>
        <v>20282.026119384056</v>
      </c>
      <c r="K409" s="455">
        <f t="shared" ca="1" si="27"/>
        <v>9891.4638278474431</v>
      </c>
      <c r="L409" s="455">
        <f t="shared" ca="1" si="28"/>
        <v>2383842.7825112338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2383842.7825112338</v>
      </c>
      <c r="J410" s="455">
        <f t="array" ref="J410">IFERROR(INDEX('Retirement Calculator'!K:K,MATCH('Lorri 401b'!N410,'Retirement Calculator'!A:A,0),0),0)</f>
        <v>20282.026119384056</v>
      </c>
      <c r="K410" s="455">
        <f t="shared" ca="1" si="27"/>
        <v>9848.169818299375</v>
      </c>
      <c r="L410" s="455">
        <f t="shared" ca="1" si="28"/>
        <v>2373408.9262101492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2373408.9262101492</v>
      </c>
      <c r="J411" s="455">
        <f t="array" ref="J411">IFERROR(INDEX('Retirement Calculator'!K:K,MATCH('Lorri 401b'!N411,'Retirement Calculator'!A:A,0),0),0)</f>
        <v>20282.026119384056</v>
      </c>
      <c r="K411" s="455">
        <f t="shared" ca="1" si="27"/>
        <v>9804.6954170448553</v>
      </c>
      <c r="L411" s="455">
        <f t="shared" ca="1" si="28"/>
        <v>2362931.5955078099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2362931.5955078099</v>
      </c>
      <c r="J412" s="455">
        <f t="array" ref="J412">IFERROR(INDEX('Retirement Calculator'!K:K,MATCH('Lorri 401b'!N412,'Retirement Calculator'!A:A,0),0),0)</f>
        <v>20282.026119384056</v>
      </c>
      <c r="K412" s="455">
        <f t="shared" ca="1" si="27"/>
        <v>9761.0398724517745</v>
      </c>
      <c r="L412" s="455">
        <f t="shared" ca="1" si="28"/>
        <v>2352410.6092608776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2352410.6092608776</v>
      </c>
      <c r="J413" s="455">
        <f t="array" ref="J413">IFERROR(INDEX('Retirement Calculator'!K:K,MATCH('Lorri 401b'!N413,'Retirement Calculator'!A:A,0),0),0)</f>
        <v>20282.026119384056</v>
      </c>
      <c r="K413" s="455">
        <f t="shared" ca="1" si="27"/>
        <v>9717.2024297562239</v>
      </c>
      <c r="L413" s="455">
        <f t="shared" ca="1" si="28"/>
        <v>2341845.7855712497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2341845.7855712497</v>
      </c>
      <c r="J414" s="455">
        <f t="array" ref="J414">IFERROR(INDEX('Retirement Calculator'!K:K,MATCH('Lorri 401b'!N414,'Retirement Calculator'!A:A,0),0),0)</f>
        <v>20282.026119384056</v>
      </c>
      <c r="K414" s="455">
        <f t="shared" ca="1" si="27"/>
        <v>9673.1823310494401</v>
      </c>
      <c r="L414" s="455">
        <f t="shared" ca="1" si="28"/>
        <v>2331236.941782915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2331236.941782915</v>
      </c>
      <c r="J415" s="455">
        <f t="array" ref="J415">IFERROR(INDEX('Retirement Calculator'!K:K,MATCH('Lorri 401b'!N415,'Retirement Calculator'!A:A,0),0),0)</f>
        <v>20282.026119384056</v>
      </c>
      <c r="K415" s="455">
        <f t="shared" ca="1" si="27"/>
        <v>9628.9788152647125</v>
      </c>
      <c r="L415" s="455">
        <f t="shared" ca="1" si="28"/>
        <v>2320583.8944787956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2320583.8944787956</v>
      </c>
      <c r="J416" s="455">
        <f t="array" ref="J416">IFERROR(INDEX('Retirement Calculator'!K:K,MATCH('Lorri 401b'!N416,'Retirement Calculator'!A:A,0),0),0)</f>
        <v>20282.026119384056</v>
      </c>
      <c r="K416" s="455">
        <f t="shared" ca="1" si="27"/>
        <v>9584.591118164215</v>
      </c>
      <c r="L416" s="455">
        <f t="shared" ca="1" si="28"/>
        <v>2309886.459477576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2309886.459477576</v>
      </c>
      <c r="J417" s="455">
        <f t="array" ref="J417">IFERROR(INDEX('Retirement Calculator'!K:K,MATCH('Lorri 401b'!N417,'Retirement Calculator'!A:A,0),0),0)</f>
        <v>20282.026119384056</v>
      </c>
      <c r="K417" s="455">
        <f t="shared" ca="1" si="27"/>
        <v>9540.0184723257989</v>
      </c>
      <c r="L417" s="455">
        <f t="shared" ca="1" si="28"/>
        <v>2299144.451830518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2299144.451830518</v>
      </c>
      <c r="J418" s="455">
        <f t="array" ref="J418">IFERROR(INDEX('Retirement Calculator'!K:K,MATCH('Lorri 401b'!N418,'Retirement Calculator'!A:A,0),0),0)</f>
        <v>20282.026119384056</v>
      </c>
      <c r="K418" s="455">
        <f t="shared" ca="1" si="27"/>
        <v>9495.2601071297249</v>
      </c>
      <c r="L418" s="455">
        <f t="shared" ca="1" si="28"/>
        <v>2288357.6858182638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2288357.6858182638</v>
      </c>
      <c r="J419" s="455">
        <f t="array" ref="J419">IFERROR(INDEX('Retirement Calculator'!K:K,MATCH('Lorri 401b'!N419,'Retirement Calculator'!A:A,0),0),0)</f>
        <v>20282.026119384056</v>
      </c>
      <c r="K419" s="455">
        <f t="shared" ca="1" si="27"/>
        <v>9450.3152487453317</v>
      </c>
      <c r="L419" s="455">
        <f t="shared" ca="1" si="28"/>
        <v>2277525.9749476253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2277525.9749476253</v>
      </c>
      <c r="J420" s="455">
        <f t="array" ref="J420">IFERROR(INDEX('Retirement Calculator'!K:K,MATCH('Lorri 401b'!N420,'Retirement Calculator'!A:A,0),0),0)</f>
        <v>20282.026119384056</v>
      </c>
      <c r="K420" s="455">
        <f t="shared" ca="1" si="27"/>
        <v>9405.1831201176719</v>
      </c>
      <c r="L420" s="455">
        <f t="shared" ca="1" si="28"/>
        <v>2266649.1319483588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2266649.1319483588</v>
      </c>
      <c r="J421" s="455">
        <f t="array" ref="J421">IFERROR(INDEX('Retirement Calculator'!K:K,MATCH('Lorri 401b'!N421,'Retirement Calculator'!A:A,0),0),0)</f>
        <v>20282.026119384056</v>
      </c>
      <c r="K421" s="455">
        <f t="shared" ca="1" si="27"/>
        <v>9359.8629409540627</v>
      </c>
      <c r="L421" s="455">
        <f t="shared" ca="1" si="28"/>
        <v>2255726.9687699289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2255726.9687699289</v>
      </c>
      <c r="J422" s="455">
        <f t="array" ref="J422">IFERROR(INDEX('Retirement Calculator'!K:K,MATCH('Lorri 401b'!N422,'Retirement Calculator'!A:A,0),0),0)</f>
        <v>20282.026119384056</v>
      </c>
      <c r="K422" s="455">
        <f t="shared" ca="1" si="27"/>
        <v>9314.3539277106029</v>
      </c>
      <c r="L422" s="455">
        <f t="shared" ca="1" si="28"/>
        <v>2244759.2965782555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2244759.2965782555</v>
      </c>
      <c r="J423" s="455">
        <f t="array" ref="J423">IFERROR(INDEX('Retirement Calculator'!K:K,MATCH('Lorri 401b'!N423,'Retirement Calculator'!A:A,0),0),0)</f>
        <v>20282.026119384056</v>
      </c>
      <c r="K423" s="455">
        <f t="shared" ca="1" si="27"/>
        <v>9268.6552935786312</v>
      </c>
      <c r="L423" s="455">
        <f t="shared" ca="1" si="28"/>
        <v>2233745.9257524502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2233745.9257524502</v>
      </c>
      <c r="J424" s="455">
        <f t="array" ref="J424">IFERROR(INDEX('Retirement Calculator'!K:K,MATCH('Lorri 401b'!N424,'Retirement Calculator'!A:A,0),0),0)</f>
        <v>20282.026119384056</v>
      </c>
      <c r="K424" s="455">
        <f t="shared" ca="1" si="27"/>
        <v>9222.7662484711091</v>
      </c>
      <c r="L424" s="455">
        <f t="shared" ca="1" si="28"/>
        <v>2222686.6658815374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2222686.6658815374</v>
      </c>
      <c r="J425" s="455">
        <f t="array" ref="J425">IFERROR(INDEX('Retirement Calculator'!K:K,MATCH('Lorri 401b'!N425,'Retirement Calculator'!A:A,0),0),0)</f>
        <v>20282.026119384056</v>
      </c>
      <c r="K425" s="455">
        <f t="shared" ca="1" si="27"/>
        <v>9176.6859990089724</v>
      </c>
      <c r="L425" s="455">
        <f t="shared" ca="1" si="28"/>
        <v>2211581.3257611622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2211581.3257611622</v>
      </c>
      <c r="J426" s="455">
        <f t="array" ref="J426">IFERROR(INDEX('Retirement Calculator'!K:K,MATCH('Lorri 401b'!N426,'Retirement Calculator'!A:A,0),0),0)</f>
        <v>20282.026119384056</v>
      </c>
      <c r="K426" s="455">
        <f t="shared" ca="1" si="27"/>
        <v>9130.4137485074098</v>
      </c>
      <c r="L426" s="455">
        <f t="shared" ca="1" si="28"/>
        <v>2200429.7133902856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2200429.7133902856</v>
      </c>
      <c r="J427" s="455">
        <f t="array" ref="J427">IFERROR(INDEX('Retirement Calculator'!K:K,MATCH('Lorri 401b'!N427,'Retirement Calculator'!A:A,0),0),0)</f>
        <v>20282.026119384056</v>
      </c>
      <c r="K427" s="455">
        <f t="shared" ca="1" si="27"/>
        <v>9083.9486969620903</v>
      </c>
      <c r="L427" s="455">
        <f t="shared" ca="1" si="28"/>
        <v>2189231.6359678637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2189231.6359678637</v>
      </c>
      <c r="J428" s="455">
        <f t="array" ref="J428">IFERROR(INDEX('Retirement Calculator'!K:K,MATCH('Lorri 401b'!N428,'Retirement Calculator'!A:A,0),0),0)</f>
        <v>20282.026119384056</v>
      </c>
      <c r="K428" s="455">
        <f t="shared" ca="1" si="27"/>
        <v>9037.2900410353323</v>
      </c>
      <c r="L428" s="455">
        <f t="shared" ca="1" si="28"/>
        <v>2177986.8998895152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2177986.8998895152</v>
      </c>
      <c r="J429" s="455">
        <f t="array" ref="J429">IFERROR(INDEX('Retirement Calculator'!K:K,MATCH('Lorri 401b'!N429,'Retirement Calculator'!A:A,0),0),0)</f>
        <v>20282.026119384056</v>
      </c>
      <c r="K429" s="455">
        <f t="shared" ca="1" si="27"/>
        <v>8990.4369740422135</v>
      </c>
      <c r="L429" s="455">
        <f t="shared" ca="1" si="28"/>
        <v>2166695.3107441734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2166695.3107441734</v>
      </c>
      <c r="J430" s="455">
        <f t="array" ref="J430">IFERROR(INDEX('Retirement Calculator'!K:K,MATCH('Lorri 401b'!N430,'Retirement Calculator'!A:A,0),0),0)</f>
        <v>20282.026119384056</v>
      </c>
      <c r="K430" s="455">
        <f t="shared" ca="1" si="27"/>
        <v>8943.388685936623</v>
      </c>
      <c r="L430" s="455">
        <f t="shared" ca="1" si="28"/>
        <v>2155356.6733107259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2155356.6733107259</v>
      </c>
      <c r="J431" s="455">
        <f t="array" ref="J431">IFERROR(INDEX('Retirement Calculator'!K:K,MATCH('Lorri 401b'!N431,'Retirement Calculator'!A:A,0),0),0)</f>
        <v>20282.026119384056</v>
      </c>
      <c r="K431" s="455">
        <f t="shared" ca="1" si="27"/>
        <v>8896.1443632972587</v>
      </c>
      <c r="L431" s="455">
        <f t="shared" ca="1" si="28"/>
        <v>2143970.7915546391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2143970.7915546391</v>
      </c>
      <c r="J432" s="455">
        <f t="array" ref="J432">IFERROR(INDEX('Retirement Calculator'!K:K,MATCH('Lorri 401b'!N432,'Retirement Calculator'!A:A,0),0),0)</f>
        <v>20282.026119384056</v>
      </c>
      <c r="K432" s="455">
        <f t="shared" ca="1" si="27"/>
        <v>8848.7031893135627</v>
      </c>
      <c r="L432" s="455">
        <f t="shared" ca="1" si="28"/>
        <v>2132537.4686245685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2132537.4686245685</v>
      </c>
      <c r="J433" s="455">
        <f t="array" ref="J433">IFERROR(INDEX('Retirement Calculator'!K:K,MATCH('Lorri 401b'!N433,'Retirement Calculator'!A:A,0),0),0)</f>
        <v>20282.026119384056</v>
      </c>
      <c r="K433" s="455">
        <f t="shared" ca="1" si="27"/>
        <v>8801.0643437716026</v>
      </c>
      <c r="L433" s="455">
        <f t="shared" ca="1" si="28"/>
        <v>2121056.506848956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2121056.506848956</v>
      </c>
      <c r="J434" s="455">
        <f t="array" ref="J434">IFERROR(INDEX('Retirement Calculator'!K:K,MATCH('Lorri 401b'!N434,'Retirement Calculator'!A:A,0),0),0)</f>
        <v>20282.026119384056</v>
      </c>
      <c r="K434" s="455">
        <f t="shared" ca="1" si="27"/>
        <v>8753.2270030398831</v>
      </c>
      <c r="L434" s="455">
        <f t="shared" ca="1" si="28"/>
        <v>2109527.7077326118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2109527.7077326118</v>
      </c>
      <c r="J435" s="455">
        <f t="array" ref="J435">IFERROR(INDEX('Retirement Calculator'!K:K,MATCH('Lorri 401b'!N435,'Retirement Calculator'!A:A,0),0),0)</f>
        <v>20282.026119384056</v>
      </c>
      <c r="K435" s="455">
        <f t="shared" ca="1" si="27"/>
        <v>8705.1903400551164</v>
      </c>
      <c r="L435" s="455">
        <f t="shared" ca="1" si="28"/>
        <v>2097950.871953283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2097950.871953283</v>
      </c>
      <c r="J436" s="455">
        <f t="array" ref="J436">IFERROR(INDEX('Retirement Calculator'!K:K,MATCH('Lorri 401b'!N436,'Retirement Calculator'!A:A,0),0),0)</f>
        <v>20282.026119384056</v>
      </c>
      <c r="K436" s="455">
        <f t="shared" ca="1" si="27"/>
        <v>8656.9535243079117</v>
      </c>
      <c r="L436" s="455">
        <f t="shared" ca="1" si="28"/>
        <v>2086325.7993582068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2086325.7993582068</v>
      </c>
      <c r="J437" s="455">
        <f t="array" ref="J437">IFERROR(INDEX('Retirement Calculator'!K:K,MATCH('Lorri 401b'!N437,'Retirement Calculator'!A:A,0),0),0)</f>
        <v>20282.026119384056</v>
      </c>
      <c r="K437" s="455">
        <f t="shared" ca="1" si="27"/>
        <v>8608.5157218284276</v>
      </c>
      <c r="L437" s="455">
        <f t="shared" ca="1" si="28"/>
        <v>2074652.2889606513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2074652.2889606513</v>
      </c>
      <c r="J438" s="455">
        <f t="array" ref="J438">IFERROR(INDEX('Retirement Calculator'!K:K,MATCH('Lorri 401b'!N438,'Retirement Calculator'!A:A,0),0),0)</f>
        <v>20282.026119384056</v>
      </c>
      <c r="K438" s="455">
        <f t="shared" ca="1" si="27"/>
        <v>8559.8760951719469</v>
      </c>
      <c r="L438" s="455">
        <f t="shared" ca="1" si="28"/>
        <v>2062930.1389364393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2062930.1389364393</v>
      </c>
      <c r="J439" s="455">
        <f t="array" ref="J439">IFERROR(INDEX('Retirement Calculator'!K:K,MATCH('Lorri 401b'!N439,'Retirement Calculator'!A:A,0),0),0)</f>
        <v>20282.026119384056</v>
      </c>
      <c r="K439" s="455">
        <f t="shared" ca="1" si="27"/>
        <v>8511.0338034043962</v>
      </c>
      <c r="L439" s="455">
        <f t="shared" ca="1" si="28"/>
        <v>2051159.1466204596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2051159.1466204596</v>
      </c>
      <c r="J440" s="455">
        <f t="array" ref="J440">IFERROR(INDEX('Retirement Calculator'!K:K,MATCH('Lorri 401b'!N440,'Retirement Calculator'!A:A,0),0),0)</f>
        <v>20282.026119384056</v>
      </c>
      <c r="K440" s="455">
        <f t="shared" ca="1" si="27"/>
        <v>8461.9880020878154</v>
      </c>
      <c r="L440" s="455">
        <f t="shared" ca="1" si="28"/>
        <v>2039339.1085031636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2039339.1085031636</v>
      </c>
      <c r="J441" s="455">
        <f t="array" ref="J441">IFERROR(INDEX('Retirement Calculator'!K:K,MATCH('Lorri 401b'!N441,'Retirement Calculator'!A:A,0),0),0)</f>
        <v>20282.026119384056</v>
      </c>
      <c r="K441" s="455">
        <f t="shared" ca="1" si="27"/>
        <v>8412.7378432657479</v>
      </c>
      <c r="L441" s="455">
        <f t="shared" ca="1" si="28"/>
        <v>2027469.8202270453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2027469.8202270453</v>
      </c>
      <c r="J442" s="455">
        <f t="array" ref="J442">IFERROR(INDEX('Retirement Calculator'!K:K,MATCH('Lorri 401b'!N442,'Retirement Calculator'!A:A,0),0),0)</f>
        <v>20282.026119384056</v>
      </c>
      <c r="K442" s="455">
        <f t="shared" ca="1" si="27"/>
        <v>8363.2824754485882</v>
      </c>
      <c r="L442" s="455">
        <f t="shared" ca="1" si="28"/>
        <v>2015551.07658311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2015551.07658311</v>
      </c>
      <c r="J443" s="455">
        <f t="array" ref="J443">IFERROR(INDEX('Retirement Calculator'!K:K,MATCH('Lorri 401b'!N443,'Retirement Calculator'!A:A,0),0),0)</f>
        <v>20282.026119384056</v>
      </c>
      <c r="K443" s="455">
        <f t="shared" ca="1" si="27"/>
        <v>8313.6210435988578</v>
      </c>
      <c r="L443" s="455">
        <f t="shared" ca="1" si="28"/>
        <v>2003582.6715073248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2003582.6715073248</v>
      </c>
      <c r="J444" s="455">
        <f t="array" ref="J444">IFERROR(INDEX('Retirement Calculator'!K:K,MATCH('Lorri 401b'!N444,'Retirement Calculator'!A:A,0),0),0)</f>
        <v>20282.026119384056</v>
      </c>
      <c r="K444" s="455">
        <f t="shared" ca="1" si="27"/>
        <v>8263.7526891164198</v>
      </c>
      <c r="L444" s="455">
        <f t="shared" ca="1" si="28"/>
        <v>1991564.3980770572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1991564.3980770572</v>
      </c>
      <c r="J445" s="455">
        <f t="array" ref="J445">IFERROR(INDEX('Retirement Calculator'!K:K,MATCH('Lorri 401b'!N445,'Retirement Calculator'!A:A,0),0),0)</f>
        <v>20282.026119384056</v>
      </c>
      <c r="K445" s="455">
        <f t="shared" ca="1" si="27"/>
        <v>8213.6765498236382</v>
      </c>
      <c r="L445" s="455">
        <f t="shared" ca="1" si="28"/>
        <v>1979496.0485074969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1979496.0485074969</v>
      </c>
      <c r="J446" s="455">
        <f t="array" ref="J446">IFERROR(INDEX('Retirement Calculator'!K:K,MATCH('Lorri 401b'!N446,'Retirement Calculator'!A:A,0),0),0)</f>
        <v>20282.026119384056</v>
      </c>
      <c r="K446" s="455">
        <f t="shared" ca="1" si="27"/>
        <v>8163.3917599504712</v>
      </c>
      <c r="L446" s="455">
        <f t="shared" ca="1" si="28"/>
        <v>1967377.4141480634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1967377.4141480634</v>
      </c>
      <c r="J447" s="455">
        <f t="array" ref="J447">IFERROR(INDEX('Retirement Calculator'!K:K,MATCH('Lorri 401b'!N447,'Retirement Calculator'!A:A,0),0),0)</f>
        <v>20282.026119384056</v>
      </c>
      <c r="K447" s="455">
        <f t="shared" ca="1" si="27"/>
        <v>8112.8974501194962</v>
      </c>
      <c r="L447" s="455">
        <f t="shared" ca="1" si="28"/>
        <v>1955208.2854787989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1955208.2854787989</v>
      </c>
      <c r="J448" s="455">
        <f t="array" ref="J448">IFERROR(INDEX('Retirement Calculator'!K:K,MATCH('Lorri 401b'!N448,'Retirement Calculator'!A:A,0),0),0)</f>
        <v>20282.026119384056</v>
      </c>
      <c r="K448" s="455">
        <f t="shared" ca="1" si="27"/>
        <v>8062.1927473308951</v>
      </c>
      <c r="L448" s="455">
        <f t="shared" ca="1" si="28"/>
        <v>1942988.4521067459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1942988.4521067459</v>
      </c>
      <c r="J449" s="455">
        <f t="array" ref="J449">IFERROR(INDEX('Retirement Calculator'!K:K,MATCH('Lorri 401b'!N449,'Retirement Calculator'!A:A,0),0),0)</f>
        <v>20282.026119384056</v>
      </c>
      <c r="K449" s="455">
        <f t="shared" ca="1" si="27"/>
        <v>8011.2767749473414</v>
      </c>
      <c r="L449" s="455">
        <f t="shared" ca="1" si="28"/>
        <v>1930717.7027623092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1930717.7027623092</v>
      </c>
      <c r="J450" s="455">
        <f t="array" ref="J450">IFERROR(INDEX('Retirement Calculator'!K:K,MATCH('Lorri 401b'!N450,'Retirement Calculator'!A:A,0),0),0)</f>
        <v>20282.026119384056</v>
      </c>
      <c r="K450" s="455">
        <f t="shared" ca="1" si="27"/>
        <v>7960.1486526788549</v>
      </c>
      <c r="L450" s="455">
        <f t="shared" ca="1" si="28"/>
        <v>1918395.8252956041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1918395.8252956041</v>
      </c>
      <c r="J451" s="455">
        <f t="array" ref="J451">IFERROR(INDEX('Retirement Calculator'!K:K,MATCH('Lorri 401b'!N451,'Retirement Calculator'!A:A,0),0),0)</f>
        <v>20282.026119384056</v>
      </c>
      <c r="K451" s="455">
        <f t="shared" ca="1" si="27"/>
        <v>7908.8074965675833</v>
      </c>
      <c r="L451" s="455">
        <f t="shared" ca="1" si="28"/>
        <v>1906022.6066727876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1906022.6066727876</v>
      </c>
      <c r="J452" s="455">
        <f t="array" ref="J452">IFERROR(INDEX('Retirement Calculator'!K:K,MATCH('Lorri 401b'!N452,'Retirement Calculator'!A:A,0),0),0)</f>
        <v>20282.026119384056</v>
      </c>
      <c r="K452" s="455">
        <f t="shared" ca="1" si="27"/>
        <v>7857.2524189725145</v>
      </c>
      <c r="L452" s="455">
        <f t="shared" ca="1" si="28"/>
        <v>1893597.8329723761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1893597.8329723761</v>
      </c>
      <c r="J453" s="455">
        <f t="array" ref="J453">IFERROR(INDEX('Retirement Calculator'!K:K,MATCH('Lorri 401b'!N453,'Retirement Calculator'!A:A,0),0),0)</f>
        <v>20282.026119384056</v>
      </c>
      <c r="K453" s="455">
        <f t="shared" ca="1" si="27"/>
        <v>7805.4825285541338</v>
      </c>
      <c r="L453" s="455">
        <f t="shared" ca="1" si="28"/>
        <v>1881121.2893815462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1881121.2893815462</v>
      </c>
      <c r="J454" s="455">
        <f t="array" ref="J454">IFERROR(INDEX('Retirement Calculator'!K:K,MATCH('Lorri 401b'!N454,'Retirement Calculator'!A:A,0),0),0)</f>
        <v>20282.026119384056</v>
      </c>
      <c r="K454" s="455">
        <f t="shared" ca="1" si="27"/>
        <v>7753.4969302590098</v>
      </c>
      <c r="L454" s="455">
        <f t="shared" ca="1" si="28"/>
        <v>1868592.7601924213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1868592.7601924213</v>
      </c>
      <c r="J455" s="455">
        <f t="array" ref="J455">IFERROR(INDEX('Retirement Calculator'!K:K,MATCH('Lorri 401b'!N455,'Retirement Calculator'!A:A,0),0),0)</f>
        <v>20282.026119384056</v>
      </c>
      <c r="K455" s="455">
        <f t="shared" ca="1" si="27"/>
        <v>7701.2947253043221</v>
      </c>
      <c r="L455" s="455">
        <f t="shared" ca="1" si="28"/>
        <v>1856012.0287983415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1856012.0287983415</v>
      </c>
      <c r="J456" s="455">
        <f t="array" ref="J456">IFERROR(INDEX('Retirement Calculator'!K:K,MATCH('Lorri 401b'!N456,'Retirement Calculator'!A:A,0),0),0)</f>
        <v>20282.026119384056</v>
      </c>
      <c r="K456" s="455">
        <f t="shared" ca="1" si="27"/>
        <v>7648.8750111623231</v>
      </c>
      <c r="L456" s="455">
        <f t="shared" ca="1" si="28"/>
        <v>1843378.8776901199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1843378.8776901199</v>
      </c>
      <c r="J457" s="455">
        <f t="array" ref="J457">IFERROR(INDEX('Retirement Calculator'!K:K,MATCH('Lorri 401b'!N457,'Retirement Calculator'!A:A,0),0),0)</f>
        <v>20282.026119384056</v>
      </c>
      <c r="K457" s="455">
        <f t="shared" ca="1" si="27"/>
        <v>7596.2368815447326</v>
      </c>
      <c r="L457" s="455">
        <f t="shared" ca="1" si="28"/>
        <v>1830693.0884522807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1830693.0884522807</v>
      </c>
      <c r="J458" s="455">
        <f t="array" ref="J458">IFERROR(INDEX('Retirement Calculator'!K:K,MATCH('Lorri 401b'!N458,'Retirement Calculator'!A:A,0),0),0)</f>
        <v>20282.026119384056</v>
      </c>
      <c r="K458" s="455">
        <f t="shared" ca="1" si="27"/>
        <v>7543.3794263870695</v>
      </c>
      <c r="L458" s="455">
        <f t="shared" ca="1" si="28"/>
        <v>1817954.4417592839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1817954.4417592839</v>
      </c>
      <c r="J459" s="455">
        <f t="array" ref="J459">IFERROR(INDEX('Retirement Calculator'!K:K,MATCH('Lorri 401b'!N459,'Retirement Calculator'!A:A,0),0),0)</f>
        <v>20282.026119384056</v>
      </c>
      <c r="K459" s="455">
        <f t="shared" ca="1" si="27"/>
        <v>7490.3017318329148</v>
      </c>
      <c r="L459" s="455">
        <f t="shared" ca="1" si="28"/>
        <v>1805162.7173717329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1805162.7173717329</v>
      </c>
      <c r="J460" s="455">
        <f t="array" ref="J460">IFERROR(INDEX('Retirement Calculator'!K:K,MATCH('Lorri 401b'!N460,'Retirement Calculator'!A:A,0),0),0)</f>
        <v>20282.026119384056</v>
      </c>
      <c r="K460" s="455">
        <f t="shared" ca="1" si="27"/>
        <v>7437.0028802181205</v>
      </c>
      <c r="L460" s="455">
        <f t="shared" ca="1" si="28"/>
        <v>1792317.6941325672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1792317.6941325672</v>
      </c>
      <c r="J461" s="455">
        <f t="array" ref="J461">IFERROR(INDEX('Retirement Calculator'!K:K,MATCH('Lorri 401b'!N461,'Retirement Calculator'!A:A,0),0),0)</f>
        <v>20282.026119384056</v>
      </c>
      <c r="K461" s="455">
        <f t="shared" ca="1" si="27"/>
        <v>7383.4819500549311</v>
      </c>
      <c r="L461" s="455">
        <f t="shared" ca="1" si="28"/>
        <v>1779419.149963238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1779419.149963238</v>
      </c>
      <c r="J462" s="455">
        <f t="array" ref="J462">IFERROR(INDEX('Retirement Calculator'!K:K,MATCH('Lorri 401b'!N462,'Retirement Calculator'!A:A,0),0),0)</f>
        <v>20282.026119384056</v>
      </c>
      <c r="K462" s="455">
        <f t="shared" ca="1" si="27"/>
        <v>7329.7380160160583</v>
      </c>
      <c r="L462" s="455">
        <f t="shared" ca="1" si="28"/>
        <v>1766466.8618598701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1766466.8618598701</v>
      </c>
      <c r="J463" s="455">
        <f t="array" ref="J463">IFERROR(INDEX('Retirement Calculator'!K:K,MATCH('Lorri 401b'!N463,'Retirement Calculator'!A:A,0),0),0)</f>
        <v>20282.026119384056</v>
      </c>
      <c r="K463" s="455">
        <f t="shared" ca="1" si="27"/>
        <v>7275.7701489186929</v>
      </c>
      <c r="L463" s="455">
        <f t="shared" ca="1" si="28"/>
        <v>1753460.6058894049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1753460.6058894049</v>
      </c>
      <c r="J464" s="455">
        <f t="array" ref="J464">IFERROR(INDEX('Retirement Calculator'!K:K,MATCH('Lorri 401b'!N464,'Retirement Calculator'!A:A,0),0),0)</f>
        <v>20282.026119384056</v>
      </c>
      <c r="K464" s="455">
        <f t="shared" ca="1" si="27"/>
        <v>7221.5774157084197</v>
      </c>
      <c r="L464" s="455">
        <f t="shared" ca="1" si="28"/>
        <v>1740400.1571857294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1740400.1571857294</v>
      </c>
      <c r="J465" s="455">
        <f t="array" ref="J465">IFERROR(INDEX('Retirement Calculator'!K:K,MATCH('Lorri 401b'!N465,'Retirement Calculator'!A:A,0),0),0)</f>
        <v>20282.026119384056</v>
      </c>
      <c r="K465" s="455">
        <f t="shared" ca="1" si="27"/>
        <v>7167.1588794431054</v>
      </c>
      <c r="L465" s="455">
        <f t="shared" ca="1" si="28"/>
        <v>1727285.2899457884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1727285.2899457884</v>
      </c>
      <c r="J466" s="455">
        <f t="array" ref="J466">IFERROR(INDEX('Retirement Calculator'!K:K,MATCH('Lorri 401b'!N466,'Retirement Calculator'!A:A,0),0),0)</f>
        <v>20282.026119384056</v>
      </c>
      <c r="K466" s="455">
        <f t="shared" ca="1" si="27"/>
        <v>7112.5135992766855</v>
      </c>
      <c r="L466" s="455">
        <f t="shared" ca="1" si="28"/>
        <v>1714115.7774256812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1714115.7774256812</v>
      </c>
      <c r="J467" s="455">
        <f t="array" ref="J467">IFERROR(INDEX('Retirement Calculator'!K:K,MATCH('Lorri 401b'!N467,'Retirement Calculator'!A:A,0),0),0)</f>
        <v>20282.026119384056</v>
      </c>
      <c r="K467" s="455">
        <f t="shared" ca="1" si="27"/>
        <v>7057.6406304429047</v>
      </c>
      <c r="L467" s="455">
        <f t="shared" ca="1" si="28"/>
        <v>1700891.3919367401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1700891.3919367401</v>
      </c>
      <c r="J468" s="455">
        <f t="array" ref="J468">IFERROR(INDEX('Retirement Calculator'!K:K,MATCH('Lorri 401b'!N468,'Retirement Calculator'!A:A,0),0),0)</f>
        <v>20282.026119384056</v>
      </c>
      <c r="K468" s="455">
        <f t="shared" ca="1" si="27"/>
        <v>7002.5390242389831</v>
      </c>
      <c r="L468" s="455">
        <f t="shared" ca="1" si="28"/>
        <v>1687611.9048415951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1687611.9048415951</v>
      </c>
      <c r="J469" s="455">
        <f t="array" ref="J469">IFERROR(INDEX('Retirement Calculator'!K:K,MATCH('Lorri 401b'!N469,'Retirement Calculator'!A:A,0),0),0)</f>
        <v>20282.026119384056</v>
      </c>
      <c r="K469" s="455">
        <f t="shared" ca="1" si="27"/>
        <v>6947.2078280092128</v>
      </c>
      <c r="L469" s="455">
        <f t="shared" ca="1" si="28"/>
        <v>1674277.0865502204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1674277.0865502204</v>
      </c>
      <c r="J470" s="455">
        <f t="array" ref="J470">IFERROR(INDEX('Retirement Calculator'!K:K,MATCH('Lorri 401b'!N470,'Retirement Calculator'!A:A,0),0),0)</f>
        <v>20282.026119384056</v>
      </c>
      <c r="K470" s="455">
        <f t="shared" ca="1" si="27"/>
        <v>6891.6460851284837</v>
      </c>
      <c r="L470" s="455">
        <f t="shared" ca="1" si="28"/>
        <v>1660886.7065159648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1660886.7065159648</v>
      </c>
      <c r="J471" s="455">
        <f t="array" ref="J471">IFERROR(INDEX('Retirement Calculator'!K:K,MATCH('Lorri 401b'!N471,'Retirement Calculator'!A:A,0),0),0)</f>
        <v>20282.026119384056</v>
      </c>
      <c r="K471" s="455">
        <f t="shared" ca="1" si="27"/>
        <v>6835.8528349857534</v>
      </c>
      <c r="L471" s="455">
        <f t="shared" ca="1" si="28"/>
        <v>1647440.5332315667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1647440.5332315667</v>
      </c>
      <c r="J472" s="455">
        <f t="array" ref="J472">IFERROR(INDEX('Retirement Calculator'!K:K,MATCH('Lorri 401b'!N472,'Retirement Calculator'!A:A,0),0),0)</f>
        <v>20282.026119384056</v>
      </c>
      <c r="K472" s="455">
        <f t="shared" ca="1" si="27"/>
        <v>6779.8271129674276</v>
      </c>
      <c r="L472" s="455">
        <f t="shared" ca="1" si="28"/>
        <v>1633938.3342251501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1633938.3342251501</v>
      </c>
      <c r="J473" s="455">
        <f t="array" ref="J473">IFERROR(INDEX('Retirement Calculator'!K:K,MATCH('Lorri 401b'!N473,'Retirement Calculator'!A:A,0),0),0)</f>
        <v>20282.026119384056</v>
      </c>
      <c r="K473" s="455">
        <f t="shared" ca="1" si="27"/>
        <v>6723.5679504406917</v>
      </c>
      <c r="L473" s="455">
        <f t="shared" ca="1" si="28"/>
        <v>1620379.8760562069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1620379.8760562069</v>
      </c>
      <c r="J474" s="455">
        <f t="array" ref="J474">IFERROR(INDEX('Retirement Calculator'!K:K,MATCH('Lorri 401b'!N474,'Retirement Calculator'!A:A,0),0),0)</f>
        <v>20282.026119384056</v>
      </c>
      <c r="K474" s="455">
        <f t="shared" ca="1" si="27"/>
        <v>6667.0743747367624</v>
      </c>
      <c r="L474" s="455">
        <f t="shared" ca="1" si="28"/>
        <v>1606764.9243115596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1606764.9243115596</v>
      </c>
      <c r="J475" s="455">
        <f t="array" ref="J475">IFERROR(INDEX('Retirement Calculator'!K:K,MATCH('Lorri 401b'!N475,'Retirement Calculator'!A:A,0),0),0)</f>
        <v>20282.026119384056</v>
      </c>
      <c r="K475" s="455">
        <f t="shared" ca="1" si="27"/>
        <v>6610.3454091340654</v>
      </c>
      <c r="L475" s="455">
        <f t="shared" ca="1" si="28"/>
        <v>1593093.2436013098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1593093.2436013098</v>
      </c>
      <c r="J476" s="455">
        <f t="array" ref="J476">IFERROR(INDEX('Retirement Calculator'!K:K,MATCH('Lorri 401b'!N476,'Retirement Calculator'!A:A,0),0),0)</f>
        <v>20282.026119384056</v>
      </c>
      <c r="K476" s="455">
        <f t="shared" ca="1" si="27"/>
        <v>6553.380072841358</v>
      </c>
      <c r="L476" s="455">
        <f t="shared" ca="1" si="28"/>
        <v>1579364.5975547673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1579364.5975547673</v>
      </c>
      <c r="J477" s="455">
        <f t="array" ref="J477">IFERROR(INDEX('Retirement Calculator'!K:K,MATCH('Lorri 401b'!N477,'Retirement Calculator'!A:A,0),0),0)</f>
        <v>20282.026119384056</v>
      </c>
      <c r="K477" s="455">
        <f t="shared" ca="1" si="27"/>
        <v>6496.1773809807637</v>
      </c>
      <c r="L477" s="455">
        <f t="shared" ca="1" si="28"/>
        <v>1565578.748816364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1565578.748816364</v>
      </c>
      <c r="J478" s="455">
        <f t="array" ref="J478">IFERROR(INDEX('Retirement Calculator'!K:K,MATCH('Lorri 401b'!N478,'Retirement Calculator'!A:A,0),0),0)</f>
        <v>20282.026119384056</v>
      </c>
      <c r="K478" s="455">
        <f t="shared" ca="1" si="27"/>
        <v>6438.7363445707497</v>
      </c>
      <c r="L478" s="455">
        <f t="shared" ca="1" si="28"/>
        <v>1551735.4590415508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1551735.4590415508</v>
      </c>
      <c r="J479" s="455">
        <f t="array" ref="J479">IFERROR(INDEX('Retirement Calculator'!K:K,MATCH('Lorri 401b'!N479,'Retirement Calculator'!A:A,0),0),0)</f>
        <v>20282.026119384056</v>
      </c>
      <c r="K479" s="455">
        <f t="shared" ca="1" si="27"/>
        <v>6381.0559705090282</v>
      </c>
      <c r="L479" s="455">
        <f t="shared" ca="1" si="28"/>
        <v>1537834.4888926758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1537834.4888926758</v>
      </c>
      <c r="J480" s="455">
        <f t="array" ref="J480">IFERROR(INDEX('Retirement Calculator'!K:K,MATCH('Lorri 401b'!N480,'Retirement Calculator'!A:A,0),0),0)</f>
        <v>20282.026119384056</v>
      </c>
      <c r="K480" s="455">
        <f t="shared" ca="1" si="27"/>
        <v>6323.1352615553824</v>
      </c>
      <c r="L480" s="455">
        <f t="shared" ca="1" si="28"/>
        <v>1523875.5980348473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1523875.5980348473</v>
      </c>
      <c r="J481" s="455">
        <f t="array" ref="J481">IFERROR(INDEX('Retirement Calculator'!K:K,MATCH('Lorri 401b'!N481,'Retirement Calculator'!A:A,0),0),0)</f>
        <v>20282.026119384056</v>
      </c>
      <c r="K481" s="455">
        <f t="shared" ca="1" si="27"/>
        <v>6264.9732163144308</v>
      </c>
      <c r="L481" s="455">
        <f t="shared" ca="1" si="28"/>
        <v>1509858.5451317776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1509858.5451317776</v>
      </c>
      <c r="J482" s="455">
        <f t="array" ref="J482">IFERROR(INDEX('Retirement Calculator'!K:K,MATCH('Lorri 401b'!N482,'Retirement Calculator'!A:A,0),0),0)</f>
        <v>20282.026119384056</v>
      </c>
      <c r="K482" s="455">
        <f t="shared" ca="1" si="27"/>
        <v>6206.5688292183067</v>
      </c>
      <c r="L482" s="455">
        <f t="shared" ca="1" si="28"/>
        <v>1495783.0878416121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1495783.0878416121</v>
      </c>
      <c r="J483" s="455">
        <f t="array" ref="J483">IFERROR(INDEX('Retirement Calculator'!K:K,MATCH('Lorri 401b'!N483,'Retirement Calculator'!A:A,0),0),0)</f>
        <v>20282.026119384056</v>
      </c>
      <c r="K483" s="455">
        <f t="shared" ca="1" si="27"/>
        <v>6147.9210905092832</v>
      </c>
      <c r="L483" s="455">
        <f t="shared" ca="1" si="28"/>
        <v>1481648.9828127373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1481648.9828127373</v>
      </c>
      <c r="J484" s="455">
        <f t="array" ref="J484">IFERROR(INDEX('Retirement Calculator'!K:K,MATCH('Lorri 401b'!N484,'Retirement Calculator'!A:A,0),0),0)</f>
        <v>20282.026119384056</v>
      </c>
      <c r="K484" s="455">
        <f t="shared" ca="1" si="27"/>
        <v>6089.0289862223053</v>
      </c>
      <c r="L484" s="455">
        <f t="shared" ca="1" si="28"/>
        <v>1467455.9856795757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1467455.9856795757</v>
      </c>
      <c r="J485" s="455">
        <f t="array" ref="J485">IFERROR(INDEX('Retirement Calculator'!K:K,MATCH('Lorri 401b'!N485,'Retirement Calculator'!A:A,0),0),0)</f>
        <v>20282.026119384056</v>
      </c>
      <c r="K485" s="455">
        <f t="shared" ca="1" si="27"/>
        <v>6029.8914981674652</v>
      </c>
      <c r="L485" s="455">
        <f t="shared" ca="1" si="28"/>
        <v>1453203.8510583593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1453203.8510583593</v>
      </c>
      <c r="J486" s="455">
        <f t="array" ref="J486">IFERROR(INDEX('Retirement Calculator'!K:K,MATCH('Lorri 401b'!N486,'Retirement Calculator'!A:A,0),0),0)</f>
        <v>20282.026119384056</v>
      </c>
      <c r="K486" s="455">
        <f t="shared" ca="1" si="27"/>
        <v>5970.5076039123969</v>
      </c>
      <c r="L486" s="455">
        <f t="shared" ca="1" si="28"/>
        <v>1438892.3325428877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1438892.3325428877</v>
      </c>
      <c r="J487" s="455">
        <f t="array" ref="J487">IFERROR(INDEX('Retirement Calculator'!K:K,MATCH('Lorri 401b'!N487,'Retirement Calculator'!A:A,0),0),0)</f>
        <v>20282.026119384056</v>
      </c>
      <c r="K487" s="455">
        <f t="shared" ca="1" si="27"/>
        <v>5910.8762767645985</v>
      </c>
      <c r="L487" s="455">
        <f t="shared" ca="1" si="28"/>
        <v>1424521.1827002682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1424521.1827002682</v>
      </c>
      <c r="J488" s="455">
        <f t="array" ref="J488">IFERROR(INDEX('Retirement Calculator'!K:K,MATCH('Lorri 401b'!N488,'Retirement Calculator'!A:A,0),0),0)</f>
        <v>20282.026119384056</v>
      </c>
      <c r="K488" s="455">
        <f t="shared" ca="1" si="27"/>
        <v>5850.9964857536843</v>
      </c>
      <c r="L488" s="455">
        <f t="shared" ca="1" si="28"/>
        <v>1410090.1530666379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1410090.1530666379</v>
      </c>
      <c r="J489" s="455">
        <f t="array" ref="J489">IFERROR(INDEX('Retirement Calculator'!K:K,MATCH('Lorri 401b'!N489,'Retirement Calculator'!A:A,0),0),0)</f>
        <v>20282.026119384056</v>
      </c>
      <c r="K489" s="455">
        <f t="shared" ca="1" si="27"/>
        <v>5790.8671956135577</v>
      </c>
      <c r="L489" s="455">
        <f t="shared" ca="1" si="28"/>
        <v>1395598.9941428674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1395598.9941428674</v>
      </c>
      <c r="J490" s="455">
        <f t="array" ref="J490">IFERROR(INDEX('Retirement Calculator'!K:K,MATCH('Lorri 401b'!N490,'Retirement Calculator'!A:A,0),0),0)</f>
        <v>20282.026119384056</v>
      </c>
      <c r="K490" s="455">
        <f t="shared" ca="1" si="27"/>
        <v>5730.4873667645143</v>
      </c>
      <c r="L490" s="455">
        <f t="shared" ca="1" si="28"/>
        <v>1381047.455390248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1381047.455390248</v>
      </c>
      <c r="J491" s="455">
        <f t="array" ref="J491">IFERROR(INDEX('Retirement Calculator'!K:K,MATCH('Lorri 401b'!N491,'Retirement Calculator'!A:A,0),0),0)</f>
        <v>20282.026119384056</v>
      </c>
      <c r="K491" s="455">
        <f t="shared" ca="1" si="27"/>
        <v>5669.8559552952665</v>
      </c>
      <c r="L491" s="455">
        <f t="shared" ca="1" si="28"/>
        <v>1366435.2852261593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1366435.2852261593</v>
      </c>
      <c r="J492" s="455">
        <f t="array" ref="J492">IFERROR(INDEX('Retirement Calculator'!K:K,MATCH('Lorri 401b'!N492,'Retirement Calculator'!A:A,0),0),0)</f>
        <v>20282.026119384056</v>
      </c>
      <c r="K492" s="455">
        <f t="shared" ca="1" si="27"/>
        <v>5608.9719129448968</v>
      </c>
      <c r="L492" s="455">
        <f t="shared" ca="1" si="28"/>
        <v>1351762.2310197202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1351762.2310197202</v>
      </c>
      <c r="J493" s="455">
        <f t="array" ref="J493">IFERROR(INDEX('Retirement Calculator'!K:K,MATCH('Lorri 401b'!N493,'Retirement Calculator'!A:A,0),0),0)</f>
        <v>20282.026119384056</v>
      </c>
      <c r="K493" s="455">
        <f t="shared" ca="1" si="27"/>
        <v>5547.8341870847344</v>
      </c>
      <c r="L493" s="455">
        <f t="shared" ca="1" si="28"/>
        <v>1337028.039087421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1337028.039087421</v>
      </c>
      <c r="J494" s="455">
        <f t="array" ref="J494">IFERROR(INDEX('Retirement Calculator'!K:K,MATCH('Lorri 401b'!N494,'Retirement Calculator'!A:A,0),0),0)</f>
        <v>20282.026119384056</v>
      </c>
      <c r="K494" s="455">
        <f t="shared" ca="1" si="27"/>
        <v>5486.4417207001543</v>
      </c>
      <c r="L494" s="455">
        <f t="shared" ca="1" si="28"/>
        <v>1322232.4546887372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1322232.4546887372</v>
      </c>
      <c r="J495" s="455">
        <f t="array" ref="J495">IFERROR(INDEX('Retirement Calculator'!K:K,MATCH('Lorri 401b'!N495,'Retirement Calculator'!A:A,0),0),0)</f>
        <v>20282.026119384056</v>
      </c>
      <c r="K495" s="455">
        <f t="shared" ca="1" si="27"/>
        <v>5424.7934523723052</v>
      </c>
      <c r="L495" s="455">
        <f t="shared" ca="1" si="28"/>
        <v>1307375.2220217255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1307375.2220217255</v>
      </c>
      <c r="J496" s="455">
        <f t="array" ref="J496">IFERROR(INDEX('Retirement Calculator'!K:K,MATCH('Lorri 401b'!N496,'Retirement Calculator'!A:A,0),0),0)</f>
        <v>20282.026119384056</v>
      </c>
      <c r="K496" s="455">
        <f t="shared" ca="1" si="27"/>
        <v>5362.8883162597558</v>
      </c>
      <c r="L496" s="455">
        <f t="shared" ca="1" si="28"/>
        <v>1292456.0842186012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1292456.0842186012</v>
      </c>
      <c r="J497" s="455">
        <f t="array" ref="J497">IFERROR(INDEX('Retirement Calculator'!K:K,MATCH('Lorri 401b'!N497,'Retirement Calculator'!A:A,0),0),0)</f>
        <v>20282.026119384056</v>
      </c>
      <c r="K497" s="455">
        <f t="shared" ca="1" si="27"/>
        <v>5300.7252420800714</v>
      </c>
      <c r="L497" s="455">
        <f t="shared" ca="1" si="28"/>
        <v>1277474.7833412974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1277474.7833412974</v>
      </c>
      <c r="J498" s="455">
        <f t="array" ref="J498">IFERROR(INDEX('Retirement Calculator'!K:K,MATCH('Lorri 401b'!N498,'Retirement Calculator'!A:A,0),0),0)</f>
        <v>20282.026119384056</v>
      </c>
      <c r="K498" s="455">
        <f t="shared" ca="1" si="27"/>
        <v>5238.3031550913056</v>
      </c>
      <c r="L498" s="455">
        <f t="shared" ca="1" si="28"/>
        <v>1262431.0603770048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1262431.0603770048</v>
      </c>
      <c r="J499" s="455">
        <f t="array" ref="J499">IFERROR(INDEX('Retirement Calculator'!K:K,MATCH('Lorri 401b'!N499,'Retirement Calculator'!A:A,0),0),0)</f>
        <v>20282.026119384056</v>
      </c>
      <c r="K499" s="455">
        <f t="shared" ca="1" si="27"/>
        <v>5175.62097607342</v>
      </c>
      <c r="L499" s="455">
        <f t="shared" ca="1" si="28"/>
        <v>1247324.6552336942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1247324.6552336942</v>
      </c>
      <c r="J500" s="455">
        <f t="array" ref="J500">IFERROR(INDEX('Retirement Calculator'!K:K,MATCH('Lorri 401b'!N500,'Retirement Calculator'!A:A,0),0),0)</f>
        <v>20282.026119384056</v>
      </c>
      <c r="K500" s="455">
        <f t="shared" ca="1" si="27"/>
        <v>5112.6776213096264</v>
      </c>
      <c r="L500" s="455">
        <f t="shared" ca="1" si="28"/>
        <v>1232155.3067356199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1232155.3067356199</v>
      </c>
      <c r="J501" s="455">
        <f t="array" ref="J501">IFERROR(INDEX('Retirement Calculator'!K:K,MATCH('Lorri 401b'!N501,'Retirement Calculator'!A:A,0),0),0)</f>
        <v>20282.026119384056</v>
      </c>
      <c r="K501" s="455">
        <f t="shared" ca="1" si="27"/>
        <v>5049.4720025676497</v>
      </c>
      <c r="L501" s="455">
        <f t="shared" ca="1" si="28"/>
        <v>1216922.7526188036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1216922.7526188036</v>
      </c>
      <c r="J502" s="455">
        <f t="array" ref="J502">IFERROR(INDEX('Retirement Calculator'!K:K,MATCH('Lorri 401b'!N502,'Retirement Calculator'!A:A,0),0),0)</f>
        <v>20282.026119384056</v>
      </c>
      <c r="K502" s="455">
        <f t="shared" ca="1" si="27"/>
        <v>4986.0030270809148</v>
      </c>
      <c r="L502" s="455">
        <f t="shared" ca="1" si="28"/>
        <v>1201626.7295265007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1201626.7295265007</v>
      </c>
      <c r="J503" s="455">
        <f t="array" ref="J503">IFERROR(INDEX('Retirement Calculator'!K:K,MATCH('Lorri 401b'!N503,'Retirement Calculator'!A:A,0),0),0)</f>
        <v>20282.026119384056</v>
      </c>
      <c r="K503" s="455">
        <f t="shared" ca="1" si="27"/>
        <v>4922.2695975296529</v>
      </c>
      <c r="L503" s="455">
        <f t="shared" ca="1" si="28"/>
        <v>1186266.9730046464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1186266.9730046464</v>
      </c>
      <c r="J504" s="455">
        <f t="array" ref="J504">IFERROR(INDEX('Retirement Calculator'!K:K,MATCH('Lorri 401b'!N504,'Retirement Calculator'!A:A,0),0),0)</f>
        <v>20282.026119384056</v>
      </c>
      <c r="K504" s="455">
        <f t="shared" ca="1" si="27"/>
        <v>4858.2706120219264</v>
      </c>
      <c r="L504" s="455">
        <f t="shared" ca="1" si="28"/>
        <v>1170843.2174972843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1170843.2174972843</v>
      </c>
      <c r="J505" s="455">
        <f t="array" ref="J505">IFERROR(INDEX('Retirement Calculator'!K:K,MATCH('Lorri 401b'!N505,'Retirement Calculator'!A:A,0),0),0)</f>
        <v>20282.026119384056</v>
      </c>
      <c r="K505" s="455">
        <f t="shared" ca="1" si="27"/>
        <v>4794.0049640745847</v>
      </c>
      <c r="L505" s="455">
        <f t="shared" ca="1" si="28"/>
        <v>1155355.1963419749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1155355.1963419749</v>
      </c>
      <c r="J506" s="455">
        <f t="array" ref="J506">IFERROR(INDEX('Retirement Calculator'!K:K,MATCH('Lorri 401b'!N506,'Retirement Calculator'!A:A,0),0),0)</f>
        <v>20282.026119384056</v>
      </c>
      <c r="K506" s="455">
        <f t="shared" ca="1" si="27"/>
        <v>4729.4715425941286</v>
      </c>
      <c r="L506" s="455">
        <f t="shared" ca="1" si="28"/>
        <v>1139802.6417651849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1139802.6417651849</v>
      </c>
      <c r="J507" s="455">
        <f t="array" ref="J507">IFERROR(INDEX('Retirement Calculator'!K:K,MATCH('Lorri 401b'!N507,'Retirement Calculator'!A:A,0),0),0)</f>
        <v>20282.026119384056</v>
      </c>
      <c r="K507" s="455">
        <f t="shared" ca="1" si="27"/>
        <v>4664.6692318575042</v>
      </c>
      <c r="L507" s="455">
        <f t="shared" ca="1" si="28"/>
        <v>1124185.2848776584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1124185.2848776584</v>
      </c>
      <c r="J508" s="455">
        <f t="array" ref="J508">IFERROR(INDEX('Retirement Calculator'!K:K,MATCH('Lorri 401b'!N508,'Retirement Calculator'!A:A,0),0),0)</f>
        <v>20282.026119384056</v>
      </c>
      <c r="K508" s="455">
        <f t="shared" ca="1" si="27"/>
        <v>4599.5969114928102</v>
      </c>
      <c r="L508" s="455">
        <f t="shared" ca="1" si="28"/>
        <v>1108502.8556697671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1108502.8556697671</v>
      </c>
      <c r="J509" s="455">
        <f t="array" ref="J509">IFERROR(INDEX('Retirement Calculator'!K:K,MATCH('Lorri 401b'!N509,'Retirement Calculator'!A:A,0),0),0)</f>
        <v>20282.026119384056</v>
      </c>
      <c r="K509" s="455">
        <f t="shared" ca="1" si="27"/>
        <v>4534.25345645993</v>
      </c>
      <c r="L509" s="455">
        <f t="shared" ca="1" si="28"/>
        <v>1092755.083006843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1092755.083006843</v>
      </c>
      <c r="J510" s="455">
        <f t="array" ref="J510">IFERROR(INDEX('Retirement Calculator'!K:K,MATCH('Lorri 401b'!N510,'Retirement Calculator'!A:A,0),0),0)</f>
        <v>20282.026119384056</v>
      </c>
      <c r="K510" s="455">
        <f t="shared" ca="1" si="27"/>
        <v>4468.6377370310793</v>
      </c>
      <c r="L510" s="455">
        <f t="shared" ca="1" si="28"/>
        <v>1076941.6946244901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1076941.6946244901</v>
      </c>
      <c r="J511" s="455">
        <f t="array" ref="J511">IFERROR(INDEX('Retirement Calculator'!K:K,MATCH('Lorri 401b'!N511,'Retirement Calculator'!A:A,0),0),0)</f>
        <v>20282.026119384056</v>
      </c>
      <c r="K511" s="455">
        <f t="shared" ca="1" si="27"/>
        <v>4402.7486187712757</v>
      </c>
      <c r="L511" s="455">
        <f t="shared" ca="1" si="28"/>
        <v>1061062.4171238774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1061062.4171238774</v>
      </c>
      <c r="J512" s="455">
        <f t="array" ref="J512">IFERROR(INDEX('Retirement Calculator'!K:K,MATCH('Lorri 401b'!N512,'Retirement Calculator'!A:A,0),0),0)</f>
        <v>20282.026119384056</v>
      </c>
      <c r="K512" s="455">
        <f t="shared" ca="1" si="27"/>
        <v>4336.584962518722</v>
      </c>
      <c r="L512" s="455">
        <f t="shared" ca="1" si="28"/>
        <v>1045116.9759670121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1045116.9759670121</v>
      </c>
      <c r="J513" s="455">
        <f t="array" ref="J513">IFERROR(INDEX('Retirement Calculator'!K:K,MATCH('Lorri 401b'!N513,'Retirement Calculator'!A:A,0),0),0)</f>
        <v>20282.026119384056</v>
      </c>
      <c r="K513" s="455">
        <f t="shared" ca="1" si="27"/>
        <v>4270.1456243651164</v>
      </c>
      <c r="L513" s="455">
        <f t="shared" ca="1" si="28"/>
        <v>1029105.0954719931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1029105.0954719931</v>
      </c>
      <c r="J514" s="455">
        <f t="array" ref="J514">IFERROR(INDEX('Retirement Calculator'!K:K,MATCH('Lorri 401b'!N514,'Retirement Calculator'!A:A,0),0),0)</f>
        <v>20282.026119384056</v>
      </c>
      <c r="K514" s="455">
        <f t="shared" ca="1" si="27"/>
        <v>4203.4294556358709</v>
      </c>
      <c r="L514" s="455">
        <f t="shared" ca="1" si="28"/>
        <v>1013026.4988082448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1013026.4988082448</v>
      </c>
      <c r="J515" s="455">
        <f t="array" ref="J515">IFERROR(INDEX('Retirement Calculator'!K:K,MATCH('Lorri 401b'!N515,'Retirement Calculator'!A:A,0),0),0)</f>
        <v>20282.026119384056</v>
      </c>
      <c r="K515" s="455">
        <f t="shared" ca="1" si="27"/>
        <v>4136.4353028702526</v>
      </c>
      <c r="L515" s="455">
        <f t="shared" ca="1" si="28"/>
        <v>996880.90799173096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996880.90799173096</v>
      </c>
      <c r="J516" s="455">
        <f t="array" ref="J516">IFERROR(INDEX('Retirement Calculator'!K:K,MATCH('Lorri 401b'!N516,'Retirement Calculator'!A:A,0),0),0)</f>
        <v>20282.026119384056</v>
      </c>
      <c r="K516" s="455">
        <f t="shared" ca="1" si="27"/>
        <v>4069.1620078014457</v>
      </c>
      <c r="L516" s="455">
        <f t="shared" ca="1" si="28"/>
        <v>980668.04388014833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980668.04388014833</v>
      </c>
      <c r="J517" s="455">
        <f t="array" ref="J517">IFERROR(INDEX('Retirement Calculator'!K:K,MATCH('Lorri 401b'!N517,'Retirement Calculator'!A:A,0),0),0)</f>
        <v>20282.026119384056</v>
      </c>
      <c r="K517" s="455">
        <f t="shared" ca="1" si="27"/>
        <v>4001.6084073365182</v>
      </c>
      <c r="L517" s="455">
        <f t="shared" ca="1" si="28"/>
        <v>964387.62616810075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964387.62616810075</v>
      </c>
      <c r="J518" s="455">
        <f t="array" ref="J518">IFERROR(INDEX('Retirement Calculator'!K:K,MATCH('Lorri 401b'!N518,'Retirement Calculator'!A:A,0),0),0)</f>
        <v>20282.026119384056</v>
      </c>
      <c r="K518" s="455">
        <f t="shared" ref="K518:K772" ca="1" si="53">IPMT(M518/12,1,12,-I518+J518,,0)</f>
        <v>3933.7733335363191</v>
      </c>
      <c r="L518" s="455">
        <f t="shared" ref="L518:L772" ca="1" si="54">I518-J518+K518</f>
        <v>948039.37338225299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948039.37338225299</v>
      </c>
      <c r="J519" s="455">
        <f t="array" ref="J519">IFERROR(INDEX('Retirement Calculator'!K:K,MATCH('Lorri 401b'!N519,'Retirement Calculator'!A:A,0),0),0)</f>
        <v>20282.026119384056</v>
      </c>
      <c r="K519" s="455">
        <f t="shared" ca="1" si="53"/>
        <v>3865.6556135952869</v>
      </c>
      <c r="L519" s="455">
        <f t="shared" ca="1" si="54"/>
        <v>931623.00287646416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931623.00287646416</v>
      </c>
      <c r="J520" s="455">
        <f t="array" ref="J520">IFERROR(INDEX('Retirement Calculator'!K:K,MATCH('Lorri 401b'!N520,'Retirement Calculator'!A:A,0),0),0)</f>
        <v>20282.026119384056</v>
      </c>
      <c r="K520" s="455">
        <f t="shared" ca="1" si="53"/>
        <v>3797.2540698211665</v>
      </c>
      <c r="L520" s="455">
        <f t="shared" ca="1" si="54"/>
        <v>915138.23082690127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915138.23082690127</v>
      </c>
      <c r="J521" s="455">
        <f t="array" ref="J521">IFERROR(INDEX('Retirement Calculator'!K:K,MATCH('Lorri 401b'!N521,'Retirement Calculator'!A:A,0),0),0)</f>
        <v>20282.026119384056</v>
      </c>
      <c r="K521" s="455">
        <f t="shared" ca="1" si="53"/>
        <v>3728.5675196146549</v>
      </c>
      <c r="L521" s="455">
        <f t="shared" ca="1" si="54"/>
        <v>898584.77222713188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898584.77222713188</v>
      </c>
      <c r="J522" s="455">
        <f t="array" ref="J522">IFERROR(INDEX('Retirement Calculator'!K:K,MATCH('Lorri 401b'!N522,'Retirement Calculator'!A:A,0),0),0)</f>
        <v>20282.026119384056</v>
      </c>
      <c r="K522" s="455">
        <f t="shared" ca="1" si="53"/>
        <v>3659.5947754489489</v>
      </c>
      <c r="L522" s="455">
        <f t="shared" ca="1" si="54"/>
        <v>881962.34088319668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881962.34088319668</v>
      </c>
      <c r="J523" s="455">
        <f t="array" ref="J523">IFERROR(INDEX('Retirement Calculator'!K:K,MATCH('Lorri 401b'!N523,'Retirement Calculator'!A:A,0),0),0)</f>
        <v>20282.026119384056</v>
      </c>
      <c r="K523" s="455">
        <f t="shared" ca="1" si="53"/>
        <v>3590.3346448492184</v>
      </c>
      <c r="L523" s="455">
        <f t="shared" ca="1" si="54"/>
        <v>865270.64940866176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865270.64940866176</v>
      </c>
      <c r="J524" s="455">
        <f t="array" ref="J524">IFERROR(INDEX('Retirement Calculator'!K:K,MATCH('Lorri 401b'!N524,'Retirement Calculator'!A:A,0),0),0)</f>
        <v>20282.026119384056</v>
      </c>
      <c r="K524" s="455">
        <f t="shared" ca="1" si="53"/>
        <v>3520.7859303719902</v>
      </c>
      <c r="L524" s="455">
        <f t="shared" ca="1" si="54"/>
        <v>848509.40921964962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848509.40921964962</v>
      </c>
      <c r="J525" s="455">
        <f t="array" ref="J525">IFERROR(INDEX('Retirement Calculator'!K:K,MATCH('Lorri 401b'!N525,'Retirement Calculator'!A:A,0),0),0)</f>
        <v>20282.026119384056</v>
      </c>
      <c r="K525" s="455">
        <f t="shared" ca="1" si="53"/>
        <v>3450.9474295844402</v>
      </c>
      <c r="L525" s="455">
        <f t="shared" ca="1" si="54"/>
        <v>831678.33052984998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831678.33052984998</v>
      </c>
      <c r="J526" s="455">
        <f t="array" ref="J526">IFERROR(INDEX('Retirement Calculator'!K:K,MATCH('Lorri 401b'!N526,'Retirement Calculator'!A:A,0),0),0)</f>
        <v>20282.026119384056</v>
      </c>
      <c r="K526" s="455">
        <f t="shared" ca="1" si="53"/>
        <v>3380.8179350436076</v>
      </c>
      <c r="L526" s="455">
        <f t="shared" ca="1" si="54"/>
        <v>814777.12234550947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814777.12234550947</v>
      </c>
      <c r="J527" s="455">
        <f t="array" ref="J527">IFERROR(INDEX('Retirement Calculator'!K:K,MATCH('Lorri 401b'!N527,'Retirement Calculator'!A:A,0),0),0)</f>
        <v>20282.026119384056</v>
      </c>
      <c r="K527" s="455">
        <f t="shared" ca="1" si="53"/>
        <v>3310.3962342755221</v>
      </c>
      <c r="L527" s="455">
        <f t="shared" ca="1" si="54"/>
        <v>797805.49246040091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797805.49246040091</v>
      </c>
      <c r="J528" s="455">
        <f t="array" ref="J528">IFERROR(INDEX('Retirement Calculator'!K:K,MATCH('Lorri 401b'!N528,'Retirement Calculator'!A:A,0),0),0)</f>
        <v>20282.026119384056</v>
      </c>
      <c r="K528" s="455">
        <f t="shared" ca="1" si="53"/>
        <v>3239.6811097542368</v>
      </c>
      <c r="L528" s="455">
        <f t="shared" ca="1" si="54"/>
        <v>780763.14745077107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780763.14745077107</v>
      </c>
      <c r="J529" s="455">
        <f t="array" ref="J529">IFERROR(INDEX('Retirement Calculator'!K:K,MATCH('Lorri 401b'!N529,'Retirement Calculator'!A:A,0),0),0)</f>
        <v>20282.026119384056</v>
      </c>
      <c r="K529" s="455">
        <f t="shared" ca="1" si="53"/>
        <v>3168.6713388807789</v>
      </c>
      <c r="L529" s="455">
        <f t="shared" ca="1" si="54"/>
        <v>763649.79267026775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763649.79267026775</v>
      </c>
      <c r="J530" s="455">
        <f t="array" ref="J530">IFERROR(INDEX('Retirement Calculator'!K:K,MATCH('Lorri 401b'!N530,'Retirement Calculator'!A:A,0),0),0)</f>
        <v>20282.026119384056</v>
      </c>
      <c r="K530" s="455">
        <f t="shared" ca="1" si="53"/>
        <v>3097.365693962015</v>
      </c>
      <c r="L530" s="455">
        <f t="shared" ca="1" si="54"/>
        <v>746465.13224484562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746465.13224484562</v>
      </c>
      <c r="J531" s="455">
        <f t="array" ref="J531">IFERROR(INDEX('Retirement Calculator'!K:K,MATCH('Lorri 401b'!N531,'Retirement Calculator'!A:A,0),0),0)</f>
        <v>20282.026119384056</v>
      </c>
      <c r="K531" s="455">
        <f t="shared" ca="1" si="53"/>
        <v>3025.762942189423</v>
      </c>
      <c r="L531" s="455">
        <f t="shared" ca="1" si="54"/>
        <v>729208.86906765099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729208.86906765099</v>
      </c>
      <c r="J532" s="455">
        <f t="array" ref="J532">IFERROR(INDEX('Retirement Calculator'!K:K,MATCH('Lorri 401b'!N532,'Retirement Calculator'!A:A,0),0),0)</f>
        <v>20282.026119384056</v>
      </c>
      <c r="K532" s="455">
        <f t="shared" ca="1" si="53"/>
        <v>2953.8618456177787</v>
      </c>
      <c r="L532" s="455">
        <f t="shared" ca="1" si="54"/>
        <v>711880.70479388465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711880.70479388465</v>
      </c>
      <c r="J533" s="455">
        <f t="array" ref="J533">IFERROR(INDEX('Retirement Calculator'!K:K,MATCH('Lorri 401b'!N533,'Retirement Calculator'!A:A,0),0),0)</f>
        <v>20282.026119384056</v>
      </c>
      <c r="K533" s="455">
        <f t="shared" ca="1" si="53"/>
        <v>2881.6611611437525</v>
      </c>
      <c r="L533" s="455">
        <f t="shared" ca="1" si="54"/>
        <v>694480.33983564435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694480.33983564435</v>
      </c>
      <c r="J534" s="455">
        <f t="array" ref="J534">IFERROR(INDEX('Retirement Calculator'!K:K,MATCH('Lorri 401b'!N534,'Retirement Calculator'!A:A,0),0),0)</f>
        <v>20282.026119384056</v>
      </c>
      <c r="K534" s="455">
        <f t="shared" ca="1" si="53"/>
        <v>2809.1596404844177</v>
      </c>
      <c r="L534" s="455">
        <f t="shared" ca="1" si="54"/>
        <v>677007.47335674462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677007.47335674462</v>
      </c>
      <c r="J535" s="455">
        <f t="array" ref="J535">IFERROR(INDEX('Retirement Calculator'!K:K,MATCH('Lorri 401b'!N535,'Retirement Calculator'!A:A,0),0),0)</f>
        <v>20282.026119384056</v>
      </c>
      <c r="K535" s="455">
        <f t="shared" ca="1" si="53"/>
        <v>2736.356030155669</v>
      </c>
      <c r="L535" s="455">
        <f t="shared" ca="1" si="54"/>
        <v>659461.8032675162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659461.8032675162</v>
      </c>
      <c r="J536" s="455">
        <f t="array" ref="J536">IFERROR(INDEX('Retirement Calculator'!K:K,MATCH('Lorri 401b'!N536,'Retirement Calculator'!A:A,0),0),0)</f>
        <v>20282.026119384056</v>
      </c>
      <c r="K536" s="455">
        <f t="shared" ca="1" si="53"/>
        <v>2663.2490714505502</v>
      </c>
      <c r="L536" s="455">
        <f t="shared" ca="1" si="54"/>
        <v>641843.02621958265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641843.02621958265</v>
      </c>
      <c r="J537" s="455">
        <f t="array" ref="J537">IFERROR(INDEX('Retirement Calculator'!K:K,MATCH('Lorri 401b'!N537,'Retirement Calculator'!A:A,0),0),0)</f>
        <v>20282.026119384056</v>
      </c>
      <c r="K537" s="455">
        <f t="shared" ca="1" si="53"/>
        <v>2589.8375004174941</v>
      </c>
      <c r="L537" s="455">
        <f t="shared" ca="1" si="54"/>
        <v>624150.83760061604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624150.83760061604</v>
      </c>
      <c r="J538" s="455">
        <f t="array" ref="J538">IFERROR(INDEX('Retirement Calculator'!K:K,MATCH('Lorri 401b'!N538,'Retirement Calculator'!A:A,0),0),0)</f>
        <v>20282.026119384056</v>
      </c>
      <c r="K538" s="455">
        <f t="shared" ca="1" si="53"/>
        <v>2516.1200478384662</v>
      </c>
      <c r="L538" s="455">
        <f t="shared" ca="1" si="54"/>
        <v>606384.93152907037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606384.93152907037</v>
      </c>
      <c r="J539" s="455">
        <f t="array" ref="J539">IFERROR(INDEX('Retirement Calculator'!K:K,MATCH('Lorri 401b'!N539,'Retirement Calculator'!A:A,0),0),0)</f>
        <v>20282.026119384056</v>
      </c>
      <c r="K539" s="455">
        <f t="shared" ca="1" si="53"/>
        <v>2442.0954392070262</v>
      </c>
      <c r="L539" s="455">
        <f t="shared" ca="1" si="54"/>
        <v>588545.00084889331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588545.00084889331</v>
      </c>
      <c r="J540" s="455">
        <f t="array" ref="J540">IFERROR(INDEX('Retirement Calculator'!K:K,MATCH('Lorri 401b'!N540,'Retirement Calculator'!A:A,0),0),0)</f>
        <v>20282.026119384056</v>
      </c>
      <c r="K540" s="455">
        <f t="shared" ca="1" si="53"/>
        <v>2367.7623947062884</v>
      </c>
      <c r="L540" s="455">
        <f t="shared" ca="1" si="54"/>
        <v>570630.73712421546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570630.73712421546</v>
      </c>
      <c r="J541" s="455">
        <f t="array" ref="J541">IFERROR(INDEX('Retirement Calculator'!K:K,MATCH('Lorri 401b'!N541,'Retirement Calculator'!A:A,0),0),0)</f>
        <v>20282.026119384056</v>
      </c>
      <c r="K541" s="455">
        <f t="shared" ca="1" si="53"/>
        <v>2293.1196291867973</v>
      </c>
      <c r="L541" s="455">
        <f t="shared" ca="1" si="54"/>
        <v>552641.83063401817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552641.83063401817</v>
      </c>
      <c r="J542" s="455">
        <f t="array" ref="J542">IFERROR(INDEX('Retirement Calculator'!K:K,MATCH('Lorri 401b'!N542,'Retirement Calculator'!A:A,0),0),0)</f>
        <v>20282.026119384056</v>
      </c>
      <c r="K542" s="455">
        <f t="shared" ca="1" si="53"/>
        <v>2218.1658521443087</v>
      </c>
      <c r="L542" s="455">
        <f t="shared" ca="1" si="54"/>
        <v>534577.97036677843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534577.97036677843</v>
      </c>
      <c r="J543" s="455">
        <f t="array" ref="J543">IFERROR(INDEX('Retirement Calculator'!K:K,MATCH('Lorri 401b'!N543,'Retirement Calculator'!A:A,0),0),0)</f>
        <v>20282.026119384056</v>
      </c>
      <c r="K543" s="455">
        <f t="shared" ca="1" si="53"/>
        <v>2142.8997676974768</v>
      </c>
      <c r="L543" s="455">
        <f t="shared" ca="1" si="54"/>
        <v>516438.84401509189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516438.84401509189</v>
      </c>
      <c r="J544" s="455">
        <f t="array" ref="J544">IFERROR(INDEX('Retirement Calculator'!K:K,MATCH('Lorri 401b'!N544,'Retirement Calculator'!A:A,0),0),0)</f>
        <v>20282.026119384056</v>
      </c>
      <c r="K544" s="455">
        <f t="shared" ca="1" si="53"/>
        <v>2067.3200745654494</v>
      </c>
      <c r="L544" s="455">
        <f t="shared" ca="1" si="54"/>
        <v>498224.13797027332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498224.13797027332</v>
      </c>
      <c r="J545" s="455">
        <f t="array" ref="J545">IFERROR(INDEX('Retirement Calculator'!K:K,MATCH('Lorri 401b'!N545,'Retirement Calculator'!A:A,0),0),0)</f>
        <v>20282.026119384056</v>
      </c>
      <c r="K545" s="455">
        <f t="shared" ca="1" si="53"/>
        <v>1991.4254660453723</v>
      </c>
      <c r="L545" s="455">
        <f t="shared" ca="1" si="54"/>
        <v>479933.53731693467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479933.53731693467</v>
      </c>
      <c r="J546" s="455">
        <f t="array" ref="J546">IFERROR(INDEX('Retirement Calculator'!K:K,MATCH('Lorri 401b'!N546,'Retirement Calculator'!A:A,0),0),0)</f>
        <v>20282.026119384056</v>
      </c>
      <c r="K546" s="455">
        <f t="shared" ca="1" si="53"/>
        <v>1915.2146299897943</v>
      </c>
      <c r="L546" s="455">
        <f t="shared" ca="1" si="54"/>
        <v>461566.72582754045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461566.72582754045</v>
      </c>
      <c r="J547" s="455">
        <f t="array" ref="J547">IFERROR(INDEX('Retirement Calculator'!K:K,MATCH('Lorri 401b'!N547,'Retirement Calculator'!A:A,0),0),0)</f>
        <v>20282.026119384056</v>
      </c>
      <c r="K547" s="455">
        <f t="shared" ca="1" si="53"/>
        <v>1838.6862487839851</v>
      </c>
      <c r="L547" s="455">
        <f t="shared" ca="1" si="54"/>
        <v>443123.38595694042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443123.38595694042</v>
      </c>
      <c r="J548" s="455">
        <f t="array" ref="J548">IFERROR(INDEX('Retirement Calculator'!K:K,MATCH('Lorri 401b'!N548,'Retirement Calculator'!A:A,0),0),0)</f>
        <v>20282.026119384056</v>
      </c>
      <c r="K548" s="455">
        <f t="shared" ca="1" si="53"/>
        <v>1761.8389993231513</v>
      </c>
      <c r="L548" s="455">
        <f t="shared" ca="1" si="54"/>
        <v>424603.19883687951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424603.19883687951</v>
      </c>
      <c r="J549" s="455">
        <f t="array" ref="J549">IFERROR(INDEX('Retirement Calculator'!K:K,MATCH('Lorri 401b'!N549,'Retirement Calculator'!A:A,0),0),0)</f>
        <v>20282.026119384056</v>
      </c>
      <c r="K549" s="455">
        <f t="shared" ca="1" si="53"/>
        <v>1684.6715529895644</v>
      </c>
      <c r="L549" s="455">
        <f t="shared" ca="1" si="54"/>
        <v>406005.84427048505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406005.84427048505</v>
      </c>
      <c r="J550" s="455">
        <f t="array" ref="J550">IFERROR(INDEX('Retirement Calculator'!K:K,MATCH('Lorri 401b'!N550,'Retirement Calculator'!A:A,0),0),0)</f>
        <v>20282.026119384056</v>
      </c>
      <c r="K550" s="455">
        <f t="shared" ca="1" si="53"/>
        <v>1607.1825756295875</v>
      </c>
      <c r="L550" s="455">
        <f t="shared" ca="1" si="54"/>
        <v>387331.00072673056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387331.00072673056</v>
      </c>
      <c r="J551" s="455">
        <f t="array" ref="J551">IFERROR(INDEX('Retirement Calculator'!K:K,MATCH('Lorri 401b'!N551,'Retirement Calculator'!A:A,0),0),0)</f>
        <v>20282.026119384056</v>
      </c>
      <c r="K551" s="455">
        <f t="shared" ca="1" si="53"/>
        <v>1529.3707275306106</v>
      </c>
      <c r="L551" s="455">
        <f t="shared" ca="1" si="54"/>
        <v>368578.34533487714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368578.34533487714</v>
      </c>
      <c r="J552" s="455">
        <f t="array" ref="J552">IFERROR(INDEX('Retirement Calculator'!K:K,MATCH('Lorri 401b'!N552,'Retirement Calculator'!A:A,0),0),0)</f>
        <v>20282.026119384056</v>
      </c>
      <c r="K552" s="455">
        <f t="shared" ca="1" si="53"/>
        <v>1451.234663397888</v>
      </c>
      <c r="L552" s="455">
        <f t="shared" ca="1" si="54"/>
        <v>349747.55387889099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349747.55387889099</v>
      </c>
      <c r="J553" s="455">
        <f t="array" ref="J553">IFERROR(INDEX('Retirement Calculator'!K:K,MATCH('Lorri 401b'!N553,'Retirement Calculator'!A:A,0),0),0)</f>
        <v>20282.026119384056</v>
      </c>
      <c r="K553" s="455">
        <f t="shared" ca="1" si="53"/>
        <v>1372.773032331279</v>
      </c>
      <c r="L553" s="455">
        <f t="shared" ca="1" si="54"/>
        <v>330838.30079183821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330838.30079183821</v>
      </c>
      <c r="J554" s="455">
        <f t="array" ref="J554">IFERROR(INDEX('Retirement Calculator'!K:K,MATCH('Lorri 401b'!N554,'Retirement Calculator'!A:A,0),0),0)</f>
        <v>20282.026119384056</v>
      </c>
      <c r="K554" s="455">
        <f t="shared" ca="1" si="53"/>
        <v>1293.9844778018924</v>
      </c>
      <c r="L554" s="455">
        <f t="shared" ca="1" si="54"/>
        <v>311850.25915025605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311850.25915025605</v>
      </c>
      <c r="J555" s="455">
        <f t="array" ref="J555">IFERROR(INDEX('Retirement Calculator'!K:K,MATCH('Lorri 401b'!N555,'Retirement Calculator'!A:A,0),0),0)</f>
        <v>20282.026119384056</v>
      </c>
      <c r="K555" s="455">
        <f t="shared" ca="1" si="53"/>
        <v>1214.8676376286335</v>
      </c>
      <c r="L555" s="455">
        <f t="shared" ca="1" si="54"/>
        <v>292783.10066850064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292783.10066850064</v>
      </c>
      <c r="J556" s="455">
        <f t="array" ref="J556">IFERROR(INDEX('Retirement Calculator'!K:K,MATCH('Lorri 401b'!N556,'Retirement Calculator'!A:A,0),0),0)</f>
        <v>20282.026119384056</v>
      </c>
      <c r="K556" s="455">
        <f t="shared" ca="1" si="53"/>
        <v>1135.4211439546525</v>
      </c>
      <c r="L556" s="455">
        <f t="shared" ca="1" si="54"/>
        <v>273636.49569307128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273636.49569307128</v>
      </c>
      <c r="J557" s="455">
        <f t="array" ref="J557">IFERROR(INDEX('Retirement Calculator'!K:K,MATCH('Lorri 401b'!N557,'Retirement Calculator'!A:A,0),0),0)</f>
        <v>20282.026119384056</v>
      </c>
      <c r="K557" s="455">
        <f t="shared" ca="1" si="53"/>
        <v>1055.643623223697</v>
      </c>
      <c r="L557" s="455">
        <f t="shared" ca="1" si="54"/>
        <v>254410.11319691094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254410.11319691094</v>
      </c>
      <c r="J558" s="455">
        <f t="array" ref="J558">IFERROR(INDEX('Retirement Calculator'!K:K,MATCH('Lorri 401b'!N558,'Retirement Calculator'!A:A,0),0),0)</f>
        <v>20282.026119384056</v>
      </c>
      <c r="K558" s="455">
        <f t="shared" ca="1" si="53"/>
        <v>975.533696156362</v>
      </c>
      <c r="L558" s="455">
        <f t="shared" ca="1" si="54"/>
        <v>235103.62077368327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235103.62077368327</v>
      </c>
      <c r="J559" s="455">
        <f t="array" ref="J559">IFERROR(INDEX('Retirement Calculator'!K:K,MATCH('Lorri 401b'!N559,'Retirement Calculator'!A:A,0),0),0)</f>
        <v>20282.026119384056</v>
      </c>
      <c r="K559" s="455">
        <f t="shared" ca="1" si="53"/>
        <v>895.08997772624662</v>
      </c>
      <c r="L559" s="455">
        <f t="shared" ca="1" si="54"/>
        <v>215716.68463202546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215716.68463202546</v>
      </c>
      <c r="J560" s="455">
        <f t="array" ref="J560">IFERROR(INDEX('Retirement Calculator'!K:K,MATCH('Lorri 401b'!N560,'Retirement Calculator'!A:A,0),0),0)</f>
        <v>20282.026119384056</v>
      </c>
      <c r="K560" s="455">
        <f t="shared" ca="1" si="53"/>
        <v>814.31107713600579</v>
      </c>
      <c r="L560" s="455">
        <f t="shared" ca="1" si="54"/>
        <v>196248.96958977738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196248.96958977738</v>
      </c>
      <c r="J561" s="455">
        <f t="array" ref="J561">IFERROR(INDEX('Retirement Calculator'!K:K,MATCH('Lorri 401b'!N561,'Retirement Calculator'!A:A,0),0),0)</f>
        <v>20282.026119384056</v>
      </c>
      <c r="K561" s="455">
        <f t="shared" ca="1" si="53"/>
        <v>733.19559779330541</v>
      </c>
      <c r="L561" s="455">
        <f t="shared" ca="1" si="54"/>
        <v>176700.1390681866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176700.1390681866</v>
      </c>
      <c r="J562" s="455">
        <f t="array" ref="J562">IFERROR(INDEX('Retirement Calculator'!K:K,MATCH('Lorri 401b'!N562,'Retirement Calculator'!A:A,0),0),0)</f>
        <v>20282.026119384056</v>
      </c>
      <c r="K562" s="455">
        <f t="shared" ca="1" si="53"/>
        <v>651.74213728667723</v>
      </c>
      <c r="L562" s="455">
        <f t="shared" ca="1" si="54"/>
        <v>157069.8550860892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157069.8550860892</v>
      </c>
      <c r="J563" s="455">
        <f t="array" ref="J563">IFERROR(INDEX('Retirement Calculator'!K:K,MATCH('Lorri 401b'!N563,'Retirement Calculator'!A:A,0),0),0)</f>
        <v>20282.026119384056</v>
      </c>
      <c r="K563" s="455">
        <f t="shared" ca="1" si="53"/>
        <v>569.94928736127133</v>
      </c>
      <c r="L563" s="455">
        <f t="shared" ca="1" si="54"/>
        <v>137357.77825406639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137357.77825406639</v>
      </c>
      <c r="J564" s="455">
        <f t="array" ref="J564">IFERROR(INDEX('Retirement Calculator'!K:K,MATCH('Lorri 401b'!N564,'Retirement Calculator'!A:A,0),0),0)</f>
        <v>20282.026119384056</v>
      </c>
      <c r="K564" s="455">
        <f t="shared" ca="1" si="53"/>
        <v>487.81563389450974</v>
      </c>
      <c r="L564" s="455">
        <f t="shared" ca="1" si="54"/>
        <v>117563.56776857685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117563.56776857685</v>
      </c>
      <c r="J565" s="455">
        <f t="array" ref="J565">IFERROR(INDEX('Retirement Calculator'!K:K,MATCH('Lorri 401b'!N565,'Retirement Calculator'!A:A,0),0),0)</f>
        <v>20282.026119384056</v>
      </c>
      <c r="K565" s="455">
        <f t="shared" ca="1" si="53"/>
        <v>405.33975687163661</v>
      </c>
      <c r="L565" s="455">
        <f t="shared" ca="1" si="54"/>
        <v>97686.881406064422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97686.881406064422</v>
      </c>
      <c r="J566" s="455">
        <f t="array" ref="J566">IFERROR(INDEX('Retirement Calculator'!K:K,MATCH('Lorri 401b'!N566,'Retirement Calculator'!A:A,0),0),0)</f>
        <v>20282.026119384056</v>
      </c>
      <c r="K566" s="455">
        <f t="shared" ca="1" si="53"/>
        <v>322.52023036116816</v>
      </c>
      <c r="L566" s="455">
        <f t="shared" ca="1" si="54"/>
        <v>77727.375517041539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77727.375517041539</v>
      </c>
      <c r="J567" s="455">
        <f t="array" ref="J567">IFERROR(INDEX('Retirement Calculator'!K:K,MATCH('Lorri 401b'!N567,'Retirement Calculator'!A:A,0),0),0)</f>
        <v>20282.026119384056</v>
      </c>
      <c r="K567" s="455">
        <f t="shared" ca="1" si="53"/>
        <v>239.35562249023954</v>
      </c>
      <c r="L567" s="455">
        <f t="shared" ca="1" si="54"/>
        <v>57684.705020147725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57684.705020147725</v>
      </c>
      <c r="J568" s="455">
        <f t="array" ref="J568">IFERROR(INDEX('Retirement Calculator'!K:K,MATCH('Lorri 401b'!N568,'Retirement Calculator'!A:A,0),0),0)</f>
        <v>20282.026119384056</v>
      </c>
      <c r="K568" s="455">
        <f t="shared" ca="1" si="53"/>
        <v>155.84449541984861</v>
      </c>
      <c r="L568" s="455">
        <f t="shared" ca="1" si="54"/>
        <v>37558.523396183518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37558.523396183518</v>
      </c>
      <c r="J569" s="455">
        <f t="array" ref="J569">IFERROR(INDEX('Retirement Calculator'!K:K,MATCH('Lorri 401b'!N569,'Retirement Calculator'!A:A,0),0),0)</f>
        <v>20282.026119384056</v>
      </c>
      <c r="K569" s="455">
        <f t="shared" ca="1" si="53"/>
        <v>71.985405319997753</v>
      </c>
      <c r="L569" s="455">
        <f t="shared" ca="1" si="54"/>
        <v>17348.482682119458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17348.482682119458</v>
      </c>
      <c r="J570" s="455">
        <f t="array" ref="J570">IFERROR(INDEX('Retirement Calculator'!K:K,MATCH('Lorri 401b'!N570,'Retirement Calculator'!A:A,0),0),0)</f>
        <v>20282.026119384056</v>
      </c>
      <c r="K570" s="455">
        <f t="shared" ca="1" si="53"/>
        <v>-12.223097655269157</v>
      </c>
      <c r="L570" s="455">
        <f t="shared" ca="1" si="54"/>
        <v>-2945.7665349198669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-2945.7665349198669</v>
      </c>
      <c r="J571" s="455">
        <f t="array" ref="J571">IFERROR(INDEX('Retirement Calculator'!K:K,MATCH('Lorri 401b'!N571,'Retirement Calculator'!A:A,0),0),0)</f>
        <v>20282.026119384056</v>
      </c>
      <c r="K571" s="455">
        <f t="shared" ca="1" si="53"/>
        <v>-96.78246939293301</v>
      </c>
      <c r="L571" s="455">
        <f t="shared" ca="1" si="54"/>
        <v>-23324.575123696854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-23324.575123696854</v>
      </c>
      <c r="J572" s="455">
        <f t="array" ref="J572">IFERROR(INDEX('Retirement Calculator'!K:K,MATCH('Lorri 401b'!N572,'Retirement Calculator'!A:A,0),0),0)</f>
        <v>20282.026119384056</v>
      </c>
      <c r="K572" s="455">
        <f t="shared" ca="1" si="53"/>
        <v>-181.69417184617043</v>
      </c>
      <c r="L572" s="455">
        <f t="shared" ca="1" si="54"/>
        <v>-43788.295414927074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-43788.295414927074</v>
      </c>
      <c r="J573" s="455">
        <f t="array" ref="J573">IFERROR(INDEX('Retirement Calculator'!K:K,MATCH('Lorri 401b'!N573,'Retirement Calculator'!A:A,0),0),0)</f>
        <v>20282.026119384056</v>
      </c>
      <c r="K573" s="455">
        <f t="shared" ca="1" si="53"/>
        <v>-266.95967305962967</v>
      </c>
      <c r="L573" s="455">
        <f t="shared" ca="1" si="54"/>
        <v>-64337.281207370761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-64337.281207370761</v>
      </c>
      <c r="J574" s="455">
        <f t="array" ref="J574">IFERROR(INDEX('Retirement Calculator'!K:K,MATCH('Lorri 401b'!N574,'Retirement Calculator'!A:A,0),0),0)</f>
        <v>20282.026119384056</v>
      </c>
      <c r="K574" s="455">
        <f t="shared" ca="1" si="53"/>
        <v>-352.58044719481171</v>
      </c>
      <c r="L574" s="455">
        <f t="shared" ca="1" si="54"/>
        <v>-84971.887773949624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-84971.887773949624</v>
      </c>
      <c r="J575" s="455">
        <f t="array" ref="J575">IFERROR(INDEX('Retirement Calculator'!K:K,MATCH('Lorri 401b'!N575,'Retirement Calculator'!A:A,0),0),0)</f>
        <v>20282.026119384056</v>
      </c>
      <c r="K575" s="455">
        <f t="shared" ca="1" si="53"/>
        <v>-438.55797455555705</v>
      </c>
      <c r="L575" s="455">
        <f t="shared" ca="1" si="54"/>
        <v>-105692.47186788924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-105692.47186788924</v>
      </c>
      <c r="J576" s="455">
        <f t="array" ref="J576">IFERROR(INDEX('Retirement Calculator'!K:K,MATCH('Lorri 401b'!N576,'Retirement Calculator'!A:A,0),0),0)</f>
        <v>20282.026119384056</v>
      </c>
      <c r="K576" s="455">
        <f t="shared" ca="1" si="53"/>
        <v>-524.89374161363867</v>
      </c>
      <c r="L576" s="455">
        <f t="shared" ca="1" si="54"/>
        <v>-126499.39172888693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-126499.39172888693</v>
      </c>
      <c r="J577" s="455">
        <f t="array" ref="J577">IFERROR(INDEX('Retirement Calculator'!K:K,MATCH('Lorri 401b'!N577,'Retirement Calculator'!A:A,0),0),0)</f>
        <v>20282.026119384056</v>
      </c>
      <c r="K577" s="455">
        <f t="shared" ca="1" si="53"/>
        <v>-611.58924103446236</v>
      </c>
      <c r="L577" s="455">
        <f t="shared" ca="1" si="54"/>
        <v>-147393.00708930544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-147393.00708930544</v>
      </c>
      <c r="J578" s="455">
        <f t="array" ref="J578">IFERROR(INDEX('Retirement Calculator'!K:K,MATCH('Lorri 401b'!N578,'Retirement Calculator'!A:A,0),0),0)</f>
        <v>20282.026119384056</v>
      </c>
      <c r="K578" s="455">
        <f t="shared" ca="1" si="53"/>
        <v>-698.64597170287277</v>
      </c>
      <c r="L578" s="455">
        <f t="shared" ca="1" si="54"/>
        <v>-168373.67918039236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-168373.67918039236</v>
      </c>
      <c r="J579" s="455">
        <f t="array" ref="J579">IFERROR(INDEX('Retirement Calculator'!K:K,MATCH('Lorri 401b'!N579,'Retirement Calculator'!A:A,0),0),0)</f>
        <v>20282.026119384056</v>
      </c>
      <c r="K579" s="455">
        <f t="shared" ca="1" si="53"/>
        <v>-786.06543874906833</v>
      </c>
      <c r="L579" s="455">
        <f t="shared" ca="1" si="54"/>
        <v>-189441.77073852546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-189441.77073852546</v>
      </c>
      <c r="J580" s="455">
        <f t="array" ref="J580">IFERROR(INDEX('Retirement Calculator'!K:K,MATCH('Lorri 401b'!N580,'Retirement Calculator'!A:A,0),0),0)</f>
        <v>20282.026119384056</v>
      </c>
      <c r="K580" s="455">
        <f t="shared" ca="1" si="53"/>
        <v>-873.84915357462296</v>
      </c>
      <c r="L580" s="455">
        <f t="shared" ca="1" si="54"/>
        <v>-210597.64601148415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-210597.64601148415</v>
      </c>
      <c r="J581" s="455">
        <f t="array" ref="J581">IFERROR(INDEX('Retirement Calculator'!K:K,MATCH('Lorri 401b'!N581,'Retirement Calculator'!A:A,0),0),0)</f>
        <v>20282.026119384056</v>
      </c>
      <c r="K581" s="455">
        <f t="shared" ca="1" si="53"/>
        <v>-961.9986338786174</v>
      </c>
      <c r="L581" s="455">
        <f t="shared" ca="1" si="54"/>
        <v>-231841.67076474681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-231841.67076474681</v>
      </c>
      <c r="J582" s="455">
        <f t="array" ref="J582">IFERROR(INDEX('Retirement Calculator'!K:K,MATCH('Lorri 401b'!N582,'Retirement Calculator'!A:A,0),0),0)</f>
        <v>20282.026119384056</v>
      </c>
      <c r="K582" s="455">
        <f t="shared" ca="1" si="53"/>
        <v>-1050.5154036838787</v>
      </c>
      <c r="L582" s="455">
        <f t="shared" ca="1" si="54"/>
        <v>-253174.21228781476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-253174.21228781476</v>
      </c>
      <c r="J583" s="455">
        <f t="array" ref="J583">IFERROR(INDEX('Retirement Calculator'!K:K,MATCH('Lorri 401b'!N583,'Retirement Calculator'!A:A,0),0),0)</f>
        <v>20282.026119384056</v>
      </c>
      <c r="K583" s="455">
        <f t="shared" ca="1" si="53"/>
        <v>-1139.4009933633283</v>
      </c>
      <c r="L583" s="455">
        <f t="shared" ca="1" si="54"/>
        <v>-274595.63940056216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-274595.63940056216</v>
      </c>
      <c r="J584" s="455">
        <f t="array" ref="J584">IFERROR(INDEX('Retirement Calculator'!K:K,MATCH('Lorri 401b'!N584,'Retirement Calculator'!A:A,0),0),0)</f>
        <v>20282.026119384056</v>
      </c>
      <c r="K584" s="455">
        <f t="shared" ca="1" si="53"/>
        <v>-1228.6569396664424</v>
      </c>
      <c r="L584" s="455">
        <f t="shared" ca="1" si="54"/>
        <v>-296106.32245961262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-296106.32245961262</v>
      </c>
      <c r="J585" s="455">
        <f t="array" ref="J585">IFERROR(INDEX('Retirement Calculator'!K:K,MATCH('Lorri 401b'!N585,'Retirement Calculator'!A:A,0),0),0)</f>
        <v>20282.026119384056</v>
      </c>
      <c r="K585" s="455">
        <f t="shared" ca="1" si="53"/>
        <v>-1318.2847857458194</v>
      </c>
      <c r="L585" s="455">
        <f t="shared" ca="1" si="54"/>
        <v>-317706.63336474251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-317706.63336474251</v>
      </c>
      <c r="J586" s="455">
        <f t="array" ref="J586">IFERROR(INDEX('Retirement Calculator'!K:K,MATCH('Lorri 401b'!N586,'Retirement Calculator'!A:A,0),0),0)</f>
        <v>20282.026119384056</v>
      </c>
      <c r="K586" s="455">
        <f t="shared" ca="1" si="53"/>
        <v>-1408.2860811838607</v>
      </c>
      <c r="L586" s="455">
        <f t="shared" ca="1" si="54"/>
        <v>-339396.94556531042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-339396.94556531042</v>
      </c>
      <c r="J587" s="455">
        <f t="array" ref="J587">IFERROR(INDEX('Retirement Calculator'!K:K,MATCH('Lorri 401b'!N587,'Retirement Calculator'!A:A,0),0),0)</f>
        <v>20282.026119384056</v>
      </c>
      <c r="K587" s="455">
        <f t="shared" ca="1" si="53"/>
        <v>-1498.6623820195603</v>
      </c>
      <c r="L587" s="455">
        <f t="shared" ca="1" si="54"/>
        <v>-361177.63406671403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-361177.63406671403</v>
      </c>
      <c r="J588" s="455">
        <f t="array" ref="J588">IFERROR(INDEX('Retirement Calculator'!K:K,MATCH('Lorri 401b'!N588,'Retirement Calculator'!A:A,0),0),0)</f>
        <v>20282.026119384056</v>
      </c>
      <c r="K588" s="455">
        <f t="shared" ca="1" si="53"/>
        <v>-1589.4152507754086</v>
      </c>
      <c r="L588" s="455">
        <f t="shared" ca="1" si="54"/>
        <v>-383049.07543687348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-383049.07543687348</v>
      </c>
      <c r="J589" s="455">
        <f t="array" ref="J589">IFERROR(INDEX('Retirement Calculator'!K:K,MATCH('Lorri 401b'!N589,'Retirement Calculator'!A:A,0),0),0)</f>
        <v>20282.026119384056</v>
      </c>
      <c r="K589" s="455">
        <f t="shared" ca="1" si="53"/>
        <v>-1680.5462564844063</v>
      </c>
      <c r="L589" s="455">
        <f t="shared" ca="1" si="54"/>
        <v>-405011.64781274193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-405011.64781274193</v>
      </c>
      <c r="J590" s="455">
        <f t="array" ref="J590">IFERROR(INDEX('Retirement Calculator'!K:K,MATCH('Lorri 401b'!N590,'Retirement Calculator'!A:A,0),0),0)</f>
        <v>20282.026119384056</v>
      </c>
      <c r="K590" s="455">
        <f t="shared" ca="1" si="53"/>
        <v>-1772.0569747171915</v>
      </c>
      <c r="L590" s="455">
        <f t="shared" ca="1" si="54"/>
        <v>-427065.73090684315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-427065.73090684315</v>
      </c>
      <c r="J591" s="455">
        <f t="array" ref="J591">IFERROR(INDEX('Retirement Calculator'!K:K,MATCH('Lorri 401b'!N591,'Retirement Calculator'!A:A,0),0),0)</f>
        <v>20282.026119384056</v>
      </c>
      <c r="K591" s="455">
        <f t="shared" ca="1" si="53"/>
        <v>-1863.9489876092796</v>
      </c>
      <c r="L591" s="455">
        <f t="shared" ca="1" si="54"/>
        <v>-449211.70601383649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-449211.70601383649</v>
      </c>
      <c r="J592" s="455">
        <f t="array" ref="J592">IFERROR(INDEX('Retirement Calculator'!K:K,MATCH('Lorri 401b'!N592,'Retirement Calculator'!A:A,0),0),0)</f>
        <v>20282.026119384056</v>
      </c>
      <c r="K592" s="455">
        <f t="shared" ca="1" si="53"/>
        <v>-1956.2238838884189</v>
      </c>
      <c r="L592" s="455">
        <f t="shared" ca="1" si="54"/>
        <v>-471449.95601710893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-471449.95601710893</v>
      </c>
      <c r="J593" s="455">
        <f t="array" ref="J593">IFERROR(INDEX('Retirement Calculator'!K:K,MATCH('Lorri 401b'!N593,'Retirement Calculator'!A:A,0),0),0)</f>
        <v>20282.026119384056</v>
      </c>
      <c r="K593" s="455">
        <f t="shared" ca="1" si="53"/>
        <v>-2048.883258902054</v>
      </c>
      <c r="L593" s="455">
        <f t="shared" ca="1" si="54"/>
        <v>-493780.86539539503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-493780.86539539503</v>
      </c>
      <c r="J594" s="455">
        <f t="array" ref="J594">IFERROR(INDEX('Retirement Calculator'!K:K,MATCH('Lorri 401b'!N594,'Retirement Calculator'!A:A,0),0),0)</f>
        <v>20282.026119384056</v>
      </c>
      <c r="K594" s="455">
        <f t="shared" ca="1" si="53"/>
        <v>-2141.9287146449128</v>
      </c>
      <c r="L594" s="455">
        <f t="shared" ca="1" si="54"/>
        <v>-516204.82022942399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-516204.82022942399</v>
      </c>
      <c r="J595" s="455">
        <f t="array" ref="J595">IFERROR(INDEX('Retirement Calculator'!K:K,MATCH('Lorri 401b'!N595,'Retirement Calculator'!A:A,0),0),0)</f>
        <v>20282.026119384056</v>
      </c>
      <c r="K595" s="455">
        <f t="shared" ca="1" si="53"/>
        <v>-2235.3618597867003</v>
      </c>
      <c r="L595" s="455">
        <f t="shared" ca="1" si="54"/>
        <v>-538722.2082085947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-538722.2082085947</v>
      </c>
      <c r="J596" s="455">
        <f t="array" ref="J596">IFERROR(INDEX('Retirement Calculator'!K:K,MATCH('Lorri 401b'!N596,'Retirement Calculator'!A:A,0),0),0)</f>
        <v>20282.026119384056</v>
      </c>
      <c r="K596" s="455">
        <f t="shared" ca="1" si="53"/>
        <v>-2329.1843096999119</v>
      </c>
      <c r="L596" s="455">
        <f t="shared" ca="1" si="54"/>
        <v>-561333.41863767873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-561333.41863767873</v>
      </c>
      <c r="J597" s="455">
        <f t="array" ref="J597">IFERROR(INDEX('Retirement Calculator'!K:K,MATCH('Lorri 401b'!N597,'Retirement Calculator'!A:A,0),0),0)</f>
        <v>20282.026119384056</v>
      </c>
      <c r="K597" s="455">
        <f t="shared" ca="1" si="53"/>
        <v>-2423.3976864877618</v>
      </c>
      <c r="L597" s="455">
        <f t="shared" ca="1" si="54"/>
        <v>-584038.84244355059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-584038.84244355059</v>
      </c>
      <c r="J598" s="455">
        <f t="array" ref="J598">IFERROR(INDEX('Retirement Calculator'!K:K,MATCH('Lorri 401b'!N598,'Retirement Calculator'!A:A,0),0),0)</f>
        <v>20282.026119384056</v>
      </c>
      <c r="K598" s="455">
        <f t="shared" ca="1" si="53"/>
        <v>-2518.0036190122278</v>
      </c>
      <c r="L598" s="455">
        <f t="shared" ca="1" si="54"/>
        <v>-606838.87218194688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-606838.87218194688</v>
      </c>
      <c r="J599" s="455">
        <f t="array" ref="J599">IFERROR(INDEX('Retirement Calculator'!K:K,MATCH('Lorri 401b'!N599,'Retirement Calculator'!A:A,0),0),0)</f>
        <v>20282.026119384056</v>
      </c>
      <c r="K599" s="455">
        <f t="shared" ca="1" si="53"/>
        <v>-2613.0037429222125</v>
      </c>
      <c r="L599" s="455">
        <f t="shared" ca="1" si="54"/>
        <v>-629733.90204425319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-629733.90204425319</v>
      </c>
      <c r="J600" s="455">
        <f t="array" ref="J600">IFERROR(INDEX('Retirement Calculator'!K:K,MATCH('Lorri 401b'!N600,'Retirement Calculator'!A:A,0),0),0)</f>
        <v>20282.026119384056</v>
      </c>
      <c r="K600" s="455">
        <f t="shared" ca="1" si="53"/>
        <v>-2708.3997006818222</v>
      </c>
      <c r="L600" s="455">
        <f t="shared" ca="1" si="54"/>
        <v>-652724.32786431909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-652724.32786431909</v>
      </c>
      <c r="J601" s="455">
        <f t="array" ref="J601">IFERROR(INDEX('Retirement Calculator'!K:K,MATCH('Lorri 401b'!N601,'Retirement Calculator'!A:A,0),0),0)</f>
        <v>20282.026119384056</v>
      </c>
      <c r="K601" s="455">
        <f t="shared" ca="1" si="53"/>
        <v>-2804.1931415987633</v>
      </c>
      <c r="L601" s="455">
        <f t="shared" ca="1" si="54"/>
        <v>-675810.54712530191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-675810.54712530191</v>
      </c>
      <c r="J602" s="455">
        <f t="array" ref="J602">IFERROR(INDEX('Retirement Calculator'!K:K,MATCH('Lorri 401b'!N602,'Retirement Calculator'!A:A,0),0),0)</f>
        <v>20282.026119384056</v>
      </c>
      <c r="K602" s="455">
        <f t="shared" ca="1" si="53"/>
        <v>-2900.3857218528583</v>
      </c>
      <c r="L602" s="455">
        <f t="shared" ca="1" si="54"/>
        <v>-698992.95896653889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-698992.95896653889</v>
      </c>
      <c r="J603" s="455">
        <f t="array" ref="J603">IFERROR(INDEX('Retirement Calculator'!K:K,MATCH('Lorri 401b'!N603,'Retirement Calculator'!A:A,0),0),0)</f>
        <v>20282.026119384056</v>
      </c>
      <c r="K603" s="455">
        <f t="shared" ca="1" si="53"/>
        <v>-2996.9791045246793</v>
      </c>
      <c r="L603" s="455">
        <f t="shared" ca="1" si="54"/>
        <v>-722271.9641904477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-722271.9641904477</v>
      </c>
      <c r="J604" s="455">
        <f t="array" ref="J604">IFERROR(INDEX('Retirement Calculator'!K:K,MATCH('Lorri 401b'!N604,'Retirement Calculator'!A:A,0),0),0)</f>
        <v>20282.026119384056</v>
      </c>
      <c r="K604" s="455">
        <f t="shared" ca="1" si="53"/>
        <v>-3093.9749596242991</v>
      </c>
      <c r="L604" s="455">
        <f t="shared" ca="1" si="54"/>
        <v>-745647.96526945615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-745647.96526945615</v>
      </c>
      <c r="J605" s="455">
        <f t="array" ref="J605">IFERROR(INDEX('Retirement Calculator'!K:K,MATCH('Lorri 401b'!N605,'Retirement Calculator'!A:A,0),0),0)</f>
        <v>20282.026119384056</v>
      </c>
      <c r="K605" s="455">
        <f t="shared" ca="1" si="53"/>
        <v>-3191.3749641201675</v>
      </c>
      <c r="L605" s="455">
        <f t="shared" ca="1" si="54"/>
        <v>-769121.36635296047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-769121.36635296047</v>
      </c>
      <c r="J606" s="455">
        <f t="array" ref="J606">IFERROR(INDEX('Retirement Calculator'!K:K,MATCH('Lorri 401b'!N606,'Retirement Calculator'!A:A,0),0),0)</f>
        <v>20282.026119384056</v>
      </c>
      <c r="K606" s="455">
        <f t="shared" ca="1" si="53"/>
        <v>-3289.1808019681025</v>
      </c>
      <c r="L606" s="455">
        <f t="shared" ca="1" si="54"/>
        <v>-792692.57327431266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-792692.57327431266</v>
      </c>
      <c r="J607" s="455">
        <f t="array" ref="J607">IFERROR(INDEX('Retirement Calculator'!K:K,MATCH('Lorri 401b'!N607,'Retirement Calculator'!A:A,0),0),0)</f>
        <v>20282.026119384056</v>
      </c>
      <c r="K607" s="455">
        <f t="shared" ca="1" si="53"/>
        <v>-3387.3941641404031</v>
      </c>
      <c r="L607" s="455">
        <f t="shared" ca="1" si="54"/>
        <v>-816361.99355783721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-816361.99355783721</v>
      </c>
      <c r="J608" s="455">
        <f t="array" ref="J608">IFERROR(INDEX('Retirement Calculator'!K:K,MATCH('Lorri 401b'!N608,'Retirement Calculator'!A:A,0),0),0)</f>
        <v>20282.026119384056</v>
      </c>
      <c r="K608" s="455">
        <f t="shared" ca="1" si="53"/>
        <v>-3486.016748655089</v>
      </c>
      <c r="L608" s="455">
        <f t="shared" ca="1" si="54"/>
        <v>-840130.03642587643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-840130.03642587643</v>
      </c>
      <c r="J609" s="455">
        <f t="array" ref="J609">IFERROR(INDEX('Retirement Calculator'!K:K,MATCH('Lorri 401b'!N609,'Retirement Calculator'!A:A,0),0),0)</f>
        <v>20282.026119384056</v>
      </c>
      <c r="K609" s="455">
        <f t="shared" ca="1" si="53"/>
        <v>-3585.0502606052523</v>
      </c>
      <c r="L609" s="455">
        <f t="shared" ca="1" si="54"/>
        <v>-863997.11280586582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-863997.11280586582</v>
      </c>
      <c r="J610" s="455">
        <f t="array" ref="J610">IFERROR(INDEX('Retirement Calculator'!K:K,MATCH('Lorri 401b'!N610,'Retirement Calculator'!A:A,0),0),0)</f>
        <v>20282.026119384056</v>
      </c>
      <c r="K610" s="455">
        <f t="shared" ca="1" si="53"/>
        <v>-3684.4964121885409</v>
      </c>
      <c r="L610" s="455">
        <f t="shared" ca="1" si="54"/>
        <v>-887963.63533743843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-887963.63533743843</v>
      </c>
      <c r="J611" s="455">
        <f t="array" ref="J611">IFERROR(INDEX('Retirement Calculator'!K:K,MATCH('Lorri 401b'!N611,'Retirement Calculator'!A:A,0),0),0)</f>
        <v>20282.026119384056</v>
      </c>
      <c r="K611" s="455">
        <f t="shared" ca="1" si="53"/>
        <v>-3784.3569227367611</v>
      </c>
      <c r="L611" s="455">
        <f t="shared" ca="1" si="54"/>
        <v>-912030.01837955927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-912030.01837955927</v>
      </c>
      <c r="J612" s="455">
        <f t="array" ref="J612">IFERROR(INDEX('Retirement Calculator'!K:K,MATCH('Lorri 401b'!N612,'Retirement Calculator'!A:A,0),0),0)</f>
        <v>20282.026119384056</v>
      </c>
      <c r="K612" s="455">
        <f t="shared" ca="1" si="53"/>
        <v>-3884.6335187455979</v>
      </c>
      <c r="L612" s="455">
        <f t="shared" ca="1" si="54"/>
        <v>-936196.67801768892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-936196.67801768892</v>
      </c>
      <c r="J613" s="455">
        <f t="array" ref="J613">IFERROR(INDEX('Retirement Calculator'!K:K,MATCH('Lorri 401b'!N613,'Retirement Calculator'!A:A,0),0),0)</f>
        <v>20282.026119384056</v>
      </c>
      <c r="K613" s="455">
        <f t="shared" ca="1" si="53"/>
        <v>-3985.3279339044707</v>
      </c>
      <c r="L613" s="455">
        <f t="shared" ca="1" si="54"/>
        <v>-960464.0320709775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-960464.0320709775</v>
      </c>
      <c r="J614" s="455">
        <f t="array" ref="J614">IFERROR(INDEX('Retirement Calculator'!K:K,MATCH('Lorri 401b'!N614,'Retirement Calculator'!A:A,0),0),0)</f>
        <v>20282.026119384056</v>
      </c>
      <c r="K614" s="455">
        <f t="shared" ca="1" si="53"/>
        <v>-4086.4419091265072</v>
      </c>
      <c r="L614" s="455">
        <f t="shared" ca="1" si="54"/>
        <v>-984832.50009948807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-984832.50009948807</v>
      </c>
      <c r="J615" s="455">
        <f t="array" ref="J615">IFERROR(INDEX('Retirement Calculator'!K:K,MATCH('Lorri 401b'!N615,'Retirement Calculator'!A:A,0),0),0)</f>
        <v>20282.026119384056</v>
      </c>
      <c r="K615" s="455">
        <f t="shared" ca="1" si="53"/>
        <v>-4187.9771925786335</v>
      </c>
      <c r="L615" s="455">
        <f t="shared" ca="1" si="54"/>
        <v>-1009302.5034114508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-1009302.5034114508</v>
      </c>
      <c r="J616" s="455">
        <f t="array" ref="J616">IFERROR(INDEX('Retirement Calculator'!K:K,MATCH('Lorri 401b'!N616,'Retirement Calculator'!A:A,0),0),0)</f>
        <v>20282.026119384056</v>
      </c>
      <c r="K616" s="455">
        <f t="shared" ca="1" si="53"/>
        <v>-4289.9355397118115</v>
      </c>
      <c r="L616" s="455">
        <f t="shared" ca="1" si="54"/>
        <v>-1033874.4650705467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-1033874.4650705467</v>
      </c>
      <c r="J617" s="455">
        <f t="array" ref="J617">IFERROR(INDEX('Retirement Calculator'!K:K,MATCH('Lorri 401b'!N617,'Retirement Calculator'!A:A,0),0),0)</f>
        <v>20282.026119384056</v>
      </c>
      <c r="K617" s="455">
        <f t="shared" ca="1" si="53"/>
        <v>-4392.3187132913781</v>
      </c>
      <c r="L617" s="455">
        <f t="shared" ca="1" si="54"/>
        <v>-1058548.8099032221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-1058548.8099032221</v>
      </c>
      <c r="J618" s="455">
        <f t="array" ref="J618">IFERROR(INDEX('Retirement Calculator'!K:K,MATCH('Lorri 401b'!N618,'Retirement Calculator'!A:A,0),0),0)</f>
        <v>20282.026119384056</v>
      </c>
      <c r="K618" s="455">
        <f t="shared" ca="1" si="53"/>
        <v>-4495.1284834275257</v>
      </c>
      <c r="L618" s="455">
        <f t="shared" ca="1" si="54"/>
        <v>-1083325.9645060336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-1083325.9645060336</v>
      </c>
      <c r="J619" s="455">
        <f t="array" ref="J619">IFERROR(INDEX('Retirement Calculator'!K:K,MATCH('Lorri 401b'!N619,'Retirement Calculator'!A:A,0),0),0)</f>
        <v>20282.026119384056</v>
      </c>
      <c r="K619" s="455">
        <f t="shared" ca="1" si="53"/>
        <v>-4598.3666276059066</v>
      </c>
      <c r="L619" s="455">
        <f t="shared" ca="1" si="54"/>
        <v>-1108206.3572530234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-1108206.3572530234</v>
      </c>
      <c r="J620" s="455">
        <f t="array" ref="J620">IFERROR(INDEX('Retirement Calculator'!K:K,MATCH('Lorri 401b'!N620,'Retirement Calculator'!A:A,0),0),0)</f>
        <v>20282.026119384056</v>
      </c>
      <c r="K620" s="455">
        <f t="shared" ca="1" si="53"/>
        <v>-4702.0349307183642</v>
      </c>
      <c r="L620" s="455">
        <f t="shared" ca="1" si="54"/>
        <v>-1133190.4183031258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-1133190.4183031258</v>
      </c>
      <c r="J621" s="455">
        <f t="array" ref="J621">IFERROR(INDEX('Retirement Calculator'!K:K,MATCH('Lorri 401b'!N621,'Retirement Calculator'!A:A,0),0),0)</f>
        <v>20282.026119384056</v>
      </c>
      <c r="K621" s="455">
        <f t="shared" ca="1" si="53"/>
        <v>-4806.1351850937908</v>
      </c>
      <c r="L621" s="455">
        <f t="shared" ca="1" si="54"/>
        <v>-1158278.5796076036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-1158278.5796076036</v>
      </c>
      <c r="J622" s="455">
        <f t="array" ref="J622">IFERROR(INDEX('Retirement Calculator'!K:K,MATCH('Lorri 401b'!N622,'Retirement Calculator'!A:A,0),0),0)</f>
        <v>20282.026119384056</v>
      </c>
      <c r="K622" s="455">
        <f t="shared" ca="1" si="53"/>
        <v>-4910.6691905291145</v>
      </c>
      <c r="L622" s="455">
        <f t="shared" ca="1" si="54"/>
        <v>-1183471.2749175166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-1183471.2749175166</v>
      </c>
      <c r="J623" s="455">
        <f t="array" ref="J623">IFERROR(INDEX('Retirement Calculator'!K:K,MATCH('Lorri 401b'!N623,'Retirement Calculator'!A:A,0),0),0)</f>
        <v>20282.026119384056</v>
      </c>
      <c r="K623" s="455">
        <f t="shared" ca="1" si="53"/>
        <v>-5015.6387543204191</v>
      </c>
      <c r="L623" s="455">
        <f t="shared" ca="1" si="54"/>
        <v>-1208768.9397912209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-1208768.9397912209</v>
      </c>
      <c r="J624" s="455">
        <f t="array" ref="J624">IFERROR(INDEX('Retirement Calculator'!K:K,MATCH('Lorri 401b'!N624,'Retirement Calculator'!A:A,0),0),0)</f>
        <v>20282.026119384056</v>
      </c>
      <c r="K624" s="455">
        <f t="shared" ca="1" si="53"/>
        <v>-5121.0456912941872</v>
      </c>
      <c r="L624" s="455">
        <f t="shared" ca="1" si="54"/>
        <v>-1234172.0116018991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-1234172.0116018991</v>
      </c>
      <c r="J625" s="455">
        <f t="array" ref="J625">IFERROR(INDEX('Retirement Calculator'!K:K,MATCH('Lorri 401b'!N625,'Retirement Calculator'!A:A,0),0),0)</f>
        <v>20282.026119384056</v>
      </c>
      <c r="K625" s="455">
        <f t="shared" ca="1" si="53"/>
        <v>-5226.8918238386796</v>
      </c>
      <c r="L625" s="455">
        <f t="shared" ca="1" si="54"/>
        <v>-1259680.9295451217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-1259680.9295451217</v>
      </c>
      <c r="J626" s="455">
        <f t="array" ref="J626">IFERROR(INDEX('Retirement Calculator'!K:K,MATCH('Lorri 401b'!N626,'Retirement Calculator'!A:A,0),0),0)</f>
        <v>20282.026119384056</v>
      </c>
      <c r="K626" s="455">
        <f t="shared" ca="1" si="53"/>
        <v>-5333.1789819354408</v>
      </c>
      <c r="L626" s="455">
        <f t="shared" ca="1" si="54"/>
        <v>-1285296.1346464411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-1285296.1346464411</v>
      </c>
      <c r="J627" s="455">
        <f t="array" ref="J627">IFERROR(INDEX('Retirement Calculator'!K:K,MATCH('Lorri 401b'!N627,'Retirement Calculator'!A:A,0),0),0)</f>
        <v>20282.026119384056</v>
      </c>
      <c r="K627" s="455">
        <f t="shared" ca="1" si="53"/>
        <v>-5439.9090031909382</v>
      </c>
      <c r="L627" s="455">
        <f t="shared" ca="1" si="54"/>
        <v>-1311018.069769016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-1311018.069769016</v>
      </c>
      <c r="J628" s="455">
        <f t="array" ref="J628">IFERROR(INDEX('Retirement Calculator'!K:K,MATCH('Lorri 401b'!N628,'Retirement Calculator'!A:A,0),0),0)</f>
        <v>20282.026119384056</v>
      </c>
      <c r="K628" s="455">
        <f t="shared" ca="1" si="53"/>
        <v>-5547.0837328683328</v>
      </c>
      <c r="L628" s="455">
        <f t="shared" ca="1" si="54"/>
        <v>-1336847.1796212683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-1336847.1796212683</v>
      </c>
      <c r="J629" s="455">
        <f t="array" ref="J629">IFERROR(INDEX('Retirement Calculator'!K:K,MATCH('Lorri 401b'!N629,'Retirement Calculator'!A:A,0),0),0)</f>
        <v>20282.026119384056</v>
      </c>
      <c r="K629" s="455">
        <f t="shared" ca="1" si="53"/>
        <v>-5654.7050239193841</v>
      </c>
      <c r="L629" s="455">
        <f t="shared" ca="1" si="54"/>
        <v>-1362783.9107645717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-1362783.9107645717</v>
      </c>
      <c r="J630" s="455">
        <f t="array" ref="J630">IFERROR(INDEX('Retirement Calculator'!K:K,MATCH('Lorri 401b'!N630,'Retirement Calculator'!A:A,0),0),0)</f>
        <v>20282.026119384056</v>
      </c>
      <c r="K630" s="455">
        <f t="shared" ca="1" si="53"/>
        <v>-5762.7747370164825</v>
      </c>
      <c r="L630" s="455">
        <f t="shared" ca="1" si="54"/>
        <v>-1388828.7116209723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-1388828.7116209723</v>
      </c>
      <c r="J631" s="455">
        <f t="array" ref="J631">IFERROR(INDEX('Retirement Calculator'!K:K,MATCH('Lorri 401b'!N631,'Retirement Calculator'!A:A,0),0),0)</f>
        <v>20282.026119384056</v>
      </c>
      <c r="K631" s="455">
        <f t="shared" ca="1" si="53"/>
        <v>-5871.2947405848172</v>
      </c>
      <c r="L631" s="455">
        <f t="shared" ca="1" si="54"/>
        <v>-1414982.0324809412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-1414982.0324809412</v>
      </c>
      <c r="J632" s="455">
        <f t="array" ref="J632">IFERROR(INDEX('Retirement Calculator'!K:K,MATCH('Lorri 401b'!N632,'Retirement Calculator'!A:A,0),0),0)</f>
        <v>20282.026119384056</v>
      </c>
      <c r="K632" s="455">
        <f t="shared" ca="1" si="53"/>
        <v>-5980.2669108346881</v>
      </c>
      <c r="L632" s="455">
        <f t="shared" ca="1" si="54"/>
        <v>-1441244.3255111598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-1441244.3255111598</v>
      </c>
      <c r="J633" s="455">
        <f t="array" ref="J633">IFERROR(INDEX('Retirement Calculator'!K:K,MATCH('Lorri 401b'!N633,'Retirement Calculator'!A:A,0),0),0)</f>
        <v>20282.026119384056</v>
      </c>
      <c r="K633" s="455">
        <f t="shared" ca="1" si="53"/>
        <v>-6089.6931317939325</v>
      </c>
      <c r="L633" s="455">
        <f t="shared" ca="1" si="54"/>
        <v>-1467616.0447623378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-1467616.0447623378</v>
      </c>
      <c r="J634" s="455">
        <f t="array" ref="J634">IFERROR(INDEX('Retirement Calculator'!K:K,MATCH('Lorri 401b'!N634,'Retirement Calculator'!A:A,0),0),0)</f>
        <v>20282.026119384056</v>
      </c>
      <c r="K634" s="455">
        <f t="shared" ca="1" si="53"/>
        <v>-6199.5752953405072</v>
      </c>
      <c r="L634" s="455">
        <f t="shared" ca="1" si="54"/>
        <v>-1494097.6461770623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-1494097.6461770623</v>
      </c>
      <c r="J635" s="455">
        <f t="array" ref="J635">IFERROR(INDEX('Retirement Calculator'!K:K,MATCH('Lorri 401b'!N635,'Retirement Calculator'!A:A,0),0),0)</f>
        <v>20282.026119384056</v>
      </c>
      <c r="K635" s="455">
        <f t="shared" ca="1" si="53"/>
        <v>-6309.9153012351926</v>
      </c>
      <c r="L635" s="455">
        <f t="shared" ca="1" si="54"/>
        <v>-1520689.5875976814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-1520689.5875976814</v>
      </c>
      <c r="J636" s="455">
        <f t="array" ref="J636">IFERROR(INDEX('Retirement Calculator'!K:K,MATCH('Lorri 401b'!N636,'Retirement Calculator'!A:A,0),0),0)</f>
        <v>20282.026119384056</v>
      </c>
      <c r="K636" s="455">
        <f t="shared" ca="1" si="53"/>
        <v>-6420.7150571544389</v>
      </c>
      <c r="L636" s="455">
        <f t="shared" ca="1" si="54"/>
        <v>-1547392.3287742198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-1547392.3287742198</v>
      </c>
      <c r="J637" s="455">
        <f t="array" ref="J637">IFERROR(INDEX('Retirement Calculator'!K:K,MATCH('Lorri 401b'!N637,'Retirement Calculator'!A:A,0),0),0)</f>
        <v>20282.026119384056</v>
      </c>
      <c r="K637" s="455">
        <f t="shared" ca="1" si="53"/>
        <v>-6531.9764787233489</v>
      </c>
      <c r="L637" s="455">
        <f t="shared" ca="1" si="54"/>
        <v>-1574206.3313723272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-1574206.3313723272</v>
      </c>
      <c r="J638" s="455">
        <f t="array" ref="J638">IFERROR(INDEX('Retirement Calculator'!K:K,MATCH('Lorri 401b'!N638,'Retirement Calculator'!A:A,0),0),0)</f>
        <v>20282.026119384056</v>
      </c>
      <c r="K638" s="455">
        <f t="shared" ca="1" si="53"/>
        <v>-6643.7014895487964</v>
      </c>
      <c r="L638" s="455">
        <f t="shared" ca="1" si="54"/>
        <v>-1601132.0589812601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-1601132.0589812601</v>
      </c>
      <c r="J639" s="455">
        <f t="array" ref="J639">IFERROR(INDEX('Retirement Calculator'!K:K,MATCH('Lorri 401b'!N639,'Retirement Calculator'!A:A,0),0),0)</f>
        <v>20282.026119384056</v>
      </c>
      <c r="K639" s="455">
        <f t="shared" ca="1" si="53"/>
        <v>-6755.8920212526837</v>
      </c>
      <c r="L639" s="455">
        <f t="shared" ca="1" si="54"/>
        <v>-1628169.9771218968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-1628169.9771218968</v>
      </c>
      <c r="J640" s="455">
        <f t="array" ref="J640">IFERROR(INDEX('Retirement Calculator'!K:K,MATCH('Lorri 401b'!N640,'Retirement Calculator'!A:A,0),0),0)</f>
        <v>20282.026119384056</v>
      </c>
      <c r="K640" s="455">
        <f t="shared" ca="1" si="53"/>
        <v>-6868.5500135053362</v>
      </c>
      <c r="L640" s="455">
        <f t="shared" ca="1" si="54"/>
        <v>-1655320.5532547862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-1655320.5532547862</v>
      </c>
      <c r="J641" s="455">
        <f t="array" ref="J641">IFERROR(INDEX('Retirement Calculator'!K:K,MATCH('Lorri 401b'!N641,'Retirement Calculator'!A:A,0),0),0)</f>
        <v>20282.026119384056</v>
      </c>
      <c r="K641" s="455">
        <f t="shared" ca="1" si="53"/>
        <v>-6981.6774140590423</v>
      </c>
      <c r="L641" s="455">
        <f t="shared" ca="1" si="54"/>
        <v>-1682584.2567882291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-1682584.2567882291</v>
      </c>
      <c r="J642" s="455">
        <f t="array" ref="J642">IFERROR(INDEX('Retirement Calculator'!K:K,MATCH('Lorri 401b'!N642,'Retirement Calculator'!A:A,0),0),0)</f>
        <v>20282.026119384056</v>
      </c>
      <c r="K642" s="455">
        <f t="shared" ca="1" si="53"/>
        <v>-7095.2761787817208</v>
      </c>
      <c r="L642" s="455">
        <f t="shared" ca="1" si="54"/>
        <v>-1709961.5590863947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-1709961.5590863947</v>
      </c>
      <c r="J643" s="455">
        <f t="array" ref="J643">IFERROR(INDEX('Retirement Calculator'!K:K,MATCH('Lorri 401b'!N643,'Retirement Calculator'!A:A,0),0),0)</f>
        <v>20282.026119384056</v>
      </c>
      <c r="K643" s="455">
        <f t="shared" ca="1" si="53"/>
        <v>-7209.3482716907447</v>
      </c>
      <c r="L643" s="455">
        <f t="shared" ca="1" si="54"/>
        <v>-1737452.9334774695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-1737452.9334774695</v>
      </c>
      <c r="J644" s="455">
        <f t="array" ref="J644">IFERROR(INDEX('Retirement Calculator'!K:K,MATCH('Lorri 401b'!N644,'Retirement Calculator'!A:A,0),0),0)</f>
        <v>20282.026119384056</v>
      </c>
      <c r="K644" s="455">
        <f t="shared" ca="1" si="53"/>
        <v>-7323.8956649868906</v>
      </c>
      <c r="L644" s="455">
        <f t="shared" ca="1" si="54"/>
        <v>-1765058.8552618404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-1765058.8552618404</v>
      </c>
      <c r="J645" s="455">
        <f t="array" ref="J645">IFERROR(INDEX('Retirement Calculator'!K:K,MATCH('Lorri 401b'!N645,'Retirement Calculator'!A:A,0),0),0)</f>
        <v>20282.026119384056</v>
      </c>
      <c r="K645" s="455">
        <f t="shared" ca="1" si="53"/>
        <v>-7438.920339088435</v>
      </c>
      <c r="L645" s="455">
        <f t="shared" ca="1" si="54"/>
        <v>-1792779.8017203128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-1792779.8017203128</v>
      </c>
      <c r="J646" s="455">
        <f t="array" ref="J646">IFERROR(INDEX('Retirement Calculator'!K:K,MATCH('Lorri 401b'!N646,'Retirement Calculator'!A:A,0),0),0)</f>
        <v>20282.026119384056</v>
      </c>
      <c r="K646" s="455">
        <f t="shared" ca="1" si="53"/>
        <v>-7554.4242826654036</v>
      </c>
      <c r="L646" s="455">
        <f t="shared" ca="1" si="54"/>
        <v>-1820616.2521223621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-1820616.2521223621</v>
      </c>
      <c r="J647" s="455">
        <f t="array" ref="J647">IFERROR(INDEX('Retirement Calculator'!K:K,MATCH('Lorri 401b'!N647,'Retirement Calculator'!A:A,0),0),0)</f>
        <v>20282.026119384056</v>
      </c>
      <c r="K647" s="455">
        <f t="shared" ca="1" si="53"/>
        <v>-7670.4094926739417</v>
      </c>
      <c r="L647" s="455">
        <f t="shared" ca="1" si="54"/>
        <v>-1848568.6877344202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-1848568.6877344202</v>
      </c>
      <c r="J648" s="455">
        <f t="array" ref="J648">IFERROR(INDEX('Retirement Calculator'!K:K,MATCH('Lorri 401b'!N648,'Retirement Calculator'!A:A,0),0),0)</f>
        <v>20282.026119384056</v>
      </c>
      <c r="K648" s="455">
        <f t="shared" ca="1" si="53"/>
        <v>-7786.8779743908508</v>
      </c>
      <c r="L648" s="455">
        <f t="shared" ca="1" si="54"/>
        <v>-1876637.5918281949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-1876637.5918281949</v>
      </c>
      <c r="J649" s="455">
        <f t="array" ref="J649">IFERROR(INDEX('Retirement Calculator'!K:K,MATCH('Lorri 401b'!N649,'Retirement Calculator'!A:A,0),0),0)</f>
        <v>20282.026119384056</v>
      </c>
      <c r="K649" s="455">
        <f t="shared" ca="1" si="53"/>
        <v>-7903.8317414482444</v>
      </c>
      <c r="L649" s="455">
        <f t="shared" ca="1" si="54"/>
        <v>-1904823.4496890272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-1904823.4496890272</v>
      </c>
      <c r="J650" s="455">
        <f t="array" ref="J650">IFERROR(INDEX('Retirement Calculator'!K:K,MATCH('Lorri 401b'!N650,'Retirement Calculator'!A:A,0),0),0)</f>
        <v>20282.026119384056</v>
      </c>
      <c r="K650" s="455">
        <f t="shared" ca="1" si="53"/>
        <v>-8021.2728158683794</v>
      </c>
      <c r="L650" s="455">
        <f t="shared" ca="1" si="54"/>
        <v>-1933126.7486242796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-1933126.7486242796</v>
      </c>
      <c r="J651" s="455">
        <f t="array" ref="J651">IFERROR(INDEX('Retirement Calculator'!K:K,MATCH('Lorri 401b'!N651,'Retirement Calculator'!A:A,0),0),0)</f>
        <v>20282.026119384056</v>
      </c>
      <c r="K651" s="455">
        <f t="shared" ca="1" si="53"/>
        <v>-8139.2032280985986</v>
      </c>
      <c r="L651" s="455">
        <f t="shared" ca="1" si="54"/>
        <v>-1961547.9779717622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-1961547.9779717622</v>
      </c>
      <c r="J652" s="455">
        <f t="array" ref="J652">IFERROR(INDEX('Retirement Calculator'!K:K,MATCH('Lorri 401b'!N652,'Retirement Calculator'!A:A,0),0),0)</f>
        <v>20282.026119384056</v>
      </c>
      <c r="K652" s="455">
        <f t="shared" ca="1" si="53"/>
        <v>-8257.6250170464409</v>
      </c>
      <c r="L652" s="455">
        <f t="shared" ca="1" si="54"/>
        <v>-1990087.6291081926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-1990087.6291081926</v>
      </c>
      <c r="J653" s="455">
        <f t="array" ref="J653">IFERROR(INDEX('Retirement Calculator'!K:K,MATCH('Lorri 401b'!N653,'Retirement Calculator'!A:A,0),0),0)</f>
        <v>20282.026119384056</v>
      </c>
      <c r="K653" s="455">
        <f t="shared" ca="1" si="53"/>
        <v>-8376.5402301149043</v>
      </c>
      <c r="L653" s="455">
        <f t="shared" ca="1" si="54"/>
        <v>-2018746.1954576916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-2018746.1954576916</v>
      </c>
      <c r="J654" s="455">
        <f t="array" ref="J654">IFERROR(INDEX('Retirement Calculator'!K:K,MATCH('Lorri 401b'!N654,'Retirement Calculator'!A:A,0),0),0)</f>
        <v>20282.026119384056</v>
      </c>
      <c r="K654" s="455">
        <f t="shared" ca="1" si="53"/>
        <v>-8495.9509232378132</v>
      </c>
      <c r="L654" s="455">
        <f t="shared" ca="1" si="54"/>
        <v>-2047524.1725003133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-2047524.1725003133</v>
      </c>
      <c r="J655" s="455">
        <f t="array" ref="J655">IFERROR(INDEX('Retirement Calculator'!K:K,MATCH('Lorri 401b'!N655,'Retirement Calculator'!A:A,0),0),0)</f>
        <v>20282.026119384056</v>
      </c>
      <c r="K655" s="455">
        <f t="shared" ca="1" si="53"/>
        <v>-8615.8591609154046</v>
      </c>
      <c r="L655" s="455">
        <f t="shared" ca="1" si="54"/>
        <v>-2076422.0577806127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-2076422.0577806127</v>
      </c>
      <c r="J656" s="455">
        <f t="array" ref="J656">IFERROR(INDEX('Retirement Calculator'!K:K,MATCH('Lorri 401b'!N656,'Retirement Calculator'!A:A,0),0),0)</f>
        <v>20282.026119384056</v>
      </c>
      <c r="K656" s="455">
        <f t="shared" ca="1" si="53"/>
        <v>-8736.2670162499853</v>
      </c>
      <c r="L656" s="455">
        <f t="shared" ca="1" si="54"/>
        <v>-2105440.3509162469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-2105440.3509162469</v>
      </c>
      <c r="J657" s="455">
        <f t="array" ref="J657">IFERROR(INDEX('Retirement Calculator'!K:K,MATCH('Lorri 401b'!N657,'Retirement Calculator'!A:A,0),0),0)</f>
        <v>20282.026119384056</v>
      </c>
      <c r="K657" s="455">
        <f t="shared" ca="1" si="53"/>
        <v>-8857.1765709817955</v>
      </c>
      <c r="L657" s="455">
        <f t="shared" ca="1" si="54"/>
        <v>-2134579.5536066126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-2134579.5536066126</v>
      </c>
      <c r="J658" s="455">
        <f t="array" ref="J658">IFERROR(INDEX('Retirement Calculator'!K:K,MATCH('Lorri 401b'!N658,'Retirement Calculator'!A:A,0),0),0)</f>
        <v>20282.026119384056</v>
      </c>
      <c r="K658" s="455">
        <f t="shared" ca="1" si="53"/>
        <v>-8978.5899155249863</v>
      </c>
      <c r="L658" s="455">
        <f t="shared" ca="1" si="54"/>
        <v>-2163840.1696415218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-2163840.1696415218</v>
      </c>
      <c r="J659" s="455">
        <f t="array" ref="J659">IFERROR(INDEX('Retirement Calculator'!K:K,MATCH('Lorri 401b'!N659,'Retirement Calculator'!A:A,0),0),0)</f>
        <v>20282.026119384056</v>
      </c>
      <c r="K659" s="455">
        <f t="shared" ca="1" si="53"/>
        <v>-9100.5091490037739</v>
      </c>
      <c r="L659" s="455">
        <f t="shared" ca="1" si="54"/>
        <v>-2193222.7049099095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-2193222.7049099095</v>
      </c>
      <c r="J660" s="455">
        <f t="array" ref="J660">IFERROR(INDEX('Retirement Calculator'!K:K,MATCH('Lorri 401b'!N660,'Retirement Calculator'!A:A,0),0),0)</f>
        <v>20282.026119384056</v>
      </c>
      <c r="K660" s="455">
        <f t="shared" ca="1" si="53"/>
        <v>-9222.9363792887234</v>
      </c>
      <c r="L660" s="455">
        <f t="shared" ca="1" si="54"/>
        <v>-2222727.6674085823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-2222727.6674085823</v>
      </c>
      <c r="J661" s="455">
        <f t="array" ref="J661">IFERROR(INDEX('Retirement Calculator'!K:K,MATCH('Lorri 401b'!N661,'Retirement Calculator'!A:A,0),0),0)</f>
        <v>20282.026119384056</v>
      </c>
      <c r="K661" s="455">
        <f t="shared" ca="1" si="53"/>
        <v>-9345.8737230331935</v>
      </c>
      <c r="L661" s="455">
        <f t="shared" ca="1" si="54"/>
        <v>-2252355.5672509996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-2252355.5672509996</v>
      </c>
      <c r="J662" s="455">
        <f t="array" ref="J662">IFERROR(INDEX('Retirement Calculator'!K:K,MATCH('Lorri 401b'!N662,'Retirement Calculator'!A:A,0),0),0)</f>
        <v>20282.026119384056</v>
      </c>
      <c r="K662" s="455">
        <f t="shared" ca="1" si="53"/>
        <v>-9469.3233057099314</v>
      </c>
      <c r="L662" s="455">
        <f t="shared" ca="1" si="54"/>
        <v>-2282106.9166760934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-2282106.9166760934</v>
      </c>
      <c r="J663" s="455">
        <f t="array" ref="J663">IFERROR(INDEX('Retirement Calculator'!K:K,MATCH('Lorri 401b'!N663,'Retirement Calculator'!A:A,0),0),0)</f>
        <v>20282.026119384056</v>
      </c>
      <c r="K663" s="455">
        <f t="shared" ca="1" si="53"/>
        <v>-9593.2872616478217</v>
      </c>
      <c r="L663" s="455">
        <f t="shared" ca="1" si="54"/>
        <v>-2311982.230057125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-2311982.230057125</v>
      </c>
      <c r="J664" s="455">
        <f t="array" ref="J664">IFERROR(INDEX('Retirement Calculator'!K:K,MATCH('Lorri 401b'!N664,'Retirement Calculator'!A:A,0),0),0)</f>
        <v>20282.026119384056</v>
      </c>
      <c r="K664" s="455">
        <f t="shared" ca="1" si="53"/>
        <v>-9717.7677340687878</v>
      </c>
      <c r="L664" s="455">
        <f t="shared" ca="1" si="54"/>
        <v>-2341982.0239105779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-2341982.0239105779</v>
      </c>
      <c r="J665" s="455">
        <f t="array" ref="J665">IFERROR(INDEX('Retirement Calculator'!K:K,MATCH('Lorri 401b'!N665,'Retirement Calculator'!A:A,0),0),0)</f>
        <v>20282.026119384056</v>
      </c>
      <c r="K665" s="455">
        <f t="shared" ca="1" si="53"/>
        <v>-9842.7668751248402</v>
      </c>
      <c r="L665" s="455">
        <f t="shared" ca="1" si="54"/>
        <v>-2372106.8169050869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-2372106.8169050869</v>
      </c>
      <c r="J666" s="455">
        <f t="array" ref="J666">IFERROR(INDEX('Retirement Calculator'!K:K,MATCH('Lorri 401b'!N666,'Retirement Calculator'!A:A,0),0),0)</f>
        <v>20282.026119384056</v>
      </c>
      <c r="K666" s="455">
        <f t="shared" ca="1" si="53"/>
        <v>-9968.2868459352958</v>
      </c>
      <c r="L666" s="455">
        <f t="shared" ca="1" si="54"/>
        <v>-2402357.1298704064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-2402357.1298704064</v>
      </c>
      <c r="J667" s="455">
        <f t="array" ref="J667">IFERROR(INDEX('Retirement Calculator'!K:K,MATCH('Lorri 401b'!N667,'Retirement Calculator'!A:A,0),0),0)</f>
        <v>20282.026119384056</v>
      </c>
      <c r="K667" s="455">
        <f t="shared" ca="1" si="53"/>
        <v>-10094.329816624126</v>
      </c>
      <c r="L667" s="455">
        <f t="shared" ca="1" si="54"/>
        <v>-2432733.4858064144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-2432733.4858064144</v>
      </c>
      <c r="J668" s="455">
        <f t="array" ref="J668">IFERROR(INDEX('Retirement Calculator'!K:K,MATCH('Lorri 401b'!N668,'Retirement Calculator'!A:A,0),0),0)</f>
        <v>20282.026119384056</v>
      </c>
      <c r="K668" s="455">
        <f t="shared" ca="1" si="53"/>
        <v>-10220.897966357494</v>
      </c>
      <c r="L668" s="455">
        <f t="shared" ca="1" si="54"/>
        <v>-2463236.4098921558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-2463236.4098921558</v>
      </c>
      <c r="J669" s="455">
        <f t="array" ref="J669">IFERROR(INDEX('Retirement Calculator'!K:K,MATCH('Lorri 401b'!N669,'Retirement Calculator'!A:A,0),0),0)</f>
        <v>20282.026119384056</v>
      </c>
      <c r="K669" s="455">
        <f t="shared" ca="1" si="53"/>
        <v>-10347.993483381415</v>
      </c>
      <c r="L669" s="455">
        <f t="shared" ca="1" si="54"/>
        <v>-2493866.4294949211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-2493866.4294949211</v>
      </c>
      <c r="J670" s="455">
        <f t="array" ref="J670">IFERROR(INDEX('Retirement Calculator'!K:K,MATCH('Lorri 401b'!N670,'Retirement Calculator'!A:A,0),0),0)</f>
        <v>20282.026119384056</v>
      </c>
      <c r="K670" s="455">
        <f t="shared" ca="1" si="53"/>
        <v>-10475.618565059605</v>
      </c>
      <c r="L670" s="455">
        <f t="shared" ca="1" si="54"/>
        <v>-2524624.0741793648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-2524624.0741793648</v>
      </c>
      <c r="J671" s="455">
        <f t="array" ref="J671">IFERROR(INDEX('Retirement Calculator'!K:K,MATCH('Lorri 401b'!N671,'Retirement Calculator'!A:A,0),0),0)</f>
        <v>20282.026119384056</v>
      </c>
      <c r="K671" s="455">
        <f t="shared" ca="1" si="53"/>
        <v>-10603.775417911453</v>
      </c>
      <c r="L671" s="455">
        <f t="shared" ca="1" si="54"/>
        <v>-2555509.8757166602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-2555509.8757166602</v>
      </c>
      <c r="J672" s="455">
        <f t="array" ref="J672">IFERROR(INDEX('Retirement Calculator'!K:K,MATCH('Lorri 401b'!N672,'Retirement Calculator'!A:A,0),0),0)</f>
        <v>20282.026119384056</v>
      </c>
      <c r="K672" s="455">
        <f t="shared" ca="1" si="53"/>
        <v>-10732.466257650183</v>
      </c>
      <c r="L672" s="455">
        <f t="shared" ca="1" si="54"/>
        <v>-2586524.3680936946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-2586524.3680936946</v>
      </c>
      <c r="J673" s="455">
        <f t="array" ref="J673">IFERROR(INDEX('Retirement Calculator'!K:K,MATCH('Lorri 401b'!N673,'Retirement Calculator'!A:A,0),0),0)</f>
        <v>20282.026119384056</v>
      </c>
      <c r="K673" s="455">
        <f t="shared" ca="1" si="53"/>
        <v>-10861.69330922116</v>
      </c>
      <c r="L673" s="455">
        <f t="shared" ca="1" si="54"/>
        <v>-2617668.0875222995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-2617668.0875222995</v>
      </c>
      <c r="J674" s="455">
        <f t="array" ref="J674">IFERROR(INDEX('Retirement Calculator'!K:K,MATCH('Lorri 401b'!N674,'Retirement Calculator'!A:A,0),0),0)</f>
        <v>20282.026119384056</v>
      </c>
      <c r="K674" s="455">
        <f t="shared" ca="1" si="53"/>
        <v>-10991.458806840348</v>
      </c>
      <c r="L674" s="455">
        <f t="shared" ca="1" si="54"/>
        <v>-2648941.5724485237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-2648941.5724485237</v>
      </c>
      <c r="J675" s="455">
        <f t="array" ref="J675">IFERROR(INDEX('Retirement Calculator'!K:K,MATCH('Lorri 401b'!N675,'Retirement Calculator'!A:A,0),0),0)</f>
        <v>20282.026119384056</v>
      </c>
      <c r="K675" s="455">
        <f t="shared" ca="1" si="53"/>
        <v>-11121.764994032948</v>
      </c>
      <c r="L675" s="455">
        <f t="shared" ca="1" si="54"/>
        <v>-2680345.3635619408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-2680345.3635619408</v>
      </c>
      <c r="J676" s="455">
        <f t="array" ref="J676">IFERROR(INDEX('Retirement Calculator'!K:K,MATCH('Lorri 401b'!N676,'Retirement Calculator'!A:A,0),0),0)</f>
        <v>20282.026119384056</v>
      </c>
      <c r="K676" s="455">
        <f t="shared" ca="1" si="53"/>
        <v>-11252.614123672187</v>
      </c>
      <c r="L676" s="455">
        <f t="shared" ca="1" si="54"/>
        <v>-2711880.0038049971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-2711880.0038049971</v>
      </c>
      <c r="J677" s="455">
        <f t="array" ref="J677">IFERROR(INDEX('Retirement Calculator'!K:K,MATCH('Lorri 401b'!N677,'Retirement Calculator'!A:A,0),0),0)</f>
        <v>20282.026119384056</v>
      </c>
      <c r="K677" s="455">
        <f t="shared" ca="1" si="53"/>
        <v>-11384.008458018254</v>
      </c>
      <c r="L677" s="455">
        <f t="shared" ca="1" si="54"/>
        <v>-2743546.0383823994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-2743546.0383823994</v>
      </c>
      <c r="J678" s="455">
        <f t="array" ref="J678">IFERROR(INDEX('Retirement Calculator'!K:K,MATCH('Lorri 401b'!N678,'Retirement Calculator'!A:A,0),0),0)</f>
        <v>20282.026119384056</v>
      </c>
      <c r="K678" s="455">
        <f t="shared" ca="1" si="53"/>
        <v>-11515.950268757431</v>
      </c>
      <c r="L678" s="455">
        <f t="shared" ca="1" si="54"/>
        <v>-2775344.0147705409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-2775344.0147705409</v>
      </c>
      <c r="J679" s="455">
        <f t="array" ref="J679">IFERROR(INDEX('Retirement Calculator'!K:K,MATCH('Lorri 401b'!N679,'Retirement Calculator'!A:A,0),0),0)</f>
        <v>20282.026119384056</v>
      </c>
      <c r="K679" s="455">
        <f t="shared" ca="1" si="53"/>
        <v>-11648.441837041353</v>
      </c>
      <c r="L679" s="455">
        <f t="shared" ca="1" si="54"/>
        <v>-2807274.482726966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-2807274.482726966</v>
      </c>
      <c r="J680" s="455">
        <f t="array" ref="J680">IFERROR(INDEX('Retirement Calculator'!K:K,MATCH('Lorri 401b'!N680,'Retirement Calculator'!A:A,0),0),0)</f>
        <v>20282.026119384056</v>
      </c>
      <c r="K680" s="455">
        <f t="shared" ca="1" si="53"/>
        <v>-11781.485453526459</v>
      </c>
      <c r="L680" s="455">
        <f t="shared" ca="1" si="54"/>
        <v>-2839337.9942998765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-2839337.9942998765</v>
      </c>
      <c r="J681" s="455">
        <f t="array" ref="J681">IFERROR(INDEX('Retirement Calculator'!K:K,MATCH('Lorri 401b'!N681,'Retirement Calculator'!A:A,0),0),0)</f>
        <v>20282.026119384056</v>
      </c>
      <c r="K681" s="455">
        <f t="shared" ca="1" si="53"/>
        <v>-11915.083418413586</v>
      </c>
      <c r="L681" s="455">
        <f t="shared" ca="1" si="54"/>
        <v>-2871535.103837674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-2871535.103837674</v>
      </c>
      <c r="J682" s="455">
        <f t="array" ref="J682">IFERROR(INDEX('Retirement Calculator'!K:K,MATCH('Lorri 401b'!N682,'Retirement Calculator'!A:A,0),0),0)</f>
        <v>20282.026119384056</v>
      </c>
      <c r="K682" s="455">
        <f t="shared" ca="1" si="53"/>
        <v>-12049.238041487741</v>
      </c>
      <c r="L682" s="455">
        <f t="shared" ca="1" si="54"/>
        <v>-2903866.3679985455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-2903866.3679985455</v>
      </c>
      <c r="J683" s="455">
        <f t="array" ref="J683">IFERROR(INDEX('Retirement Calculator'!K:K,MATCH('Lorri 401b'!N683,'Retirement Calculator'!A:A,0),0),0)</f>
        <v>20282.026119384056</v>
      </c>
      <c r="K683" s="455">
        <f t="shared" ca="1" si="53"/>
        <v>-12183.951642158039</v>
      </c>
      <c r="L683" s="455">
        <f t="shared" ca="1" si="54"/>
        <v>-2936332.3457600875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-2936332.3457600875</v>
      </c>
      <c r="J684" s="455">
        <f t="array" ref="J684">IFERROR(INDEX('Retirement Calculator'!K:K,MATCH('Lorri 401b'!N684,'Retirement Calculator'!A:A,0),0),0)</f>
        <v>20282.026119384056</v>
      </c>
      <c r="K684" s="455">
        <f t="shared" ca="1" si="53"/>
        <v>-12319.226549497798</v>
      </c>
      <c r="L684" s="455">
        <f t="shared" ca="1" si="54"/>
        <v>-2968933.5984289693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-2968933.5984289693</v>
      </c>
      <c r="J685" s="455">
        <f t="array" ref="J685">IFERROR(INDEX('Retirement Calculator'!K:K,MATCH('Lorri 401b'!N685,'Retirement Calculator'!A:A,0),0),0)</f>
        <v>20282.026119384056</v>
      </c>
      <c r="K685" s="455">
        <f t="shared" ca="1" si="53"/>
        <v>-12455.065102284805</v>
      </c>
      <c r="L685" s="455">
        <f t="shared" ca="1" si="54"/>
        <v>-3001670.689650638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-3001670.689650638</v>
      </c>
      <c r="J686" s="455">
        <f t="array" ref="J686">IFERROR(INDEX('Retirement Calculator'!K:K,MATCH('Lorri 401b'!N686,'Retirement Calculator'!A:A,0),0),0)</f>
        <v>20282.026119384056</v>
      </c>
      <c r="K686" s="455">
        <f t="shared" ca="1" si="53"/>
        <v>-12591.469649041759</v>
      </c>
      <c r="L686" s="455">
        <f t="shared" ca="1" si="54"/>
        <v>-3034544.1854190635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-3034544.1854190635</v>
      </c>
      <c r="J687" s="455">
        <f t="array" ref="J687">IFERROR(INDEX('Retirement Calculator'!K:K,MATCH('Lorri 401b'!N687,'Retirement Calculator'!A:A,0),0),0)</f>
        <v>20282.026119384056</v>
      </c>
      <c r="K687" s="455">
        <f t="shared" ca="1" si="53"/>
        <v>-12728.442548076864</v>
      </c>
      <c r="L687" s="455">
        <f t="shared" ca="1" si="54"/>
        <v>-3067554.6540865246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-3067554.6540865246</v>
      </c>
      <c r="J688" s="455">
        <f t="array" ref="J688">IFERROR(INDEX('Retirement Calculator'!K:K,MATCH('Lorri 401b'!N688,'Retirement Calculator'!A:A,0),0),0)</f>
        <v>20282.026119384056</v>
      </c>
      <c r="K688" s="455">
        <f t="shared" ca="1" si="53"/>
        <v>-12865.986167524619</v>
      </c>
      <c r="L688" s="455">
        <f t="shared" ca="1" si="54"/>
        <v>-3100702.6663734331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-3100702.6663734331</v>
      </c>
      <c r="J689" s="455">
        <f t="array" ref="J689">IFERROR(INDEX('Retirement Calculator'!K:K,MATCH('Lorri 401b'!N689,'Retirement Calculator'!A:A,0),0),0)</f>
        <v>20282.026119384056</v>
      </c>
      <c r="K689" s="455">
        <f t="shared" ca="1" si="53"/>
        <v>-13004.102885386737</v>
      </c>
      <c r="L689" s="455">
        <f t="shared" ca="1" si="54"/>
        <v>-3133988.795378204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-3133988.795378204</v>
      </c>
      <c r="J690" s="455">
        <f t="array" ref="J690">IFERROR(INDEX('Retirement Calculator'!K:K,MATCH('Lorri 401b'!N690,'Retirement Calculator'!A:A,0),0),0)</f>
        <v>20282.026119384056</v>
      </c>
      <c r="K690" s="455">
        <f t="shared" ca="1" si="53"/>
        <v>-13142.795089573283</v>
      </c>
      <c r="L690" s="455">
        <f t="shared" ca="1" si="54"/>
        <v>-3167413.6165871611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-3167413.6165871611</v>
      </c>
      <c r="J691" s="455">
        <f t="array" ref="J691">IFERROR(INDEX('Retirement Calculator'!K:K,MATCH('Lorri 401b'!N691,'Retirement Calculator'!A:A,0),0),0)</f>
        <v>20282.026119384056</v>
      </c>
      <c r="K691" s="455">
        <f t="shared" ca="1" si="53"/>
        <v>-13282.065177943938</v>
      </c>
      <c r="L691" s="455">
        <f t="shared" ca="1" si="54"/>
        <v>-3200977.7078844891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-3200977.7078844891</v>
      </c>
      <c r="J692" s="455">
        <f t="array" ref="J692">IFERROR(INDEX('Retirement Calculator'!K:K,MATCH('Lorri 401b'!N692,'Retirement Calculator'!A:A,0),0),0)</f>
        <v>20282.026119384056</v>
      </c>
      <c r="K692" s="455">
        <f t="shared" ca="1" si="53"/>
        <v>-13421.91555834947</v>
      </c>
      <c r="L692" s="455">
        <f t="shared" ca="1" si="54"/>
        <v>-3234681.6495622224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-3234681.6495622224</v>
      </c>
      <c r="J693" s="455">
        <f t="array" ref="J693">IFERROR(INDEX('Retirement Calculator'!K:K,MATCH('Lorri 401b'!N693,'Retirement Calculator'!A:A,0),0),0)</f>
        <v>20282.026119384056</v>
      </c>
      <c r="K693" s="455">
        <f t="shared" ca="1" si="53"/>
        <v>-13562.34864867336</v>
      </c>
      <c r="L693" s="455">
        <f t="shared" ca="1" si="54"/>
        <v>-3268526.0243302798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-3268526.0243302798</v>
      </c>
      <c r="J694" s="455">
        <f t="array" ref="J694">IFERROR(INDEX('Retirement Calculator'!K:K,MATCH('Lorri 401b'!N694,'Retirement Calculator'!A:A,0),0),0)</f>
        <v>20282.026119384056</v>
      </c>
      <c r="K694" s="455">
        <f t="shared" ca="1" si="53"/>
        <v>-13703.366876873599</v>
      </c>
      <c r="L694" s="455">
        <f t="shared" ca="1" si="54"/>
        <v>-3302511.4173265374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-3302511.4173265374</v>
      </c>
      <c r="J695" s="455">
        <f t="array" ref="J695">IFERROR(INDEX('Retirement Calculator'!K:K,MATCH('Lorri 401b'!N695,'Retirement Calculator'!A:A,0),0),0)</f>
        <v>20282.026119384056</v>
      </c>
      <c r="K695" s="455">
        <f t="shared" ca="1" si="53"/>
        <v>-13844.972681024672</v>
      </c>
      <c r="L695" s="455">
        <f t="shared" ca="1" si="54"/>
        <v>-3336638.416126946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-3336638.416126946</v>
      </c>
      <c r="J696" s="455">
        <f t="array" ref="J696">IFERROR(INDEX('Retirement Calculator'!K:K,MATCH('Lorri 401b'!N696,'Retirement Calculator'!A:A,0),0),0)</f>
        <v>20282.026119384056</v>
      </c>
      <c r="K696" s="455">
        <f t="shared" ca="1" si="53"/>
        <v>-13987.168509359708</v>
      </c>
      <c r="L696" s="455">
        <f t="shared" ca="1" si="54"/>
        <v>-3370907.6107556899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-3370907.6107556899</v>
      </c>
      <c r="J697" s="455">
        <f t="array" ref="J697">IFERROR(INDEX('Retirement Calculator'!K:K,MATCH('Lorri 401b'!N697,'Retirement Calculator'!A:A,0),0),0)</f>
        <v>20282.026119384056</v>
      </c>
      <c r="K697" s="455">
        <f t="shared" ca="1" si="53"/>
        <v>-14129.956820312807</v>
      </c>
      <c r="L697" s="455">
        <f t="shared" ca="1" si="54"/>
        <v>-3405319.5936953868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-3405319.5936953868</v>
      </c>
      <c r="J698" s="455">
        <f t="array" ref="J698">IFERROR(INDEX('Retirement Calculator'!K:K,MATCH('Lorri 401b'!N698,'Retirement Calculator'!A:A,0),0),0)</f>
        <v>20282.026119384056</v>
      </c>
      <c r="K698" s="455">
        <f t="shared" ca="1" si="53"/>
        <v>-14273.340082561546</v>
      </c>
      <c r="L698" s="455">
        <f t="shared" ca="1" si="54"/>
        <v>-3439874.9598973324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-3439874.9598973324</v>
      </c>
      <c r="J699" s="455">
        <f t="array" ref="J699">IFERROR(INDEX('Retirement Calculator'!K:K,MATCH('Lorri 401b'!N699,'Retirement Calculator'!A:A,0),0),0)</f>
        <v>20282.026119384056</v>
      </c>
      <c r="K699" s="455">
        <f t="shared" ca="1" si="53"/>
        <v>-14417.320775069649</v>
      </c>
      <c r="L699" s="455">
        <f t="shared" ca="1" si="54"/>
        <v>-3474574.3067917861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-3474574.3067917861</v>
      </c>
      <c r="J700" s="455">
        <f t="array" ref="J700">IFERROR(INDEX('Retirement Calculator'!K:K,MATCH('Lorri 401b'!N700,'Retirement Calculator'!A:A,0),0),0)</f>
        <v>20282.026119384056</v>
      </c>
      <c r="K700" s="455">
        <f t="shared" ca="1" si="53"/>
        <v>-14561.901387129876</v>
      </c>
      <c r="L700" s="455">
        <f t="shared" ca="1" si="54"/>
        <v>-3509418.2342983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-3509418.2342983</v>
      </c>
      <c r="J701" s="455">
        <f t="array" ref="J701">IFERROR(INDEX('Retirement Calculator'!K:K,MATCH('Lorri 401b'!N701,'Retirement Calculator'!A:A,0),0),0)</f>
        <v>20282.026119384056</v>
      </c>
      <c r="K701" s="455">
        <f t="shared" ca="1" si="53"/>
        <v>-14707.084418407014</v>
      </c>
      <c r="L701" s="455">
        <f t="shared" ca="1" si="54"/>
        <v>-3544407.3448360912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-3544407.3448360912</v>
      </c>
      <c r="J702" s="455">
        <f t="array" ref="J702">IFERROR(INDEX('Retirement Calculator'!K:K,MATCH('Lorri 401b'!N702,'Retirement Calculator'!A:A,0),0),0)</f>
        <v>20282.026119384056</v>
      </c>
      <c r="K702" s="455">
        <f t="shared" ca="1" si="53"/>
        <v>-14852.872378981145</v>
      </c>
      <c r="L702" s="455">
        <f t="shared" ca="1" si="54"/>
        <v>-3579542.2433344563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-3579542.2433344563</v>
      </c>
      <c r="J703" s="455">
        <f t="array" ref="J703">IFERROR(INDEX('Retirement Calculator'!K:K,MATCH('Lorri 401b'!N703,'Retirement Calculator'!A:A,0),0),0)</f>
        <v>20282.026119384056</v>
      </c>
      <c r="K703" s="455">
        <f t="shared" ca="1" si="53"/>
        <v>-14999.267789391</v>
      </c>
      <c r="L703" s="455">
        <f t="shared" ca="1" si="54"/>
        <v>-3614823.5372432312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-3614823.5372432312</v>
      </c>
      <c r="J704" s="455">
        <f t="array" ref="J704">IFERROR(INDEX('Retirement Calculator'!K:K,MATCH('Lorri 401b'!N704,'Retirement Calculator'!A:A,0),0),0)</f>
        <v>20282.026119384056</v>
      </c>
      <c r="K704" s="455">
        <f t="shared" ca="1" si="53"/>
        <v>-15146.273180677561</v>
      </c>
      <c r="L704" s="455">
        <f t="shared" ca="1" si="54"/>
        <v>-3650251.8365432927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-3650251.8365432927</v>
      </c>
      <c r="J705" s="455">
        <f t="array" ref="J705">IFERROR(INDEX('Retirement Calculator'!K:K,MATCH('Lorri 401b'!N705,'Retirement Calculator'!A:A,0),0),0)</f>
        <v>20282.026119384056</v>
      </c>
      <c r="K705" s="455">
        <f t="shared" ca="1" si="53"/>
        <v>-15293.891094427821</v>
      </c>
      <c r="L705" s="455">
        <f t="shared" ca="1" si="54"/>
        <v>-3685827.7537571047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-3685827.7537571047</v>
      </c>
      <c r="J706" s="455">
        <f t="array" ref="J706">IFERROR(INDEX('Retirement Calculator'!K:K,MATCH('Lorri 401b'!N706,'Retirement Calculator'!A:A,0),0),0)</f>
        <v>20282.026119384056</v>
      </c>
      <c r="K706" s="455">
        <f t="shared" ca="1" si="53"/>
        <v>-15442.124082818706</v>
      </c>
      <c r="L706" s="455">
        <f t="shared" ca="1" si="54"/>
        <v>-3721551.9039593074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-3721551.9039593074</v>
      </c>
      <c r="J707" s="455">
        <f t="array" ref="J707">IFERROR(INDEX('Retirement Calculator'!K:K,MATCH('Lorri 401b'!N707,'Retirement Calculator'!A:A,0),0),0)</f>
        <v>20282.026119384056</v>
      </c>
      <c r="K707" s="455">
        <f t="shared" ca="1" si="53"/>
        <v>-15590.974708661213</v>
      </c>
      <c r="L707" s="455">
        <f t="shared" ca="1" si="54"/>
        <v>-3757424.9047873528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-3757424.9047873528</v>
      </c>
      <c r="J708" s="455">
        <f t="array" ref="J708">IFERROR(INDEX('Retirement Calculator'!K:K,MATCH('Lorri 401b'!N708,'Retirement Calculator'!A:A,0),0),0)</f>
        <v>20282.026119384056</v>
      </c>
      <c r="K708" s="455">
        <f t="shared" ca="1" si="53"/>
        <v>-15740.445545444736</v>
      </c>
      <c r="L708" s="455">
        <f t="shared" ca="1" si="54"/>
        <v>-3793447.3764521815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-3793447.3764521815</v>
      </c>
      <c r="J709" s="455">
        <f t="array" ref="J709">IFERROR(INDEX('Retirement Calculator'!K:K,MATCH('Lorri 401b'!N709,'Retirement Calculator'!A:A,0),0),0)</f>
        <v>20282.026119384056</v>
      </c>
      <c r="K709" s="455">
        <f t="shared" ca="1" si="53"/>
        <v>-15890.539177381523</v>
      </c>
      <c r="L709" s="455">
        <f t="shared" ca="1" si="54"/>
        <v>-3829619.9417489469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-3829619.9417489469</v>
      </c>
      <c r="J710" s="455">
        <f t="array" ref="J710">IFERROR(INDEX('Retirement Calculator'!K:K,MATCH('Lorri 401b'!N710,'Retirement Calculator'!A:A,0),0),0)</f>
        <v>20282.026119384056</v>
      </c>
      <c r="K710" s="455">
        <f t="shared" ca="1" si="53"/>
        <v>-16041.25819945138</v>
      </c>
      <c r="L710" s="455">
        <f t="shared" ca="1" si="54"/>
        <v>-3865943.2260677824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-3865943.2260677824</v>
      </c>
      <c r="J711" s="455">
        <f t="array" ref="J711">IFERROR(INDEX('Retirement Calculator'!K:K,MATCH('Lorri 401b'!N711,'Retirement Calculator'!A:A,0),0),0)</f>
        <v>20282.026119384056</v>
      </c>
      <c r="K711" s="455">
        <f t="shared" ca="1" si="53"/>
        <v>-16192.605217446528</v>
      </c>
      <c r="L711" s="455">
        <f t="shared" ca="1" si="54"/>
        <v>-3902417.8574046129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-3902417.8574046129</v>
      </c>
      <c r="J712" s="455">
        <f t="array" ref="J712">IFERROR(INDEX('Retirement Calculator'!K:K,MATCH('Lorri 401b'!N712,'Retirement Calculator'!A:A,0),0),0)</f>
        <v>20282.026119384056</v>
      </c>
      <c r="K712" s="455">
        <f t="shared" ca="1" si="53"/>
        <v>-16344.582848016653</v>
      </c>
      <c r="L712" s="455">
        <f t="shared" ca="1" si="54"/>
        <v>-3939044.4663720136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-3939044.4663720136</v>
      </c>
      <c r="J713" s="455">
        <f t="array" ref="J713">IFERROR(INDEX('Retirement Calculator'!K:K,MATCH('Lorri 401b'!N713,'Retirement Calculator'!A:A,0),0),0)</f>
        <v>20282.026119384056</v>
      </c>
      <c r="K713" s="455">
        <f t="shared" ca="1" si="53"/>
        <v>-16497.193718714156</v>
      </c>
      <c r="L713" s="455">
        <f t="shared" ca="1" si="54"/>
        <v>-3975823.6862101117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-3975823.6862101117</v>
      </c>
      <c r="J714" s="455">
        <f t="array" ref="J714">IFERROR(INDEX('Retirement Calculator'!K:K,MATCH('Lorri 401b'!N714,'Retirement Calculator'!A:A,0),0),0)</f>
        <v>20282.026119384056</v>
      </c>
      <c r="K714" s="455">
        <f t="shared" ca="1" si="53"/>
        <v>-16650.440468039564</v>
      </c>
      <c r="L714" s="455">
        <f t="shared" ca="1" si="54"/>
        <v>-4012756.1527975351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-4012756.1527975351</v>
      </c>
      <c r="J715" s="455">
        <f t="array" ref="J715">IFERROR(INDEX('Retirement Calculator'!K:K,MATCH('Lorri 401b'!N715,'Retirement Calculator'!A:A,0),0),0)</f>
        <v>20282.026119384056</v>
      </c>
      <c r="K715" s="455">
        <f t="shared" ca="1" si="53"/>
        <v>-16804.325745487164</v>
      </c>
      <c r="L715" s="455">
        <f t="shared" ca="1" si="54"/>
        <v>-4049842.5046624062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-4049842.5046624062</v>
      </c>
      <c r="J716" s="455">
        <f t="array" ref="J716">IFERROR(INDEX('Retirement Calculator'!K:K,MATCH('Lorri 401b'!N716,'Retirement Calculator'!A:A,0),0),0)</f>
        <v>20282.026119384056</v>
      </c>
      <c r="K716" s="455">
        <f t="shared" ca="1" si="53"/>
        <v>-16958.852211590794</v>
      </c>
      <c r="L716" s="455">
        <f t="shared" ca="1" si="54"/>
        <v>-4087083.382993381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-4087083.382993381</v>
      </c>
      <c r="J717" s="455">
        <f t="array" ref="J717">IFERROR(INDEX('Retirement Calculator'!K:K,MATCH('Lorri 401b'!N717,'Retirement Calculator'!A:A,0),0),0)</f>
        <v>20282.026119384056</v>
      </c>
      <c r="K717" s="455">
        <f t="shared" ca="1" si="53"/>
        <v>-17114.022537969853</v>
      </c>
      <c r="L717" s="455">
        <f t="shared" ca="1" si="54"/>
        <v>-4124479.431650735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-4124479.431650735</v>
      </c>
      <c r="J718" s="455">
        <f t="array" ref="J718">IFERROR(INDEX('Retirement Calculator'!K:K,MATCH('Lorri 401b'!N718,'Retirement Calculator'!A:A,0),0),0)</f>
        <v>20282.026119384056</v>
      </c>
      <c r="K718" s="455">
        <f t="shared" ca="1" si="53"/>
        <v>-17269.839407375497</v>
      </c>
      <c r="L718" s="455">
        <f t="shared" ca="1" si="54"/>
        <v>-4162031.2971774945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-4162031.2971774945</v>
      </c>
      <c r="J719" s="455">
        <f t="array" ref="J719">IFERROR(INDEX('Retirement Calculator'!K:K,MATCH('Lorri 401b'!N719,'Retirement Calculator'!A:A,0),0),0)</f>
        <v>20282.026119384056</v>
      </c>
      <c r="K719" s="455">
        <f t="shared" ca="1" si="53"/>
        <v>-17426.305513736992</v>
      </c>
      <c r="L719" s="455">
        <f t="shared" ca="1" si="54"/>
        <v>-4199739.6288106153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-4199739.6288106153</v>
      </c>
      <c r="J720" s="455">
        <f t="array" ref="J720">IFERROR(INDEX('Retirement Calculator'!K:K,MATCH('Lorri 401b'!N720,'Retirement Calculator'!A:A,0),0),0)</f>
        <v>20282.026119384056</v>
      </c>
      <c r="K720" s="455">
        <f t="shared" ca="1" si="53"/>
        <v>-17583.423562208329</v>
      </c>
      <c r="L720" s="455">
        <f t="shared" ca="1" si="54"/>
        <v>-4237605.0784922075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-4237605.0784922075</v>
      </c>
      <c r="J721" s="455">
        <f t="array" ref="J721">IFERROR(INDEX('Retirement Calculator'!K:K,MATCH('Lorri 401b'!N721,'Retirement Calculator'!A:A,0),0),0)</f>
        <v>20282.026119384056</v>
      </c>
      <c r="K721" s="455">
        <f t="shared" ca="1" si="53"/>
        <v>-17741.196269214965</v>
      </c>
      <c r="L721" s="455">
        <f t="shared" ca="1" si="54"/>
        <v>-4275628.3008808065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-4275628.3008808065</v>
      </c>
      <c r="J722" s="455">
        <f t="array" ref="J722">IFERROR(INDEX('Retirement Calculator'!K:K,MATCH('Lorri 401b'!N722,'Retirement Calculator'!A:A,0),0),0)</f>
        <v>20282.026119384056</v>
      </c>
      <c r="K722" s="455">
        <f t="shared" ca="1" si="53"/>
        <v>-17899.626362500792</v>
      </c>
      <c r="L722" s="455">
        <f t="shared" ca="1" si="54"/>
        <v>-4313809.9533626912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-4313809.9533626912</v>
      </c>
      <c r="J723" s="455">
        <f t="array" ref="J723">IFERROR(INDEX('Retirement Calculator'!K:K,MATCH('Lorri 401b'!N723,'Retirement Calculator'!A:A,0),0),0)</f>
        <v>20282.026119384056</v>
      </c>
      <c r="K723" s="455">
        <f t="shared" ca="1" si="53"/>
        <v>-18058.716581175315</v>
      </c>
      <c r="L723" s="455">
        <f t="shared" ca="1" si="54"/>
        <v>-4352150.6960632503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-4352150.6960632503</v>
      </c>
      <c r="J724" s="455">
        <f t="array" ref="J724">IFERROR(INDEX('Retirement Calculator'!K:K,MATCH('Lorri 401b'!N724,'Retirement Calculator'!A:A,0),0),0)</f>
        <v>20282.026119384056</v>
      </c>
      <c r="K724" s="455">
        <f t="shared" ca="1" si="53"/>
        <v>-18218.469675760974</v>
      </c>
      <c r="L724" s="455">
        <f t="shared" ca="1" si="54"/>
        <v>-4390651.191858395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-4390651.191858395</v>
      </c>
      <c r="J725" s="455">
        <f t="array" ref="J725">IFERROR(INDEX('Retirement Calculator'!K:K,MATCH('Lorri 401b'!N725,'Retirement Calculator'!A:A,0),0),0)</f>
        <v>20282.026119384056</v>
      </c>
      <c r="K725" s="455">
        <f t="shared" ca="1" si="53"/>
        <v>-18378.888408240746</v>
      </c>
      <c r="L725" s="455">
        <f t="shared" ca="1" si="54"/>
        <v>-4429312.1063860198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-4429312.1063860198</v>
      </c>
      <c r="J726" s="455">
        <f t="array" ref="J726">IFERROR(INDEX('Retirement Calculator'!K:K,MATCH('Lorri 401b'!N726,'Retirement Calculator'!A:A,0),0),0)</f>
        <v>20282.026119384056</v>
      </c>
      <c r="K726" s="455">
        <f t="shared" ca="1" si="53"/>
        <v>-18539.975552105851</v>
      </c>
      <c r="L726" s="455">
        <f t="shared" ca="1" si="54"/>
        <v>-4468134.1080575101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-4468134.1080575101</v>
      </c>
      <c r="J727" s="455">
        <f t="array" ref="J727">IFERROR(INDEX('Retirement Calculator'!K:K,MATCH('Lorri 401b'!N727,'Retirement Calculator'!A:A,0),0),0)</f>
        <v>20282.026119384056</v>
      </c>
      <c r="K727" s="455">
        <f t="shared" ca="1" si="53"/>
        <v>-18701.733892403725</v>
      </c>
      <c r="L727" s="455">
        <f t="shared" ca="1" si="54"/>
        <v>-4507117.8680692976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-4507117.8680692976</v>
      </c>
      <c r="J728" s="455">
        <f t="array" ref="J728">IFERROR(INDEX('Retirement Calculator'!K:K,MATCH('Lorri 401b'!N728,'Retirement Calculator'!A:A,0),0),0)</f>
        <v>20282.026119384056</v>
      </c>
      <c r="K728" s="455">
        <f t="shared" ca="1" si="53"/>
        <v>-18864.166225786172</v>
      </c>
      <c r="L728" s="455">
        <f t="shared" ca="1" si="54"/>
        <v>-4546264.0604144679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-4546264.0604144679</v>
      </c>
      <c r="J729" s="455">
        <f t="array" ref="J729">IFERROR(INDEX('Retirement Calculator'!K:K,MATCH('Lorri 401b'!N729,'Retirement Calculator'!A:A,0),0),0)</f>
        <v>20282.026119384056</v>
      </c>
      <c r="K729" s="455">
        <f t="shared" ca="1" si="53"/>
        <v>-19027.275360557716</v>
      </c>
      <c r="L729" s="455">
        <f t="shared" ca="1" si="54"/>
        <v>-4585573.3618944101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-4585573.3618944101</v>
      </c>
      <c r="J730" s="455">
        <f t="array" ref="J730">IFERROR(INDEX('Retirement Calculator'!K:K,MATCH('Lorri 401b'!N730,'Retirement Calculator'!A:A,0),0),0)</f>
        <v>20282.026119384056</v>
      </c>
      <c r="K730" s="455">
        <f t="shared" ca="1" si="53"/>
        <v>-19191.064116724141</v>
      </c>
      <c r="L730" s="455">
        <f t="shared" ca="1" si="54"/>
        <v>-4625046.4521305179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-4625046.4521305179</v>
      </c>
      <c r="J731" s="455">
        <f t="array" ref="J731">IFERROR(INDEX('Retirement Calculator'!K:K,MATCH('Lorri 401b'!N731,'Retirement Calculator'!A:A,0),0),0)</f>
        <v>20282.026119384056</v>
      </c>
      <c r="K731" s="455">
        <f t="shared" ca="1" si="53"/>
        <v>-19355.535326041259</v>
      </c>
      <c r="L731" s="455">
        <f t="shared" ca="1" si="54"/>
        <v>-4664684.0135759432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-4664684.0135759432</v>
      </c>
      <c r="J732" s="455">
        <f t="array" ref="J732">IFERROR(INDEX('Retirement Calculator'!K:K,MATCH('Lorri 401b'!N732,'Retirement Calculator'!A:A,0),0),0)</f>
        <v>20282.026119384056</v>
      </c>
      <c r="K732" s="455">
        <f t="shared" ca="1" si="53"/>
        <v>-19520.691832063862</v>
      </c>
      <c r="L732" s="455">
        <f t="shared" ca="1" si="54"/>
        <v>-4704486.7315273909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-4704486.7315273909</v>
      </c>
      <c r="J733" s="455">
        <f t="array" ref="J733">IFERROR(INDEX('Retirement Calculator'!K:K,MATCH('Lorri 401b'!N733,'Retirement Calculator'!A:A,0),0),0)</f>
        <v>20282.026119384056</v>
      </c>
      <c r="K733" s="455">
        <f t="shared" ca="1" si="53"/>
        <v>-19686.536490194896</v>
      </c>
      <c r="L733" s="455">
        <f t="shared" ca="1" si="54"/>
        <v>-4744455.2941369694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-4744455.2941369694</v>
      </c>
      <c r="J734" s="455">
        <f t="array" ref="J734">IFERROR(INDEX('Retirement Calculator'!K:K,MATCH('Lorri 401b'!N734,'Retirement Calculator'!A:A,0),0),0)</f>
        <v>20282.026119384056</v>
      </c>
      <c r="K734" s="455">
        <f t="shared" ca="1" si="53"/>
        <v>-19853.072167734805</v>
      </c>
      <c r="L734" s="455">
        <f t="shared" ca="1" si="54"/>
        <v>-4784590.392424088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-4784590.392424088</v>
      </c>
      <c r="J735" s="455">
        <f t="array" ref="J735">IFERROR(INDEX('Retirement Calculator'!K:K,MATCH('Lorri 401b'!N735,'Retirement Calculator'!A:A,0),0),0)</f>
        <v>20282.026119384056</v>
      </c>
      <c r="K735" s="455">
        <f t="shared" ca="1" si="53"/>
        <v>-20020.301743931133</v>
      </c>
      <c r="L735" s="455">
        <f t="shared" ca="1" si="54"/>
        <v>-4824892.7202874031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-4824892.7202874031</v>
      </c>
      <c r="J736" s="455">
        <f t="array" ref="J736">IFERROR(INDEX('Retirement Calculator'!K:K,MATCH('Lorri 401b'!N736,'Retirement Calculator'!A:A,0),0),0)</f>
        <v>20282.026119384056</v>
      </c>
      <c r="K736" s="455">
        <f t="shared" ca="1" si="53"/>
        <v>-20188.228110028278</v>
      </c>
      <c r="L736" s="455">
        <f t="shared" ca="1" si="54"/>
        <v>-4865362.9745168155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-4865362.9745168155</v>
      </c>
      <c r="J737" s="455">
        <f t="array" ref="J737">IFERROR(INDEX('Retirement Calculator'!K:K,MATCH('Lorri 401b'!N737,'Retirement Calculator'!A:A,0),0),0)</f>
        <v>20282.026119384056</v>
      </c>
      <c r="K737" s="455">
        <f t="shared" ca="1" si="53"/>
        <v>-20356.854169317499</v>
      </c>
      <c r="L737" s="455">
        <f t="shared" ca="1" si="54"/>
        <v>-4906001.854805517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-4906001.854805517</v>
      </c>
      <c r="J738" s="455">
        <f t="array" ref="J738">IFERROR(INDEX('Retirement Calculator'!K:K,MATCH('Lorri 401b'!N738,'Retirement Calculator'!A:A,0),0),0)</f>
        <v>20282.026119384056</v>
      </c>
      <c r="K738" s="455">
        <f t="shared" ca="1" si="53"/>
        <v>-20526.182837187087</v>
      </c>
      <c r="L738" s="455">
        <f t="shared" ca="1" si="54"/>
        <v>-4946810.0637620883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-4946810.0637620883</v>
      </c>
      <c r="J739" s="455">
        <f t="array" ref="J739">IFERROR(INDEX('Retirement Calculator'!K:K,MATCH('Lorri 401b'!N739,'Retirement Calculator'!A:A,0),0),0)</f>
        <v>20282.026119384056</v>
      </c>
      <c r="K739" s="455">
        <f t="shared" ca="1" si="53"/>
        <v>-20696.2170411728</v>
      </c>
      <c r="L739" s="455">
        <f t="shared" ca="1" si="54"/>
        <v>-4987788.3069226453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-4987788.3069226453</v>
      </c>
      <c r="J740" s="455">
        <f t="array" ref="J740">IFERROR(INDEX('Retirement Calculator'!K:K,MATCH('Lorri 401b'!N740,'Retirement Calculator'!A:A,0),0),0)</f>
        <v>20282.026119384056</v>
      </c>
      <c r="K740" s="455">
        <f t="shared" ca="1" si="53"/>
        <v>-20866.959721008454</v>
      </c>
      <c r="L740" s="455">
        <f t="shared" ca="1" si="54"/>
        <v>-5028937.2927630376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-5028937.2927630376</v>
      </c>
      <c r="J741" s="455">
        <f t="array" ref="J741">IFERROR(INDEX('Retirement Calculator'!K:K,MATCH('Lorri 401b'!N741,'Retirement Calculator'!A:A,0),0),0)</f>
        <v>20282.026119384056</v>
      </c>
      <c r="K741" s="455">
        <f t="shared" ca="1" si="53"/>
        <v>-21038.413828676756</v>
      </c>
      <c r="L741" s="455">
        <f t="shared" ca="1" si="54"/>
        <v>-5070257.7327110982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-5070257.7327110982</v>
      </c>
      <c r="J742" s="455">
        <f t="array" ref="J742">IFERROR(INDEX('Retirement Calculator'!K:K,MATCH('Lorri 401b'!N742,'Retirement Calculator'!A:A,0),0),0)</f>
        <v>20282.026119384056</v>
      </c>
      <c r="K742" s="455">
        <f t="shared" ca="1" si="53"/>
        <v>-21210.582328460343</v>
      </c>
      <c r="L742" s="455">
        <f t="shared" ca="1" si="54"/>
        <v>-5111750.3411589423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-5111750.3411589423</v>
      </c>
      <c r="J743" s="455">
        <f t="array" ref="J743">IFERROR(INDEX('Retirement Calculator'!K:K,MATCH('Lorri 401b'!N743,'Retirement Calculator'!A:A,0),0),0)</f>
        <v>20282.026119384056</v>
      </c>
      <c r="K743" s="455">
        <f t="shared" ca="1" si="53"/>
        <v>-21383.468196993024</v>
      </c>
      <c r="L743" s="455">
        <f t="shared" ca="1" si="54"/>
        <v>-5153415.8354753191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-5153415.8354753191</v>
      </c>
      <c r="J744" s="455">
        <f t="array" ref="J744">IFERROR(INDEX('Retirement Calculator'!K:K,MATCH('Lorri 401b'!N744,'Retirement Calculator'!A:A,0),0),0)</f>
        <v>20282.026119384056</v>
      </c>
      <c r="K744" s="455">
        <f t="shared" ca="1" si="53"/>
        <v>-21557.074423311264</v>
      </c>
      <c r="L744" s="455">
        <f t="shared" ca="1" si="54"/>
        <v>-5195254.9360180143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-5195254.9360180143</v>
      </c>
      <c r="J745" s="455">
        <f t="array" ref="J745">IFERROR(INDEX('Retirement Calculator'!K:K,MATCH('Lorri 401b'!N745,'Retirement Calculator'!A:A,0),0),0)</f>
        <v>20282.026119384056</v>
      </c>
      <c r="K745" s="455">
        <f t="shared" ca="1" si="53"/>
        <v>-21731.404008905825</v>
      </c>
      <c r="L745" s="455">
        <f t="shared" ca="1" si="54"/>
        <v>-5237268.3661463037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-5237268.3661463037</v>
      </c>
      <c r="J746" s="455">
        <f t="array" ref="J746">IFERROR(INDEX('Retirement Calculator'!K:K,MATCH('Lorri 401b'!N746,'Retirement Calculator'!A:A,0),0),0)</f>
        <v>20282.026119384056</v>
      </c>
      <c r="K746" s="455">
        <f t="shared" ca="1" si="53"/>
        <v>-21906.459967773699</v>
      </c>
      <c r="L746" s="455">
        <f t="shared" ca="1" si="54"/>
        <v>-5279456.8522334611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-5279456.8522334611</v>
      </c>
      <c r="J747" s="455">
        <f t="array" ref="J747">IFERROR(INDEX('Retirement Calculator'!K:K,MATCH('Lorri 401b'!N747,'Retirement Calculator'!A:A,0),0),0)</f>
        <v>20282.026119384056</v>
      </c>
      <c r="K747" s="455">
        <f t="shared" ca="1" si="53"/>
        <v>-22082.245326470187</v>
      </c>
      <c r="L747" s="455">
        <f t="shared" ca="1" si="54"/>
        <v>-5321821.1236793157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-5321821.1236793157</v>
      </c>
      <c r="J748" s="455">
        <f t="array" ref="J748">IFERROR(INDEX('Retirement Calculator'!K:K,MATCH('Lorri 401b'!N748,'Retirement Calculator'!A:A,0),0),0)</f>
        <v>20282.026119384056</v>
      </c>
      <c r="K748" s="455">
        <f t="shared" ca="1" si="53"/>
        <v>-22258.763124161247</v>
      </c>
      <c r="L748" s="455">
        <f t="shared" ca="1" si="54"/>
        <v>-5364361.9129228611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-5364361.9129228611</v>
      </c>
      <c r="J749" s="455">
        <f t="array" ref="J749">IFERROR(INDEX('Retirement Calculator'!K:K,MATCH('Lorri 401b'!N749,'Retirement Calculator'!A:A,0),0),0)</f>
        <v>20282.026119384056</v>
      </c>
      <c r="K749" s="455">
        <f t="shared" ca="1" si="53"/>
        <v>-22436.016412676021</v>
      </c>
      <c r="L749" s="455">
        <f t="shared" ca="1" si="54"/>
        <v>-5407079.9554549213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-5407079.9554549213</v>
      </c>
      <c r="J750" s="455">
        <f t="array" ref="J750">IFERROR(INDEX('Retirement Calculator'!K:K,MATCH('Lorri 401b'!N750,'Retirement Calculator'!A:A,0),0),0)</f>
        <v>20282.026119384056</v>
      </c>
      <c r="K750" s="455">
        <f t="shared" ca="1" si="53"/>
        <v>-22614.008256559606</v>
      </c>
      <c r="L750" s="455">
        <f t="shared" ca="1" si="54"/>
        <v>-5449975.9898308646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-5449975.9898308646</v>
      </c>
      <c r="J751" s="455">
        <f t="array" ref="J751">IFERROR(INDEX('Retirement Calculator'!K:K,MATCH('Lorri 401b'!N751,'Retirement Calculator'!A:A,0),0),0)</f>
        <v>20282.026119384056</v>
      </c>
      <c r="K751" s="455">
        <f t="shared" ca="1" si="53"/>
        <v>-22792.741733126037</v>
      </c>
      <c r="L751" s="455">
        <f t="shared" ca="1" si="54"/>
        <v>-5493050.7576833749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-5493050.7576833749</v>
      </c>
      <c r="J752" s="455">
        <f t="array" ref="J752">IFERROR(INDEX('Retirement Calculator'!K:K,MATCH('Lorri 401b'!N752,'Retirement Calculator'!A:A,0),0),0)</f>
        <v>20282.026119384056</v>
      </c>
      <c r="K752" s="455">
        <f t="shared" ca="1" si="53"/>
        <v>-22972.219932511496</v>
      </c>
      <c r="L752" s="455">
        <f t="shared" ca="1" si="54"/>
        <v>-5536305.0037352704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-5536305.0037352704</v>
      </c>
      <c r="J753" s="455">
        <f t="array" ref="J753">IFERROR(INDEX('Retirement Calculator'!K:K,MATCH('Lorri 401b'!N753,'Retirement Calculator'!A:A,0),0),0)</f>
        <v>20282.026119384056</v>
      </c>
      <c r="K753" s="455">
        <f t="shared" ca="1" si="53"/>
        <v>-23152.445957727727</v>
      </c>
      <c r="L753" s="455">
        <f t="shared" ca="1" si="54"/>
        <v>-5579739.4758123821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-5579739.4758123821</v>
      </c>
      <c r="J754" s="455">
        <f t="array" ref="J754">IFERROR(INDEX('Retirement Calculator'!K:K,MATCH('Lorri 401b'!N754,'Retirement Calculator'!A:A,0),0),0)</f>
        <v>20282.026119384056</v>
      </c>
      <c r="K754" s="455">
        <f t="shared" ca="1" si="53"/>
        <v>-23333.422924715691</v>
      </c>
      <c r="L754" s="455">
        <f t="shared" ca="1" si="54"/>
        <v>-5623354.9248564821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-5623354.9248564821</v>
      </c>
      <c r="J755" s="455">
        <f t="array" ref="J755">IFERROR(INDEX('Retirement Calculator'!K:K,MATCH('Lorri 401b'!N755,'Retirement Calculator'!A:A,0),0),0)</f>
        <v>20282.026119384056</v>
      </c>
      <c r="K755" s="455">
        <f t="shared" ca="1" si="53"/>
        <v>-23515.153962399443</v>
      </c>
      <c r="L755" s="455">
        <f t="shared" ca="1" si="54"/>
        <v>-5667152.1049382659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-5667152.1049382659</v>
      </c>
      <c r="J756" s="455">
        <f t="array" ref="J756">IFERROR(INDEX('Retirement Calculator'!K:K,MATCH('Lorri 401b'!N756,'Retirement Calculator'!A:A,0),0),0)</f>
        <v>20282.026119384056</v>
      </c>
      <c r="K756" s="455">
        <f t="shared" ca="1" si="53"/>
        <v>-23697.642212740207</v>
      </c>
      <c r="L756" s="455">
        <f t="shared" ca="1" si="54"/>
        <v>-5711131.77327039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-5711131.77327039</v>
      </c>
      <c r="J757" s="455">
        <f t="array" ref="J757">IFERROR(INDEX('Retirement Calculator'!K:K,MATCH('Lorri 401b'!N757,'Retirement Calculator'!A:A,0),0),0)</f>
        <v>20282.026119384056</v>
      </c>
      <c r="K757" s="455">
        <f t="shared" ca="1" si="53"/>
        <v>-23880.890830790726</v>
      </c>
      <c r="L757" s="455">
        <f t="shared" ca="1" si="54"/>
        <v>-5755294.6902205646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-5755294.6902205646</v>
      </c>
      <c r="J758" s="455">
        <f t="array" ref="J758">IFERROR(INDEX('Retirement Calculator'!K:K,MATCH('Lorri 401b'!N758,'Retirement Calculator'!A:A,0),0),0)</f>
        <v>20282.026119384056</v>
      </c>
      <c r="K758" s="455">
        <f t="shared" ca="1" si="53"/>
        <v>-24064.902984749784</v>
      </c>
      <c r="L758" s="455">
        <f t="shared" ca="1" si="54"/>
        <v>-5799641.6193246981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-5799641.6193246981</v>
      </c>
      <c r="J759" s="455">
        <f t="array" ref="J759">IFERROR(INDEX('Retirement Calculator'!K:K,MATCH('Lorri 401b'!N759,'Retirement Calculator'!A:A,0),0),0)</f>
        <v>20282.026119384056</v>
      </c>
      <c r="K759" s="455">
        <f t="shared" ca="1" si="53"/>
        <v>-24249.681856017007</v>
      </c>
      <c r="L759" s="455">
        <f t="shared" ca="1" si="54"/>
        <v>-5844173.3273000987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-5844173.3273000987</v>
      </c>
      <c r="J760" s="455">
        <f t="array" ref="J760">IFERROR(INDEX('Retirement Calculator'!K:K,MATCH('Lorri 401b'!N760,'Retirement Calculator'!A:A,0),0),0)</f>
        <v>20282.026119384056</v>
      </c>
      <c r="K760" s="455">
        <f t="shared" ca="1" si="53"/>
        <v>-24435.230639247846</v>
      </c>
      <c r="L760" s="455">
        <f t="shared" ca="1" si="54"/>
        <v>-5888890.5840587309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-5888890.5840587309</v>
      </c>
      <c r="J761" s="455">
        <f t="array" ref="J761">IFERROR(INDEX('Retirement Calculator'!K:K,MATCH('Lorri 401b'!N761,'Retirement Calculator'!A:A,0),0),0)</f>
        <v>20282.026119384056</v>
      </c>
      <c r="K761" s="455">
        <f t="shared" ca="1" si="53"/>
        <v>-24621.552542408812</v>
      </c>
      <c r="L761" s="455">
        <f t="shared" ca="1" si="54"/>
        <v>-5933794.1627205238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-5933794.1627205238</v>
      </c>
      <c r="J762" s="455">
        <f t="array" ref="J762">IFERROR(INDEX('Retirement Calculator'!K:K,MATCH('Lorri 401b'!N762,'Retirement Calculator'!A:A,0),0),0)</f>
        <v>20282.026119384056</v>
      </c>
      <c r="K762" s="455">
        <f t="shared" ca="1" si="53"/>
        <v>-24808.65078683295</v>
      </c>
      <c r="L762" s="455">
        <f t="shared" ca="1" si="54"/>
        <v>-5978884.8396267407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-5978884.8396267407</v>
      </c>
      <c r="J763" s="455">
        <f t="array" ref="J763">IFERROR(INDEX('Retirement Calculator'!K:K,MATCH('Lorri 401b'!N763,'Retirement Calculator'!A:A,0),0),0)</f>
        <v>20282.026119384056</v>
      </c>
      <c r="K763" s="455">
        <f t="shared" ca="1" si="53"/>
        <v>-24996.528607275519</v>
      </c>
      <c r="L763" s="455">
        <f t="shared" ca="1" si="54"/>
        <v>-6024163.3943534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-6024163.3943534</v>
      </c>
      <c r="J764" s="455">
        <f t="array" ref="J764">IFERROR(INDEX('Retirement Calculator'!K:K,MATCH('Lorri 401b'!N764,'Retirement Calculator'!A:A,0),0),0)</f>
        <v>20282.026119384056</v>
      </c>
      <c r="K764" s="455">
        <f t="shared" ca="1" si="53"/>
        <v>-25185.189251969932</v>
      </c>
      <c r="L764" s="455">
        <f t="shared" ca="1" si="54"/>
        <v>-6069630.6097247535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-6069630.6097247535</v>
      </c>
      <c r="J765" s="455">
        <f t="array" ref="J765">IFERROR(INDEX('Retirement Calculator'!K:K,MATCH('Lorri 401b'!N765,'Retirement Calculator'!A:A,0),0),0)</f>
        <v>20282.026119384056</v>
      </c>
      <c r="K765" s="455">
        <f t="shared" ca="1" si="53"/>
        <v>-25374.635982683907</v>
      </c>
      <c r="L765" s="455">
        <f t="shared" ca="1" si="54"/>
        <v>-6115287.2718268214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-6115287.2718268214</v>
      </c>
      <c r="J766" s="455">
        <f t="array" ref="J766">IFERROR(INDEX('Retirement Calculator'!K:K,MATCH('Lorri 401b'!N766,'Retirement Calculator'!A:A,0),0),0)</f>
        <v>20282.026119384056</v>
      </c>
      <c r="K766" s="455">
        <f t="shared" ca="1" si="53"/>
        <v>-25564.872074775856</v>
      </c>
      <c r="L766" s="455">
        <f t="shared" ca="1" si="54"/>
        <v>-6161134.1700209808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-6161134.1700209808</v>
      </c>
      <c r="J767" s="455">
        <f t="array" ref="J767">IFERROR(INDEX('Retirement Calculator'!K:K,MATCH('Lorri 401b'!N767,'Retirement Calculator'!A:A,0),0),0)</f>
        <v>20282.026119384056</v>
      </c>
      <c r="K767" s="455">
        <f t="shared" ca="1" si="53"/>
        <v>-25755.90081725152</v>
      </c>
      <c r="L767" s="455">
        <f t="shared" ca="1" si="54"/>
        <v>-6207172.0969576165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-6207172.0969576165</v>
      </c>
      <c r="J768" s="455">
        <f t="array" ref="J768">IFERROR(INDEX('Retirement Calculator'!K:K,MATCH('Lorri 401b'!N768,'Retirement Calculator'!A:A,0),0),0)</f>
        <v>20282.026119384056</v>
      </c>
      <c r="K768" s="455">
        <f t="shared" ca="1" si="53"/>
        <v>-25947.725512820834</v>
      </c>
      <c r="L768" s="455">
        <f t="shared" ca="1" si="54"/>
        <v>-6253401.8485898217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-6253401.8485898217</v>
      </c>
      <c r="J769" s="455">
        <f t="array" ref="J769">IFERROR(INDEX('Retirement Calculator'!K:K,MATCH('Lorri 401b'!N769,'Retirement Calculator'!A:A,0),0),0)</f>
        <v>20282.026119384056</v>
      </c>
      <c r="K769" s="455">
        <f t="shared" ca="1" si="53"/>
        <v>-26140.349477955024</v>
      </c>
      <c r="L769" s="455">
        <f t="shared" ca="1" si="54"/>
        <v>-6299824.2241871608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-6299824.2241871608</v>
      </c>
      <c r="J770" s="455">
        <f t="array" ref="J770">IFERROR(INDEX('Retirement Calculator'!K:K,MATCH('Lorri 401b'!N770,'Retirement Calculator'!A:A,0),0),0)</f>
        <v>20282.026119384056</v>
      </c>
      <c r="K770" s="455">
        <f t="shared" ca="1" si="53"/>
        <v>-26333.776042943937</v>
      </c>
      <c r="L770" s="455">
        <f t="shared" ca="1" si="54"/>
        <v>-6346440.0263494886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-6346440.0263494886</v>
      </c>
      <c r="J771" s="455">
        <f t="array" ref="J771">IFERROR(INDEX('Retirement Calculator'!K:K,MATCH('Lorri 401b'!N771,'Retirement Calculator'!A:A,0),0),0)</f>
        <v>20282.026119384056</v>
      </c>
      <c r="K771" s="455">
        <f t="shared" ca="1" si="53"/>
        <v>-26528.008551953637</v>
      </c>
      <c r="L771" s="455">
        <f t="shared" ca="1" si="54"/>
        <v>-6393250.061020826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-6393250.061020826</v>
      </c>
      <c r="J772" s="455">
        <f t="array" ref="J772">IFERROR(INDEX('Retirement Calculator'!K:K,MATCH('Lorri 401b'!N772,'Retirement Calculator'!A:A,0),0),0)</f>
        <v>20282.026119384056</v>
      </c>
      <c r="K772" s="455">
        <f t="shared" ca="1" si="53"/>
        <v>-26723.050363084207</v>
      </c>
      <c r="L772" s="455">
        <f t="shared" ca="1" si="54"/>
        <v>-6440255.1375032943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-6440255.1375032943</v>
      </c>
      <c r="J773" s="455">
        <f t="array" ref="J773">IFERROR(INDEX('Retirement Calculator'!K:K,MATCH('Lorri 401b'!N773,'Retirement Calculator'!A:A,0),0),0)</f>
        <v>20282.026119384056</v>
      </c>
      <c r="K773" s="455">
        <f t="shared" ref="K773:K1027" ca="1" si="79">IPMT(M773/12,1,12,-I773+J773,,0)</f>
        <v>-26918.904848427825</v>
      </c>
      <c r="L773" s="455">
        <f t="shared" ref="L773:L1027" ca="1" si="80">I773-J773+K773</f>
        <v>-6487456.0684711058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-6487456.0684711058</v>
      </c>
      <c r="J774" s="455">
        <f t="array" ref="J774">IFERROR(INDEX('Retirement Calculator'!K:K,MATCH('Lorri 401b'!N774,'Retirement Calculator'!A:A,0),0),0)</f>
        <v>20282.026119384056</v>
      </c>
      <c r="K774" s="455">
        <f t="shared" ca="1" si="79"/>
        <v>-27115.575394127041</v>
      </c>
      <c r="L774" s="455">
        <f t="shared" ca="1" si="80"/>
        <v>-6534853.6699846163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-6534853.6699846163</v>
      </c>
      <c r="J775" s="455">
        <f t="array" ref="J775">IFERROR(INDEX('Retirement Calculator'!K:K,MATCH('Lorri 401b'!N775,'Retirement Calculator'!A:A,0),0),0)</f>
        <v>20282.026119384056</v>
      </c>
      <c r="K775" s="455">
        <f t="shared" ca="1" si="79"/>
        <v>-27313.065400433337</v>
      </c>
      <c r="L775" s="455">
        <f t="shared" ca="1" si="80"/>
        <v>-6582448.761504434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-6582448.761504434</v>
      </c>
      <c r="J776" s="455">
        <f t="array" ref="J776">IFERROR(INDEX('Retirement Calculator'!K:K,MATCH('Lorri 401b'!N776,'Retirement Calculator'!A:A,0),0),0)</f>
        <v>20282.026119384056</v>
      </c>
      <c r="K776" s="455">
        <f t="shared" ca="1" si="79"/>
        <v>-27511.378281765908</v>
      </c>
      <c r="L776" s="455">
        <f t="shared" ca="1" si="80"/>
        <v>-6630242.1659055836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-6630242.1659055836</v>
      </c>
      <c r="J777" s="455">
        <f t="array" ref="J777">IFERROR(INDEX('Retirement Calculator'!K:K,MATCH('Lorri 401b'!N777,'Retirement Calculator'!A:A,0),0),0)</f>
        <v>20282.026119384056</v>
      </c>
      <c r="K777" s="455">
        <f t="shared" ca="1" si="79"/>
        <v>-27710.5174667707</v>
      </c>
      <c r="L777" s="455">
        <f t="shared" ca="1" si="80"/>
        <v>-6678234.7094917381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-6678234.7094917381</v>
      </c>
      <c r="J778" s="455">
        <f t="array" ref="J778">IFERROR(INDEX('Retirement Calculator'!K:K,MATCH('Lorri 401b'!N778,'Retirement Calculator'!A:A,0),0),0)</f>
        <v>20282.026119384056</v>
      </c>
      <c r="K778" s="455">
        <f t="shared" ca="1" si="79"/>
        <v>-27910.486398379675</v>
      </c>
      <c r="L778" s="455">
        <f t="shared" ca="1" si="80"/>
        <v>-6726427.2220095014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-6726427.2220095014</v>
      </c>
      <c r="J779" s="455">
        <f t="array" ref="J779">IFERROR(INDEX('Retirement Calculator'!K:K,MATCH('Lorri 401b'!N779,'Retirement Calculator'!A:A,0),0),0)</f>
        <v>20282.026119384056</v>
      </c>
      <c r="K779" s="455">
        <f t="shared" ca="1" si="79"/>
        <v>-28111.28853387036</v>
      </c>
      <c r="L779" s="455">
        <f t="shared" ca="1" si="80"/>
        <v>-6774820.5366627555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-6774820.5366627555</v>
      </c>
      <c r="J780" s="455">
        <f t="array" ref="J780">IFERROR(INDEX('Retirement Calculator'!K:K,MATCH('Lorri 401b'!N780,'Retirement Calculator'!A:A,0),0),0)</f>
        <v>20282.026119384056</v>
      </c>
      <c r="K780" s="455">
        <f t="shared" ca="1" si="79"/>
        <v>-28312.927344925582</v>
      </c>
      <c r="L780" s="455">
        <f t="shared" ca="1" si="80"/>
        <v>-6823415.4901270652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-6823415.4901270652</v>
      </c>
      <c r="J781" s="455">
        <f t="array" ref="J781">IFERROR(INDEX('Retirement Calculator'!K:K,MATCH('Lorri 401b'!N781,'Retirement Calculator'!A:A,0),0),0)</f>
        <v>20282.026119384056</v>
      </c>
      <c r="K781" s="455">
        <f t="shared" ca="1" si="79"/>
        <v>-28515.406317693538</v>
      </c>
      <c r="L781" s="455">
        <f t="shared" ca="1" si="80"/>
        <v>-6872212.9225641424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-6872212.9225641424</v>
      </c>
      <c r="J782" s="455">
        <f t="array" ref="J782">IFERROR(INDEX('Retirement Calculator'!K:K,MATCH('Lorri 401b'!N782,'Retirement Calculator'!A:A,0),0),0)</f>
        <v>20282.026119384056</v>
      </c>
      <c r="K782" s="455">
        <f t="shared" ca="1" si="79"/>
        <v>-28718.728952848025</v>
      </c>
      <c r="L782" s="455">
        <f t="shared" ca="1" si="80"/>
        <v>-6921213.6776363747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-6921213.6776363747</v>
      </c>
      <c r="J783" s="455">
        <f t="array" ref="J783">IFERROR(INDEX('Retirement Calculator'!K:K,MATCH('Lorri 401b'!N783,'Retirement Calculator'!A:A,0),0),0)</f>
        <v>20282.026119384056</v>
      </c>
      <c r="K783" s="455">
        <f t="shared" ca="1" si="79"/>
        <v>-28922.898765648999</v>
      </c>
      <c r="L783" s="455">
        <f t="shared" ca="1" si="80"/>
        <v>-6970418.6025214074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-6970418.6025214074</v>
      </c>
      <c r="J784" s="455">
        <f t="array" ref="J784">IFERROR(INDEX('Retirement Calculator'!K:K,MATCH('Lorri 401b'!N784,'Retirement Calculator'!A:A,0),0),0)</f>
        <v>20282.026119384056</v>
      </c>
      <c r="K784" s="455">
        <f t="shared" ca="1" si="79"/>
        <v>-29127.919286003293</v>
      </c>
      <c r="L784" s="455">
        <f t="shared" ca="1" si="80"/>
        <v>-7019828.5479267947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-7019828.5479267947</v>
      </c>
      <c r="J785" s="455">
        <f t="array" ref="J785">IFERROR(INDEX('Retirement Calculator'!K:K,MATCH('Lorri 401b'!N785,'Retirement Calculator'!A:A,0),0),0)</f>
        <v>20282.026119384056</v>
      </c>
      <c r="K785" s="455">
        <f t="shared" ca="1" si="79"/>
        <v>-29333.794058525746</v>
      </c>
      <c r="L785" s="455">
        <f t="shared" ca="1" si="80"/>
        <v>-7069444.3681047047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-7069444.3681047047</v>
      </c>
      <c r="J786" s="455">
        <f t="array" ref="J786">IFERROR(INDEX('Retirement Calculator'!K:K,MATCH('Lorri 401b'!N786,'Retirement Calculator'!A:A,0),0),0)</f>
        <v>20282.026119384056</v>
      </c>
      <c r="K786" s="455">
        <f t="shared" ca="1" si="79"/>
        <v>-29540.526642600369</v>
      </c>
      <c r="L786" s="455">
        <f t="shared" ca="1" si="80"/>
        <v>-7119266.9208666887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-7119266.9208666887</v>
      </c>
      <c r="J787" s="455">
        <f t="array" ref="J787">IFERROR(INDEX('Retirement Calculator'!K:K,MATCH('Lorri 401b'!N787,'Retirement Calculator'!A:A,0),0),0)</f>
        <v>20282.026119384056</v>
      </c>
      <c r="K787" s="455">
        <f t="shared" ca="1" si="79"/>
        <v>-29748.12061244197</v>
      </c>
      <c r="L787" s="455">
        <f t="shared" ca="1" si="80"/>
        <v>-7169297.0675985143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-7169297.0675985143</v>
      </c>
      <c r="J788" s="455">
        <f t="array" ref="J788">IFERROR(INDEX('Retirement Calculator'!K:K,MATCH('Lorri 401b'!N788,'Retirement Calculator'!A:A,0),0),0)</f>
        <v>20282.026119384056</v>
      </c>
      <c r="K788" s="455">
        <f t="shared" ca="1" si="79"/>
        <v>-29956.579557157907</v>
      </c>
      <c r="L788" s="455">
        <f t="shared" ca="1" si="80"/>
        <v>-7219535.6732750563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-7219535.6732750563</v>
      </c>
      <c r="J789" s="455">
        <f t="array" ref="J789">IFERROR(INDEX('Retirement Calculator'!K:K,MATCH('Lorri 401b'!N789,'Retirement Calculator'!A:A,0),0),0)</f>
        <v>20282.026119384056</v>
      </c>
      <c r="K789" s="455">
        <f t="shared" ca="1" si="79"/>
        <v>-30165.907080810168</v>
      </c>
      <c r="L789" s="455">
        <f t="shared" ca="1" si="80"/>
        <v>-7269983.6064752508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-7269983.6064752508</v>
      </c>
      <c r="J790" s="455">
        <f t="array" ref="J790">IFERROR(INDEX('Retirement Calculator'!K:K,MATCH('Lorri 401b'!N790,'Retirement Calculator'!A:A,0),0),0)</f>
        <v>20282.026119384056</v>
      </c>
      <c r="K790" s="455">
        <f t="shared" ca="1" si="79"/>
        <v>-30376.106802477647</v>
      </c>
      <c r="L790" s="455">
        <f t="shared" ca="1" si="80"/>
        <v>-7320641.7393971123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-7320641.7393971123</v>
      </c>
      <c r="J791" s="455">
        <f t="array" ref="J791">IFERROR(INDEX('Retirement Calculator'!K:K,MATCH('Lorri 401b'!N791,'Retirement Calculator'!A:A,0),0),0)</f>
        <v>20282.026119384056</v>
      </c>
      <c r="K791" s="455">
        <f t="shared" ca="1" si="79"/>
        <v>-30587.182356318735</v>
      </c>
      <c r="L791" s="455">
        <f t="shared" ca="1" si="80"/>
        <v>-7371510.9478728147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-7371510.9478728147</v>
      </c>
      <c r="J792" s="455">
        <f t="array" ref="J792">IFERROR(INDEX('Retirement Calculator'!K:K,MATCH('Lorri 401b'!N792,'Retirement Calculator'!A:A,0),0),0)</f>
        <v>20282.026119384056</v>
      </c>
      <c r="K792" s="455">
        <f t="shared" ca="1" si="79"/>
        <v>-30799.137391634162</v>
      </c>
      <c r="L792" s="455">
        <f t="shared" ca="1" si="80"/>
        <v>-7422592.111383833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-7422592.111383833</v>
      </c>
      <c r="J793" s="455">
        <f t="array" ref="J793">IFERROR(INDEX('Retirement Calculator'!K:K,MATCH('Lorri 401b'!N793,'Retirement Calculator'!A:A,0),0),0)</f>
        <v>20282.026119384056</v>
      </c>
      <c r="K793" s="455">
        <f t="shared" ca="1" si="79"/>
        <v>-31011.97557293007</v>
      </c>
      <c r="L793" s="455">
        <f t="shared" ca="1" si="80"/>
        <v>-7473886.1130761467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-7473886.1130761467</v>
      </c>
      <c r="J794" s="455">
        <f t="array" ref="J794">IFERROR(INDEX('Retirement Calculator'!K:K,MATCH('Lorri 401b'!N794,'Retirement Calculator'!A:A,0),0),0)</f>
        <v>20282.026119384056</v>
      </c>
      <c r="K794" s="455">
        <f t="shared" ca="1" si="79"/>
        <v>-31225.700579981378</v>
      </c>
      <c r="L794" s="455">
        <f t="shared" ca="1" si="80"/>
        <v>-7525393.839775512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-7525393.839775512</v>
      </c>
      <c r="J795" s="455">
        <f t="array" ref="J795">IFERROR(INDEX('Retirement Calculator'!K:K,MATCH('Lorri 401b'!N795,'Retirement Calculator'!A:A,0),0),0)</f>
        <v>20282.026119384056</v>
      </c>
      <c r="K795" s="455">
        <f t="shared" ca="1" si="79"/>
        <v>-31440.3161078954</v>
      </c>
      <c r="L795" s="455">
        <f t="shared" ca="1" si="80"/>
        <v>-7577116.1820027912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-7577116.1820027912</v>
      </c>
      <c r="J796" s="455">
        <f t="array" ref="J796">IFERROR(INDEX('Retirement Calculator'!K:K,MATCH('Lorri 401b'!N796,'Retirement Calculator'!A:A,0),0),0)</f>
        <v>20282.026119384056</v>
      </c>
      <c r="K796" s="455">
        <f t="shared" ca="1" si="79"/>
        <v>-31655.825867175728</v>
      </c>
      <c r="L796" s="455">
        <f t="shared" ca="1" si="80"/>
        <v>-7629054.0339893512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-7629054.0339893512</v>
      </c>
      <c r="J797" s="455">
        <f t="array" ref="J797">IFERROR(INDEX('Retirement Calculator'!K:K,MATCH('Lorri 401b'!N797,'Retirement Calculator'!A:A,0),0),0)</f>
        <v>20282.026119384056</v>
      </c>
      <c r="K797" s="455">
        <f t="shared" ca="1" si="79"/>
        <v>-31872.233583786398</v>
      </c>
      <c r="L797" s="455">
        <f t="shared" ca="1" si="80"/>
        <v>-7681208.2936925218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-7681208.2936925218</v>
      </c>
      <c r="J798" s="455">
        <f t="array" ref="J798">IFERROR(INDEX('Retirement Calculator'!K:K,MATCH('Lorri 401b'!N798,'Retirement Calculator'!A:A,0),0),0)</f>
        <v>20282.026119384056</v>
      </c>
      <c r="K798" s="455">
        <f t="shared" ca="1" si="79"/>
        <v>-32089.542999216272</v>
      </c>
      <c r="L798" s="455">
        <f t="shared" ca="1" si="80"/>
        <v>-7733579.8628111221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-7733579.8628111221</v>
      </c>
      <c r="J799" s="455">
        <f t="array" ref="J799">IFERROR(INDEX('Retirement Calculator'!K:K,MATCH('Lorri 401b'!N799,'Retirement Calculator'!A:A,0),0),0)</f>
        <v>20282.026119384056</v>
      </c>
      <c r="K799" s="455">
        <f t="shared" ca="1" si="79"/>
        <v>-32307.757870543774</v>
      </c>
      <c r="L799" s="455">
        <f t="shared" ca="1" si="80"/>
        <v>-7786169.6468010498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-7786169.6468010498</v>
      </c>
      <c r="J800" s="455">
        <f t="array" ref="J800">IFERROR(INDEX('Retirement Calculator'!K:K,MATCH('Lorri 401b'!N800,'Retirement Calculator'!A:A,0),0),0)</f>
        <v>20282.026119384056</v>
      </c>
      <c r="K800" s="455">
        <f t="shared" ca="1" si="79"/>
        <v>-32526.88197050181</v>
      </c>
      <c r="L800" s="455">
        <f t="shared" ca="1" si="80"/>
        <v>-7838978.5548909353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-7838978.5548909353</v>
      </c>
      <c r="J801" s="455">
        <f t="array" ref="J801">IFERROR(INDEX('Retirement Calculator'!K:K,MATCH('Lorri 401b'!N801,'Retirement Calculator'!A:A,0),0),0)</f>
        <v>20282.026119384056</v>
      </c>
      <c r="K801" s="455">
        <f t="shared" ca="1" si="79"/>
        <v>-32746.919087542992</v>
      </c>
      <c r="L801" s="455">
        <f t="shared" ca="1" si="80"/>
        <v>-7892007.5000978624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-7892007.5000978624</v>
      </c>
      <c r="J802" s="455">
        <f t="array" ref="J802">IFERROR(INDEX('Retirement Calculator'!K:K,MATCH('Lorri 401b'!N802,'Retirement Calculator'!A:A,0),0),0)</f>
        <v>20282.026119384056</v>
      </c>
      <c r="K802" s="455">
        <f t="shared" ca="1" si="79"/>
        <v>-32967.873025905195</v>
      </c>
      <c r="L802" s="455">
        <f t="shared" ca="1" si="80"/>
        <v>-7945257.3992431518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-7945257.3992431518</v>
      </c>
      <c r="J803" s="455">
        <f t="array" ref="J803">IFERROR(INDEX('Retirement Calculator'!K:K,MATCH('Lorri 401b'!N803,'Retirement Calculator'!A:A,0),0),0)</f>
        <v>20282.026119384056</v>
      </c>
      <c r="K803" s="455">
        <f t="shared" ca="1" si="79"/>
        <v>-33189.747605677236</v>
      </c>
      <c r="L803" s="455">
        <f t="shared" ca="1" si="80"/>
        <v>-7998729.1729682134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-7998729.1729682134</v>
      </c>
      <c r="J804" s="455">
        <f t="array" ref="J804">IFERROR(INDEX('Retirement Calculator'!K:K,MATCH('Lorri 401b'!N804,'Retirement Calculator'!A:A,0),0),0)</f>
        <v>20282.026119384056</v>
      </c>
      <c r="K804" s="455">
        <f t="shared" ca="1" si="79"/>
        <v>-33412.546662864988</v>
      </c>
      <c r="L804" s="455">
        <f t="shared" ca="1" si="80"/>
        <v>-8052423.7457504626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-8052423.7457504626</v>
      </c>
      <c r="J805" s="455">
        <f t="array" ref="J805">IFERROR(INDEX('Retirement Calculator'!K:K,MATCH('Lorri 401b'!N805,'Retirement Calculator'!A:A,0),0),0)</f>
        <v>20282.026119384056</v>
      </c>
      <c r="K805" s="455">
        <f t="shared" ca="1" si="79"/>
        <v>-33636.274049457686</v>
      </c>
      <c r="L805" s="455">
        <f t="shared" ca="1" si="80"/>
        <v>-8106342.0459193047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-8106342.0459193047</v>
      </c>
      <c r="J806" s="455">
        <f t="array" ref="J806">IFERROR(INDEX('Retirement Calculator'!K:K,MATCH('Lorri 401b'!N806,'Retirement Calculator'!A:A,0),0),0)</f>
        <v>20282.026119384056</v>
      </c>
      <c r="K806" s="455">
        <f t="shared" ca="1" si="79"/>
        <v>-33860.93363349454</v>
      </c>
      <c r="L806" s="455">
        <f t="shared" ca="1" si="80"/>
        <v>-8160485.0056721829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-8160485.0056721829</v>
      </c>
      <c r="J807" s="455">
        <f t="array" ref="J807">IFERROR(INDEX('Retirement Calculator'!K:K,MATCH('Lorri 401b'!N807,'Retirement Calculator'!A:A,0),0),0)</f>
        <v>20282.026119384056</v>
      </c>
      <c r="K807" s="455">
        <f t="shared" ca="1" si="79"/>
        <v>-34086.529299131529</v>
      </c>
      <c r="L807" s="455">
        <f t="shared" ca="1" si="80"/>
        <v>-8214853.5610906985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-8214853.5610906985</v>
      </c>
      <c r="J808" s="455">
        <f t="array" ref="J808">IFERROR(INDEX('Retirement Calculator'!K:K,MATCH('Lorri 401b'!N808,'Retirement Calculator'!A:A,0),0),0)</f>
        <v>20282.026119384056</v>
      </c>
      <c r="K808" s="455">
        <f t="shared" ca="1" si="79"/>
        <v>-34313.064946708677</v>
      </c>
      <c r="L808" s="455">
        <f t="shared" ca="1" si="80"/>
        <v>-8269448.6521567907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-8269448.6521567907</v>
      </c>
      <c r="J809" s="455">
        <f t="array" ref="J809">IFERROR(INDEX('Retirement Calculator'!K:K,MATCH('Lorri 401b'!N809,'Retirement Calculator'!A:A,0),0),0)</f>
        <v>20282.026119384056</v>
      </c>
      <c r="K809" s="455">
        <f t="shared" ca="1" si="79"/>
        <v>-34540.544492817397</v>
      </c>
      <c r="L809" s="455">
        <f t="shared" ca="1" si="80"/>
        <v>-8324271.2227689922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-8324271.2227689922</v>
      </c>
      <c r="J810" s="455">
        <f t="array" ref="J810">IFERROR(INDEX('Retirement Calculator'!K:K,MATCH('Lorri 401b'!N810,'Retirement Calculator'!A:A,0),0),0)</f>
        <v>20282.026119384056</v>
      </c>
      <c r="K810" s="455">
        <f t="shared" ca="1" si="79"/>
        <v>-34768.97187036823</v>
      </c>
      <c r="L810" s="455">
        <f t="shared" ca="1" si="80"/>
        <v>-8379322.2207587445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-8379322.2207587445</v>
      </c>
      <c r="J811" s="455">
        <f t="array" ref="J811">IFERROR(INDEX('Retirement Calculator'!K:K,MATCH('Lorri 401b'!N811,'Retirement Calculator'!A:A,0),0),0)</f>
        <v>20282.026119384056</v>
      </c>
      <c r="K811" s="455">
        <f t="shared" ca="1" si="79"/>
        <v>-34998.351028658872</v>
      </c>
      <c r="L811" s="455">
        <f t="shared" ca="1" si="80"/>
        <v>-8434602.5979067869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-8434602.5979067869</v>
      </c>
      <c r="J812" s="455">
        <f t="array" ref="J812">IFERROR(INDEX('Retirement Calculator'!K:K,MATCH('Lorri 401b'!N812,'Retirement Calculator'!A:A,0),0),0)</f>
        <v>20282.026119384056</v>
      </c>
      <c r="K812" s="455">
        <f t="shared" ca="1" si="79"/>
        <v>-35228.685933442379</v>
      </c>
      <c r="L812" s="455">
        <f t="shared" ca="1" si="80"/>
        <v>-8490113.3099596146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-8490113.3099596146</v>
      </c>
      <c r="J813" s="455">
        <f t="array" ref="J813">IFERROR(INDEX('Retirement Calculator'!K:K,MATCH('Lorri 401b'!N813,'Retirement Calculator'!A:A,0),0),0)</f>
        <v>20282.026119384056</v>
      </c>
      <c r="K813" s="455">
        <f t="shared" ca="1" si="79"/>
        <v>-35459.98056699583</v>
      </c>
      <c r="L813" s="455">
        <f t="shared" ca="1" si="80"/>
        <v>-8545855.3166459948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-8545855.3166459948</v>
      </c>
      <c r="J814" s="455">
        <f t="array" ref="J814">IFERROR(INDEX('Retirement Calculator'!K:K,MATCH('Lorri 401b'!N814,'Retirement Calculator'!A:A,0),0),0)</f>
        <v>20282.026119384056</v>
      </c>
      <c r="K814" s="455">
        <f t="shared" ca="1" si="79"/>
        <v>-35692.238928189079</v>
      </c>
      <c r="L814" s="455">
        <f t="shared" ca="1" si="80"/>
        <v>-8601829.5816935692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-8601829.5816935692</v>
      </c>
      <c r="J815" s="455">
        <f t="array" ref="J815">IFERROR(INDEX('Retirement Calculator'!K:K,MATCH('Lorri 401b'!N815,'Retirement Calculator'!A:A,0),0),0)</f>
        <v>20282.026119384056</v>
      </c>
      <c r="K815" s="455">
        <f t="shared" ca="1" si="79"/>
        <v>-35925.465032553977</v>
      </c>
      <c r="L815" s="455">
        <f t="shared" ca="1" si="80"/>
        <v>-8658037.0728455074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-8658037.0728455074</v>
      </c>
      <c r="J816" s="455">
        <f t="array" ref="J816">IFERROR(INDEX('Retirement Calculator'!K:K,MATCH('Lorri 401b'!N816,'Retirement Calculator'!A:A,0),0),0)</f>
        <v>20282.026119384056</v>
      </c>
      <c r="K816" s="455">
        <f t="shared" ca="1" si="79"/>
        <v>-36159.66291235372</v>
      </c>
      <c r="L816" s="455">
        <f t="shared" ca="1" si="80"/>
        <v>-8714478.7618772462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-8714478.7618772462</v>
      </c>
      <c r="J817" s="455">
        <f t="array" ref="J817">IFERROR(INDEX('Retirement Calculator'!K:K,MATCH('Lorri 401b'!N817,'Retirement Calculator'!A:A,0),0),0)</f>
        <v>20282.026119384056</v>
      </c>
      <c r="K817" s="455">
        <f t="shared" ca="1" si="79"/>
        <v>-36394.836616652632</v>
      </c>
      <c r="L817" s="455">
        <f t="shared" ca="1" si="80"/>
        <v>-8771155.6246132832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-8771155.6246132832</v>
      </c>
      <c r="J818" s="455">
        <f t="array" ref="J818">IFERROR(INDEX('Retirement Calculator'!K:K,MATCH('Lorri 401b'!N818,'Retirement Calculator'!A:A,0),0),0)</f>
        <v>20282.026119384056</v>
      </c>
      <c r="K818" s="455">
        <f t="shared" ca="1" si="79"/>
        <v>-36630.990211386117</v>
      </c>
      <c r="L818" s="455">
        <f t="shared" ca="1" si="80"/>
        <v>-8828068.6409440544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-8828068.6409440544</v>
      </c>
      <c r="J819" s="455">
        <f t="array" ref="J819">IFERROR(INDEX('Retirement Calculator'!K:K,MATCH('Lorri 401b'!N819,'Retirement Calculator'!A:A,0),0),0)</f>
        <v>20282.026119384056</v>
      </c>
      <c r="K819" s="455">
        <f t="shared" ca="1" si="79"/>
        <v>-36868.127779430994</v>
      </c>
      <c r="L819" s="455">
        <f t="shared" ca="1" si="80"/>
        <v>-8885218.7948428709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-8885218.7948428709</v>
      </c>
      <c r="J820" s="455">
        <f t="array" ref="J820">IFERROR(INDEX('Retirement Calculator'!K:K,MATCH('Lorri 401b'!N820,'Retirement Calculator'!A:A,0),0),0)</f>
        <v>20282.026119384056</v>
      </c>
      <c r="K820" s="455">
        <f t="shared" ca="1" si="79"/>
        <v>-37106.253420676068</v>
      </c>
      <c r="L820" s="455">
        <f t="shared" ca="1" si="80"/>
        <v>-8942607.074382931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-8942607.074382931</v>
      </c>
      <c r="J821" s="455">
        <f t="array" ref="J821">IFERROR(INDEX('Retirement Calculator'!K:K,MATCH('Lorri 401b'!N821,'Retirement Calculator'!A:A,0),0),0)</f>
        <v>20282.026119384056</v>
      </c>
      <c r="K821" s="455">
        <f t="shared" ca="1" si="79"/>
        <v>-37345.371252092984</v>
      </c>
      <c r="L821" s="455">
        <f t="shared" ca="1" si="80"/>
        <v>-9000234.4717544094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-9000234.4717544094</v>
      </c>
      <c r="J822" s="455">
        <f t="array" ref="J822">IFERROR(INDEX('Retirement Calculator'!K:K,MATCH('Lorri 401b'!N822,'Retirement Calculator'!A:A,0),0),0)</f>
        <v>20282.026119384056</v>
      </c>
      <c r="K822" s="455">
        <f t="shared" ca="1" si="79"/>
        <v>-37585.485407807479</v>
      </c>
      <c r="L822" s="455">
        <f t="shared" ca="1" si="80"/>
        <v>-9058101.9832816012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-9058101.9832816012</v>
      </c>
      <c r="J823" s="455">
        <f t="array" ref="J823">IFERROR(INDEX('Retirement Calculator'!K:K,MATCH('Lorri 401b'!N823,'Retirement Calculator'!A:A,0),0),0)</f>
        <v>20282.026119384056</v>
      </c>
      <c r="K823" s="455">
        <f t="shared" ca="1" si="79"/>
        <v>-37826.600039170778</v>
      </c>
      <c r="L823" s="455">
        <f t="shared" ca="1" si="80"/>
        <v>-9116210.6094401572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-9116210.6094401572</v>
      </c>
      <c r="J824" s="455">
        <f t="array" ref="J824">IFERROR(INDEX('Retirement Calculator'!K:K,MATCH('Lorri 401b'!N824,'Retirement Calculator'!A:A,0),0),0)</f>
        <v>20282.026119384056</v>
      </c>
      <c r="K824" s="455">
        <f t="shared" ca="1" si="79"/>
        <v>-38068.719314831425</v>
      </c>
      <c r="L824" s="455">
        <f t="shared" ca="1" si="80"/>
        <v>-9174561.3548743743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-9174561.3548743743</v>
      </c>
      <c r="J825" s="455">
        <f t="array" ref="J825">IFERROR(INDEX('Retirement Calculator'!K:K,MATCH('Lorri 401b'!N825,'Retirement Calculator'!A:A,0),0),0)</f>
        <v>20282.026119384056</v>
      </c>
      <c r="K825" s="455">
        <f t="shared" ca="1" si="79"/>
        <v>-38311.847420807331</v>
      </c>
      <c r="L825" s="455">
        <f t="shared" ca="1" si="80"/>
        <v>-9233155.2284145672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-9233155.2284145672</v>
      </c>
      <c r="J826" s="455">
        <f t="array" ref="J826">IFERROR(INDEX('Retirement Calculator'!K:K,MATCH('Lorri 401b'!N826,'Retirement Calculator'!A:A,0),0),0)</f>
        <v>20282.026119384056</v>
      </c>
      <c r="K826" s="455">
        <f t="shared" ca="1" si="79"/>
        <v>-38555.988560558137</v>
      </c>
      <c r="L826" s="455">
        <f t="shared" ca="1" si="80"/>
        <v>-9291993.2430945095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-9291993.2430945095</v>
      </c>
      <c r="J827" s="455">
        <f t="array" ref="J827">IFERROR(INDEX('Retirement Calculator'!K:K,MATCH('Lorri 401b'!N827,'Retirement Calculator'!A:A,0),0),0)</f>
        <v>20282.026119384056</v>
      </c>
      <c r="K827" s="455">
        <f t="shared" ca="1" si="79"/>
        <v>-38801.146955057891</v>
      </c>
      <c r="L827" s="455">
        <f t="shared" ca="1" si="80"/>
        <v>-9351076.4161689524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-9351076.4161689524</v>
      </c>
      <c r="J828" s="455">
        <f t="array" ref="J828">IFERROR(INDEX('Retirement Calculator'!K:K,MATCH('Lorri 401b'!N828,'Retirement Calculator'!A:A,0),0),0)</f>
        <v>20282.026119384056</v>
      </c>
      <c r="K828" s="455">
        <f t="shared" ca="1" si="79"/>
        <v>-39047.326842868075</v>
      </c>
      <c r="L828" s="455">
        <f t="shared" ca="1" si="80"/>
        <v>-9410405.769131206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-9410405.769131206</v>
      </c>
      <c r="J829" s="455">
        <f t="array" ref="J829">IFERROR(INDEX('Retirement Calculator'!K:K,MATCH('Lorri 401b'!N829,'Retirement Calculator'!A:A,0),0),0)</f>
        <v>20282.026119384056</v>
      </c>
      <c r="K829" s="455">
        <f t="shared" ca="1" si="79"/>
        <v>-39294.532480210793</v>
      </c>
      <c r="L829" s="455">
        <f t="shared" ca="1" si="80"/>
        <v>-9469982.327730801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-9469982.327730801</v>
      </c>
      <c r="J830" s="455">
        <f t="array" ref="J830">IFERROR(INDEX('Retirement Calculator'!K:K,MATCH('Lorri 401b'!N830,'Retirement Calculator'!A:A,0),0),0)</f>
        <v>20282.026119384056</v>
      </c>
      <c r="K830" s="455">
        <f t="shared" ca="1" si="79"/>
        <v>-39542.768141042441</v>
      </c>
      <c r="L830" s="455">
        <f t="shared" ca="1" si="80"/>
        <v>-9529807.1219912283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-9529807.1219912283</v>
      </c>
      <c r="J831" s="455">
        <f t="array" ref="J831">IFERROR(INDEX('Retirement Calculator'!K:K,MATCH('Lorri 401b'!N831,'Retirement Calculator'!A:A,0),0),0)</f>
        <v>20282.026119384056</v>
      </c>
      <c r="K831" s="455">
        <f t="shared" ca="1" si="79"/>
        <v>-39792.038117127551</v>
      </c>
      <c r="L831" s="455">
        <f t="shared" ca="1" si="80"/>
        <v>-9589881.1862277407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-9589881.1862277407</v>
      </c>
      <c r="J832" s="455">
        <f t="array" ref="J832">IFERROR(INDEX('Retirement Calculator'!K:K,MATCH('Lorri 401b'!N832,'Retirement Calculator'!A:A,0),0),0)</f>
        <v>20282.026119384056</v>
      </c>
      <c r="K832" s="455">
        <f t="shared" ca="1" si="79"/>
        <v>-40042.346718113025</v>
      </c>
      <c r="L832" s="455">
        <f t="shared" ca="1" si="80"/>
        <v>-9650205.5590652395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-9650205.5590652395</v>
      </c>
      <c r="J833" s="455">
        <f t="array" ref="J833">IFERROR(INDEX('Retirement Calculator'!K:K,MATCH('Lorri 401b'!N833,'Retirement Calculator'!A:A,0),0),0)</f>
        <v>20282.026119384056</v>
      </c>
      <c r="K833" s="455">
        <f t="shared" ca="1" si="79"/>
        <v>-40293.698271602603</v>
      </c>
      <c r="L833" s="455">
        <f t="shared" ca="1" si="80"/>
        <v>-9710781.2834562268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-9710781.2834562268</v>
      </c>
      <c r="J834" s="455">
        <f t="array" ref="J834">IFERROR(INDEX('Retirement Calculator'!K:K,MATCH('Lorri 401b'!N834,'Retirement Calculator'!A:A,0),0),0)</f>
        <v>20282.026119384056</v>
      </c>
      <c r="K834" s="455">
        <f t="shared" ca="1" si="79"/>
        <v>-40546.097123231717</v>
      </c>
      <c r="L834" s="455">
        <f t="shared" ca="1" si="80"/>
        <v>-9771609.4066988435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-9771609.4066988435</v>
      </c>
      <c r="J835" s="455">
        <f t="array" ref="J835">IFERROR(INDEX('Retirement Calculator'!K:K,MATCH('Lorri 401b'!N835,'Retirement Calculator'!A:A,0),0),0)</f>
        <v>20282.026119384056</v>
      </c>
      <c r="K835" s="455">
        <f t="shared" ca="1" si="79"/>
        <v>-40799.547636742616</v>
      </c>
      <c r="L835" s="455">
        <f t="shared" ca="1" si="80"/>
        <v>-9832690.9804549702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-9832690.9804549702</v>
      </c>
      <c r="J836" s="455">
        <f t="array" ref="J836">IFERROR(INDEX('Retirement Calculator'!K:K,MATCH('Lorri 401b'!N836,'Retirement Calculator'!A:A,0),0),0)</f>
        <v>20282.026119384056</v>
      </c>
      <c r="K836" s="455">
        <f t="shared" ca="1" si="79"/>
        <v>-41054.054194059812</v>
      </c>
      <c r="L836" s="455">
        <f t="shared" ca="1" si="80"/>
        <v>-9894027.0607684143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-9894027.0607684143</v>
      </c>
      <c r="J837" s="455">
        <f t="array" ref="J837">IFERROR(INDEX('Retirement Calculator'!K:K,MATCH('Lorri 401b'!N837,'Retirement Calculator'!A:A,0),0),0)</f>
        <v>20282.026119384056</v>
      </c>
      <c r="K837" s="455">
        <f t="shared" ca="1" si="79"/>
        <v>-41309.621195365828</v>
      </c>
      <c r="L837" s="455">
        <f t="shared" ca="1" si="80"/>
        <v>-9955618.7080831658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-9955618.7080831658</v>
      </c>
      <c r="J838" s="455">
        <f t="array" ref="J838">IFERROR(INDEX('Retirement Calculator'!K:K,MATCH('Lorri 401b'!N838,'Retirement Calculator'!A:A,0),0),0)</f>
        <v>20282.026119384056</v>
      </c>
      <c r="K838" s="455">
        <f t="shared" ca="1" si="79"/>
        <v>-41566.253059177296</v>
      </c>
      <c r="L838" s="455">
        <f t="shared" ca="1" si="80"/>
        <v>-10017466.987261727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-10017466.987261727</v>
      </c>
      <c r="J839" s="455">
        <f t="array" ref="J839">IFERROR(INDEX('Retirement Calculator'!K:K,MATCH('Lorri 401b'!N839,'Retirement Calculator'!A:A,0),0),0)</f>
        <v>20282.026119384056</v>
      </c>
      <c r="K839" s="455">
        <f t="shared" ca="1" si="79"/>
        <v>-41823.9542224213</v>
      </c>
      <c r="L839" s="455">
        <f t="shared" ca="1" si="80"/>
        <v>-10079572.967603534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-10079572.967603534</v>
      </c>
      <c r="J840" s="455">
        <f t="array" ref="J840">IFERROR(INDEX('Retirement Calculator'!K:K,MATCH('Lorri 401b'!N840,'Retirement Calculator'!A:A,0),0),0)</f>
        <v>20282.026119384056</v>
      </c>
      <c r="K840" s="455">
        <f t="shared" ca="1" si="79"/>
        <v>-42082.729140512165</v>
      </c>
      <c r="L840" s="455">
        <f t="shared" ca="1" si="80"/>
        <v>-10141937.722863432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-10141937.722863432</v>
      </c>
      <c r="J841" s="455">
        <f t="array" ref="J841">IFERROR(INDEX('Retirement Calculator'!K:K,MATCH('Lorri 401b'!N841,'Retirement Calculator'!A:A,0),0),0)</f>
        <v>20282.026119384056</v>
      </c>
      <c r="K841" s="455">
        <f t="shared" ca="1" si="79"/>
        <v>-42342.582287428406</v>
      </c>
      <c r="L841" s="455">
        <f t="shared" ca="1" si="80"/>
        <v>-10204562.331270246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-10204562.331270246</v>
      </c>
      <c r="J842" s="455">
        <f t="array" ref="J842">IFERROR(INDEX('Retirement Calculator'!K:K,MATCH('Lorri 401b'!N842,'Retirement Calculator'!A:A,0),0),0)</f>
        <v>20282.026119384056</v>
      </c>
      <c r="K842" s="455">
        <f t="shared" ca="1" si="79"/>
        <v>-42603.518155790131</v>
      </c>
      <c r="L842" s="455">
        <f t="shared" ca="1" si="80"/>
        <v>-10267447.875545422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-10267447.875545422</v>
      </c>
      <c r="J843" s="455">
        <f t="array" ref="J843">IFERROR(INDEX('Retirement Calculator'!K:K,MATCH('Lorri 401b'!N843,'Retirement Calculator'!A:A,0),0),0)</f>
        <v>20282.026119384056</v>
      </c>
      <c r="K843" s="455">
        <f t="shared" ca="1" si="79"/>
        <v>-42865.541256936696</v>
      </c>
      <c r="L843" s="455">
        <f t="shared" ca="1" si="80"/>
        <v>-10330595.442921743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-10330595.442921743</v>
      </c>
      <c r="J844" s="455">
        <f t="array" ref="J844">IFERROR(INDEX('Retirement Calculator'!K:K,MATCH('Lorri 401b'!N844,'Retirement Calculator'!A:A,0),0),0)</f>
        <v>20282.026119384056</v>
      </c>
      <c r="K844" s="455">
        <f t="shared" ca="1" si="79"/>
        <v>-43128.6561210047</v>
      </c>
      <c r="L844" s="455">
        <f t="shared" ca="1" si="80"/>
        <v>-10394006.125162132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-10394006.125162132</v>
      </c>
      <c r="J845" s="455">
        <f t="array" ref="J845">IFERROR(INDEX('Retirement Calculator'!K:K,MATCH('Lorri 401b'!N845,'Retirement Calculator'!A:A,0),0),0)</f>
        <v>20282.026119384056</v>
      </c>
      <c r="K845" s="455">
        <f t="shared" ca="1" si="79"/>
        <v>-43392.86729700632</v>
      </c>
      <c r="L845" s="455">
        <f t="shared" ca="1" si="80"/>
        <v>-10457681.018578524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-10457681.018578524</v>
      </c>
      <c r="J846" s="455">
        <f t="array" ref="J846">IFERROR(INDEX('Retirement Calculator'!K:K,MATCH('Lorri 401b'!N846,'Retirement Calculator'!A:A,0),0),0)</f>
        <v>20282.026119384056</v>
      </c>
      <c r="K846" s="455">
        <f t="shared" ca="1" si="79"/>
        <v>-43658.179352907951</v>
      </c>
      <c r="L846" s="455">
        <f t="shared" ca="1" si="80"/>
        <v>-10521621.224050816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-10521621.224050816</v>
      </c>
      <c r="J847" s="455">
        <f t="array" ref="J847">IFERROR(INDEX('Retirement Calculator'!K:K,MATCH('Lorri 401b'!N847,'Retirement Calculator'!A:A,0),0),0)</f>
        <v>20282.026119384056</v>
      </c>
      <c r="K847" s="455">
        <f t="shared" ca="1" si="79"/>
        <v>-43924.596875709169</v>
      </c>
      <c r="L847" s="455">
        <f t="shared" ca="1" si="80"/>
        <v>-10585827.84704591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-10585827.84704591</v>
      </c>
      <c r="J848" s="455">
        <f t="array" ref="J848">IFERROR(INDEX('Retirement Calculator'!K:K,MATCH('Lorri 401b'!N848,'Retirement Calculator'!A:A,0),0),0)</f>
        <v>20282.026119384056</v>
      </c>
      <c r="K848" s="455">
        <f t="shared" ca="1" si="79"/>
        <v>-44192.12447152206</v>
      </c>
      <c r="L848" s="455">
        <f t="shared" ca="1" si="80"/>
        <v>-10650301.997636817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-10650301.997636817</v>
      </c>
      <c r="J849" s="455">
        <f t="array" ref="J849">IFERROR(INDEX('Retirement Calculator'!K:K,MATCH('Lorri 401b'!N849,'Retirement Calculator'!A:A,0),0),0)</f>
        <v>20282.026119384056</v>
      </c>
      <c r="K849" s="455">
        <f t="shared" ca="1" si="79"/>
        <v>-44460.766765650842</v>
      </c>
      <c r="L849" s="455">
        <f t="shared" ca="1" si="80"/>
        <v>-10715044.790521853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-10715044.790521853</v>
      </c>
      <c r="J850" s="455">
        <f t="array" ref="J850">IFERROR(INDEX('Retirement Calculator'!K:K,MATCH('Lorri 401b'!N850,'Retirement Calculator'!A:A,0),0),0)</f>
        <v>20282.026119384056</v>
      </c>
      <c r="K850" s="455">
        <f t="shared" ca="1" si="79"/>
        <v>-44730.528402671822</v>
      </c>
      <c r="L850" s="455">
        <f t="shared" ca="1" si="80"/>
        <v>-10780057.345043909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-10780057.345043909</v>
      </c>
      <c r="J851" s="455">
        <f t="array" ref="J851">IFERROR(INDEX('Retirement Calculator'!K:K,MATCH('Lorri 401b'!N851,'Retirement Calculator'!A:A,0),0),0)</f>
        <v>20282.026119384056</v>
      </c>
      <c r="K851" s="455">
        <f t="shared" ca="1" si="79"/>
        <v>-45001.414046513724</v>
      </c>
      <c r="L851" s="455">
        <f t="shared" ca="1" si="80"/>
        <v>-10845340.785209807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-10845340.785209807</v>
      </c>
      <c r="J852" s="455">
        <f t="array" ref="J852">IFERROR(INDEX('Retirement Calculator'!K:K,MATCH('Lorri 401b'!N852,'Retirement Calculator'!A:A,0),0),0)</f>
        <v>20282.026119384056</v>
      </c>
      <c r="K852" s="455">
        <f t="shared" ca="1" si="79"/>
        <v>-45273.428380538295</v>
      </c>
      <c r="L852" s="455">
        <f t="shared" ca="1" si="80"/>
        <v>-10910896.239709729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-10910896.239709729</v>
      </c>
      <c r="J853" s="455">
        <f t="array" ref="J853">IFERROR(INDEX('Retirement Calculator'!K:K,MATCH('Lorri 401b'!N853,'Retirement Calculator'!A:A,0),0),0)</f>
        <v>20282.026119384056</v>
      </c>
      <c r="K853" s="455">
        <f t="shared" ca="1" si="79"/>
        <v>-45546.576107621309</v>
      </c>
      <c r="L853" s="455">
        <f t="shared" ca="1" si="80"/>
        <v>-10976724.841936735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-10976724.841936735</v>
      </c>
      <c r="J854" s="455">
        <f t="array" ref="J854">IFERROR(INDEX('Retirement Calculator'!K:K,MATCH('Lorri 401b'!N854,'Retirement Calculator'!A:A,0),0),0)</f>
        <v>20282.026119384056</v>
      </c>
      <c r="K854" s="455">
        <f t="shared" ca="1" si="79"/>
        <v>-45820.861950233833</v>
      </c>
      <c r="L854" s="455">
        <f t="shared" ca="1" si="80"/>
        <v>-11042827.730006354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-11042827.730006354</v>
      </c>
      <c r="J855" s="455">
        <f t="array" ref="J855">IFERROR(INDEX('Retirement Calculator'!K:K,MATCH('Lorri 401b'!N855,'Retirement Calculator'!A:A,0),0),0)</f>
        <v>20282.026119384056</v>
      </c>
      <c r="K855" s="455">
        <f t="shared" ca="1" si="79"/>
        <v>-46096.290650523908</v>
      </c>
      <c r="L855" s="455">
        <f t="shared" ca="1" si="80"/>
        <v>-11109206.046776263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-11109206.046776263</v>
      </c>
      <c r="J856" s="455">
        <f t="array" ref="J856">IFERROR(INDEX('Retirement Calculator'!K:K,MATCH('Lorri 401b'!N856,'Retirement Calculator'!A:A,0),0),0)</f>
        <v>20282.026119384056</v>
      </c>
      <c r="K856" s="455">
        <f t="shared" ca="1" si="79"/>
        <v>-46372.866970398536</v>
      </c>
      <c r="L856" s="455">
        <f t="shared" ca="1" si="80"/>
        <v>-11175860.939866047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-11175860.939866047</v>
      </c>
      <c r="J857" s="455">
        <f t="array" ref="J857">IFERROR(INDEX('Retirement Calculator'!K:K,MATCH('Lorri 401b'!N857,'Retirement Calculator'!A:A,0),0),0)</f>
        <v>20282.026119384056</v>
      </c>
      <c r="K857" s="455">
        <f t="shared" ca="1" si="79"/>
        <v>-46650.595691605966</v>
      </c>
      <c r="L857" s="455">
        <f t="shared" ca="1" si="80"/>
        <v>-11242793.561677039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-11242793.561677039</v>
      </c>
      <c r="J858" s="455">
        <f t="array" ref="J858">IFERROR(INDEX('Retirement Calculator'!K:K,MATCH('Lorri 401b'!N858,'Retirement Calculator'!A:A,0),0),0)</f>
        <v>20282.026119384056</v>
      </c>
      <c r="K858" s="455">
        <f t="shared" ca="1" si="79"/>
        <v>-46929.481615818433</v>
      </c>
      <c r="L858" s="455">
        <f t="shared" ca="1" si="80"/>
        <v>-11310005.069412243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-11310005.069412243</v>
      </c>
      <c r="J859" s="455">
        <f t="array" ref="J859">IFERROR(INDEX('Retirement Calculator'!K:K,MATCH('Lorri 401b'!N859,'Retirement Calculator'!A:A,0),0),0)</f>
        <v>20282.026119384056</v>
      </c>
      <c r="K859" s="455">
        <f t="shared" ca="1" si="79"/>
        <v>-47209.529564715114</v>
      </c>
      <c r="L859" s="455">
        <f t="shared" ca="1" si="80"/>
        <v>-11377496.625096343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-11377496.625096343</v>
      </c>
      <c r="J860" s="455">
        <f t="array" ref="J860">IFERROR(INDEX('Retirement Calculator'!K:K,MATCH('Lorri 401b'!N860,'Retirement Calculator'!A:A,0),0),0)</f>
        <v>20282.026119384056</v>
      </c>
      <c r="K860" s="455">
        <f t="shared" ca="1" si="79"/>
        <v>-47490.744380065531</v>
      </c>
      <c r="L860" s="455">
        <f t="shared" ca="1" si="80"/>
        <v>-11445269.395595795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-11445269.395595795</v>
      </c>
      <c r="J861" s="455">
        <f t="array" ref="J861">IFERROR(INDEX('Retirement Calculator'!K:K,MATCH('Lorri 401b'!N861,'Retirement Calculator'!A:A,0),0),0)</f>
        <v>20282.026119384056</v>
      </c>
      <c r="K861" s="455">
        <f t="shared" ca="1" si="79"/>
        <v>-47773.130923813245</v>
      </c>
      <c r="L861" s="455">
        <f t="shared" ca="1" si="80"/>
        <v>-11513324.552638993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-11513324.552638993</v>
      </c>
      <c r="J862" s="455">
        <f t="array" ref="J862">IFERROR(INDEX('Retirement Calculator'!K:K,MATCH('Lorri 401b'!N862,'Retirement Calculator'!A:A,0),0),0)</f>
        <v>20282.026119384056</v>
      </c>
      <c r="K862" s="455">
        <f t="shared" ca="1" si="79"/>
        <v>-48056.694078159904</v>
      </c>
      <c r="L862" s="455">
        <f t="shared" ca="1" si="80"/>
        <v>-11581663.272836538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-11581663.272836538</v>
      </c>
      <c r="J863" s="455">
        <f t="array" ref="J863">IFERROR(INDEX('Retirement Calculator'!K:K,MATCH('Lorri 401b'!N863,'Retirement Calculator'!A:A,0),0),0)</f>
        <v>20282.026119384056</v>
      </c>
      <c r="K863" s="455">
        <f t="shared" ca="1" si="79"/>
        <v>-48341.438745649677</v>
      </c>
      <c r="L863" s="455">
        <f t="shared" ca="1" si="80"/>
        <v>-11650286.737701572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-11650286.737701572</v>
      </c>
      <c r="J864" s="455">
        <f t="array" ref="J864">IFERROR(INDEX('Retirement Calculator'!K:K,MATCH('Lorri 401b'!N864,'Retirement Calculator'!A:A,0),0),0)</f>
        <v>20282.026119384056</v>
      </c>
      <c r="K864" s="455">
        <f t="shared" ca="1" si="79"/>
        <v>-48627.369849253992</v>
      </c>
      <c r="L864" s="455">
        <f t="shared" ca="1" si="80"/>
        <v>-11719196.133670211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-11719196.133670211</v>
      </c>
      <c r="J865" s="455">
        <f t="array" ref="J865">IFERROR(INDEX('Retirement Calculator'!K:K,MATCH('Lorri 401b'!N865,'Retirement Calculator'!A:A,0),0),0)</f>
        <v>20282.026119384056</v>
      </c>
      <c r="K865" s="455">
        <f t="shared" ca="1" si="79"/>
        <v>-48914.492332456648</v>
      </c>
      <c r="L865" s="455">
        <f t="shared" ca="1" si="80"/>
        <v>-11788392.652122052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-11788392.652122052</v>
      </c>
      <c r="J866" s="455">
        <f t="array" ref="J866">IFERROR(INDEX('Retirement Calculator'!K:K,MATCH('Lorri 401b'!N866,'Retirement Calculator'!A:A,0),0),0)</f>
        <v>20282.026119384056</v>
      </c>
      <c r="K866" s="455">
        <f t="shared" ca="1" si="79"/>
        <v>-49202.811159339319</v>
      </c>
      <c r="L866" s="455">
        <f t="shared" ca="1" si="80"/>
        <v>-11857877.489400776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-11857877.489400776</v>
      </c>
      <c r="J867" s="455">
        <f t="array" ref="J867">IFERROR(INDEX('Retirement Calculator'!K:K,MATCH('Lorri 401b'!N867,'Retirement Calculator'!A:A,0),0),0)</f>
        <v>20282.026119384056</v>
      </c>
      <c r="K867" s="455">
        <f t="shared" ca="1" si="79"/>
        <v>-49492.331314667339</v>
      </c>
      <c r="L867" s="455">
        <f t="shared" ca="1" si="80"/>
        <v>-11927651.846834829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-11927651.846834829</v>
      </c>
      <c r="J868" s="455">
        <f t="array" ref="J868">IFERROR(INDEX('Retirement Calculator'!K:K,MATCH('Lorri 401b'!N868,'Retirement Calculator'!A:A,0),0),0)</f>
        <v>20282.026119384056</v>
      </c>
      <c r="K868" s="455">
        <f t="shared" ca="1" si="79"/>
        <v>-49783.057803975891</v>
      </c>
      <c r="L868" s="455">
        <f t="shared" ca="1" si="80"/>
        <v>-11997716.930758189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-11997716.930758189</v>
      </c>
      <c r="J869" s="455">
        <f t="array" ref="J869">IFERROR(INDEX('Retirement Calculator'!K:K,MATCH('Lorri 401b'!N869,'Retirement Calculator'!A:A,0),0),0)</f>
        <v>20282.026119384056</v>
      </c>
      <c r="K869" s="455">
        <f t="shared" ca="1" si="79"/>
        <v>-50074.995653656559</v>
      </c>
      <c r="L869" s="455">
        <f t="shared" ca="1" si="80"/>
        <v>-12068073.952531232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-12068073.952531232</v>
      </c>
      <c r="J870" s="455">
        <f t="array" ref="J870">IFERROR(INDEX('Retirement Calculator'!K:K,MATCH('Lorri 401b'!N870,'Retirement Calculator'!A:A,0),0),0)</f>
        <v>20282.026119384056</v>
      </c>
      <c r="K870" s="455">
        <f t="shared" ca="1" si="79"/>
        <v>-50368.149911044238</v>
      </c>
      <c r="L870" s="455">
        <f t="shared" ca="1" si="80"/>
        <v>-12138724.128561661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-12138724.128561661</v>
      </c>
      <c r="J871" s="455">
        <f t="array" ref="J871">IFERROR(INDEX('Retirement Calculator'!K:K,MATCH('Lorri 401b'!N871,'Retirement Calculator'!A:A,0),0),0)</f>
        <v>20282.026119384056</v>
      </c>
      <c r="K871" s="455">
        <f t="shared" ca="1" si="79"/>
        <v>-50662.525644504356</v>
      </c>
      <c r="L871" s="455">
        <f t="shared" ca="1" si="80"/>
        <v>-12209668.680325549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-12209668.680325549</v>
      </c>
      <c r="J872" s="455">
        <f t="array" ref="J872">IFERROR(INDEX('Retirement Calculator'!K:K,MATCH('Lorri 401b'!N872,'Retirement Calculator'!A:A,0),0),0)</f>
        <v>20282.026119384056</v>
      </c>
      <c r="K872" s="455">
        <f t="shared" ca="1" si="79"/>
        <v>-50958.127943520558</v>
      </c>
      <c r="L872" s="455">
        <f t="shared" ca="1" si="80"/>
        <v>-12280908.834388455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-12280908.834388455</v>
      </c>
      <c r="J873" s="455">
        <f t="array" ref="J873">IFERROR(INDEX('Retirement Calculator'!K:K,MATCH('Lorri 401b'!N873,'Retirement Calculator'!A:A,0),0),0)</f>
        <v>20282.026119384056</v>
      </c>
      <c r="K873" s="455">
        <f t="shared" ca="1" si="79"/>
        <v>-51254.961918782668</v>
      </c>
      <c r="L873" s="455">
        <f t="shared" ca="1" si="80"/>
        <v>-12352445.822426623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-12352445.822426623</v>
      </c>
      <c r="J874" s="455">
        <f t="array" ref="J874">IFERROR(INDEX('Retirement Calculator'!K:K,MATCH('Lorri 401b'!N874,'Retirement Calculator'!A:A,0),0),0)</f>
        <v>20282.026119384056</v>
      </c>
      <c r="K874" s="455">
        <f t="shared" ca="1" si="79"/>
        <v>-51553.032702275028</v>
      </c>
      <c r="L874" s="455">
        <f t="shared" ca="1" si="80"/>
        <v>-12424280.881248282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-12424280.881248282</v>
      </c>
      <c r="J875" s="455">
        <f t="array" ref="J875">IFERROR(INDEX('Retirement Calculator'!K:K,MATCH('Lorri 401b'!N875,'Retirement Calculator'!A:A,0),0),0)</f>
        <v>20282.026119384056</v>
      </c>
      <c r="K875" s="455">
        <f t="shared" ca="1" si="79"/>
        <v>-51852.345447365282</v>
      </c>
      <c r="L875" s="455">
        <f t="shared" ca="1" si="80"/>
        <v>-12496415.252815032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-12496415.252815032</v>
      </c>
      <c r="J876" s="455">
        <f t="array" ref="J876">IFERROR(INDEX('Retirement Calculator'!K:K,MATCH('Lorri 401b'!N876,'Retirement Calculator'!A:A,0),0),0)</f>
        <v>20282.026119384056</v>
      </c>
      <c r="K876" s="455">
        <f t="shared" ca="1" si="79"/>
        <v>-52152.905328893408</v>
      </c>
      <c r="L876" s="455">
        <f t="shared" ca="1" si="80"/>
        <v>-12568850.184263311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-12568850.184263311</v>
      </c>
      <c r="J877" s="455">
        <f t="array" ref="J877">IFERROR(INDEX('Retirement Calculator'!K:K,MATCH('Lorri 401b'!N877,'Retirement Calculator'!A:A,0),0),0)</f>
        <v>20282.026119384056</v>
      </c>
      <c r="K877" s="455">
        <f t="shared" ca="1" si="79"/>
        <v>-52454.717543261235</v>
      </c>
      <c r="L877" s="455">
        <f t="shared" ca="1" si="80"/>
        <v>-12641586.927925957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-12641586.927925957</v>
      </c>
      <c r="J878" s="455">
        <f t="array" ref="J878">IFERROR(INDEX('Retirement Calculator'!K:K,MATCH('Lorri 401b'!N878,'Retirement Calculator'!A:A,0),0),0)</f>
        <v>20282.026119384056</v>
      </c>
      <c r="K878" s="455">
        <f t="shared" ca="1" si="79"/>
        <v>-52757.78730852226</v>
      </c>
      <c r="L878" s="455">
        <f t="shared" ca="1" si="80"/>
        <v>-12714626.741353864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-12714626.741353864</v>
      </c>
      <c r="J879" s="455">
        <f t="array" ref="J879">IFERROR(INDEX('Retirement Calculator'!K:K,MATCH('Lorri 401b'!N879,'Retirement Calculator'!A:A,0),0),0)</f>
        <v>20282.026119384056</v>
      </c>
      <c r="K879" s="455">
        <f t="shared" ca="1" si="79"/>
        <v>-53062.119864471868</v>
      </c>
      <c r="L879" s="455">
        <f t="shared" ca="1" si="80"/>
        <v>-12787970.88733772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-12787970.88733772</v>
      </c>
      <c r="J880" s="455">
        <f t="array" ref="J880">IFERROR(INDEX('Retirement Calculator'!K:K,MATCH('Lorri 401b'!N880,'Retirement Calculator'!A:A,0),0),0)</f>
        <v>20282.026119384056</v>
      </c>
      <c r="K880" s="455">
        <f t="shared" ca="1" si="79"/>
        <v>-53367.720472737936</v>
      </c>
      <c r="L880" s="455">
        <f t="shared" ca="1" si="80"/>
        <v>-12861620.633929843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-12861620.633929843</v>
      </c>
      <c r="J881" s="455">
        <f t="array" ref="J881">IFERROR(INDEX('Retirement Calculator'!K:K,MATCH('Lorri 401b'!N881,'Retirement Calculator'!A:A,0),0),0)</f>
        <v>20282.026119384056</v>
      </c>
      <c r="K881" s="455">
        <f t="shared" ca="1" si="79"/>
        <v>-53674.594416871783</v>
      </c>
      <c r="L881" s="455">
        <f t="shared" ca="1" si="80"/>
        <v>-12935577.2544661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-12935577.2544661</v>
      </c>
      <c r="J882" s="455">
        <f t="array" ref="J882">IFERROR(INDEX('Retirement Calculator'!K:K,MATCH('Lorri 401b'!N882,'Retirement Calculator'!A:A,0),0),0)</f>
        <v>20282.026119384056</v>
      </c>
      <c r="K882" s="455">
        <f t="shared" ca="1" si="79"/>
        <v>-53982.747002439515</v>
      </c>
      <c r="L882" s="455">
        <f t="shared" ca="1" si="80"/>
        <v>-13009842.027587924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-13009842.027587924</v>
      </c>
      <c r="J883" s="455">
        <f t="array" ref="J883">IFERROR(INDEX('Retirement Calculator'!K:K,MATCH('Lorri 401b'!N883,'Retirement Calculator'!A:A,0),0),0)</f>
        <v>20282.026119384056</v>
      </c>
      <c r="K883" s="455">
        <f t="shared" ca="1" si="79"/>
        <v>-54292.183557113785</v>
      </c>
      <c r="L883" s="455">
        <f t="shared" ca="1" si="80"/>
        <v>-13084416.237264423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-13084416.237264423</v>
      </c>
      <c r="J884" s="455">
        <f t="array" ref="J884">IFERROR(INDEX('Retirement Calculator'!K:K,MATCH('Lorri 401b'!N884,'Retirement Calculator'!A:A,0),0),0)</f>
        <v>20282.026119384056</v>
      </c>
      <c r="K884" s="455">
        <f t="shared" ca="1" si="79"/>
        <v>-54602.909430765867</v>
      </c>
      <c r="L884" s="455">
        <f t="shared" ca="1" si="80"/>
        <v>-13159301.172814574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-13159301.172814574</v>
      </c>
      <c r="J885" s="455">
        <f t="array" ref="J885">IFERROR(INDEX('Retirement Calculator'!K:K,MATCH('Lorri 401b'!N885,'Retirement Calculator'!A:A,0),0),0)</f>
        <v>20282.026119384056</v>
      </c>
      <c r="K885" s="455">
        <f t="shared" ca="1" si="79"/>
        <v>-54914.929995558159</v>
      </c>
      <c r="L885" s="455">
        <f t="shared" ca="1" si="80"/>
        <v>-13234498.128929516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-13234498.128929516</v>
      </c>
      <c r="J886" s="455">
        <f t="array" ref="J886">IFERROR(INDEX('Retirement Calculator'!K:K,MATCH('Lorri 401b'!N886,'Retirement Calculator'!A:A,0),0),0)</f>
        <v>20282.026119384056</v>
      </c>
      <c r="K886" s="455">
        <f t="shared" ca="1" si="79"/>
        <v>-55228.250646037086</v>
      </c>
      <c r="L886" s="455">
        <f t="shared" ca="1" si="80"/>
        <v>-13310008.405694939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-13310008.405694939</v>
      </c>
      <c r="J887" s="455">
        <f t="array" ref="J887">IFERROR(INDEX('Retirement Calculator'!K:K,MATCH('Lorri 401b'!N887,'Retirement Calculator'!A:A,0),0),0)</f>
        <v>20282.026119384056</v>
      </c>
      <c r="K887" s="455">
        <f t="shared" ca="1" si="79"/>
        <v>-55542.876799226353</v>
      </c>
      <c r="L887" s="455">
        <f t="shared" ca="1" si="80"/>
        <v>-13385833.30861355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-13385833.30861355</v>
      </c>
      <c r="J888" s="455">
        <f t="array" ref="J888">IFERROR(INDEX('Retirement Calculator'!K:K,MATCH('Lorri 401b'!N888,'Retirement Calculator'!A:A,0),0),0)</f>
        <v>20282.026119384056</v>
      </c>
      <c r="K888" s="455">
        <f t="shared" ca="1" si="79"/>
        <v>-55858.813894720559</v>
      </c>
      <c r="L888" s="455">
        <f t="shared" ca="1" si="80"/>
        <v>-13461974.148627656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-13461974.148627656</v>
      </c>
      <c r="J889" s="455">
        <f t="array" ref="J889">IFERROR(INDEX('Retirement Calculator'!K:K,MATCH('Lorri 401b'!N889,'Retirement Calculator'!A:A,0),0),0)</f>
        <v>20282.026119384056</v>
      </c>
      <c r="K889" s="455">
        <f t="shared" ca="1" si="79"/>
        <v>-56176.067394779333</v>
      </c>
      <c r="L889" s="455">
        <f t="shared" ca="1" si="80"/>
        <v>-13538432.24214182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-13538432.24214182</v>
      </c>
      <c r="J890" s="455">
        <f t="array" ref="J890">IFERROR(INDEX('Retirement Calculator'!K:K,MATCH('Lorri 401b'!N890,'Retirement Calculator'!A:A,0),0),0)</f>
        <v>20282.026119384056</v>
      </c>
      <c r="K890" s="455">
        <f t="shared" ca="1" si="79"/>
        <v>-56494.642784421689</v>
      </c>
      <c r="L890" s="455">
        <f t="shared" ca="1" si="80"/>
        <v>-13615208.911045628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-13615208.911045628</v>
      </c>
      <c r="J891" s="455">
        <f t="array" ref="J891">IFERROR(INDEX('Retirement Calculator'!K:K,MATCH('Lorri 401b'!N891,'Retirement Calculator'!A:A,0),0),0)</f>
        <v>20282.026119384056</v>
      </c>
      <c r="K891" s="455">
        <f t="shared" ca="1" si="79"/>
        <v>-56814.545571520888</v>
      </c>
      <c r="L891" s="455">
        <f t="shared" ca="1" si="80"/>
        <v>-13692305.482736534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-13692305.482736534</v>
      </c>
      <c r="J892" s="455">
        <f t="array" ref="J892">IFERROR(INDEX('Retirement Calculator'!K:K,MATCH('Lorri 401b'!N892,'Retirement Calculator'!A:A,0),0),0)</f>
        <v>20282.026119384056</v>
      </c>
      <c r="K892" s="455">
        <f t="shared" ca="1" si="79"/>
        <v>-57135.781286899663</v>
      </c>
      <c r="L892" s="455">
        <f t="shared" ca="1" si="80"/>
        <v>-13769723.290142817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-13769723.290142817</v>
      </c>
      <c r="J893" s="455">
        <f t="array" ref="J893">IFERROR(INDEX('Retirement Calculator'!K:K,MATCH('Lorri 401b'!N893,'Retirement Calculator'!A:A,0),0),0)</f>
        <v>20282.026119384056</v>
      </c>
      <c r="K893" s="455">
        <f t="shared" ca="1" si="79"/>
        <v>-57458.35548442584</v>
      </c>
      <c r="L893" s="455">
        <f t="shared" ca="1" si="80"/>
        <v>-13847463.671746628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-13847463.671746628</v>
      </c>
      <c r="J894" s="455">
        <f t="array" ref="J894">IFERROR(INDEX('Retirement Calculator'!K:K,MATCH('Lorri 401b'!N894,'Retirement Calculator'!A:A,0),0),0)</f>
        <v>20282.026119384056</v>
      </c>
      <c r="K894" s="455">
        <f t="shared" ca="1" si="79"/>
        <v>-57782.273741108387</v>
      </c>
      <c r="L894" s="455">
        <f t="shared" ca="1" si="80"/>
        <v>-13925527.971607123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-13925527.971607123</v>
      </c>
      <c r="J895" s="455">
        <f t="array" ref="J895">IFERROR(INDEX('Retirement Calculator'!K:K,MATCH('Lorri 401b'!N895,'Retirement Calculator'!A:A,0),0),0)</f>
        <v>20282.026119384056</v>
      </c>
      <c r="K895" s="455">
        <f t="shared" ca="1" si="79"/>
        <v>-58107.541657193782</v>
      </c>
      <c r="L895" s="455">
        <f t="shared" ca="1" si="80"/>
        <v>-14003917.539383702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-14003917.539383702</v>
      </c>
      <c r="J896" s="455">
        <f t="array" ref="J896">IFERROR(INDEX('Retirement Calculator'!K:K,MATCH('Lorri 401b'!N896,'Retirement Calculator'!A:A,0),0),0)</f>
        <v>20282.026119384056</v>
      </c>
      <c r="K896" s="455">
        <f t="shared" ca="1" si="79"/>
        <v>-58434.164856262862</v>
      </c>
      <c r="L896" s="455">
        <f t="shared" ca="1" si="80"/>
        <v>-14082633.730359349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-14082633.730359349</v>
      </c>
      <c r="J897" s="455">
        <f t="array" ref="J897">IFERROR(INDEX('Retirement Calculator'!K:K,MATCH('Lorri 401b'!N897,'Retirement Calculator'!A:A,0),0),0)</f>
        <v>20282.026119384056</v>
      </c>
      <c r="K897" s="455">
        <f t="shared" ca="1" si="79"/>
        <v>-58762.148985328065</v>
      </c>
      <c r="L897" s="455">
        <f t="shared" ca="1" si="80"/>
        <v>-14161677.905464062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-14161677.905464062</v>
      </c>
      <c r="J898" s="455">
        <f t="array" ref="J898">IFERROR(INDEX('Retirement Calculator'!K:K,MATCH('Lorri 401b'!N898,'Retirement Calculator'!A:A,0),0),0)</f>
        <v>20282.026119384056</v>
      </c>
      <c r="K898" s="455">
        <f t="shared" ca="1" si="79"/>
        <v>-59091.499714931037</v>
      </c>
      <c r="L898" s="455">
        <f t="shared" ca="1" si="80"/>
        <v>-14241051.431298379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-14241051.431298379</v>
      </c>
      <c r="J899" s="455">
        <f t="array" ref="J899">IFERROR(INDEX('Retirement Calculator'!K:K,MATCH('Lorri 401b'!N899,'Retirement Calculator'!A:A,0),0),0)</f>
        <v>20282.026119384056</v>
      </c>
      <c r="K899" s="455">
        <f t="shared" ca="1" si="79"/>
        <v>-59422.222739240686</v>
      </c>
      <c r="L899" s="455">
        <f t="shared" ca="1" si="80"/>
        <v>-14320755.680157004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-14320755.680157004</v>
      </c>
      <c r="J900" s="455">
        <f t="array" ref="J900">IFERROR(INDEX('Retirement Calculator'!K:K,MATCH('Lorri 401b'!N900,'Retirement Calculator'!A:A,0),0),0)</f>
        <v>20282.026119384056</v>
      </c>
      <c r="K900" s="455">
        <f t="shared" ca="1" si="79"/>
        <v>-59754.323776151621</v>
      </c>
      <c r="L900" s="455">
        <f t="shared" ca="1" si="80"/>
        <v>-14400792.030052541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-14400792.030052541</v>
      </c>
      <c r="J901" s="455">
        <f t="array" ref="J901">IFERROR(INDEX('Retirement Calculator'!K:K,MATCH('Lorri 401b'!N901,'Retirement Calculator'!A:A,0),0),0)</f>
        <v>20282.026119384056</v>
      </c>
      <c r="K901" s="455">
        <f t="shared" ca="1" si="79"/>
        <v>-60087.808567383021</v>
      </c>
      <c r="L901" s="455">
        <f t="shared" ca="1" si="80"/>
        <v>-14481161.864739308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-14481161.864739308</v>
      </c>
      <c r="J902" s="455">
        <f t="array" ref="J902">IFERROR(INDEX('Retirement Calculator'!K:K,MATCH('Lorri 401b'!N902,'Retirement Calculator'!A:A,0),0),0)</f>
        <v>20282.026119384056</v>
      </c>
      <c r="K902" s="455">
        <f t="shared" ca="1" si="79"/>
        <v>-60422.682878577885</v>
      </c>
      <c r="L902" s="455">
        <f t="shared" ca="1" si="80"/>
        <v>-14561866.573737271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-14561866.573737271</v>
      </c>
      <c r="J903" s="455">
        <f t="array" ref="J903">IFERROR(INDEX('Retirement Calculator'!K:K,MATCH('Lorri 401b'!N903,'Retirement Calculator'!A:A,0),0),0)</f>
        <v>20282.026119384056</v>
      </c>
      <c r="K903" s="455">
        <f t="shared" ca="1" si="79"/>
        <v>-60758.952499402731</v>
      </c>
      <c r="L903" s="455">
        <f t="shared" ca="1" si="80"/>
        <v>-14642907.552356059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-14642907.552356059</v>
      </c>
      <c r="J904" s="455">
        <f t="array" ref="J904">IFERROR(INDEX('Retirement Calculator'!K:K,MATCH('Lorri 401b'!N904,'Retirement Calculator'!A:A,0),0),0)</f>
        <v>20282.026119384056</v>
      </c>
      <c r="K904" s="455">
        <f t="shared" ca="1" si="79"/>
        <v>-61096.623243647678</v>
      </c>
      <c r="L904" s="455">
        <f t="shared" ca="1" si="80"/>
        <v>-14724286.201719092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-14724286.201719092</v>
      </c>
      <c r="J905" s="455">
        <f t="array" ref="J905">IFERROR(INDEX('Retirement Calculator'!K:K,MATCH('Lorri 401b'!N905,'Retirement Calculator'!A:A,0),0),0)</f>
        <v>20282.026119384056</v>
      </c>
      <c r="K905" s="455">
        <f t="shared" ca="1" si="79"/>
        <v>-61435.700949326987</v>
      </c>
      <c r="L905" s="455">
        <f t="shared" ca="1" si="80"/>
        <v>-14806003.928787803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-14806003.928787803</v>
      </c>
      <c r="J906" s="455">
        <f t="array" ref="J906">IFERROR(INDEX('Retirement Calculator'!K:K,MATCH('Lorri 401b'!N906,'Retirement Calculator'!A:A,0),0),0)</f>
        <v>20282.026119384056</v>
      </c>
      <c r="K906" s="455">
        <f t="shared" ca="1" si="79"/>
        <v>-61776.191478779947</v>
      </c>
      <c r="L906" s="455">
        <f t="shared" ca="1" si="80"/>
        <v>-14888062.146385968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-14888062.146385968</v>
      </c>
      <c r="J907" s="455">
        <f t="array" ref="J907">IFERROR(INDEX('Retirement Calculator'!K:K,MATCH('Lorri 401b'!N907,'Retirement Calculator'!A:A,0),0),0)</f>
        <v>20282.026119384056</v>
      </c>
      <c r="K907" s="455">
        <f t="shared" ca="1" si="79"/>
        <v>-62118.100718772301</v>
      </c>
      <c r="L907" s="455">
        <f t="shared" ca="1" si="80"/>
        <v>-14970462.273224125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-14970462.273224125</v>
      </c>
      <c r="J908" s="455">
        <f t="array" ref="J908">IFERROR(INDEX('Retirement Calculator'!K:K,MATCH('Lorri 401b'!N908,'Retirement Calculator'!A:A,0),0),0)</f>
        <v>20282.026119384056</v>
      </c>
      <c r="K908" s="455">
        <f t="shared" ca="1" si="79"/>
        <v>-62461.434580597954</v>
      </c>
      <c r="L908" s="455">
        <f t="shared" ca="1" si="80"/>
        <v>-15053205.733924108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-15053205.733924108</v>
      </c>
      <c r="J909" s="455">
        <f t="array" ref="J909">IFERROR(INDEX('Retirement Calculator'!K:K,MATCH('Lorri 401b'!N909,'Retirement Calculator'!A:A,0),0),0)</f>
        <v>20282.026119384056</v>
      </c>
      <c r="K909" s="455">
        <f t="shared" ca="1" si="79"/>
        <v>-62806.199000181216</v>
      </c>
      <c r="L909" s="455">
        <f t="shared" ca="1" si="80"/>
        <v>-15136293.959043674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-15136293.959043674</v>
      </c>
      <c r="J910" s="455">
        <f t="array" ref="J910">IFERROR(INDEX('Retirement Calculator'!K:K,MATCH('Lorri 401b'!N910,'Retirement Calculator'!A:A,0),0),0)</f>
        <v>20282.026119384056</v>
      </c>
      <c r="K910" s="455">
        <f t="shared" ca="1" si="79"/>
        <v>-63152.399938179413</v>
      </c>
      <c r="L910" s="455">
        <f t="shared" ca="1" si="80"/>
        <v>-15219728.385101238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-15219728.385101238</v>
      </c>
      <c r="J911" s="455">
        <f t="array" ref="J911">IFERROR(INDEX('Retirement Calculator'!K:K,MATCH('Lorri 401b'!N911,'Retirement Calculator'!A:A,0),0),0)</f>
        <v>20282.026119384056</v>
      </c>
      <c r="K911" s="455">
        <f t="shared" ca="1" si="79"/>
        <v>-63500.043380085939</v>
      </c>
      <c r="L911" s="455">
        <f t="shared" ca="1" si="80"/>
        <v>-15303510.454600709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-15303510.454600709</v>
      </c>
      <c r="J912" s="455">
        <f t="array" ref="J912">IFERROR(INDEX('Retirement Calculator'!K:K,MATCH('Lorri 401b'!N912,'Retirement Calculator'!A:A,0),0),0)</f>
        <v>20282.026119384056</v>
      </c>
      <c r="K912" s="455">
        <f t="shared" ca="1" si="79"/>
        <v>-63849.135336333718</v>
      </c>
      <c r="L912" s="455">
        <f t="shared" ca="1" si="80"/>
        <v>-15387641.616056427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-15387641.616056427</v>
      </c>
      <c r="J913" s="455">
        <f t="array" ref="J913">IFERROR(INDEX('Retirement Calculator'!K:K,MATCH('Lorri 401b'!N913,'Retirement Calculator'!A:A,0),0),0)</f>
        <v>20282.026119384056</v>
      </c>
      <c r="K913" s="455">
        <f t="shared" ca="1" si="79"/>
        <v>-64199.681842399215</v>
      </c>
      <c r="L913" s="455">
        <f t="shared" ca="1" si="80"/>
        <v>-15472123.324018212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-15472123.324018212</v>
      </c>
      <c r="J914" s="455">
        <f t="array" ref="J914">IFERROR(INDEX('Retirement Calculator'!K:K,MATCH('Lorri 401b'!N914,'Retirement Calculator'!A:A,0),0),0)</f>
        <v>20282.026119384056</v>
      </c>
      <c r="K914" s="455">
        <f t="shared" ca="1" si="79"/>
        <v>-64551.688958906656</v>
      </c>
      <c r="L914" s="455">
        <f t="shared" ca="1" si="80"/>
        <v>-15556957.039096504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-15556957.039096504</v>
      </c>
      <c r="J915" s="455">
        <f t="array" ref="J915">IFERROR(INDEX('Retirement Calculator'!K:K,MATCH('Lorri 401b'!N915,'Retirement Calculator'!A:A,0),0),0)</f>
        <v>20282.026119384056</v>
      </c>
      <c r="K915" s="455">
        <f t="shared" ca="1" si="79"/>
        <v>-64905.162771732874</v>
      </c>
      <c r="L915" s="455">
        <f t="shared" ca="1" si="80"/>
        <v>-15642144.227987623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-15642144.227987623</v>
      </c>
      <c r="J916" s="455">
        <f t="array" ref="J916">IFERROR(INDEX('Retirement Calculator'!K:K,MATCH('Lorri 401b'!N916,'Retirement Calculator'!A:A,0),0),0)</f>
        <v>20282.026119384056</v>
      </c>
      <c r="K916" s="455">
        <f t="shared" ca="1" si="79"/>
        <v>-65260.109392112536</v>
      </c>
      <c r="L916" s="455">
        <f t="shared" ca="1" si="80"/>
        <v>-15727686.36349912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-15727686.36349912</v>
      </c>
      <c r="J917" s="455">
        <f t="array" ref="J917">IFERROR(INDEX('Retirement Calculator'!K:K,MATCH('Lorri 401b'!N917,'Retirement Calculator'!A:A,0),0),0)</f>
        <v>20282.026119384056</v>
      </c>
      <c r="K917" s="455">
        <f t="shared" ca="1" si="79"/>
        <v>-65616.534956743766</v>
      </c>
      <c r="L917" s="455">
        <f t="shared" ca="1" si="80"/>
        <v>-15813584.924575249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-15813584.924575249</v>
      </c>
      <c r="J918" s="455">
        <f t="array" ref="J918">IFERROR(INDEX('Retirement Calculator'!K:K,MATCH('Lorri 401b'!N918,'Retirement Calculator'!A:A,0),0),0)</f>
        <v>20282.026119384056</v>
      </c>
      <c r="K918" s="455">
        <f t="shared" ca="1" si="79"/>
        <v>-65974.445627894311</v>
      </c>
      <c r="L918" s="455">
        <f t="shared" ca="1" si="80"/>
        <v>-15899841.396322528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-15899841.396322528</v>
      </c>
      <c r="J919" s="455">
        <f t="array" ref="J919">IFERROR(INDEX('Retirement Calculator'!K:K,MATCH('Lorri 401b'!N919,'Retirement Calculator'!A:A,0),0),0)</f>
        <v>20282.026119384056</v>
      </c>
      <c r="K919" s="455">
        <f t="shared" ca="1" si="79"/>
        <v>-66333.847593507962</v>
      </c>
      <c r="L919" s="455">
        <f t="shared" ca="1" si="80"/>
        <v>-15986457.270035421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-15986457.270035421</v>
      </c>
      <c r="J920" s="455">
        <f t="array" ref="J920">IFERROR(INDEX('Retirement Calculator'!K:K,MATCH('Lorri 401b'!N920,'Retirement Calculator'!A:A,0),0),0)</f>
        <v>20282.026119384056</v>
      </c>
      <c r="K920" s="455">
        <f t="shared" ca="1" si="79"/>
        <v>-66694.747067311706</v>
      </c>
      <c r="L920" s="455">
        <f t="shared" ca="1" si="80"/>
        <v>-16073434.043222118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-16073434.043222118</v>
      </c>
      <c r="J921" s="455">
        <f t="array" ref="J921">IFERROR(INDEX('Retirement Calculator'!K:K,MATCH('Lorri 401b'!N921,'Retirement Calculator'!A:A,0),0),0)</f>
        <v>20282.026119384056</v>
      </c>
      <c r="K921" s="455">
        <f t="shared" ca="1" si="79"/>
        <v>-67057.15028892293</v>
      </c>
      <c r="L921" s="455">
        <f t="shared" ca="1" si="80"/>
        <v>-16160773.219630426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-16160773.219630426</v>
      </c>
      <c r="J922" s="455">
        <f t="array" ref="J922">IFERROR(INDEX('Retirement Calculator'!K:K,MATCH('Lorri 401b'!N922,'Retirement Calculator'!A:A,0),0),0)</f>
        <v>20282.026119384056</v>
      </c>
      <c r="K922" s="455">
        <f t="shared" ca="1" si="79"/>
        <v>-67421.063523957549</v>
      </c>
      <c r="L922" s="455">
        <f t="shared" ca="1" si="80"/>
        <v>-16248476.309273768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-16248476.309273768</v>
      </c>
      <c r="J923" s="455">
        <f t="array" ref="J923">IFERROR(INDEX('Retirement Calculator'!K:K,MATCH('Lorri 401b'!N923,'Retirement Calculator'!A:A,0),0),0)</f>
        <v>20282.026119384056</v>
      </c>
      <c r="K923" s="455">
        <f t="shared" ca="1" si="79"/>
        <v>-67786.493064138151</v>
      </c>
      <c r="L923" s="455">
        <f t="shared" ca="1" si="80"/>
        <v>-16336544.828457292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-16336544.828457292</v>
      </c>
      <c r="J924" s="455">
        <f t="array" ref="J924">IFERROR(INDEX('Retirement Calculator'!K:K,MATCH('Lorri 401b'!N924,'Retirement Calculator'!A:A,0),0),0)</f>
        <v>20282.026119384056</v>
      </c>
      <c r="K924" s="455">
        <f t="shared" ca="1" si="79"/>
        <v>-68153.445227402815</v>
      </c>
      <c r="L924" s="455">
        <f t="shared" ca="1" si="80"/>
        <v>-16424980.29980408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-16424980.29980408</v>
      </c>
      <c r="J925" s="455">
        <f t="array" ref="J925">IFERROR(INDEX('Retirement Calculator'!K:K,MATCH('Lorri 401b'!N925,'Retirement Calculator'!A:A,0),0),0)</f>
        <v>20282.026119384056</v>
      </c>
      <c r="K925" s="455">
        <f t="shared" ca="1" si="79"/>
        <v>-68521.926358014432</v>
      </c>
      <c r="L925" s="455">
        <f t="shared" ca="1" si="80"/>
        <v>-16513784.25228148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-16513784.25228148</v>
      </c>
      <c r="J926" s="455">
        <f t="array" ref="J926">IFERROR(INDEX('Retirement Calculator'!K:K,MATCH('Lorri 401b'!N926,'Retirement Calculator'!A:A,0),0),0)</f>
        <v>20282.026119384056</v>
      </c>
      <c r="K926" s="455">
        <f t="shared" ca="1" si="79"/>
        <v>-68891.942826670274</v>
      </c>
      <c r="L926" s="455">
        <f t="shared" ca="1" si="80"/>
        <v>-16602958.221227534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-16602958.221227534</v>
      </c>
      <c r="J927" s="455">
        <f t="array" ref="J927">IFERROR(INDEX('Retirement Calculator'!K:K,MATCH('Lorri 401b'!N927,'Retirement Calculator'!A:A,0),0),0)</f>
        <v>20282.026119384056</v>
      </c>
      <c r="K927" s="455">
        <f t="shared" ca="1" si="79"/>
        <v>-69263.501030612155</v>
      </c>
      <c r="L927" s="455">
        <f t="shared" ca="1" si="80"/>
        <v>-16692503.748377532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-16692503.748377532</v>
      </c>
      <c r="J928" s="455">
        <f t="array" ref="J928">IFERROR(INDEX('Retirement Calculator'!K:K,MATCH('Lorri 401b'!N928,'Retirement Calculator'!A:A,0),0),0)</f>
        <v>20282.026119384056</v>
      </c>
      <c r="K928" s="455">
        <f t="shared" ca="1" si="79"/>
        <v>-69636.607393737155</v>
      </c>
      <c r="L928" s="455">
        <f t="shared" ca="1" si="80"/>
        <v>-16782422.381890655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-16782422.381890655</v>
      </c>
      <c r="J929" s="455">
        <f t="array" ref="J929">IFERROR(INDEX('Retirement Calculator'!K:K,MATCH('Lorri 401b'!N929,'Retirement Calculator'!A:A,0),0),0)</f>
        <v>20282.026119384056</v>
      </c>
      <c r="K929" s="455">
        <f t="shared" ca="1" si="79"/>
        <v>-70011.268366708493</v>
      </c>
      <c r="L929" s="455">
        <f t="shared" ca="1" si="80"/>
        <v>-16872715.676376749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-16872715.676376749</v>
      </c>
      <c r="J930" s="455">
        <f t="array" ref="J930">IFERROR(INDEX('Retirement Calculator'!K:K,MATCH('Lorri 401b'!N930,'Retirement Calculator'!A:A,0),0),0)</f>
        <v>20282.026119384056</v>
      </c>
      <c r="K930" s="455">
        <f t="shared" ca="1" si="79"/>
        <v>-70387.490427067227</v>
      </c>
      <c r="L930" s="455">
        <f t="shared" ca="1" si="80"/>
        <v>-16963385.192923199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-16963385.192923199</v>
      </c>
      <c r="J931" s="455">
        <f t="array" ref="J931">IFERROR(INDEX('Retirement Calculator'!K:K,MATCH('Lorri 401b'!N931,'Retirement Calculator'!A:A,0),0),0)</f>
        <v>20282.026119384056</v>
      </c>
      <c r="K931" s="455">
        <f t="shared" ca="1" si="79"/>
        <v>-70765.280079344098</v>
      </c>
      <c r="L931" s="455">
        <f t="shared" ca="1" si="80"/>
        <v>-17054432.499121927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-17054432.499121927</v>
      </c>
      <c r="J932" s="455">
        <f t="array" ref="J932">IFERROR(INDEX('Retirement Calculator'!K:K,MATCH('Lorri 401b'!N932,'Retirement Calculator'!A:A,0),0),0)</f>
        <v>20282.026119384056</v>
      </c>
      <c r="K932" s="455">
        <f t="shared" ca="1" si="79"/>
        <v>-71144.643855172137</v>
      </c>
      <c r="L932" s="455">
        <f t="shared" ca="1" si="80"/>
        <v>-17145859.169096485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-17145859.169096485</v>
      </c>
      <c r="J933" s="455">
        <f t="array" ref="J933">IFERROR(INDEX('Retirement Calculator'!K:K,MATCH('Lorri 401b'!N933,'Retirement Calculator'!A:A,0),0),0)</f>
        <v>20282.026119384056</v>
      </c>
      <c r="K933" s="455">
        <f t="shared" ca="1" si="79"/>
        <v>-71525.58831339945</v>
      </c>
      <c r="L933" s="455">
        <f t="shared" ca="1" si="80"/>
        <v>-17237666.78352927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-17237666.78352927</v>
      </c>
      <c r="J934" s="455">
        <f t="array" ref="J934">IFERROR(INDEX('Retirement Calculator'!K:K,MATCH('Lorri 401b'!N934,'Retirement Calculator'!A:A,0),0),0)</f>
        <v>20282.026119384056</v>
      </c>
      <c r="K934" s="455">
        <f t="shared" ca="1" si="79"/>
        <v>-71908.120040202732</v>
      </c>
      <c r="L934" s="455">
        <f t="shared" ca="1" si="80"/>
        <v>-17329856.92968886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-17329856.92968886</v>
      </c>
      <c r="J935" s="455">
        <f t="array" ref="J935">IFERROR(INDEX('Retirement Calculator'!K:K,MATCH('Lorri 401b'!N935,'Retirement Calculator'!A:A,0),0),0)</f>
        <v>20282.026119384056</v>
      </c>
      <c r="K935" s="455">
        <f t="shared" ca="1" si="79"/>
        <v>-72292.245649201024</v>
      </c>
      <c r="L935" s="455">
        <f t="shared" ca="1" si="80"/>
        <v>-17422431.201457445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-17422431.201457445</v>
      </c>
      <c r="J936" s="455">
        <f t="array" ref="J936">IFERROR(INDEX('Retirement Calculator'!K:K,MATCH('Lorri 401b'!N936,'Retirement Calculator'!A:A,0),0),0)</f>
        <v>20282.026119384056</v>
      </c>
      <c r="K936" s="455">
        <f t="shared" ca="1" si="79"/>
        <v>-72677.971781570115</v>
      </c>
      <c r="L936" s="455">
        <f t="shared" ca="1" si="80"/>
        <v>-17515391.1993584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-17515391.1993584</v>
      </c>
      <c r="J937" s="455">
        <f t="array" ref="J937">IFERROR(INDEX('Retirement Calculator'!K:K,MATCH('Lorri 401b'!N937,'Retirement Calculator'!A:A,0),0),0)</f>
        <v>20282.026119384056</v>
      </c>
      <c r="K937" s="455">
        <f t="shared" ca="1" si="79"/>
        <v>-73065.305106157437</v>
      </c>
      <c r="L937" s="455">
        <f t="shared" ca="1" si="80"/>
        <v>-17608738.53058394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-17608738.53058394</v>
      </c>
      <c r="J938" s="455">
        <f t="array" ref="J938">IFERROR(INDEX('Retirement Calculator'!K:K,MATCH('Lorri 401b'!N938,'Retirement Calculator'!A:A,0),0),0)</f>
        <v>20282.026119384056</v>
      </c>
      <c r="K938" s="455">
        <f t="shared" ca="1" si="79"/>
        <v>-73454.252319597188</v>
      </c>
      <c r="L938" s="455">
        <f t="shared" ca="1" si="80"/>
        <v>-17702474.809022922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-17702474.809022922</v>
      </c>
      <c r="J939" s="455">
        <f t="array" ref="J939">IFERROR(INDEX('Retirement Calculator'!K:K,MATCH('Lorri 401b'!N939,'Retirement Calculator'!A:A,0),0),0)</f>
        <v>20282.026119384056</v>
      </c>
      <c r="K939" s="455">
        <f t="shared" ca="1" si="79"/>
        <v>-73844.820146426282</v>
      </c>
      <c r="L939" s="455">
        <f t="shared" ca="1" si="80"/>
        <v>-17796601.655288734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-17796601.655288734</v>
      </c>
      <c r="J940" s="455">
        <f t="array" ref="J940">IFERROR(INDEX('Retirement Calculator'!K:K,MATCH('Lorri 401b'!N940,'Retirement Calculator'!A:A,0),0),0)</f>
        <v>20282.026119384056</v>
      </c>
      <c r="K940" s="455">
        <f t="shared" ca="1" si="79"/>
        <v>-74237.015339200487</v>
      </c>
      <c r="L940" s="455">
        <f t="shared" ca="1" si="80"/>
        <v>-17891120.696747318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-17891120.696747318</v>
      </c>
      <c r="J941" s="455">
        <f t="array" ref="J941">IFERROR(INDEX('Retirement Calculator'!K:K,MATCH('Lorri 401b'!N941,'Retirement Calculator'!A:A,0),0),0)</f>
        <v>20282.026119384056</v>
      </c>
      <c r="K941" s="455">
        <f t="shared" ca="1" si="79"/>
        <v>-74630.844678611262</v>
      </c>
      <c r="L941" s="455">
        <f t="shared" ca="1" si="80"/>
        <v>-17986033.567545313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-17986033.567545313</v>
      </c>
      <c r="J942" s="455">
        <f t="array" ref="J942">IFERROR(INDEX('Retirement Calculator'!K:K,MATCH('Lorri 401b'!N942,'Retirement Calculator'!A:A,0),0),0)</f>
        <v>20282.026119384056</v>
      </c>
      <c r="K942" s="455">
        <f t="shared" ca="1" si="79"/>
        <v>-75026.314973602915</v>
      </c>
      <c r="L942" s="455">
        <f t="shared" ca="1" si="80"/>
        <v>-18081341.908638302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-18081341.908638302</v>
      </c>
      <c r="J943" s="455">
        <f t="array" ref="J943">IFERROR(INDEX('Retirement Calculator'!K:K,MATCH('Lorri 401b'!N943,'Retirement Calculator'!A:A,0),0),0)</f>
        <v>20282.026119384056</v>
      </c>
      <c r="K943" s="455">
        <f t="shared" ca="1" si="79"/>
        <v>-75423.433061490359</v>
      </c>
      <c r="L943" s="455">
        <f t="shared" ca="1" si="80"/>
        <v>-18177047.367819179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-18177047.367819179</v>
      </c>
      <c r="J944" s="455">
        <f t="array" ref="J944">IFERROR(INDEX('Retirement Calculator'!K:K,MATCH('Lorri 401b'!N944,'Retirement Calculator'!A:A,0),0),0)</f>
        <v>20282.026119384056</v>
      </c>
      <c r="K944" s="455">
        <f t="shared" ca="1" si="79"/>
        <v>-75822.205808077342</v>
      </c>
      <c r="L944" s="455">
        <f t="shared" ca="1" si="80"/>
        <v>-18273151.599746641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-18273151.599746641</v>
      </c>
      <c r="J945" s="455">
        <f t="array" ref="J945">IFERROR(INDEX('Retirement Calculator'!K:K,MATCH('Lorri 401b'!N945,'Retirement Calculator'!A:A,0),0),0)</f>
        <v>20282.026119384056</v>
      </c>
      <c r="K945" s="455">
        <f t="shared" ca="1" si="79"/>
        <v>-76222.640107775107</v>
      </c>
      <c r="L945" s="455">
        <f t="shared" ca="1" si="80"/>
        <v>-18369656.265973799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-18369656.265973799</v>
      </c>
      <c r="J946" s="455">
        <f t="array" ref="J946">IFERROR(INDEX('Retirement Calculator'!K:K,MATCH('Lorri 401b'!N946,'Retirement Calculator'!A:A,0),0),0)</f>
        <v>20282.026119384056</v>
      </c>
      <c r="K946" s="455">
        <f t="shared" ca="1" si="79"/>
        <v>-76624.742883721599</v>
      </c>
      <c r="L946" s="455">
        <f t="shared" ca="1" si="80"/>
        <v>-18466563.034976907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-18466563.034976907</v>
      </c>
      <c r="J947" s="455">
        <f t="array" ref="J947">IFERROR(INDEX('Retirement Calculator'!K:K,MATCH('Lorri 401b'!N947,'Retirement Calculator'!A:A,0),0),0)</f>
        <v>20282.026119384056</v>
      </c>
      <c r="K947" s="455">
        <f t="shared" ca="1" si="79"/>
        <v>-77028.521087901216</v>
      </c>
      <c r="L947" s="455">
        <f t="shared" ca="1" si="80"/>
        <v>-18563873.582184192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-18563873.582184192</v>
      </c>
      <c r="J948" s="455">
        <f t="array" ref="J948">IFERROR(INDEX('Retirement Calculator'!K:K,MATCH('Lorri 401b'!N948,'Retirement Calculator'!A:A,0),0),0)</f>
        <v>20282.026119384056</v>
      </c>
      <c r="K948" s="455">
        <f t="shared" ca="1" si="79"/>
        <v>-77433.9817012649</v>
      </c>
      <c r="L948" s="455">
        <f t="shared" ca="1" si="80"/>
        <v>-18661589.590004843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-18661589.590004843</v>
      </c>
      <c r="J949" s="455">
        <f t="array" ref="J949">IFERROR(INDEX('Retirement Calculator'!K:K,MATCH('Lorri 401b'!N949,'Retirement Calculator'!A:A,0),0),0)</f>
        <v>20282.026119384056</v>
      </c>
      <c r="K949" s="455">
        <f t="shared" ca="1" si="79"/>
        <v>-77841.131733850954</v>
      </c>
      <c r="L949" s="455">
        <f t="shared" ca="1" si="80"/>
        <v>-18759712.747858077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-18759712.747858077</v>
      </c>
      <c r="J950" s="455">
        <f t="array" ref="J950">IFERROR(INDEX('Retirement Calculator'!K:K,MATCH('Lorri 401b'!N950,'Retirement Calculator'!A:A,0),0),0)</f>
        <v>20282.026119384056</v>
      </c>
      <c r="K950" s="455">
        <f t="shared" ca="1" si="79"/>
        <v>-78249.978224906095</v>
      </c>
      <c r="L950" s="455">
        <f t="shared" ca="1" si="80"/>
        <v>-18858244.752202369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-18858244.752202369</v>
      </c>
      <c r="J951" s="455">
        <f t="array" ref="J951">IFERROR(INDEX('Retirement Calculator'!K:K,MATCH('Lorri 401b'!N951,'Retirement Calculator'!A:A,0),0),0)</f>
        <v>20282.026119384056</v>
      </c>
      <c r="K951" s="455">
        <f t="shared" ca="1" si="79"/>
        <v>-78660.528243007313</v>
      </c>
      <c r="L951" s="455">
        <f t="shared" ca="1" si="80"/>
        <v>-18957187.306564763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-18957187.306564763</v>
      </c>
      <c r="J952" s="455">
        <f t="array" ref="J952">IFERROR(INDEX('Retirement Calculator'!K:K,MATCH('Lorri 401b'!N952,'Retirement Calculator'!A:A,0),0),0)</f>
        <v>20282.026119384056</v>
      </c>
      <c r="K952" s="455">
        <f t="shared" ca="1" si="79"/>
        <v>-79072.788886183946</v>
      </c>
      <c r="L952" s="455">
        <f t="shared" ca="1" si="80"/>
        <v>-19056542.121570334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-19056542.121570334</v>
      </c>
      <c r="J953" s="455">
        <f t="array" ref="J953">IFERROR(INDEX('Retirement Calculator'!K:K,MATCH('Lorri 401b'!N953,'Retirement Calculator'!A:A,0),0),0)</f>
        <v>20282.026119384056</v>
      </c>
      <c r="K953" s="455">
        <f t="shared" ca="1" si="79"/>
        <v>-79486.767282040499</v>
      </c>
      <c r="L953" s="455">
        <f t="shared" ca="1" si="80"/>
        <v>-19156310.914971758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-19156310.914971758</v>
      </c>
      <c r="J954" s="455">
        <f t="array" ref="J954">IFERROR(INDEX('Retirement Calculator'!K:K,MATCH('Lorri 401b'!N954,'Retirement Calculator'!A:A,0),0),0)</f>
        <v>20282.026119384056</v>
      </c>
      <c r="K954" s="455">
        <f t="shared" ca="1" si="79"/>
        <v>-79902.470587879754</v>
      </c>
      <c r="L954" s="455">
        <f t="shared" ca="1" si="80"/>
        <v>-19256495.411679022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-19256495.411679022</v>
      </c>
      <c r="J955" s="455">
        <f t="array" ref="J955">IFERROR(INDEX('Retirement Calculator'!K:K,MATCH('Lorri 401b'!N955,'Retirement Calculator'!A:A,0),0),0)</f>
        <v>20282.026119384056</v>
      </c>
      <c r="K955" s="455">
        <f t="shared" ca="1" si="79"/>
        <v>-80319.905990826694</v>
      </c>
      <c r="L955" s="455">
        <f t="shared" ca="1" si="80"/>
        <v>-19357097.343789235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-19357097.343789235</v>
      </c>
      <c r="J956" s="455">
        <f t="array" ref="J956">IFERROR(INDEX('Retirement Calculator'!K:K,MATCH('Lorri 401b'!N956,'Retirement Calculator'!A:A,0),0),0)</f>
        <v>20282.026119384056</v>
      </c>
      <c r="K956" s="455">
        <f t="shared" ca="1" si="79"/>
        <v>-80739.080707952584</v>
      </c>
      <c r="L956" s="455">
        <f t="shared" ca="1" si="80"/>
        <v>-19458118.450616572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-19458118.450616572</v>
      </c>
      <c r="J957" s="455">
        <f t="array" ref="J957">IFERROR(INDEX('Retirement Calculator'!K:K,MATCH('Lorri 401b'!N957,'Retirement Calculator'!A:A,0),0),0)</f>
        <v>20282.026119384056</v>
      </c>
      <c r="K957" s="455">
        <f t="shared" ca="1" si="79"/>
        <v>-81160.001986399817</v>
      </c>
      <c r="L957" s="455">
        <f t="shared" ca="1" si="80"/>
        <v>-19559560.478722356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-19559560.478722356</v>
      </c>
      <c r="J958" s="455">
        <f t="array" ref="J958">IFERROR(INDEX('Retirement Calculator'!K:K,MATCH('Lorri 401b'!N958,'Retirement Calculator'!A:A,0),0),0)</f>
        <v>20282.026119384056</v>
      </c>
      <c r="K958" s="455">
        <f t="shared" ca="1" si="79"/>
        <v>-81582.67710350726</v>
      </c>
      <c r="L958" s="455">
        <f t="shared" ca="1" si="80"/>
        <v>-19661425.181945249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-19661425.181945249</v>
      </c>
      <c r="J959" s="455">
        <f t="array" ref="J959">IFERROR(INDEX('Retirement Calculator'!K:K,MATCH('Lorri 401b'!N959,'Retirement Calculator'!A:A,0),0),0)</f>
        <v>20282.026119384056</v>
      </c>
      <c r="K959" s="455">
        <f t="shared" ca="1" si="79"/>
        <v>-82007.11336693597</v>
      </c>
      <c r="L959" s="455">
        <f t="shared" ca="1" si="80"/>
        <v>-19763714.32143157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-19763714.32143157</v>
      </c>
      <c r="J960" s="455">
        <f t="array" ref="J960">IFERROR(INDEX('Retirement Calculator'!K:K,MATCH('Lorri 401b'!N960,'Retirement Calculator'!A:A,0),0),0)</f>
        <v>20282.026119384056</v>
      </c>
      <c r="K960" s="455">
        <f t="shared" ca="1" si="79"/>
        <v>-82433.318114795649</v>
      </c>
      <c r="L960" s="455">
        <f t="shared" ca="1" si="80"/>
        <v>-19866429.665665749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-19866429.665665749</v>
      </c>
      <c r="J961" s="455">
        <f t="array" ref="J961">IFERROR(INDEX('Retirement Calculator'!K:K,MATCH('Lorri 401b'!N961,'Retirement Calculator'!A:A,0),0),0)</f>
        <v>20282.026119384056</v>
      </c>
      <c r="K961" s="455">
        <f t="shared" ca="1" si="79"/>
        <v>-82861.298715771394</v>
      </c>
      <c r="L961" s="455">
        <f t="shared" ca="1" si="80"/>
        <v>-19969572.990500905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-19969572.990500905</v>
      </c>
      <c r="J962" s="455">
        <f t="array" ref="J962">IFERROR(INDEX('Retirement Calculator'!K:K,MATCH('Lorri 401b'!N962,'Retirement Calculator'!A:A,0),0),0)</f>
        <v>20282.026119384056</v>
      </c>
      <c r="K962" s="455">
        <f t="shared" ca="1" si="79"/>
        <v>-83291.062569251211</v>
      </c>
      <c r="L962" s="455">
        <f t="shared" ca="1" si="80"/>
        <v>-20073146.079189539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-20073146.079189539</v>
      </c>
      <c r="J963" s="455">
        <f t="array" ref="J963">IFERROR(INDEX('Retirement Calculator'!K:K,MATCH('Lorri 401b'!N963,'Retirement Calculator'!A:A,0),0),0)</f>
        <v>20282.026119384056</v>
      </c>
      <c r="K963" s="455">
        <f t="shared" ca="1" si="79"/>
        <v>-83722.617105453843</v>
      </c>
      <c r="L963" s="455">
        <f t="shared" ca="1" si="80"/>
        <v>-20177150.722414378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-20177150.722414378</v>
      </c>
      <c r="J964" s="455">
        <f t="array" ref="J964">IFERROR(INDEX('Retirement Calculator'!K:K,MATCH('Lorri 401b'!N964,'Retirement Calculator'!A:A,0),0),0)</f>
        <v>20282.026119384056</v>
      </c>
      <c r="K964" s="455">
        <f t="shared" ca="1" si="79"/>
        <v>-84155.969785557347</v>
      </c>
      <c r="L964" s="455">
        <f t="shared" ca="1" si="80"/>
        <v>-20281588.718319319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-20281588.718319319</v>
      </c>
      <c r="J965" s="455">
        <f t="array" ref="J965">IFERROR(INDEX('Retirement Calculator'!K:K,MATCH('Lorri 401b'!N965,'Retirement Calculator'!A:A,0),0),0)</f>
        <v>20282.026119384056</v>
      </c>
      <c r="K965" s="455">
        <f t="shared" ca="1" si="79"/>
        <v>-84591.128101827926</v>
      </c>
      <c r="L965" s="455">
        <f t="shared" ca="1" si="80"/>
        <v>-20386461.872540534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-20386461.872540534</v>
      </c>
      <c r="J966" s="455">
        <f t="array" ref="J966">IFERROR(INDEX('Retirement Calculator'!K:K,MATCH('Lorri 401b'!N966,'Retirement Calculator'!A:A,0),0),0)</f>
        <v>20282.026119384056</v>
      </c>
      <c r="K966" s="455">
        <f t="shared" ca="1" si="79"/>
        <v>-85028.099577749657</v>
      </c>
      <c r="L966" s="455">
        <f t="shared" ca="1" si="80"/>
        <v>-20491771.998237669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-20491771.998237669</v>
      </c>
      <c r="J967" s="455">
        <f t="array" ref="J967">IFERROR(INDEX('Retirement Calculator'!K:K,MATCH('Lorri 401b'!N967,'Retirement Calculator'!A:A,0),0),0)</f>
        <v>20282.026119384056</v>
      </c>
      <c r="K967" s="455">
        <f t="shared" ca="1" si="79"/>
        <v>-85466.891768154397</v>
      </c>
      <c r="L967" s="455">
        <f t="shared" ca="1" si="80"/>
        <v>-20597520.916125208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-20597520.916125208</v>
      </c>
      <c r="J968" s="455">
        <f t="array" ref="J968">IFERROR(INDEX('Retirement Calculator'!K:K,MATCH('Lorri 401b'!N968,'Retirement Calculator'!A:A,0),0),0)</f>
        <v>20282.026119384056</v>
      </c>
      <c r="K968" s="455">
        <f t="shared" ca="1" si="79"/>
        <v>-85907.512259352472</v>
      </c>
      <c r="L968" s="455">
        <f t="shared" ca="1" si="80"/>
        <v>-20703710.454503946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-20703710.454503946</v>
      </c>
      <c r="J969" s="455">
        <f t="array" ref="J969">IFERROR(INDEX('Retirement Calculator'!K:K,MATCH('Lorri 401b'!N969,'Retirement Calculator'!A:A,0),0),0)</f>
        <v>20282.026119384056</v>
      </c>
      <c r="K969" s="455">
        <f t="shared" ca="1" si="79"/>
        <v>-86349.968669263879</v>
      </c>
      <c r="L969" s="455">
        <f t="shared" ca="1" si="80"/>
        <v>-20810342.449292596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-20810342.449292596</v>
      </c>
      <c r="J970" s="455">
        <f t="array" ref="J970">IFERROR(INDEX('Retirement Calculator'!K:K,MATCH('Lorri 401b'!N970,'Retirement Calculator'!A:A,0),0),0)</f>
        <v>20282.026119384056</v>
      </c>
      <c r="K970" s="455">
        <f t="shared" ca="1" si="79"/>
        <v>-86794.268647549921</v>
      </c>
      <c r="L970" s="455">
        <f t="shared" ca="1" si="80"/>
        <v>-20917418.744059533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-20917418.744059533</v>
      </c>
      <c r="J971" s="455">
        <f t="array" ref="J971">IFERROR(INDEX('Retirement Calculator'!K:K,MATCH('Lorri 401b'!N971,'Retirement Calculator'!A:A,0),0),0)</f>
        <v>20282.026119384056</v>
      </c>
      <c r="K971" s="455">
        <f t="shared" ca="1" si="79"/>
        <v>-87240.419875745487</v>
      </c>
      <c r="L971" s="455">
        <f t="shared" ca="1" si="80"/>
        <v>-21024941.190054663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-21024941.190054663</v>
      </c>
      <c r="J972" s="455">
        <f t="array" ref="J972">IFERROR(INDEX('Retirement Calculator'!K:K,MATCH('Lorri 401b'!N972,'Retirement Calculator'!A:A,0),0),0)</f>
        <v>20282.026119384056</v>
      </c>
      <c r="K972" s="455">
        <f t="shared" ca="1" si="79"/>
        <v>-87688.430067391862</v>
      </c>
      <c r="L972" s="455">
        <f t="shared" ca="1" si="80"/>
        <v>-21132911.646241438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-21132911.646241438</v>
      </c>
      <c r="J973" s="455">
        <f t="array" ref="J973">IFERROR(INDEX('Retirement Calculator'!K:K,MATCH('Lorri 401b'!N973,'Retirement Calculator'!A:A,0),0),0)</f>
        <v>20282.026119384056</v>
      </c>
      <c r="K973" s="455">
        <f t="shared" ca="1" si="79"/>
        <v>-88138.306968170087</v>
      </c>
      <c r="L973" s="455">
        <f t="shared" ca="1" si="80"/>
        <v>-21241331.979328994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-21241331.979328994</v>
      </c>
      <c r="J974" s="455">
        <f t="array" ref="J974">IFERROR(INDEX('Retirement Calculator'!K:K,MATCH('Lorri 401b'!N974,'Retirement Calculator'!A:A,0),0),0)</f>
        <v>20282.026119384056</v>
      </c>
      <c r="K974" s="455">
        <f t="shared" ca="1" si="79"/>
        <v>-88590.058356034904</v>
      </c>
      <c r="L974" s="455">
        <f t="shared" ca="1" si="80"/>
        <v>-21350204.063804414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-21350204.063804414</v>
      </c>
      <c r="J975" s="455">
        <f t="array" ref="J975">IFERROR(INDEX('Retirement Calculator'!K:K,MATCH('Lorri 401b'!N975,'Retirement Calculator'!A:A,0),0),0)</f>
        <v>20282.026119384056</v>
      </c>
      <c r="K975" s="455">
        <f t="shared" ca="1" si="79"/>
        <v>-89043.692041349161</v>
      </c>
      <c r="L975" s="455">
        <f t="shared" ca="1" si="80"/>
        <v>-21459529.781965148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-21459529.781965148</v>
      </c>
      <c r="J976" s="455">
        <f t="array" ref="J976">IFERROR(INDEX('Retirement Calculator'!K:K,MATCH('Lorri 401b'!N976,'Retirement Calculator'!A:A,0),0),0)</f>
        <v>20282.026119384056</v>
      </c>
      <c r="K976" s="455">
        <f t="shared" ca="1" si="79"/>
        <v>-89499.21586701888</v>
      </c>
      <c r="L976" s="455">
        <f t="shared" ca="1" si="80"/>
        <v>-21569311.023951553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-21569311.023951553</v>
      </c>
      <c r="J977" s="455">
        <f t="array" ref="J977">IFERROR(INDEX('Retirement Calculator'!K:K,MATCH('Lorri 401b'!N977,'Retirement Calculator'!A:A,0),0),0)</f>
        <v>20282.026119384056</v>
      </c>
      <c r="K977" s="455">
        <f t="shared" ca="1" si="79"/>
        <v>-89956.637708628899</v>
      </c>
      <c r="L977" s="455">
        <f t="shared" ca="1" si="80"/>
        <v>-21679549.687779568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-21679549.687779568</v>
      </c>
      <c r="J978" s="455">
        <f t="array" ref="J978">IFERROR(INDEX('Retirement Calculator'!K:K,MATCH('Lorri 401b'!N978,'Retirement Calculator'!A:A,0),0),0)</f>
        <v>20282.026119384056</v>
      </c>
      <c r="K978" s="455">
        <f t="shared" ca="1" si="79"/>
        <v>-90415.965474578974</v>
      </c>
      <c r="L978" s="455">
        <f t="shared" ca="1" si="80"/>
        <v>-21790247.679373533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-21790247.679373533</v>
      </c>
      <c r="J979" s="455">
        <f t="array" ref="J979">IFERROR(INDEX('Retirement Calculator'!K:K,MATCH('Lorri 401b'!N979,'Retirement Calculator'!A:A,0),0),0)</f>
        <v>20282.026119384056</v>
      </c>
      <c r="K979" s="455">
        <f t="shared" ca="1" si="79"/>
        <v>-90877.207106220492</v>
      </c>
      <c r="L979" s="455">
        <f t="shared" ca="1" si="80"/>
        <v>-21901406.912599139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-21901406.912599139</v>
      </c>
      <c r="J980" s="455">
        <f t="array" ref="J980">IFERROR(INDEX('Retirement Calculator'!K:K,MATCH('Lorri 401b'!N980,'Retirement Calculator'!A:A,0),0),0)</f>
        <v>20282.026119384056</v>
      </c>
      <c r="K980" s="455">
        <f t="shared" ca="1" si="79"/>
        <v>-91340.370577993846</v>
      </c>
      <c r="L980" s="455">
        <f t="shared" ca="1" si="80"/>
        <v>-22013029.309296519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-22013029.309296519</v>
      </c>
      <c r="J981" s="455">
        <f t="array" ref="J981">IFERROR(INDEX('Retirement Calculator'!K:K,MATCH('Lorri 401b'!N981,'Retirement Calculator'!A:A,0),0),0)</f>
        <v>20282.026119384056</v>
      </c>
      <c r="K981" s="455">
        <f t="shared" ca="1" si="79"/>
        <v>-91805.463897566267</v>
      </c>
      <c r="L981" s="455">
        <f t="shared" ca="1" si="80"/>
        <v>-22125116.799313471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-22125116.799313471</v>
      </c>
      <c r="J982" s="455">
        <f t="array" ref="J982">IFERROR(INDEX('Retirement Calculator'!K:K,MATCH('Lorri 401b'!N982,'Retirement Calculator'!A:A,0),0),0)</f>
        <v>20282.026119384056</v>
      </c>
      <c r="K982" s="455">
        <f t="shared" ca="1" si="79"/>
        <v>-92272.495105970229</v>
      </c>
      <c r="L982" s="455">
        <f t="shared" ca="1" si="80"/>
        <v>-22237671.320538826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-22237671.320538826</v>
      </c>
      <c r="J983" s="455">
        <f t="array" ref="J983">IFERROR(INDEX('Retirement Calculator'!K:K,MATCH('Lorri 401b'!N983,'Retirement Calculator'!A:A,0),0),0)</f>
        <v>20282.026119384056</v>
      </c>
      <c r="K983" s="455">
        <f t="shared" ca="1" si="79"/>
        <v>-92741.472277742549</v>
      </c>
      <c r="L983" s="455">
        <f t="shared" ca="1" si="80"/>
        <v>-22350694.818935953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-22350694.818935953</v>
      </c>
      <c r="J984" s="455">
        <f t="array" ref="J984">IFERROR(INDEX('Retirement Calculator'!K:K,MATCH('Lorri 401b'!N984,'Retirement Calculator'!A:A,0),0),0)</f>
        <v>20282.026119384056</v>
      </c>
      <c r="K984" s="455">
        <f t="shared" ca="1" si="79"/>
        <v>-93212.403521063912</v>
      </c>
      <c r="L984" s="455">
        <f t="shared" ca="1" si="80"/>
        <v>-22464189.248576403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-22464189.248576403</v>
      </c>
      <c r="J985" s="455">
        <f t="array" ref="J985">IFERROR(INDEX('Retirement Calculator'!K:K,MATCH('Lorri 401b'!N985,'Retirement Calculator'!A:A,0),0),0)</f>
        <v>20282.026119384056</v>
      </c>
      <c r="K985" s="455">
        <f t="shared" ca="1" si="79"/>
        <v>-93685.29697789911</v>
      </c>
      <c r="L985" s="455">
        <f t="shared" ca="1" si="80"/>
        <v>-22578156.571673688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-22578156.571673688</v>
      </c>
      <c r="J986" s="455">
        <f t="array" ref="J986">IFERROR(INDEX('Retirement Calculator'!K:K,MATCH('Lorri 401b'!N986,'Retirement Calculator'!A:A,0),0),0)</f>
        <v>20282.026119384056</v>
      </c>
      <c r="K986" s="455">
        <f t="shared" ca="1" si="79"/>
        <v>-94160.160824137798</v>
      </c>
      <c r="L986" s="455">
        <f t="shared" ca="1" si="80"/>
        <v>-22692598.758617211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-22692598.758617211</v>
      </c>
      <c r="J987" s="455">
        <f t="array" ref="J987">IFERROR(INDEX('Retirement Calculator'!K:K,MATCH('Lorri 401b'!N987,'Retirement Calculator'!A:A,0),0),0)</f>
        <v>20282.026119384056</v>
      </c>
      <c r="K987" s="455">
        <f t="shared" ca="1" si="79"/>
        <v>-94637.003269735811</v>
      </c>
      <c r="L987" s="455">
        <f t="shared" ca="1" si="80"/>
        <v>-22807517.788006332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-22807517.788006332</v>
      </c>
      <c r="J988" s="455">
        <f t="array" ref="J988">IFERROR(INDEX('Retirement Calculator'!K:K,MATCH('Lorri 401b'!N988,'Retirement Calculator'!A:A,0),0),0)</f>
        <v>20282.026119384056</v>
      </c>
      <c r="K988" s="455">
        <f t="shared" ca="1" si="79"/>
        <v>-95115.832558857146</v>
      </c>
      <c r="L988" s="455">
        <f t="shared" ca="1" si="80"/>
        <v>-22922915.646684572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-22922915.646684572</v>
      </c>
      <c r="J989" s="455">
        <f t="array" ref="J989">IFERROR(INDEX('Retirement Calculator'!K:K,MATCH('Lorri 401b'!N989,'Retirement Calculator'!A:A,0),0),0)</f>
        <v>20282.026119384056</v>
      </c>
      <c r="K989" s="455">
        <f t="shared" ca="1" si="79"/>
        <v>-95596.656970016484</v>
      </c>
      <c r="L989" s="455">
        <f t="shared" ca="1" si="80"/>
        <v>-23038794.329773974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-23038794.329773974</v>
      </c>
      <c r="J990" s="455">
        <f t="array" ref="J990">IFERROR(INDEX('Retirement Calculator'!K:K,MATCH('Lorri 401b'!N990,'Retirement Calculator'!A:A,0),0),0)</f>
        <v>20282.026119384056</v>
      </c>
      <c r="K990" s="455">
        <f t="shared" ca="1" si="79"/>
        <v>-96079.484816222321</v>
      </c>
      <c r="L990" s="455">
        <f t="shared" ca="1" si="80"/>
        <v>-23155155.840709582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-23155155.840709582</v>
      </c>
      <c r="J991" s="455">
        <f t="array" ref="J991">IFERROR(INDEX('Retirement Calculator'!K:K,MATCH('Lorri 401b'!N991,'Retirement Calculator'!A:A,0),0),0)</f>
        <v>20282.026119384056</v>
      </c>
      <c r="K991" s="455">
        <f t="shared" ca="1" si="79"/>
        <v>-96564.324445120699</v>
      </c>
      <c r="L991" s="455">
        <f t="shared" ca="1" si="80"/>
        <v>-23272002.191274088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-23272002.191274088</v>
      </c>
      <c r="J992" s="455">
        <f t="array" ref="J992">IFERROR(INDEX('Retirement Calculator'!K:K,MATCH('Lorri 401b'!N992,'Retirement Calculator'!A:A,0),0),0)</f>
        <v>20282.026119384056</v>
      </c>
      <c r="K992" s="455">
        <f t="shared" ca="1" si="79"/>
        <v>-97051.184239139475</v>
      </c>
      <c r="L992" s="455">
        <f t="shared" ca="1" si="80"/>
        <v>-23389335.401632611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-23389335.401632611</v>
      </c>
      <c r="J993" s="455">
        <f t="array" ref="J993">IFERROR(INDEX('Retirement Calculator'!K:K,MATCH('Lorri 401b'!N993,'Retirement Calculator'!A:A,0),0),0)</f>
        <v>20282.026119384056</v>
      </c>
      <c r="K993" s="455">
        <f t="shared" ca="1" si="79"/>
        <v>-97540.072615633311</v>
      </c>
      <c r="L993" s="455">
        <f t="shared" ca="1" si="80"/>
        <v>-23507157.50036763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-23507157.50036763</v>
      </c>
      <c r="J994" s="455">
        <f t="array" ref="J994">IFERROR(INDEX('Retirement Calculator'!K:K,MATCH('Lorri 401b'!N994,'Retirement Calculator'!A:A,0),0),0)</f>
        <v>20282.026119384056</v>
      </c>
      <c r="K994" s="455">
        <f t="shared" ca="1" si="79"/>
        <v>-98030.998027029229</v>
      </c>
      <c r="L994" s="455">
        <f t="shared" ca="1" si="80"/>
        <v>-23625470.524514046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-23625470.524514046</v>
      </c>
      <c r="J995" s="455">
        <f t="array" ref="J995">IFERROR(INDEX('Retirement Calculator'!K:K,MATCH('Lorri 401b'!N995,'Retirement Calculator'!A:A,0),0),0)</f>
        <v>20282.026119384056</v>
      </c>
      <c r="K995" s="455">
        <f t="shared" ca="1" si="79"/>
        <v>-98523.968960972619</v>
      </c>
      <c r="L995" s="455">
        <f t="shared" ca="1" si="80"/>
        <v>-23744276.519594405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-23744276.519594405</v>
      </c>
      <c r="J996" s="455">
        <f t="array" ref="J996">IFERROR(INDEX('Retirement Calculator'!K:K,MATCH('Lorri 401b'!N996,'Retirement Calculator'!A:A,0),0),0)</f>
        <v>20282.026119384056</v>
      </c>
      <c r="K996" s="455">
        <f t="shared" ca="1" si="79"/>
        <v>-99018.993940474116</v>
      </c>
      <c r="L996" s="455">
        <f t="shared" ca="1" si="80"/>
        <v>-23863577.539654262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-23863577.539654262</v>
      </c>
      <c r="J997" s="455">
        <f t="array" ref="J997">IFERROR(INDEX('Retirement Calculator'!K:K,MATCH('Lorri 401b'!N997,'Retirement Calculator'!A:A,0),0),0)</f>
        <v>20282.026119384056</v>
      </c>
      <c r="K997" s="455">
        <f t="shared" ca="1" si="79"/>
        <v>-99516.081524056863</v>
      </c>
      <c r="L997" s="455">
        <f t="shared" ca="1" si="80"/>
        <v>-23983375.647297703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-23983375.647297703</v>
      </c>
      <c r="J998" s="455">
        <f t="array" ref="J998">IFERROR(INDEX('Retirement Calculator'!K:K,MATCH('Lorri 401b'!N998,'Retirement Calculator'!A:A,0),0),0)</f>
        <v>20282.026119384056</v>
      </c>
      <c r="K998" s="455">
        <f t="shared" ca="1" si="79"/>
        <v>-100015.24030590453</v>
      </c>
      <c r="L998" s="455">
        <f t="shared" ca="1" si="80"/>
        <v>-24103672.913722992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-24103672.913722992</v>
      </c>
      <c r="J999" s="455">
        <f t="array" ref="J999">IFERROR(INDEX('Retirement Calculator'!K:K,MATCH('Lorri 401b'!N999,'Retirement Calculator'!A:A,0),0),0)</f>
        <v>20282.026119384056</v>
      </c>
      <c r="K999" s="455">
        <f t="shared" ca="1" si="79"/>
        <v>-100516.4789160099</v>
      </c>
      <c r="L999" s="455">
        <f t="shared" ca="1" si="80"/>
        <v>-24224471.418758389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-24224471.418758389</v>
      </c>
      <c r="J1000" s="455">
        <f t="array" ref="J1000">IFERROR(INDEX('Retirement Calculator'!K:K,MATCH('Lorri 401b'!N1000,'Retirement Calculator'!A:A,0),0),0)</f>
        <v>20282.026119384056</v>
      </c>
      <c r="K1000" s="455">
        <f t="shared" ca="1" si="79"/>
        <v>-101019.80602032406</v>
      </c>
      <c r="L1000" s="455">
        <f t="shared" ca="1" si="80"/>
        <v>-24345773.250898097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-24345773.250898097</v>
      </c>
      <c r="J1001" s="455">
        <f t="array" ref="J1001">IFERROR(INDEX('Retirement Calculator'!K:K,MATCH('Lorri 401b'!N1001,'Retirement Calculator'!A:A,0),0),0)</f>
        <v>20282.026119384056</v>
      </c>
      <c r="K1001" s="455">
        <f t="shared" ca="1" si="79"/>
        <v>-101525.23032090618</v>
      </c>
      <c r="L1001" s="455">
        <f t="shared" ca="1" si="80"/>
        <v>-24467580.507338386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-24467580.507338386</v>
      </c>
      <c r="J1002" s="455">
        <f t="array" ref="J1002">IFERROR(INDEX('Retirement Calculator'!K:K,MATCH('Lorri 401b'!N1002,'Retirement Calculator'!A:A,0),0),0)</f>
        <v>20282.026119384056</v>
      </c>
      <c r="K1002" s="455">
        <f t="shared" ca="1" si="79"/>
        <v>-102032.76055607405</v>
      </c>
      <c r="L1002" s="455">
        <f t="shared" ca="1" si="80"/>
        <v>-24589895.294013847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-24589895.294013847</v>
      </c>
      <c r="J1003" s="455">
        <f t="array" ref="J1003">IFERROR(INDEX('Retirement Calculator'!K:K,MATCH('Lorri 401b'!N1003,'Retirement Calculator'!A:A,0),0),0)</f>
        <v>20282.026119384056</v>
      </c>
      <c r="K1003" s="455">
        <f t="shared" ca="1" si="79"/>
        <v>-102542.40550055513</v>
      </c>
      <c r="L1003" s="455">
        <f t="shared" ca="1" si="80"/>
        <v>-24712719.725633785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/>
      <c r="H1004" s="470">
        <v>997</v>
      </c>
      <c r="I1004" s="455">
        <f t="shared" ca="1" si="81"/>
        <v>-24712719.725633785</v>
      </c>
      <c r="J1004" s="455">
        <f t="array" ref="J1004">IFERROR(INDEX('Retirement Calculator'!K:K,MATCH('Lorri 401b'!N1004,'Retirement Calculator'!A:A,0),0),0)</f>
        <v>20282.026119384056</v>
      </c>
      <c r="K1004" s="455">
        <f t="shared" ca="1" si="79"/>
        <v>-103054.17396563821</v>
      </c>
      <c r="L1004" s="455">
        <f t="shared" ca="1" si="80"/>
        <v>-24836055.925718807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/>
      <c r="H1005" s="470">
        <v>998</v>
      </c>
      <c r="I1005" s="455">
        <f t="shared" ca="1" si="81"/>
        <v>-24836055.925718807</v>
      </c>
      <c r="J1005" s="455">
        <f t="array" ref="J1005">IFERROR(INDEX('Retirement Calculator'!K:K,MATCH('Lorri 401b'!N1005,'Retirement Calculator'!A:A,0),0),0)</f>
        <v>20282.026119384056</v>
      </c>
      <c r="K1005" s="455">
        <f t="shared" ca="1" si="79"/>
        <v>-103568.0747993258</v>
      </c>
      <c r="L1005" s="455">
        <f t="shared" ca="1" si="80"/>
        <v>-24959906.026637517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/>
      <c r="H1006" s="470">
        <v>999</v>
      </c>
      <c r="I1006" s="455">
        <f t="shared" ca="1" si="81"/>
        <v>-24959906.026637517</v>
      </c>
      <c r="J1006" s="455">
        <f t="array" ref="J1006">IFERROR(INDEX('Retirement Calculator'!K:K,MATCH('Lorri 401b'!N1006,'Retirement Calculator'!A:A,0),0),0)</f>
        <v>20282.026119384056</v>
      </c>
      <c r="K1006" s="455">
        <f t="shared" ca="1" si="79"/>
        <v>-104084.11688648709</v>
      </c>
      <c r="L1006" s="455">
        <f t="shared" ca="1" si="80"/>
        <v>-25084272.169643387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/>
      <c r="H1007" s="470">
        <v>1000</v>
      </c>
      <c r="I1007" s="455">
        <f t="shared" ca="1" si="81"/>
        <v>-25084272.169643387</v>
      </c>
      <c r="J1007" s="455">
        <f t="array" ref="J1007">IFERROR(INDEX('Retirement Calculator'!K:K,MATCH('Lorri 401b'!N1007,'Retirement Calculator'!A:A,0),0),0)</f>
        <v>20282.026119384056</v>
      </c>
      <c r="K1007" s="455">
        <f t="shared" ca="1" si="79"/>
        <v>-104602.30914901155</v>
      </c>
      <c r="L1007" s="455">
        <f t="shared" ca="1" si="80"/>
        <v>-25209156.504911784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/>
      <c r="H1008" s="470">
        <v>1001</v>
      </c>
      <c r="I1008" s="455">
        <f t="shared" ca="1" si="81"/>
        <v>-25209156.504911784</v>
      </c>
      <c r="J1008" s="455">
        <f t="array" ref="J1008">IFERROR(INDEX('Retirement Calculator'!K:K,MATCH('Lorri 401b'!N1008,'Retirement Calculator'!A:A,0),0),0)</f>
        <v>20282.026119384056</v>
      </c>
      <c r="K1008" s="455">
        <f t="shared" ca="1" si="79"/>
        <v>-105122.6605459632</v>
      </c>
      <c r="L1008" s="455">
        <f t="shared" ca="1" si="80"/>
        <v>-25334561.191577133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/>
      <c r="H1009" s="470">
        <v>1002</v>
      </c>
      <c r="I1009" s="455">
        <f t="shared" ca="1" si="81"/>
        <v>-25334561.191577133</v>
      </c>
      <c r="J1009" s="455">
        <f t="array" ref="J1009">IFERROR(INDEX('Retirement Calculator'!K:K,MATCH('Lorri 401b'!N1009,'Retirement Calculator'!A:A,0),0),0)</f>
        <v>20282.026119384056</v>
      </c>
      <c r="K1009" s="455">
        <f t="shared" ca="1" si="79"/>
        <v>-105645.18007373549</v>
      </c>
      <c r="L1009" s="455">
        <f t="shared" ca="1" si="80"/>
        <v>-25460488.397770252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/>
      <c r="H1010" s="470">
        <v>1003</v>
      </c>
      <c r="I1010" s="455">
        <f t="shared" ca="1" si="81"/>
        <v>-25460488.397770252</v>
      </c>
      <c r="J1010" s="455">
        <f t="array" ref="J1010">IFERROR(INDEX('Retirement Calculator'!K:K,MATCH('Lorri 401b'!N1010,'Retirement Calculator'!A:A,0),0),0)</f>
        <v>20282.026119384056</v>
      </c>
      <c r="K1010" s="455">
        <f t="shared" ca="1" si="79"/>
        <v>-106169.87676620681</v>
      </c>
      <c r="L1010" s="455">
        <f t="shared" ca="1" si="80"/>
        <v>-25586940.300655846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/>
      <c r="H1011" s="470">
        <v>1004</v>
      </c>
      <c r="I1011" s="455">
        <f t="shared" ca="1" si="81"/>
        <v>-25586940.300655846</v>
      </c>
      <c r="J1011" s="455">
        <f t="array" ref="J1011">IFERROR(INDEX('Retirement Calculator'!K:K,MATCH('Lorri 401b'!N1011,'Retirement Calculator'!A:A,0),0),0)</f>
        <v>20282.026119384056</v>
      </c>
      <c r="K1011" s="455">
        <f t="shared" ca="1" si="79"/>
        <v>-106696.7596948968</v>
      </c>
      <c r="L1011" s="455">
        <f t="shared" ca="1" si="80"/>
        <v>-25713919.086470127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/>
      <c r="H1012" s="470">
        <v>1005</v>
      </c>
      <c r="I1012" s="455">
        <f t="shared" ca="1" si="81"/>
        <v>-25713919.086470127</v>
      </c>
      <c r="J1012" s="455">
        <f t="array" ref="J1012">IFERROR(INDEX('Retirement Calculator'!K:K,MATCH('Lorri 401b'!N1012,'Retirement Calculator'!A:A,0),0),0)</f>
        <v>20282.026119384056</v>
      </c>
      <c r="K1012" s="455">
        <f t="shared" ca="1" si="79"/>
        <v>-107225.83796912296</v>
      </c>
      <c r="L1012" s="455">
        <f t="shared" ca="1" si="80"/>
        <v>-25841426.950558636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/>
      <c r="H1013" s="470">
        <v>1006</v>
      </c>
      <c r="I1013" s="455">
        <f t="shared" ca="1" si="81"/>
        <v>-25841426.950558636</v>
      </c>
      <c r="J1013" s="455">
        <f t="array" ref="J1013">IFERROR(INDEX('Retirement Calculator'!K:K,MATCH('Lorri 401b'!N1013,'Retirement Calculator'!A:A,0),0),0)</f>
        <v>20282.026119384056</v>
      </c>
      <c r="K1013" s="455">
        <f t="shared" ca="1" si="79"/>
        <v>-107757.12073615842</v>
      </c>
      <c r="L1013" s="455">
        <f t="shared" ca="1" si="80"/>
        <v>-25969466.097414181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/>
      <c r="H1014" s="470">
        <v>1007</v>
      </c>
      <c r="I1014" s="455">
        <f t="shared" ca="1" si="81"/>
        <v>-25969466.097414181</v>
      </c>
      <c r="J1014" s="455">
        <f t="array" ref="J1014">IFERROR(INDEX('Retirement Calculator'!K:K,MATCH('Lorri 401b'!N1014,'Retirement Calculator'!A:A,0),0),0)</f>
        <v>20282.026119384056</v>
      </c>
      <c r="K1014" s="455">
        <f t="shared" ca="1" si="79"/>
        <v>-108290.61718138985</v>
      </c>
      <c r="L1014" s="455">
        <f t="shared" ca="1" si="80"/>
        <v>-26098038.740714956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/>
      <c r="H1015" s="470">
        <v>1008</v>
      </c>
      <c r="I1015" s="455">
        <f t="shared" ca="1" si="81"/>
        <v>-26098038.740714956</v>
      </c>
      <c r="J1015" s="455">
        <f t="array" ref="J1015">IFERROR(INDEX('Retirement Calculator'!K:K,MATCH('Lorri 401b'!N1015,'Retirement Calculator'!A:A,0),0),0)</f>
        <v>20282.026119384056</v>
      </c>
      <c r="K1015" s="455">
        <f t="shared" ca="1" si="79"/>
        <v>-108826.33652847641</v>
      </c>
      <c r="L1015" s="455">
        <f t="shared" ca="1" si="80"/>
        <v>-26227147.103362817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/>
      <c r="H1016" s="470">
        <v>1009</v>
      </c>
      <c r="I1016" s="455">
        <f t="shared" ca="1" si="81"/>
        <v>-26227147.103362817</v>
      </c>
      <c r="J1016" s="455">
        <f t="array" ref="J1016">IFERROR(INDEX('Retirement Calculator'!K:K,MATCH('Lorri 401b'!N1016,'Retirement Calculator'!A:A,0),0),0)</f>
        <v>20282.026119384056</v>
      </c>
      <c r="K1016" s="455">
        <f t="shared" ca="1" si="79"/>
        <v>-109364.28803950918</v>
      </c>
      <c r="L1016" s="455">
        <f t="shared" ca="1" si="80"/>
        <v>-26356793.417521711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/>
      <c r="H1017" s="470">
        <v>1010</v>
      </c>
      <c r="I1017" s="455">
        <f t="shared" ca="1" si="81"/>
        <v>-26356793.417521711</v>
      </c>
      <c r="J1017" s="455">
        <f t="array" ref="J1017">IFERROR(INDEX('Retirement Calculator'!K:K,MATCH('Lorri 401b'!N1017,'Retirement Calculator'!A:A,0),0),0)</f>
        <v>20282.026119384056</v>
      </c>
      <c r="K1017" s="455">
        <f t="shared" ca="1" si="79"/>
        <v>-109904.48101517123</v>
      </c>
      <c r="L1017" s="455">
        <f t="shared" ca="1" si="80"/>
        <v>-26486979.924656268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/>
      <c r="H1018" s="470">
        <v>1011</v>
      </c>
      <c r="I1018" s="455">
        <f t="shared" ca="1" si="81"/>
        <v>-26486979.924656268</v>
      </c>
      <c r="J1018" s="455">
        <f t="array" ref="J1018">IFERROR(INDEX('Retirement Calculator'!K:K,MATCH('Lorri 401b'!N1018,'Retirement Calculator'!A:A,0),0),0)</f>
        <v>20282.026119384056</v>
      </c>
      <c r="K1018" s="455">
        <f t="shared" ca="1" si="79"/>
        <v>-110446.92479489856</v>
      </c>
      <c r="L1018" s="455">
        <f t="shared" ca="1" si="80"/>
        <v>-26617708.875570551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/>
      <c r="H1019" s="470">
        <v>1012</v>
      </c>
      <c r="I1019" s="455">
        <f t="shared" ca="1" si="81"/>
        <v>-26617708.875570551</v>
      </c>
      <c r="J1019" s="455">
        <f t="array" ref="J1019">IFERROR(INDEX('Retirement Calculator'!K:K,MATCH('Lorri 401b'!N1019,'Retirement Calculator'!A:A,0),0),0)</f>
        <v>20282.026119384056</v>
      </c>
      <c r="K1019" s="455">
        <f t="shared" ca="1" si="79"/>
        <v>-110991.6287570414</v>
      </c>
      <c r="L1019" s="455">
        <f t="shared" ca="1" si="80"/>
        <v>-26748982.530446976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/>
      <c r="H1020" s="470">
        <v>1013</v>
      </c>
      <c r="I1020" s="455">
        <f t="shared" ca="1" si="81"/>
        <v>-26748982.530446976</v>
      </c>
      <c r="J1020" s="455">
        <f t="array" ref="J1020">IFERROR(INDEX('Retirement Calculator'!K:K,MATCH('Lorri 401b'!N1020,'Retirement Calculator'!A:A,0),0),0)</f>
        <v>20282.026119384056</v>
      </c>
      <c r="K1020" s="455">
        <f t="shared" ca="1" si="79"/>
        <v>-111538.6023190265</v>
      </c>
      <c r="L1020" s="455">
        <f t="shared" ca="1" si="80"/>
        <v>-26880803.15888539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/>
      <c r="H1021" s="470">
        <v>1014</v>
      </c>
      <c r="I1021" s="455">
        <f t="shared" ca="1" si="81"/>
        <v>-26880803.15888539</v>
      </c>
      <c r="J1021" s="455">
        <f t="array" ref="J1021">IFERROR(INDEX('Retirement Calculator'!K:K,MATCH('Lorri 401b'!N1021,'Retirement Calculator'!A:A,0),0),0)</f>
        <v>20282.026119384056</v>
      </c>
      <c r="K1021" s="455">
        <f t="shared" ca="1" si="79"/>
        <v>-112087.85493751989</v>
      </c>
      <c r="L1021" s="455">
        <f t="shared" ca="1" si="80"/>
        <v>-27013173.039942294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/>
      <c r="H1022" s="470">
        <v>1015</v>
      </c>
      <c r="I1022" s="455">
        <f t="shared" ca="1" si="81"/>
        <v>-27013173.039942294</v>
      </c>
      <c r="J1022" s="455">
        <f t="array" ref="J1022">IFERROR(INDEX('Retirement Calculator'!K:K,MATCH('Lorri 401b'!N1022,'Retirement Calculator'!A:A,0),0),0)</f>
        <v>20282.026119384056</v>
      </c>
      <c r="K1022" s="455">
        <f t="shared" ca="1" si="79"/>
        <v>-112639.39610859033</v>
      </c>
      <c r="L1022" s="455">
        <f t="shared" ca="1" si="80"/>
        <v>-27146094.462170269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/>
      <c r="H1023" s="470">
        <v>1016</v>
      </c>
      <c r="I1023" s="455">
        <f t="shared" ca="1" si="81"/>
        <v>-27146094.462170269</v>
      </c>
      <c r="J1023" s="455">
        <f t="array" ref="J1023">IFERROR(INDEX('Retirement Calculator'!K:K,MATCH('Lorri 401b'!N1023,'Retirement Calculator'!A:A,0),0),0)</f>
        <v>20282.026119384056</v>
      </c>
      <c r="K1023" s="455">
        <f t="shared" ca="1" si="79"/>
        <v>-113193.23536787355</v>
      </c>
      <c r="L1023" s="455">
        <f t="shared" ca="1" si="80"/>
        <v>-27279569.723657526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/>
      <c r="H1024" s="470">
        <v>1017</v>
      </c>
      <c r="I1024" s="455">
        <f t="shared" ca="1" si="81"/>
        <v>-27279569.723657526</v>
      </c>
      <c r="J1024" s="455">
        <f t="array" ref="J1024">IFERROR(INDEX('Retirement Calculator'!K:K,MATCH('Lorri 401b'!N1024,'Retirement Calculator'!A:A,0),0),0)</f>
        <v>20282.026119384056</v>
      </c>
      <c r="K1024" s="455">
        <f t="shared" ca="1" si="79"/>
        <v>-113749.38229073711</v>
      </c>
      <c r="L1024" s="455">
        <f t="shared" ca="1" si="80"/>
        <v>-27413601.132067647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/>
      <c r="H1025" s="470">
        <v>1018</v>
      </c>
      <c r="I1025" s="455">
        <f t="shared" ca="1" si="81"/>
        <v>-27413601.132067647</v>
      </c>
      <c r="J1025" s="455">
        <f t="array" ref="J1025">IFERROR(INDEX('Retirement Calculator'!K:K,MATCH('Lorri 401b'!N1025,'Retirement Calculator'!A:A,0),0),0)</f>
        <v>20282.026119384056</v>
      </c>
      <c r="K1025" s="455">
        <f t="shared" ca="1" si="79"/>
        <v>-114307.84649244597</v>
      </c>
      <c r="L1025" s="455">
        <f t="shared" ca="1" si="80"/>
        <v>-27548191.004679479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/>
      <c r="H1026" s="470">
        <v>1019</v>
      </c>
      <c r="I1026" s="455">
        <f t="shared" ca="1" si="81"/>
        <v>-27548191.004679479</v>
      </c>
      <c r="J1026" s="455">
        <f t="array" ref="J1026">IFERROR(INDEX('Retirement Calculator'!K:K,MATCH('Lorri 401b'!N1026,'Retirement Calculator'!A:A,0),0),0)</f>
        <v>20282.026119384056</v>
      </c>
      <c r="K1026" s="455">
        <f t="shared" ca="1" si="79"/>
        <v>-114868.63762832859</v>
      </c>
      <c r="L1026" s="455">
        <f t="shared" ca="1" si="80"/>
        <v>-27683341.668427192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/>
      <c r="H1027" s="470">
        <v>1020</v>
      </c>
      <c r="I1027" s="455">
        <f t="shared" ca="1" si="81"/>
        <v>-27683341.668427192</v>
      </c>
      <c r="J1027" s="455">
        <f t="array" ref="J1027">IFERROR(INDEX('Retirement Calculator'!K:K,MATCH('Lorri 401b'!N1027,'Retirement Calculator'!A:A,0),0),0)</f>
        <v>20282.026119384056</v>
      </c>
      <c r="K1027" s="455">
        <f t="shared" ca="1" si="79"/>
        <v>-115431.76539394406</v>
      </c>
      <c r="L1027" s="455">
        <f t="shared" ca="1" si="80"/>
        <v>-27819055.459940519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/>
      <c r="H1028" s="470">
        <v>1021</v>
      </c>
      <c r="I1028" s="455">
        <f t="shared" ca="1" si="81"/>
        <v>-27819055.459940519</v>
      </c>
      <c r="J1028" s="455">
        <f t="array" ref="J1028">IFERROR(INDEX('Retirement Calculator'!K:K,MATCH('Lorri 401b'!N1028,'Retirement Calculator'!A:A,0),0),0)</f>
        <v>20282.026119384056</v>
      </c>
      <c r="K1028" s="455">
        <f t="shared" ref="K1028:K1282" ca="1" si="103">IPMT(M1028/12,1,12,-I1028+J1028,,0)</f>
        <v>-115997.23952524959</v>
      </c>
      <c r="L1028" s="455">
        <f t="shared" ref="L1028:L1282" ca="1" si="104">I1028-J1028+K1028</f>
        <v>-27955334.725585155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/>
      <c r="H1029" s="470">
        <v>1022</v>
      </c>
      <c r="I1029" s="455">
        <f t="shared" ref="I1029:I1283" ca="1" si="105">L1028</f>
        <v>-27955334.725585155</v>
      </c>
      <c r="J1029" s="455">
        <f t="array" ref="J1029">IFERROR(INDEX('Retirement Calculator'!K:K,MATCH('Lorri 401b'!N1029,'Retirement Calculator'!A:A,0),0),0)</f>
        <v>20282.026119384056</v>
      </c>
      <c r="K1029" s="455">
        <f t="shared" ca="1" si="103"/>
        <v>-116565.06979876892</v>
      </c>
      <c r="L1029" s="455">
        <f t="shared" ca="1" si="104"/>
        <v>-28092181.821503308</v>
      </c>
      <c r="M1029" s="471">
        <f t="shared" ref="M1029:M1283" si="106">M1028</f>
        <v>0.05</v>
      </c>
      <c r="N1029" s="475">
        <f t="shared" ref="N1029:N1283" si="107">EDATE(N1028,1)</f>
        <v>82363</v>
      </c>
    </row>
    <row r="1030" spans="7:14" ht="11.25" customHeight="1" x14ac:dyDescent="0.3">
      <c r="G1030" s="470"/>
      <c r="H1030" s="470">
        <v>1023</v>
      </c>
      <c r="I1030" s="455">
        <f t="shared" ca="1" si="105"/>
        <v>-28092181.821503308</v>
      </c>
      <c r="J1030" s="455">
        <f t="array" ref="J1030">IFERROR(INDEX('Retirement Calculator'!K:K,MATCH('Lorri 401b'!N1030,'Retirement Calculator'!A:A,0),0),0)</f>
        <v>20282.026119384056</v>
      </c>
      <c r="K1030" s="455">
        <f t="shared" ca="1" si="103"/>
        <v>-117135.26603176122</v>
      </c>
      <c r="L1030" s="455">
        <f t="shared" ca="1" si="104"/>
        <v>-28229599.113654453</v>
      </c>
      <c r="M1030" s="471">
        <f t="shared" si="106"/>
        <v>0.05</v>
      </c>
      <c r="N1030" s="475">
        <f t="shared" si="107"/>
        <v>82394</v>
      </c>
    </row>
    <row r="1031" spans="7:14" ht="11.25" customHeight="1" x14ac:dyDescent="0.3">
      <c r="G1031" s="470"/>
      <c r="H1031" s="470">
        <v>1024</v>
      </c>
      <c r="I1031" s="455">
        <f t="shared" ca="1" si="105"/>
        <v>-28229599.113654453</v>
      </c>
      <c r="J1031" s="455">
        <f t="array" ref="J1031">IFERROR(INDEX('Retirement Calculator'!K:K,MATCH('Lorri 401b'!N1031,'Retirement Calculator'!A:A,0),0),0)</f>
        <v>20282.026119384056</v>
      </c>
      <c r="K1031" s="455">
        <f t="shared" ca="1" si="103"/>
        <v>-117707.838082391</v>
      </c>
      <c r="L1031" s="455">
        <f t="shared" ca="1" si="104"/>
        <v>-28367588.97785623</v>
      </c>
      <c r="M1031" s="471">
        <f t="shared" si="106"/>
        <v>0.05</v>
      </c>
      <c r="N1031" s="475">
        <f t="shared" si="107"/>
        <v>82425</v>
      </c>
    </row>
    <row r="1032" spans="7:14" ht="11.25" customHeight="1" x14ac:dyDescent="0.3">
      <c r="G1032" s="470"/>
      <c r="H1032" s="470">
        <v>1025</v>
      </c>
      <c r="I1032" s="455">
        <f t="shared" ca="1" si="105"/>
        <v>-28367588.97785623</v>
      </c>
      <c r="J1032" s="455">
        <f t="array" ref="J1032">IFERROR(INDEX('Retirement Calculator'!K:K,MATCH('Lorri 401b'!N1032,'Retirement Calculator'!A:A,0),0),0)</f>
        <v>20282.026119384056</v>
      </c>
      <c r="K1032" s="455">
        <f t="shared" ca="1" si="103"/>
        <v>-118282.79584989839</v>
      </c>
      <c r="L1032" s="455">
        <f t="shared" ca="1" si="104"/>
        <v>-28506153.799825512</v>
      </c>
      <c r="M1032" s="471">
        <f t="shared" si="106"/>
        <v>0.05</v>
      </c>
      <c r="N1032" s="475">
        <f t="shared" si="107"/>
        <v>82455</v>
      </c>
    </row>
    <row r="1033" spans="7:14" ht="11.25" customHeight="1" x14ac:dyDescent="0.3">
      <c r="G1033" s="470"/>
      <c r="H1033" s="470">
        <v>1026</v>
      </c>
      <c r="I1033" s="455">
        <f t="shared" ca="1" si="105"/>
        <v>-28506153.799825512</v>
      </c>
      <c r="J1033" s="455">
        <f t="array" ref="J1033">IFERROR(INDEX('Retirement Calculator'!K:K,MATCH('Lorri 401b'!N1033,'Retirement Calculator'!A:A,0),0),0)</f>
        <v>20282.026119384056</v>
      </c>
      <c r="K1033" s="455">
        <f t="shared" ca="1" si="103"/>
        <v>-118860.14927477039</v>
      </c>
      <c r="L1033" s="455">
        <f t="shared" ca="1" si="104"/>
        <v>-28645295.975219667</v>
      </c>
      <c r="M1033" s="471">
        <f t="shared" si="106"/>
        <v>0.05</v>
      </c>
      <c r="N1033" s="475">
        <f t="shared" si="107"/>
        <v>82486</v>
      </c>
    </row>
    <row r="1034" spans="7:14" ht="11.25" customHeight="1" x14ac:dyDescent="0.3">
      <c r="G1034" s="470"/>
      <c r="H1034" s="470">
        <v>1027</v>
      </c>
      <c r="I1034" s="455">
        <f t="shared" ca="1" si="105"/>
        <v>-28645295.975219667</v>
      </c>
      <c r="J1034" s="455">
        <f t="array" ref="J1034">IFERROR(INDEX('Retirement Calculator'!K:K,MATCH('Lorri 401b'!N1034,'Retirement Calculator'!A:A,0),0),0)</f>
        <v>20282.026119384056</v>
      </c>
      <c r="K1034" s="455">
        <f t="shared" ca="1" si="103"/>
        <v>-119439.9083389127</v>
      </c>
      <c r="L1034" s="455">
        <f t="shared" ca="1" si="104"/>
        <v>-28785017.909677964</v>
      </c>
      <c r="M1034" s="471">
        <f t="shared" si="106"/>
        <v>0.05</v>
      </c>
      <c r="N1034" s="475">
        <f t="shared" si="107"/>
        <v>82516</v>
      </c>
    </row>
    <row r="1035" spans="7:14" ht="11.25" customHeight="1" x14ac:dyDescent="0.3">
      <c r="G1035" s="470"/>
      <c r="H1035" s="470">
        <v>1028</v>
      </c>
      <c r="I1035" s="455">
        <f t="shared" ca="1" si="105"/>
        <v>-28785017.909677964</v>
      </c>
      <c r="J1035" s="455">
        <f t="array" ref="J1035">IFERROR(INDEX('Retirement Calculator'!K:K,MATCH('Lorri 401b'!N1035,'Retirement Calculator'!A:A,0),0),0)</f>
        <v>20282.026119384056</v>
      </c>
      <c r="K1035" s="455">
        <f t="shared" ca="1" si="103"/>
        <v>-120022.08306582228</v>
      </c>
      <c r="L1035" s="455">
        <f t="shared" ca="1" si="104"/>
        <v>-28925322.018863171</v>
      </c>
      <c r="M1035" s="471">
        <f t="shared" si="106"/>
        <v>0.05</v>
      </c>
      <c r="N1035" s="475">
        <f t="shared" si="107"/>
        <v>82547</v>
      </c>
    </row>
    <row r="1036" spans="7:14" ht="11.25" customHeight="1" x14ac:dyDescent="0.3">
      <c r="G1036" s="470"/>
      <c r="H1036" s="470">
        <v>1029</v>
      </c>
      <c r="I1036" s="455">
        <f t="shared" ca="1" si="105"/>
        <v>-28925322.018863171</v>
      </c>
      <c r="J1036" s="455">
        <f t="array" ref="J1036">IFERROR(INDEX('Retirement Calculator'!K:K,MATCH('Lorri 401b'!N1036,'Retirement Calculator'!A:A,0),0),0)</f>
        <v>20282.026119384056</v>
      </c>
      <c r="K1036" s="455">
        <f t="shared" ca="1" si="103"/>
        <v>-120606.68352076063</v>
      </c>
      <c r="L1036" s="455">
        <f t="shared" ca="1" si="104"/>
        <v>-29066210.728503317</v>
      </c>
      <c r="M1036" s="471">
        <f t="shared" si="106"/>
        <v>0.05</v>
      </c>
      <c r="N1036" s="475">
        <f t="shared" si="107"/>
        <v>82578</v>
      </c>
    </row>
    <row r="1037" spans="7:14" ht="11.25" customHeight="1" x14ac:dyDescent="0.3">
      <c r="G1037" s="470"/>
      <c r="H1037" s="470">
        <v>1030</v>
      </c>
      <c r="I1037" s="455">
        <f t="shared" ca="1" si="105"/>
        <v>-29066210.728503317</v>
      </c>
      <c r="J1037" s="455">
        <f t="array" ref="J1037">IFERROR(INDEX('Retirement Calculator'!K:K,MATCH('Lorri 401b'!N1037,'Retirement Calculator'!A:A,0),0),0)</f>
        <v>20282.026119384056</v>
      </c>
      <c r="K1037" s="455">
        <f t="shared" ca="1" si="103"/>
        <v>-121193.71981092793</v>
      </c>
      <c r="L1037" s="455">
        <f t="shared" ca="1" si="104"/>
        <v>-29207686.474433631</v>
      </c>
      <c r="M1037" s="471">
        <f t="shared" si="106"/>
        <v>0.05</v>
      </c>
      <c r="N1037" s="475">
        <f t="shared" si="107"/>
        <v>82606</v>
      </c>
    </row>
    <row r="1038" spans="7:14" ht="11.25" customHeight="1" x14ac:dyDescent="0.3">
      <c r="G1038" s="470"/>
      <c r="H1038" s="470">
        <v>1031</v>
      </c>
      <c r="I1038" s="455">
        <f t="shared" ca="1" si="105"/>
        <v>-29207686.474433631</v>
      </c>
      <c r="J1038" s="455">
        <f t="array" ref="J1038">IFERROR(INDEX('Retirement Calculator'!K:K,MATCH('Lorri 401b'!N1038,'Retirement Calculator'!A:A,0),0),0)</f>
        <v>20282.026119384056</v>
      </c>
      <c r="K1038" s="455">
        <f t="shared" ca="1" si="103"/>
        <v>-121783.20208563756</v>
      </c>
      <c r="L1038" s="455">
        <f t="shared" ca="1" si="104"/>
        <v>-29349751.702638652</v>
      </c>
      <c r="M1038" s="471">
        <f t="shared" si="106"/>
        <v>0.05</v>
      </c>
      <c r="N1038" s="475">
        <f t="shared" si="107"/>
        <v>82637</v>
      </c>
    </row>
    <row r="1039" spans="7:14" ht="11.25" customHeight="1" x14ac:dyDescent="0.3">
      <c r="G1039" s="470"/>
      <c r="H1039" s="470">
        <v>1032</v>
      </c>
      <c r="I1039" s="455">
        <f t="shared" ca="1" si="105"/>
        <v>-29349751.702638652</v>
      </c>
      <c r="J1039" s="455">
        <f t="array" ref="J1039">IFERROR(INDEX('Retirement Calculator'!K:K,MATCH('Lorri 401b'!N1039,'Retirement Calculator'!A:A,0),0),0)</f>
        <v>20282.026119384056</v>
      </c>
      <c r="K1039" s="455">
        <f t="shared" ca="1" si="103"/>
        <v>-122375.14053649182</v>
      </c>
      <c r="L1039" s="455">
        <f t="shared" ca="1" si="104"/>
        <v>-29492408.869294528</v>
      </c>
      <c r="M1039" s="471">
        <f t="shared" si="106"/>
        <v>0.05</v>
      </c>
      <c r="N1039" s="475">
        <f t="shared" si="107"/>
        <v>82667</v>
      </c>
    </row>
    <row r="1040" spans="7:14" ht="11.25" customHeight="1" x14ac:dyDescent="0.3">
      <c r="G1040" s="470"/>
      <c r="H1040" s="470">
        <v>1033</v>
      </c>
      <c r="I1040" s="455">
        <f t="shared" ca="1" si="105"/>
        <v>-29492408.869294528</v>
      </c>
      <c r="J1040" s="455">
        <f t="array" ref="J1040">IFERROR(INDEX('Retirement Calculator'!K:K,MATCH('Lorri 401b'!N1040,'Retirement Calculator'!A:A,0),0),0)</f>
        <v>20282.026119384056</v>
      </c>
      <c r="K1040" s="455">
        <f t="shared" ca="1" si="103"/>
        <v>-122969.54539755797</v>
      </c>
      <c r="L1040" s="455">
        <f t="shared" ca="1" si="104"/>
        <v>-29635660.44081147</v>
      </c>
      <c r="M1040" s="471">
        <f t="shared" si="106"/>
        <v>0.05</v>
      </c>
      <c r="N1040" s="475">
        <f t="shared" si="107"/>
        <v>82698</v>
      </c>
    </row>
    <row r="1041" spans="7:14" ht="11.25" customHeight="1" x14ac:dyDescent="0.3">
      <c r="G1041" s="470"/>
      <c r="H1041" s="470">
        <v>1034</v>
      </c>
      <c r="I1041" s="455">
        <f t="shared" ca="1" si="105"/>
        <v>-29635660.44081147</v>
      </c>
      <c r="J1041" s="455">
        <f t="array" ref="J1041">IFERROR(INDEX('Retirement Calculator'!K:K,MATCH('Lorri 401b'!N1041,'Retirement Calculator'!A:A,0),0),0)</f>
        <v>20282.026119384056</v>
      </c>
      <c r="K1041" s="455">
        <f t="shared" ca="1" si="103"/>
        <v>-123566.42694554523</v>
      </c>
      <c r="L1041" s="455">
        <f t="shared" ca="1" si="104"/>
        <v>-29779508.8938764</v>
      </c>
      <c r="M1041" s="471">
        <f t="shared" si="106"/>
        <v>0.05</v>
      </c>
      <c r="N1041" s="475">
        <f t="shared" si="107"/>
        <v>82728</v>
      </c>
    </row>
    <row r="1042" spans="7:14" ht="11.25" customHeight="1" x14ac:dyDescent="0.3">
      <c r="G1042" s="470"/>
      <c r="H1042" s="470">
        <v>1035</v>
      </c>
      <c r="I1042" s="455">
        <f t="shared" ca="1" si="105"/>
        <v>-29779508.8938764</v>
      </c>
      <c r="J1042" s="455">
        <f t="array" ref="J1042">IFERROR(INDEX('Retirement Calculator'!K:K,MATCH('Lorri 401b'!N1042,'Retirement Calculator'!A:A,0),0),0)</f>
        <v>20282.026119384056</v>
      </c>
      <c r="K1042" s="455">
        <f t="shared" ca="1" si="103"/>
        <v>-124165.79549998243</v>
      </c>
      <c r="L1042" s="455">
        <f t="shared" ca="1" si="104"/>
        <v>-29923956.715495769</v>
      </c>
      <c r="M1042" s="471">
        <f t="shared" si="106"/>
        <v>0.05</v>
      </c>
      <c r="N1042" s="475">
        <f t="shared" si="107"/>
        <v>82759</v>
      </c>
    </row>
    <row r="1043" spans="7:14" ht="11.25" customHeight="1" x14ac:dyDescent="0.3">
      <c r="G1043" s="470"/>
      <c r="H1043" s="470">
        <v>1036</v>
      </c>
      <c r="I1043" s="455">
        <f t="shared" ca="1" si="105"/>
        <v>-29923956.715495769</v>
      </c>
      <c r="J1043" s="455">
        <f t="array" ref="J1043">IFERROR(INDEX('Retirement Calculator'!K:K,MATCH('Lorri 401b'!N1043,'Retirement Calculator'!A:A,0),0),0)</f>
        <v>20282.026119384056</v>
      </c>
      <c r="K1043" s="455">
        <f t="shared" ca="1" si="103"/>
        <v>-124767.66142339648</v>
      </c>
      <c r="L1043" s="455">
        <f t="shared" ca="1" si="104"/>
        <v>-30069006.40303855</v>
      </c>
      <c r="M1043" s="471">
        <f t="shared" si="106"/>
        <v>0.05</v>
      </c>
      <c r="N1043" s="475">
        <f t="shared" si="107"/>
        <v>82790</v>
      </c>
    </row>
    <row r="1044" spans="7:14" ht="11.25" customHeight="1" x14ac:dyDescent="0.3">
      <c r="G1044" s="470"/>
      <c r="H1044" s="470">
        <v>1037</v>
      </c>
      <c r="I1044" s="455">
        <f t="shared" ca="1" si="105"/>
        <v>-30069006.40303855</v>
      </c>
      <c r="J1044" s="455">
        <f t="array" ref="J1044">IFERROR(INDEX('Retirement Calculator'!K:K,MATCH('Lorri 401b'!N1044,'Retirement Calculator'!A:A,0),0),0)</f>
        <v>20282.026119384056</v>
      </c>
      <c r="K1044" s="455">
        <f t="shared" ca="1" si="103"/>
        <v>-125372.0351214914</v>
      </c>
      <c r="L1044" s="455">
        <f t="shared" ca="1" si="104"/>
        <v>-30214660.464279428</v>
      </c>
      <c r="M1044" s="471">
        <f t="shared" si="106"/>
        <v>0.05</v>
      </c>
      <c r="N1044" s="475">
        <f t="shared" si="107"/>
        <v>82820</v>
      </c>
    </row>
    <row r="1045" spans="7:14" ht="11.25" customHeight="1" x14ac:dyDescent="0.3">
      <c r="G1045" s="470"/>
      <c r="H1045" s="470">
        <v>1038</v>
      </c>
      <c r="I1045" s="455">
        <f t="shared" ca="1" si="105"/>
        <v>-30214660.464279428</v>
      </c>
      <c r="J1045" s="455">
        <f t="array" ref="J1045">IFERROR(INDEX('Retirement Calculator'!K:K,MATCH('Lorri 401b'!N1045,'Retirement Calculator'!A:A,0),0),0)</f>
        <v>20282.026119384056</v>
      </c>
      <c r="K1045" s="455">
        <f t="shared" ca="1" si="103"/>
        <v>-125978.92704332837</v>
      </c>
      <c r="L1045" s="455">
        <f t="shared" ca="1" si="104"/>
        <v>-30360921.417442143</v>
      </c>
      <c r="M1045" s="471">
        <f t="shared" si="106"/>
        <v>0.05</v>
      </c>
      <c r="N1045" s="475">
        <f t="shared" si="107"/>
        <v>82851</v>
      </c>
    </row>
    <row r="1046" spans="7:14" ht="11.25" customHeight="1" x14ac:dyDescent="0.3">
      <c r="G1046" s="470"/>
      <c r="H1046" s="470">
        <v>1039</v>
      </c>
      <c r="I1046" s="455">
        <f t="shared" ca="1" si="105"/>
        <v>-30360921.417442143</v>
      </c>
      <c r="J1046" s="455">
        <f t="array" ref="J1046">IFERROR(INDEX('Retirement Calculator'!K:K,MATCH('Lorri 401b'!N1046,'Retirement Calculator'!A:A,0),0),0)</f>
        <v>20282.026119384056</v>
      </c>
      <c r="K1046" s="455">
        <f t="shared" ca="1" si="103"/>
        <v>-126588.34768150636</v>
      </c>
      <c r="L1046" s="455">
        <f t="shared" ca="1" si="104"/>
        <v>-30507791.791243035</v>
      </c>
      <c r="M1046" s="471">
        <f t="shared" si="106"/>
        <v>0.05</v>
      </c>
      <c r="N1046" s="475">
        <f t="shared" si="107"/>
        <v>82881</v>
      </c>
    </row>
    <row r="1047" spans="7:14" ht="11.25" customHeight="1" x14ac:dyDescent="0.3">
      <c r="G1047" s="470"/>
      <c r="H1047" s="470">
        <v>1040</v>
      </c>
      <c r="I1047" s="455">
        <f t="shared" ca="1" si="105"/>
        <v>-30507791.791243035</v>
      </c>
      <c r="J1047" s="455">
        <f t="array" ref="J1047">IFERROR(INDEX('Retirement Calculator'!K:K,MATCH('Lorri 401b'!N1047,'Retirement Calculator'!A:A,0),0),0)</f>
        <v>20282.026119384056</v>
      </c>
      <c r="K1047" s="455">
        <f t="shared" ca="1" si="103"/>
        <v>-127200.30757234342</v>
      </c>
      <c r="L1047" s="455">
        <f t="shared" ca="1" si="104"/>
        <v>-30655274.124934763</v>
      </c>
      <c r="M1047" s="471">
        <f t="shared" si="106"/>
        <v>0.05</v>
      </c>
      <c r="N1047" s="475">
        <f t="shared" si="107"/>
        <v>82912</v>
      </c>
    </row>
    <row r="1048" spans="7:14" ht="11.25" customHeight="1" x14ac:dyDescent="0.3">
      <c r="G1048" s="470"/>
      <c r="H1048" s="470">
        <v>1041</v>
      </c>
      <c r="I1048" s="455">
        <f t="shared" ca="1" si="105"/>
        <v>-30655274.124934763</v>
      </c>
      <c r="J1048" s="455">
        <f t="array" ref="J1048">IFERROR(INDEX('Retirement Calculator'!K:K,MATCH('Lorri 401b'!N1048,'Retirement Calculator'!A:A,0),0),0)</f>
        <v>20282.026119384056</v>
      </c>
      <c r="K1048" s="455">
        <f t="shared" ca="1" si="103"/>
        <v>-127814.81729605893</v>
      </c>
      <c r="L1048" s="455">
        <f t="shared" ca="1" si="104"/>
        <v>-30803370.968350206</v>
      </c>
      <c r="M1048" s="471">
        <f t="shared" si="106"/>
        <v>0.05</v>
      </c>
      <c r="N1048" s="475">
        <f t="shared" si="107"/>
        <v>82943</v>
      </c>
    </row>
    <row r="1049" spans="7:14" ht="11.25" customHeight="1" x14ac:dyDescent="0.3">
      <c r="G1049" s="470"/>
      <c r="H1049" s="470">
        <v>1042</v>
      </c>
      <c r="I1049" s="455">
        <f t="shared" ca="1" si="105"/>
        <v>-30803370.968350206</v>
      </c>
      <c r="J1049" s="455">
        <f t="array" ref="J1049">IFERROR(INDEX('Retirement Calculator'!K:K,MATCH('Lorri 401b'!N1049,'Retirement Calculator'!A:A,0),0),0)</f>
        <v>20282.026119384056</v>
      </c>
      <c r="K1049" s="455">
        <f t="shared" ca="1" si="103"/>
        <v>-128431.88747695663</v>
      </c>
      <c r="L1049" s="455">
        <f t="shared" ca="1" si="104"/>
        <v>-30952084.881946549</v>
      </c>
      <c r="M1049" s="471">
        <f t="shared" si="106"/>
        <v>0.05</v>
      </c>
      <c r="N1049" s="475">
        <f t="shared" si="107"/>
        <v>82971</v>
      </c>
    </row>
    <row r="1050" spans="7:14" ht="11.25" customHeight="1" x14ac:dyDescent="0.3">
      <c r="G1050" s="470"/>
      <c r="H1050" s="470">
        <v>1043</v>
      </c>
      <c r="I1050" s="455">
        <f t="shared" ca="1" si="105"/>
        <v>-30952084.881946549</v>
      </c>
      <c r="J1050" s="455">
        <f t="array" ref="J1050">IFERROR(INDEX('Retirement Calculator'!K:K,MATCH('Lorri 401b'!N1050,'Retirement Calculator'!A:A,0),0),0)</f>
        <v>20282.026119384056</v>
      </c>
      <c r="K1050" s="455">
        <f t="shared" ca="1" si="103"/>
        <v>-129051.52878360805</v>
      </c>
      <c r="L1050" s="455">
        <f t="shared" ca="1" si="104"/>
        <v>-31101418.436849542</v>
      </c>
      <c r="M1050" s="471">
        <f t="shared" si="106"/>
        <v>0.05</v>
      </c>
      <c r="N1050" s="475">
        <f t="shared" si="107"/>
        <v>83002</v>
      </c>
    </row>
    <row r="1051" spans="7:14" ht="11.25" customHeight="1" x14ac:dyDescent="0.3">
      <c r="G1051" s="470"/>
      <c r="H1051" s="470">
        <v>1044</v>
      </c>
      <c r="I1051" s="455">
        <f t="shared" ca="1" si="105"/>
        <v>-31101418.436849542</v>
      </c>
      <c r="J1051" s="455">
        <f t="array" ref="J1051">IFERROR(INDEX('Retirement Calculator'!K:K,MATCH('Lorri 401b'!N1051,'Retirement Calculator'!A:A,0),0),0)</f>
        <v>20282.026119384056</v>
      </c>
      <c r="K1051" s="455">
        <f t="shared" ca="1" si="103"/>
        <v>-129673.7519290372</v>
      </c>
      <c r="L1051" s="455">
        <f t="shared" ca="1" si="104"/>
        <v>-31251374.214897964</v>
      </c>
      <c r="M1051" s="471">
        <f t="shared" si="106"/>
        <v>0.05</v>
      </c>
      <c r="N1051" s="475">
        <f t="shared" si="107"/>
        <v>83032</v>
      </c>
    </row>
    <row r="1052" spans="7:14" ht="11.25" customHeight="1" x14ac:dyDescent="0.3">
      <c r="G1052" s="470"/>
      <c r="H1052" s="470">
        <v>1045</v>
      </c>
      <c r="I1052" s="455">
        <f t="shared" ca="1" si="105"/>
        <v>-31251374.214897964</v>
      </c>
      <c r="J1052" s="455">
        <f t="array" ref="J1052">IFERROR(INDEX('Retirement Calculator'!K:K,MATCH('Lorri 401b'!N1052,'Retirement Calculator'!A:A,0),0),0)</f>
        <v>20282.026119384056</v>
      </c>
      <c r="K1052" s="455">
        <f t="shared" ca="1" si="103"/>
        <v>-130298.56767090563</v>
      </c>
      <c r="L1052" s="455">
        <f t="shared" ca="1" si="104"/>
        <v>-31401954.808688253</v>
      </c>
      <c r="M1052" s="471">
        <f t="shared" si="106"/>
        <v>0.05</v>
      </c>
      <c r="N1052" s="475">
        <f t="shared" si="107"/>
        <v>83063</v>
      </c>
    </row>
    <row r="1053" spans="7:14" ht="11.25" customHeight="1" x14ac:dyDescent="0.3">
      <c r="G1053" s="470"/>
      <c r="H1053" s="470">
        <v>1046</v>
      </c>
      <c r="I1053" s="455">
        <f t="shared" ca="1" si="105"/>
        <v>-31401954.808688253</v>
      </c>
      <c r="J1053" s="455">
        <f t="array" ref="J1053">IFERROR(INDEX('Retirement Calculator'!K:K,MATCH('Lorri 401b'!N1053,'Retirement Calculator'!A:A,0),0),0)</f>
        <v>20282.026119384056</v>
      </c>
      <c r="K1053" s="455">
        <f t="shared" ca="1" si="103"/>
        <v>-130925.98681169849</v>
      </c>
      <c r="L1053" s="455">
        <f t="shared" ca="1" si="104"/>
        <v>-31553162.821619336</v>
      </c>
      <c r="M1053" s="471">
        <f t="shared" si="106"/>
        <v>0.05</v>
      </c>
      <c r="N1053" s="475">
        <f t="shared" si="107"/>
        <v>83093</v>
      </c>
    </row>
    <row r="1054" spans="7:14" ht="11.25" customHeight="1" x14ac:dyDescent="0.3">
      <c r="G1054" s="470"/>
      <c r="H1054" s="470">
        <v>1047</v>
      </c>
      <c r="I1054" s="455">
        <f t="shared" ca="1" si="105"/>
        <v>-31553162.821619336</v>
      </c>
      <c r="J1054" s="455">
        <f t="array" ref="J1054">IFERROR(INDEX('Retirement Calculator'!K:K,MATCH('Lorri 401b'!N1054,'Retirement Calculator'!A:A,0),0),0)</f>
        <v>20282.026119384056</v>
      </c>
      <c r="K1054" s="455">
        <f t="shared" ca="1" si="103"/>
        <v>-131556.02019891134</v>
      </c>
      <c r="L1054" s="455">
        <f t="shared" ca="1" si="104"/>
        <v>-31705000.867937632</v>
      </c>
      <c r="M1054" s="471">
        <f t="shared" si="106"/>
        <v>0.05</v>
      </c>
      <c r="N1054" s="475">
        <f t="shared" si="107"/>
        <v>83124</v>
      </c>
    </row>
    <row r="1055" spans="7:14" ht="11.25" customHeight="1" x14ac:dyDescent="0.3">
      <c r="G1055" s="470"/>
      <c r="H1055" s="470">
        <v>1048</v>
      </c>
      <c r="I1055" s="455">
        <f t="shared" ca="1" si="105"/>
        <v>-31705000.867937632</v>
      </c>
      <c r="J1055" s="455">
        <f t="array" ref="J1055">IFERROR(INDEX('Retirement Calculator'!K:K,MATCH('Lorri 401b'!N1055,'Retirement Calculator'!A:A,0),0),0)</f>
        <v>20282.026119384056</v>
      </c>
      <c r="K1055" s="455">
        <f t="shared" ca="1" si="103"/>
        <v>-132188.67872523758</v>
      </c>
      <c r="L1055" s="455">
        <f t="shared" ca="1" si="104"/>
        <v>-31857471.572782256</v>
      </c>
      <c r="M1055" s="471">
        <f t="shared" si="106"/>
        <v>0.05</v>
      </c>
      <c r="N1055" s="475">
        <f t="shared" si="107"/>
        <v>83155</v>
      </c>
    </row>
    <row r="1056" spans="7:14" ht="11.25" customHeight="1" x14ac:dyDescent="0.3">
      <c r="G1056" s="470"/>
      <c r="H1056" s="470">
        <v>1049</v>
      </c>
      <c r="I1056" s="455">
        <f t="shared" ca="1" si="105"/>
        <v>-31857471.572782256</v>
      </c>
      <c r="J1056" s="455">
        <f t="array" ref="J1056">IFERROR(INDEX('Retirement Calculator'!K:K,MATCH('Lorri 401b'!N1056,'Retirement Calculator'!A:A,0),0),0)</f>
        <v>20282.026119384056</v>
      </c>
      <c r="K1056" s="455">
        <f t="shared" ca="1" si="103"/>
        <v>-132823.97332875684</v>
      </c>
      <c r="L1056" s="455">
        <f t="shared" ca="1" si="104"/>
        <v>-32010577.572230399</v>
      </c>
      <c r="M1056" s="471">
        <f t="shared" si="106"/>
        <v>0.05</v>
      </c>
      <c r="N1056" s="475">
        <f t="shared" si="107"/>
        <v>83185</v>
      </c>
    </row>
    <row r="1057" spans="7:14" ht="11.25" customHeight="1" x14ac:dyDescent="0.3">
      <c r="G1057" s="470"/>
      <c r="H1057" s="470">
        <v>1050</v>
      </c>
      <c r="I1057" s="455">
        <f t="shared" ca="1" si="105"/>
        <v>-32010577.572230399</v>
      </c>
      <c r="J1057" s="455">
        <f t="array" ref="J1057">IFERROR(INDEX('Retirement Calculator'!K:K,MATCH('Lorri 401b'!N1057,'Retirement Calculator'!A:A,0),0),0)</f>
        <v>20282.026119384056</v>
      </c>
      <c r="K1057" s="455">
        <f t="shared" ca="1" si="103"/>
        <v>-133461.91499312408</v>
      </c>
      <c r="L1057" s="455">
        <f t="shared" ca="1" si="104"/>
        <v>-32164321.51334291</v>
      </c>
      <c r="M1057" s="471">
        <f t="shared" si="106"/>
        <v>0.05</v>
      </c>
      <c r="N1057" s="475">
        <f t="shared" si="107"/>
        <v>83216</v>
      </c>
    </row>
    <row r="1058" spans="7:14" ht="11.25" customHeight="1" x14ac:dyDescent="0.3">
      <c r="G1058" s="470"/>
      <c r="H1058" s="470">
        <v>1051</v>
      </c>
      <c r="I1058" s="455">
        <f t="shared" ca="1" si="105"/>
        <v>-32164321.51334291</v>
      </c>
      <c r="J1058" s="455">
        <f t="array" ref="J1058">IFERROR(INDEX('Retirement Calculator'!K:K,MATCH('Lorri 401b'!N1058,'Retirement Calculator'!A:A,0),0),0)</f>
        <v>20282.026119384056</v>
      </c>
      <c r="K1058" s="455">
        <f t="shared" ca="1" si="103"/>
        <v>-134102.51474775956</v>
      </c>
      <c r="L1058" s="455">
        <f t="shared" ca="1" si="104"/>
        <v>-32318706.054210056</v>
      </c>
      <c r="M1058" s="471">
        <f t="shared" si="106"/>
        <v>0.05</v>
      </c>
      <c r="N1058" s="475">
        <f t="shared" si="107"/>
        <v>83246</v>
      </c>
    </row>
    <row r="1059" spans="7:14" ht="11.25" customHeight="1" x14ac:dyDescent="0.3">
      <c r="G1059" s="470"/>
      <c r="H1059" s="470">
        <v>1052</v>
      </c>
      <c r="I1059" s="455">
        <f t="shared" ca="1" si="105"/>
        <v>-32318706.054210056</v>
      </c>
      <c r="J1059" s="455">
        <f t="array" ref="J1059">IFERROR(INDEX('Retirement Calculator'!K:K,MATCH('Lorri 401b'!N1059,'Retirement Calculator'!A:A,0),0),0)</f>
        <v>20282.026119384056</v>
      </c>
      <c r="K1059" s="455">
        <f t="shared" ca="1" si="103"/>
        <v>-134745.78366803931</v>
      </c>
      <c r="L1059" s="455">
        <f t="shared" ca="1" si="104"/>
        <v>-32473733.863997478</v>
      </c>
      <c r="M1059" s="471">
        <f t="shared" si="106"/>
        <v>0.05</v>
      </c>
      <c r="N1059" s="475">
        <f t="shared" si="107"/>
        <v>83277</v>
      </c>
    </row>
    <row r="1060" spans="7:14" ht="11.25" customHeight="1" x14ac:dyDescent="0.3">
      <c r="G1060" s="470"/>
      <c r="H1060" s="470">
        <v>1053</v>
      </c>
      <c r="I1060" s="455">
        <f t="shared" ca="1" si="105"/>
        <v>-32473733.863997478</v>
      </c>
      <c r="J1060" s="455">
        <f t="array" ref="J1060">IFERROR(INDEX('Retirement Calculator'!K:K,MATCH('Lorri 401b'!N1060,'Retirement Calculator'!A:A,0),0),0)</f>
        <v>20282.026119384056</v>
      </c>
      <c r="K1060" s="455">
        <f t="shared" ca="1" si="103"/>
        <v>-135391.73287548692</v>
      </c>
      <c r="L1060" s="455">
        <f t="shared" ca="1" si="104"/>
        <v>-32629407.622992352</v>
      </c>
      <c r="M1060" s="471">
        <f t="shared" si="106"/>
        <v>0.05</v>
      </c>
      <c r="N1060" s="475">
        <f t="shared" si="107"/>
        <v>83308</v>
      </c>
    </row>
    <row r="1061" spans="7:14" ht="11.25" customHeight="1" x14ac:dyDescent="0.3">
      <c r="G1061" s="470"/>
      <c r="H1061" s="470">
        <v>1054</v>
      </c>
      <c r="I1061" s="455">
        <f t="shared" ca="1" si="105"/>
        <v>-32629407.622992352</v>
      </c>
      <c r="J1061" s="455">
        <f t="array" ref="J1061">IFERROR(INDEX('Retirement Calculator'!K:K,MATCH('Lorri 401b'!N1061,'Retirement Calculator'!A:A,0),0),0)</f>
        <v>20282.026119384056</v>
      </c>
      <c r="K1061" s="455">
        <f t="shared" ca="1" si="103"/>
        <v>-136040.37353796558</v>
      </c>
      <c r="L1061" s="455">
        <f t="shared" ca="1" si="104"/>
        <v>-32785730.022649702</v>
      </c>
      <c r="M1061" s="471">
        <f t="shared" si="106"/>
        <v>0.05</v>
      </c>
      <c r="N1061" s="475">
        <f t="shared" si="107"/>
        <v>83337</v>
      </c>
    </row>
    <row r="1062" spans="7:14" ht="11.25" customHeight="1" x14ac:dyDescent="0.3">
      <c r="G1062" s="470"/>
      <c r="H1062" s="470">
        <v>1055</v>
      </c>
      <c r="I1062" s="455">
        <f t="shared" ca="1" si="105"/>
        <v>-32785730.022649702</v>
      </c>
      <c r="J1062" s="455">
        <f t="array" ref="J1062">IFERROR(INDEX('Retirement Calculator'!K:K,MATCH('Lorri 401b'!N1062,'Retirement Calculator'!A:A,0),0),0)</f>
        <v>20282.026119384056</v>
      </c>
      <c r="K1062" s="455">
        <f t="shared" ca="1" si="103"/>
        <v>-136691.71686987119</v>
      </c>
      <c r="L1062" s="455">
        <f t="shared" ca="1" si="104"/>
        <v>-32942703.765638959</v>
      </c>
      <c r="M1062" s="471">
        <f t="shared" si="106"/>
        <v>0.05</v>
      </c>
      <c r="N1062" s="475">
        <f t="shared" si="107"/>
        <v>83368</v>
      </c>
    </row>
    <row r="1063" spans="7:14" ht="11.25" customHeight="1" x14ac:dyDescent="0.3">
      <c r="G1063" s="470"/>
      <c r="H1063" s="470">
        <v>1056</v>
      </c>
      <c r="I1063" s="455">
        <f t="shared" ca="1" si="105"/>
        <v>-32942703.765638959</v>
      </c>
      <c r="J1063" s="455">
        <f t="array" ref="J1063">IFERROR(INDEX('Retirement Calculator'!K:K,MATCH('Lorri 401b'!N1063,'Retirement Calculator'!A:A,0),0),0)</f>
        <v>20282.026119384056</v>
      </c>
      <c r="K1063" s="455">
        <f t="shared" ca="1" si="103"/>
        <v>-137345.77413232642</v>
      </c>
      <c r="L1063" s="455">
        <f t="shared" ca="1" si="104"/>
        <v>-33100331.56589067</v>
      </c>
      <c r="M1063" s="471">
        <f t="shared" si="106"/>
        <v>0.05</v>
      </c>
      <c r="N1063" s="475">
        <f t="shared" si="107"/>
        <v>83398</v>
      </c>
    </row>
    <row r="1064" spans="7:14" ht="11.25" customHeight="1" x14ac:dyDescent="0.3">
      <c r="G1064" s="470"/>
      <c r="H1064" s="470">
        <v>1057</v>
      </c>
      <c r="I1064" s="455">
        <f t="shared" ca="1" si="105"/>
        <v>-33100331.56589067</v>
      </c>
      <c r="J1064" s="455">
        <f t="array" ref="J1064">IFERROR(INDEX('Retirement Calculator'!K:K,MATCH('Lorri 401b'!N1064,'Retirement Calculator'!A:A,0),0),0)</f>
        <v>20282.026119384056</v>
      </c>
      <c r="K1064" s="455">
        <f t="shared" ca="1" si="103"/>
        <v>-138002.55663337524</v>
      </c>
      <c r="L1064" s="455">
        <f t="shared" ca="1" si="104"/>
        <v>-33258616.14864343</v>
      </c>
      <c r="M1064" s="471">
        <f t="shared" si="106"/>
        <v>0.05</v>
      </c>
      <c r="N1064" s="475">
        <f t="shared" si="107"/>
        <v>83429</v>
      </c>
    </row>
    <row r="1065" spans="7:14" ht="11.25" customHeight="1" x14ac:dyDescent="0.3">
      <c r="G1065" s="470"/>
      <c r="H1065" s="470">
        <v>1058</v>
      </c>
      <c r="I1065" s="455">
        <f t="shared" ca="1" si="105"/>
        <v>-33258616.14864343</v>
      </c>
      <c r="J1065" s="455">
        <f t="array" ref="J1065">IFERROR(INDEX('Retirement Calculator'!K:K,MATCH('Lorri 401b'!N1065,'Retirement Calculator'!A:A,0),0),0)</f>
        <v>20282.026119384056</v>
      </c>
      <c r="K1065" s="455">
        <f t="shared" ca="1" si="103"/>
        <v>-138662.0757281784</v>
      </c>
      <c r="L1065" s="455">
        <f t="shared" ca="1" si="104"/>
        <v>-33417560.250490993</v>
      </c>
      <c r="M1065" s="471">
        <f t="shared" si="106"/>
        <v>0.05</v>
      </c>
      <c r="N1065" s="475">
        <f t="shared" si="107"/>
        <v>83459</v>
      </c>
    </row>
    <row r="1066" spans="7:14" ht="11.25" customHeight="1" x14ac:dyDescent="0.3">
      <c r="G1066" s="470"/>
      <c r="H1066" s="470">
        <v>1059</v>
      </c>
      <c r="I1066" s="455">
        <f t="shared" ca="1" si="105"/>
        <v>-33417560.250490993</v>
      </c>
      <c r="J1066" s="455">
        <f t="array" ref="J1066">IFERROR(INDEX('Retirement Calculator'!K:K,MATCH('Lorri 401b'!N1066,'Retirement Calculator'!A:A,0),0),0)</f>
        <v>20282.026119384056</v>
      </c>
      <c r="K1066" s="455">
        <f t="shared" ca="1" si="103"/>
        <v>-139324.34281920991</v>
      </c>
      <c r="L1066" s="455">
        <f t="shared" ca="1" si="104"/>
        <v>-33577166.619429588</v>
      </c>
      <c r="M1066" s="471">
        <f t="shared" si="106"/>
        <v>0.05</v>
      </c>
      <c r="N1066" s="475">
        <f t="shared" si="107"/>
        <v>83490</v>
      </c>
    </row>
    <row r="1067" spans="7:14" ht="11.25" customHeight="1" x14ac:dyDescent="0.3">
      <c r="G1067" s="470"/>
      <c r="H1067" s="470">
        <v>1060</v>
      </c>
      <c r="I1067" s="455">
        <f t="shared" ca="1" si="105"/>
        <v>-33577166.619429588</v>
      </c>
      <c r="J1067" s="455">
        <f t="array" ref="J1067">IFERROR(INDEX('Retirement Calculator'!K:K,MATCH('Lorri 401b'!N1067,'Retirement Calculator'!A:A,0),0),0)</f>
        <v>20282.026119384056</v>
      </c>
      <c r="K1067" s="455">
        <f t="shared" ca="1" si="103"/>
        <v>-139989.36935645403</v>
      </c>
      <c r="L1067" s="455">
        <f t="shared" ca="1" si="104"/>
        <v>-33737438.014905423</v>
      </c>
      <c r="M1067" s="471">
        <f t="shared" si="106"/>
        <v>0.05</v>
      </c>
      <c r="N1067" s="475">
        <f t="shared" si="107"/>
        <v>83521</v>
      </c>
    </row>
    <row r="1068" spans="7:14" ht="11.25" customHeight="1" x14ac:dyDescent="0.3">
      <c r="G1068" s="470"/>
      <c r="H1068" s="470">
        <v>1061</v>
      </c>
      <c r="I1068" s="455">
        <f t="shared" ca="1" si="105"/>
        <v>-33737438.014905423</v>
      </c>
      <c r="J1068" s="455">
        <f t="array" ref="J1068">IFERROR(INDEX('Retirement Calculator'!K:K,MATCH('Lorri 401b'!N1068,'Retirement Calculator'!A:A,0),0),0)</f>
        <v>20282.026119384056</v>
      </c>
      <c r="K1068" s="455">
        <f t="shared" ca="1" si="103"/>
        <v>-140657.16683760335</v>
      </c>
      <c r="L1068" s="455">
        <f t="shared" ca="1" si="104"/>
        <v>-33898377.207862407</v>
      </c>
      <c r="M1068" s="471">
        <f t="shared" si="106"/>
        <v>0.05</v>
      </c>
      <c r="N1068" s="475">
        <f t="shared" si="107"/>
        <v>83551</v>
      </c>
    </row>
    <row r="1069" spans="7:14" ht="11.25" customHeight="1" x14ac:dyDescent="0.3">
      <c r="G1069" s="470"/>
      <c r="H1069" s="470">
        <v>1062</v>
      </c>
      <c r="I1069" s="455">
        <f t="shared" ca="1" si="105"/>
        <v>-33898377.207862407</v>
      </c>
      <c r="J1069" s="455">
        <f t="array" ref="J1069">IFERROR(INDEX('Retirement Calculator'!K:K,MATCH('Lorri 401b'!N1069,'Retirement Calculator'!A:A,0),0),0)</f>
        <v>20282.026119384056</v>
      </c>
      <c r="K1069" s="455">
        <f t="shared" ca="1" si="103"/>
        <v>-141327.74680825745</v>
      </c>
      <c r="L1069" s="455">
        <f t="shared" ca="1" si="104"/>
        <v>-34059986.980790049</v>
      </c>
      <c r="M1069" s="471">
        <f t="shared" si="106"/>
        <v>0.05</v>
      </c>
      <c r="N1069" s="475">
        <f t="shared" si="107"/>
        <v>83582</v>
      </c>
    </row>
    <row r="1070" spans="7:14" ht="11.25" customHeight="1" x14ac:dyDescent="0.3">
      <c r="G1070" s="470"/>
      <c r="H1070" s="470">
        <v>1063</v>
      </c>
      <c r="I1070" s="455">
        <f t="shared" ca="1" si="105"/>
        <v>-34059986.980790049</v>
      </c>
      <c r="J1070" s="455">
        <f t="array" ref="J1070">IFERROR(INDEX('Retirement Calculator'!K:K,MATCH('Lorri 401b'!N1070,'Retirement Calculator'!A:A,0),0),0)</f>
        <v>20282.026119384056</v>
      </c>
      <c r="K1070" s="455">
        <f t="shared" ca="1" si="103"/>
        <v>-142001.12086212263</v>
      </c>
      <c r="L1070" s="455">
        <f t="shared" ca="1" si="104"/>
        <v>-34222270.127771556</v>
      </c>
      <c r="M1070" s="471">
        <f t="shared" si="106"/>
        <v>0.05</v>
      </c>
      <c r="N1070" s="475">
        <f t="shared" si="107"/>
        <v>83612</v>
      </c>
    </row>
    <row r="1071" spans="7:14" ht="11.25" customHeight="1" x14ac:dyDescent="0.3">
      <c r="G1071" s="470"/>
      <c r="H1071" s="470">
        <v>1064</v>
      </c>
      <c r="I1071" s="455">
        <f t="shared" ca="1" si="105"/>
        <v>-34222270.127771556</v>
      </c>
      <c r="J1071" s="455">
        <f t="array" ref="J1071">IFERROR(INDEX('Retirement Calculator'!K:K,MATCH('Lorri 401b'!N1071,'Retirement Calculator'!A:A,0),0),0)</f>
        <v>20282.026119384056</v>
      </c>
      <c r="K1071" s="455">
        <f t="shared" ca="1" si="103"/>
        <v>-142677.30064121223</v>
      </c>
      <c r="L1071" s="455">
        <f t="shared" ca="1" si="104"/>
        <v>-34385229.454532146</v>
      </c>
      <c r="M1071" s="471">
        <f t="shared" si="106"/>
        <v>0.05</v>
      </c>
      <c r="N1071" s="475">
        <f t="shared" si="107"/>
        <v>83643</v>
      </c>
    </row>
    <row r="1072" spans="7:14" ht="11.25" customHeight="1" x14ac:dyDescent="0.3">
      <c r="G1072" s="470"/>
      <c r="H1072" s="470">
        <v>1065</v>
      </c>
      <c r="I1072" s="455">
        <f t="shared" ca="1" si="105"/>
        <v>-34385229.454532146</v>
      </c>
      <c r="J1072" s="455">
        <f t="array" ref="J1072">IFERROR(INDEX('Retirement Calculator'!K:K,MATCH('Lorri 401b'!N1072,'Retirement Calculator'!A:A,0),0),0)</f>
        <v>20282.026119384056</v>
      </c>
      <c r="K1072" s="455">
        <f t="shared" ca="1" si="103"/>
        <v>-143356.29783604803</v>
      </c>
      <c r="L1072" s="455">
        <f t="shared" ca="1" si="104"/>
        <v>-34548867.778487578</v>
      </c>
      <c r="M1072" s="471">
        <f t="shared" si="106"/>
        <v>0.05</v>
      </c>
      <c r="N1072" s="475">
        <f t="shared" si="107"/>
        <v>83674</v>
      </c>
    </row>
    <row r="1073" spans="7:14" ht="11.25" customHeight="1" x14ac:dyDescent="0.3">
      <c r="G1073" s="470"/>
      <c r="H1073" s="470">
        <v>1066</v>
      </c>
      <c r="I1073" s="455">
        <f t="shared" ca="1" si="105"/>
        <v>-34548867.778487578</v>
      </c>
      <c r="J1073" s="455">
        <f t="array" ref="J1073">IFERROR(INDEX('Retirement Calculator'!K:K,MATCH('Lorri 401b'!N1073,'Retirement Calculator'!A:A,0),0),0)</f>
        <v>20282.026119384056</v>
      </c>
      <c r="K1073" s="455">
        <f t="shared" ca="1" si="103"/>
        <v>-144038.12418586234</v>
      </c>
      <c r="L1073" s="455">
        <f t="shared" ca="1" si="104"/>
        <v>-34713187.928792819</v>
      </c>
      <c r="M1073" s="471">
        <f t="shared" si="106"/>
        <v>0.05</v>
      </c>
      <c r="N1073" s="475">
        <f t="shared" si="107"/>
        <v>83702</v>
      </c>
    </row>
    <row r="1074" spans="7:14" ht="11.25" customHeight="1" x14ac:dyDescent="0.3">
      <c r="G1074" s="470"/>
      <c r="H1074" s="470">
        <v>1067</v>
      </c>
      <c r="I1074" s="455">
        <f t="shared" ca="1" si="105"/>
        <v>-34713187.928792819</v>
      </c>
      <c r="J1074" s="455">
        <f t="array" ref="J1074">IFERROR(INDEX('Retirement Calculator'!K:K,MATCH('Lorri 401b'!N1074,'Retirement Calculator'!A:A,0),0),0)</f>
        <v>20282.026119384056</v>
      </c>
      <c r="K1074" s="455">
        <f t="shared" ca="1" si="103"/>
        <v>-144722.79147880082</v>
      </c>
      <c r="L1074" s="455">
        <f t="shared" ca="1" si="104"/>
        <v>-34878192.746390998</v>
      </c>
      <c r="M1074" s="471">
        <f t="shared" si="106"/>
        <v>0.05</v>
      </c>
      <c r="N1074" s="475">
        <f t="shared" si="107"/>
        <v>83733</v>
      </c>
    </row>
    <row r="1075" spans="7:14" ht="11.25" customHeight="1" x14ac:dyDescent="0.3">
      <c r="G1075" s="470"/>
      <c r="H1075" s="470">
        <v>1068</v>
      </c>
      <c r="I1075" s="455">
        <f t="shared" ca="1" si="105"/>
        <v>-34878192.746390998</v>
      </c>
      <c r="J1075" s="455">
        <f t="array" ref="J1075">IFERROR(INDEX('Retirement Calculator'!K:K,MATCH('Lorri 401b'!N1075,'Retirement Calculator'!A:A,0),0),0)</f>
        <v>20282.026119384056</v>
      </c>
      <c r="K1075" s="455">
        <f t="shared" ca="1" si="103"/>
        <v>-145410.31155212657</v>
      </c>
      <c r="L1075" s="455">
        <f t="shared" ca="1" si="104"/>
        <v>-35043885.084062509</v>
      </c>
      <c r="M1075" s="471">
        <f t="shared" si="106"/>
        <v>0.05</v>
      </c>
      <c r="N1075" s="475">
        <f t="shared" si="107"/>
        <v>83763</v>
      </c>
    </row>
    <row r="1076" spans="7:14" ht="11.25" customHeight="1" x14ac:dyDescent="0.3">
      <c r="G1076" s="470"/>
      <c r="H1076" s="470">
        <v>1069</v>
      </c>
      <c r="I1076" s="455">
        <f t="shared" ca="1" si="105"/>
        <v>-35043885.084062509</v>
      </c>
      <c r="J1076" s="455">
        <f t="array" ref="J1076">IFERROR(INDEX('Retirement Calculator'!K:K,MATCH('Lorri 401b'!N1076,'Retirement Calculator'!A:A,0),0),0)</f>
        <v>20282.026119384056</v>
      </c>
      <c r="K1076" s="455">
        <f t="shared" ca="1" si="103"/>
        <v>-146100.69629242455</v>
      </c>
      <c r="L1076" s="455">
        <f t="shared" ca="1" si="104"/>
        <v>-35210267.806474313</v>
      </c>
      <c r="M1076" s="471">
        <f t="shared" si="106"/>
        <v>0.05</v>
      </c>
      <c r="N1076" s="475">
        <f t="shared" si="107"/>
        <v>83794</v>
      </c>
    </row>
    <row r="1077" spans="7:14" ht="11.25" customHeight="1" x14ac:dyDescent="0.3">
      <c r="G1077" s="470"/>
      <c r="H1077" s="470">
        <v>1070</v>
      </c>
      <c r="I1077" s="455">
        <f t="shared" ca="1" si="105"/>
        <v>-35210267.806474313</v>
      </c>
      <c r="J1077" s="455">
        <f t="array" ref="J1077">IFERROR(INDEX('Retirement Calculator'!K:K,MATCH('Lorri 401b'!N1077,'Retirement Calculator'!A:A,0),0),0)</f>
        <v>20282.026119384056</v>
      </c>
      <c r="K1077" s="455">
        <f t="shared" ca="1" si="103"/>
        <v>-146793.95763580705</v>
      </c>
      <c r="L1077" s="455">
        <f t="shared" ca="1" si="104"/>
        <v>-35377343.790229499</v>
      </c>
      <c r="M1077" s="471">
        <f t="shared" si="106"/>
        <v>0.05</v>
      </c>
      <c r="N1077" s="475">
        <f t="shared" si="107"/>
        <v>83824</v>
      </c>
    </row>
    <row r="1078" spans="7:14" ht="11.25" customHeight="1" x14ac:dyDescent="0.3">
      <c r="G1078" s="470"/>
      <c r="H1078" s="470">
        <v>1071</v>
      </c>
      <c r="I1078" s="455">
        <f t="shared" ca="1" si="105"/>
        <v>-35377343.790229499</v>
      </c>
      <c r="J1078" s="455">
        <f t="array" ref="J1078">IFERROR(INDEX('Retirement Calculator'!K:K,MATCH('Lorri 401b'!N1078,'Retirement Calculator'!A:A,0),0),0)</f>
        <v>20282.026119384056</v>
      </c>
      <c r="K1078" s="455">
        <f t="shared" ca="1" si="103"/>
        <v>-147490.10756812032</v>
      </c>
      <c r="L1078" s="455">
        <f t="shared" ca="1" si="104"/>
        <v>-35545115.923917003</v>
      </c>
      <c r="M1078" s="471">
        <f t="shared" si="106"/>
        <v>0.05</v>
      </c>
      <c r="N1078" s="475">
        <f t="shared" si="107"/>
        <v>83855</v>
      </c>
    </row>
    <row r="1079" spans="7:14" ht="11.25" customHeight="1" x14ac:dyDescent="0.3">
      <c r="G1079" s="470"/>
      <c r="H1079" s="470">
        <v>1072</v>
      </c>
      <c r="I1079" s="455">
        <f t="shared" ca="1" si="105"/>
        <v>-35545115.923917003</v>
      </c>
      <c r="J1079" s="455">
        <f t="array" ref="J1079">IFERROR(INDEX('Retirement Calculator'!K:K,MATCH('Lorri 401b'!N1079,'Retirement Calculator'!A:A,0),0),0)</f>
        <v>20282.026119384056</v>
      </c>
      <c r="K1079" s="455">
        <f t="shared" ca="1" si="103"/>
        <v>-148189.15812515159</v>
      </c>
      <c r="L1079" s="455">
        <f t="shared" ca="1" si="104"/>
        <v>-35713587.108161539</v>
      </c>
      <c r="M1079" s="471">
        <f t="shared" si="106"/>
        <v>0.05</v>
      </c>
      <c r="N1079" s="475">
        <f t="shared" si="107"/>
        <v>83886</v>
      </c>
    </row>
    <row r="1080" spans="7:14" ht="11.25" customHeight="1" x14ac:dyDescent="0.3">
      <c r="G1080" s="470"/>
      <c r="H1080" s="470">
        <v>1073</v>
      </c>
      <c r="I1080" s="455">
        <f t="shared" ca="1" si="105"/>
        <v>-35713587.108161539</v>
      </c>
      <c r="J1080" s="455">
        <f t="array" ref="J1080">IFERROR(INDEX('Retirement Calculator'!K:K,MATCH('Lorri 401b'!N1080,'Retirement Calculator'!A:A,0),0),0)</f>
        <v>20282.026119384056</v>
      </c>
      <c r="K1080" s="455">
        <f t="shared" ca="1" si="103"/>
        <v>-148891.12139283717</v>
      </c>
      <c r="L1080" s="455">
        <f t="shared" ca="1" si="104"/>
        <v>-35882760.255673759</v>
      </c>
      <c r="M1080" s="471">
        <f t="shared" si="106"/>
        <v>0.05</v>
      </c>
      <c r="N1080" s="475">
        <f t="shared" si="107"/>
        <v>83916</v>
      </c>
    </row>
    <row r="1081" spans="7:14" ht="11.25" customHeight="1" x14ac:dyDescent="0.3">
      <c r="G1081" s="470"/>
      <c r="H1081" s="470">
        <v>1074</v>
      </c>
      <c r="I1081" s="455">
        <f t="shared" ca="1" si="105"/>
        <v>-35882760.255673759</v>
      </c>
      <c r="J1081" s="455">
        <f t="array" ref="J1081">IFERROR(INDEX('Retirement Calculator'!K:K,MATCH('Lorri 401b'!N1081,'Retirement Calculator'!A:A,0),0),0)</f>
        <v>20282.026119384056</v>
      </c>
      <c r="K1081" s="455">
        <f t="shared" ca="1" si="103"/>
        <v>-149596.0095074714</v>
      </c>
      <c r="L1081" s="455">
        <f t="shared" ca="1" si="104"/>
        <v>-36052638.29130061</v>
      </c>
      <c r="M1081" s="471">
        <f t="shared" si="106"/>
        <v>0.05</v>
      </c>
      <c r="N1081" s="475">
        <f t="shared" si="107"/>
        <v>83947</v>
      </c>
    </row>
    <row r="1082" spans="7:14" ht="11.25" customHeight="1" x14ac:dyDescent="0.3">
      <c r="G1082" s="470"/>
      <c r="H1082" s="470">
        <v>1075</v>
      </c>
      <c r="I1082" s="455">
        <f t="shared" ca="1" si="105"/>
        <v>-36052638.29130061</v>
      </c>
      <c r="J1082" s="455">
        <f t="array" ref="J1082">IFERROR(INDEX('Retirement Calculator'!K:K,MATCH('Lorri 401b'!N1082,'Retirement Calculator'!A:A,0),0),0)</f>
        <v>20282.026119384056</v>
      </c>
      <c r="K1082" s="455">
        <f t="shared" ca="1" si="103"/>
        <v>-150303.83465591664</v>
      </c>
      <c r="L1082" s="455">
        <f t="shared" ca="1" si="104"/>
        <v>-36223224.152075909</v>
      </c>
      <c r="M1082" s="471">
        <f t="shared" si="106"/>
        <v>0.05</v>
      </c>
      <c r="N1082" s="475">
        <f t="shared" si="107"/>
        <v>83977</v>
      </c>
    </row>
    <row r="1083" spans="7:14" ht="11.25" customHeight="1" x14ac:dyDescent="0.3">
      <c r="G1083" s="470"/>
      <c r="H1083" s="470">
        <v>1076</v>
      </c>
      <c r="I1083" s="455">
        <f t="shared" ca="1" si="105"/>
        <v>-36223224.152075909</v>
      </c>
      <c r="J1083" s="455">
        <f t="array" ref="J1083">IFERROR(INDEX('Retirement Calculator'!K:K,MATCH('Lorri 401b'!N1083,'Retirement Calculator'!A:A,0),0),0)</f>
        <v>20282.026119384056</v>
      </c>
      <c r="K1083" s="455">
        <f t="shared" ca="1" si="103"/>
        <v>-151014.6090758137</v>
      </c>
      <c r="L1083" s="455">
        <f t="shared" ca="1" si="104"/>
        <v>-36394520.787271105</v>
      </c>
      <c r="M1083" s="471">
        <f t="shared" si="106"/>
        <v>0.05</v>
      </c>
      <c r="N1083" s="475">
        <f t="shared" si="107"/>
        <v>84008</v>
      </c>
    </row>
    <row r="1084" spans="7:14" ht="11.25" customHeight="1" x14ac:dyDescent="0.3">
      <c r="G1084" s="470"/>
      <c r="H1084" s="470">
        <v>1077</v>
      </c>
      <c r="I1084" s="455">
        <f t="shared" ca="1" si="105"/>
        <v>-36394520.787271105</v>
      </c>
      <c r="J1084" s="455">
        <f t="array" ref="J1084">IFERROR(INDEX('Retirement Calculator'!K:K,MATCH('Lorri 401b'!N1084,'Retirement Calculator'!A:A,0),0),0)</f>
        <v>20282.026119384056</v>
      </c>
      <c r="K1084" s="455">
        <f t="shared" ca="1" si="103"/>
        <v>-151728.3450557937</v>
      </c>
      <c r="L1084" s="455">
        <f t="shared" ca="1" si="104"/>
        <v>-36566531.158446282</v>
      </c>
      <c r="M1084" s="471">
        <f t="shared" si="106"/>
        <v>0.05</v>
      </c>
      <c r="N1084" s="475">
        <f t="shared" si="107"/>
        <v>84039</v>
      </c>
    </row>
    <row r="1085" spans="7:14" ht="11.25" customHeight="1" x14ac:dyDescent="0.3">
      <c r="G1085" s="470"/>
      <c r="H1085" s="470">
        <v>1078</v>
      </c>
      <c r="I1085" s="455">
        <f t="shared" ca="1" si="105"/>
        <v>-36566531.158446282</v>
      </c>
      <c r="J1085" s="455">
        <f t="array" ref="J1085">IFERROR(INDEX('Retirement Calculator'!K:K,MATCH('Lorri 401b'!N1085,'Retirement Calculator'!A:A,0),0),0)</f>
        <v>20282.026119384056</v>
      </c>
      <c r="K1085" s="455">
        <f t="shared" ca="1" si="103"/>
        <v>-152445.05493569025</v>
      </c>
      <c r="L1085" s="455">
        <f t="shared" ca="1" si="104"/>
        <v>-36739258.239501357</v>
      </c>
      <c r="M1085" s="471">
        <f t="shared" si="106"/>
        <v>0.05</v>
      </c>
      <c r="N1085" s="475">
        <f t="shared" si="107"/>
        <v>84067</v>
      </c>
    </row>
    <row r="1086" spans="7:14" ht="11.25" customHeight="1" x14ac:dyDescent="0.3">
      <c r="G1086" s="470"/>
      <c r="H1086" s="470">
        <v>1079</v>
      </c>
      <c r="I1086" s="455">
        <f t="shared" ca="1" si="105"/>
        <v>-36739258.239501357</v>
      </c>
      <c r="J1086" s="455">
        <f t="array" ref="J1086">IFERROR(INDEX('Retirement Calculator'!K:K,MATCH('Lorri 401b'!N1086,'Retirement Calculator'!A:A,0),0),0)</f>
        <v>20282.026119384056</v>
      </c>
      <c r="K1086" s="455">
        <f t="shared" ca="1" si="103"/>
        <v>-153164.75110675307</v>
      </c>
      <c r="L1086" s="455">
        <f t="shared" ca="1" si="104"/>
        <v>-36912705.016727492</v>
      </c>
      <c r="M1086" s="471">
        <f t="shared" si="106"/>
        <v>0.05</v>
      </c>
      <c r="N1086" s="475">
        <f t="shared" si="107"/>
        <v>84098</v>
      </c>
    </row>
    <row r="1087" spans="7:14" ht="11.25" customHeight="1" x14ac:dyDescent="0.3">
      <c r="G1087" s="470"/>
      <c r="H1087" s="470">
        <v>1080</v>
      </c>
      <c r="I1087" s="455">
        <f t="shared" ca="1" si="105"/>
        <v>-36912705.016727492</v>
      </c>
      <c r="J1087" s="455">
        <f t="array" ref="J1087">IFERROR(INDEX('Retirement Calculator'!K:K,MATCH('Lorri 401b'!N1087,'Retirement Calculator'!A:A,0),0),0)</f>
        <v>20282.026119384056</v>
      </c>
      <c r="K1087" s="455">
        <f t="shared" ca="1" si="103"/>
        <v>-153887.44601186196</v>
      </c>
      <c r="L1087" s="455">
        <f t="shared" ca="1" si="104"/>
        <v>-37086874.488858737</v>
      </c>
      <c r="M1087" s="471">
        <f t="shared" si="106"/>
        <v>0.05</v>
      </c>
      <c r="N1087" s="475">
        <f t="shared" si="107"/>
        <v>84128</v>
      </c>
    </row>
    <row r="1088" spans="7:14" ht="11.25" customHeight="1" x14ac:dyDescent="0.3">
      <c r="G1088" s="470"/>
      <c r="H1088" s="470">
        <v>1081</v>
      </c>
      <c r="I1088" s="455">
        <f t="shared" ca="1" si="105"/>
        <v>-37086874.488858737</v>
      </c>
      <c r="J1088" s="455">
        <f t="array" ref="J1088">IFERROR(INDEX('Retirement Calculator'!K:K,MATCH('Lorri 401b'!N1088,'Retirement Calculator'!A:A,0),0),0)</f>
        <v>20282.026119384056</v>
      </c>
      <c r="K1088" s="455">
        <f t="shared" ca="1" si="103"/>
        <v>-154613.15214574215</v>
      </c>
      <c r="L1088" s="455">
        <f t="shared" ca="1" si="104"/>
        <v>-37261769.667123862</v>
      </c>
      <c r="M1088" s="471">
        <f t="shared" si="106"/>
        <v>0.05</v>
      </c>
      <c r="N1088" s="475">
        <f t="shared" si="107"/>
        <v>84159</v>
      </c>
    </row>
    <row r="1089" spans="7:14" ht="11.25" customHeight="1" x14ac:dyDescent="0.3">
      <c r="G1089" s="470"/>
      <c r="H1089" s="470">
        <v>1082</v>
      </c>
      <c r="I1089" s="455">
        <f t="shared" ca="1" si="105"/>
        <v>-37261769.667123862</v>
      </c>
      <c r="J1089" s="455">
        <f t="array" ref="J1089">IFERROR(INDEX('Retirement Calculator'!K:K,MATCH('Lorri 401b'!N1089,'Retirement Calculator'!A:A,0),0),0)</f>
        <v>20282.026119384056</v>
      </c>
      <c r="K1089" s="455">
        <f t="shared" ca="1" si="103"/>
        <v>-155341.88205518018</v>
      </c>
      <c r="L1089" s="455">
        <f t="shared" ca="1" si="104"/>
        <v>-37437393.575298421</v>
      </c>
      <c r="M1089" s="471">
        <f t="shared" si="106"/>
        <v>0.05</v>
      </c>
      <c r="N1089" s="475">
        <f t="shared" si="107"/>
        <v>84189</v>
      </c>
    </row>
    <row r="1090" spans="7:14" ht="11.25" customHeight="1" x14ac:dyDescent="0.3">
      <c r="G1090" s="470"/>
      <c r="H1090" s="470">
        <v>1083</v>
      </c>
      <c r="I1090" s="455">
        <f t="shared" ca="1" si="105"/>
        <v>-37437393.575298421</v>
      </c>
      <c r="J1090" s="455">
        <f t="array" ref="J1090">IFERROR(INDEX('Retirement Calculator'!K:K,MATCH('Lorri 401b'!N1090,'Retirement Calculator'!A:A,0),0),0)</f>
        <v>20282.026119384056</v>
      </c>
      <c r="K1090" s="455">
        <f t="shared" ca="1" si="103"/>
        <v>-156073.64833924084</v>
      </c>
      <c r="L1090" s="455">
        <f t="shared" ca="1" si="104"/>
        <v>-37613749.249757044</v>
      </c>
      <c r="M1090" s="471">
        <f t="shared" si="106"/>
        <v>0.05</v>
      </c>
      <c r="N1090" s="475">
        <f t="shared" si="107"/>
        <v>84220</v>
      </c>
    </row>
    <row r="1091" spans="7:14" ht="11.25" customHeight="1" x14ac:dyDescent="0.3">
      <c r="G1091" s="470"/>
      <c r="H1091" s="470">
        <v>1084</v>
      </c>
      <c r="I1091" s="455">
        <f t="shared" ca="1" si="105"/>
        <v>-37613749.249757044</v>
      </c>
      <c r="J1091" s="455">
        <f t="array" ref="J1091">IFERROR(INDEX('Retirement Calculator'!K:K,MATCH('Lorri 401b'!N1091,'Retirement Calculator'!A:A,0),0),0)</f>
        <v>20282.026119384056</v>
      </c>
      <c r="K1091" s="455">
        <f t="shared" ca="1" si="103"/>
        <v>-156808.46364948511</v>
      </c>
      <c r="L1091" s="455">
        <f t="shared" ca="1" si="104"/>
        <v>-37790839.739525907</v>
      </c>
      <c r="M1091" s="471">
        <f t="shared" si="106"/>
        <v>0.05</v>
      </c>
      <c r="N1091" s="475">
        <f t="shared" si="107"/>
        <v>84251</v>
      </c>
    </row>
    <row r="1092" spans="7:14" ht="11.25" customHeight="1" x14ac:dyDescent="0.3">
      <c r="G1092" s="470"/>
      <c r="H1092" s="470">
        <v>1085</v>
      </c>
      <c r="I1092" s="455">
        <f t="shared" ca="1" si="105"/>
        <v>-37790839.739525907</v>
      </c>
      <c r="J1092" s="455">
        <f t="array" ref="J1092">IFERROR(INDEX('Retirement Calculator'!K:K,MATCH('Lorri 401b'!N1092,'Retirement Calculator'!A:A,0),0),0)</f>
        <v>20282.026119384056</v>
      </c>
      <c r="K1092" s="455">
        <f t="shared" ca="1" si="103"/>
        <v>-157546.34069018869</v>
      </c>
      <c r="L1092" s="455">
        <f t="shared" ca="1" si="104"/>
        <v>-37968668.106335476</v>
      </c>
      <c r="M1092" s="471">
        <f t="shared" si="106"/>
        <v>0.05</v>
      </c>
      <c r="N1092" s="475">
        <f t="shared" si="107"/>
        <v>84281</v>
      </c>
    </row>
    <row r="1093" spans="7:14" ht="11.25" customHeight="1" x14ac:dyDescent="0.3">
      <c r="G1093" s="470"/>
      <c r="H1093" s="470">
        <v>1086</v>
      </c>
      <c r="I1093" s="455">
        <f t="shared" ca="1" si="105"/>
        <v>-37968668.106335476</v>
      </c>
      <c r="J1093" s="455">
        <f t="array" ref="J1093">IFERROR(INDEX('Retirement Calculator'!K:K,MATCH('Lorri 401b'!N1093,'Retirement Calculator'!A:A,0),0),0)</f>
        <v>20282.026119384056</v>
      </c>
      <c r="K1093" s="455">
        <f t="shared" ca="1" si="103"/>
        <v>-158287.2922185619</v>
      </c>
      <c r="L1093" s="455">
        <f t="shared" ca="1" si="104"/>
        <v>-38147237.424673416</v>
      </c>
      <c r="M1093" s="471">
        <f t="shared" si="106"/>
        <v>0.05</v>
      </c>
      <c r="N1093" s="475">
        <f t="shared" si="107"/>
        <v>84312</v>
      </c>
    </row>
    <row r="1094" spans="7:14" ht="11.25" customHeight="1" x14ac:dyDescent="0.3">
      <c r="G1094" s="470"/>
      <c r="H1094" s="470">
        <v>1087</v>
      </c>
      <c r="I1094" s="455">
        <f t="shared" ca="1" si="105"/>
        <v>-38147237.424673416</v>
      </c>
      <c r="J1094" s="455">
        <f t="array" ref="J1094">IFERROR(INDEX('Retirement Calculator'!K:K,MATCH('Lorri 401b'!N1094,'Retirement Calculator'!A:A,0),0),0)</f>
        <v>20282.026119384056</v>
      </c>
      <c r="K1094" s="455">
        <f t="shared" ca="1" si="103"/>
        <v>-159031.33104496999</v>
      </c>
      <c r="L1094" s="455">
        <f t="shared" ca="1" si="104"/>
        <v>-38326550.781837769</v>
      </c>
      <c r="M1094" s="471">
        <f t="shared" si="106"/>
        <v>0.05</v>
      </c>
      <c r="N1094" s="475">
        <f t="shared" si="107"/>
        <v>84342</v>
      </c>
    </row>
    <row r="1095" spans="7:14" ht="11.25" customHeight="1" x14ac:dyDescent="0.3">
      <c r="G1095" s="470"/>
      <c r="H1095" s="470">
        <v>1088</v>
      </c>
      <c r="I1095" s="455">
        <f t="shared" ca="1" si="105"/>
        <v>-38326550.781837769</v>
      </c>
      <c r="J1095" s="455">
        <f t="array" ref="J1095">IFERROR(INDEX('Retirement Calculator'!K:K,MATCH('Lorri 401b'!N1095,'Retirement Calculator'!A:A,0),0),0)</f>
        <v>20282.026119384056</v>
      </c>
      <c r="K1095" s="455">
        <f t="shared" ca="1" si="103"/>
        <v>-159778.47003315479</v>
      </c>
      <c r="L1095" s="455">
        <f t="shared" ca="1" si="104"/>
        <v>-38506611.277990304</v>
      </c>
      <c r="M1095" s="471">
        <f t="shared" si="106"/>
        <v>0.05</v>
      </c>
      <c r="N1095" s="475">
        <f t="shared" si="107"/>
        <v>84373</v>
      </c>
    </row>
    <row r="1096" spans="7:14" ht="11.25" customHeight="1" x14ac:dyDescent="0.3">
      <c r="G1096" s="470"/>
      <c r="H1096" s="470">
        <v>1089</v>
      </c>
      <c r="I1096" s="455">
        <f t="shared" ca="1" si="105"/>
        <v>-38506611.277990304</v>
      </c>
      <c r="J1096" s="455">
        <f t="array" ref="J1096">IFERROR(INDEX('Retirement Calculator'!K:K,MATCH('Lorri 401b'!N1096,'Retirement Calculator'!A:A,0),0),0)</f>
        <v>20282.026119384056</v>
      </c>
      <c r="K1096" s="455">
        <f t="shared" ca="1" si="103"/>
        <v>-160528.72210045703</v>
      </c>
      <c r="L1096" s="455">
        <f t="shared" ca="1" si="104"/>
        <v>-38687422.026210144</v>
      </c>
      <c r="M1096" s="471">
        <f t="shared" si="106"/>
        <v>0.05</v>
      </c>
      <c r="N1096" s="475">
        <f t="shared" si="107"/>
        <v>84404</v>
      </c>
    </row>
    <row r="1097" spans="7:14" ht="11.25" customHeight="1" x14ac:dyDescent="0.3">
      <c r="G1097" s="470"/>
      <c r="H1097" s="470">
        <v>1090</v>
      </c>
      <c r="I1097" s="455">
        <f t="shared" ca="1" si="105"/>
        <v>-38687422.026210144</v>
      </c>
      <c r="J1097" s="455">
        <f t="array" ref="J1097">IFERROR(INDEX('Retirement Calculator'!K:K,MATCH('Lorri 401b'!N1097,'Retirement Calculator'!A:A,0),0),0)</f>
        <v>20282.026119384056</v>
      </c>
      <c r="K1097" s="455">
        <f t="shared" ca="1" si="103"/>
        <v>-161282.10021803968</v>
      </c>
      <c r="L1097" s="455">
        <f t="shared" ca="1" si="104"/>
        <v>-38868986.152547568</v>
      </c>
      <c r="M1097" s="471">
        <f t="shared" si="106"/>
        <v>0.05</v>
      </c>
      <c r="N1097" s="475">
        <f t="shared" si="107"/>
        <v>84432</v>
      </c>
    </row>
    <row r="1098" spans="7:14" ht="11.25" customHeight="1" x14ac:dyDescent="0.3">
      <c r="G1098" s="470"/>
      <c r="H1098" s="470">
        <v>1091</v>
      </c>
      <c r="I1098" s="455">
        <f t="shared" ca="1" si="105"/>
        <v>-38868986.152547568</v>
      </c>
      <c r="J1098" s="455">
        <f t="array" ref="J1098">IFERROR(INDEX('Retirement Calculator'!K:K,MATCH('Lorri 401b'!N1098,'Retirement Calculator'!A:A,0),0),0)</f>
        <v>20282.026119384056</v>
      </c>
      <c r="K1098" s="455">
        <f t="shared" ca="1" si="103"/>
        <v>-162038.6174111123</v>
      </c>
      <c r="L1098" s="455">
        <f t="shared" ca="1" si="104"/>
        <v>-39051306.796078064</v>
      </c>
      <c r="M1098" s="471">
        <f t="shared" si="106"/>
        <v>0.05</v>
      </c>
      <c r="N1098" s="475">
        <f t="shared" si="107"/>
        <v>84463</v>
      </c>
    </row>
    <row r="1099" spans="7:14" ht="11.25" customHeight="1" x14ac:dyDescent="0.3">
      <c r="G1099" s="470"/>
      <c r="H1099" s="470">
        <v>1092</v>
      </c>
      <c r="I1099" s="455">
        <f t="shared" ca="1" si="105"/>
        <v>-39051306.796078064</v>
      </c>
      <c r="J1099" s="455">
        <f t="array" ref="J1099">IFERROR(INDEX('Retirement Calculator'!K:K,MATCH('Lorri 401b'!N1099,'Retirement Calculator'!A:A,0),0),0)</f>
        <v>20282.026119384056</v>
      </c>
      <c r="K1099" s="455">
        <f t="shared" ca="1" si="103"/>
        <v>-162798.28675915601</v>
      </c>
      <c r="L1099" s="455">
        <f t="shared" ca="1" si="104"/>
        <v>-39234387.108956598</v>
      </c>
      <c r="M1099" s="471">
        <f t="shared" si="106"/>
        <v>0.05</v>
      </c>
      <c r="N1099" s="475">
        <f t="shared" si="107"/>
        <v>84493</v>
      </c>
    </row>
    <row r="1100" spans="7:14" ht="11.25" customHeight="1" x14ac:dyDescent="0.3">
      <c r="G1100" s="470"/>
      <c r="H1100" s="470">
        <v>1093</v>
      </c>
      <c r="I1100" s="455">
        <f t="shared" ca="1" si="105"/>
        <v>-39234387.108956598</v>
      </c>
      <c r="J1100" s="455">
        <f t="array" ref="J1100">IFERROR(INDEX('Retirement Calculator'!K:K,MATCH('Lorri 401b'!N1100,'Retirement Calculator'!A:A,0),0),0)</f>
        <v>20282.026119384056</v>
      </c>
      <c r="K1100" s="455">
        <f t="shared" ca="1" si="103"/>
        <v>-163561.12139614992</v>
      </c>
      <c r="L1100" s="455">
        <f t="shared" ca="1" si="104"/>
        <v>-39418230.256472126</v>
      </c>
      <c r="M1100" s="471">
        <f t="shared" si="106"/>
        <v>0.05</v>
      </c>
      <c r="N1100" s="475">
        <f t="shared" si="107"/>
        <v>84524</v>
      </c>
    </row>
    <row r="1101" spans="7:14" ht="11.25" customHeight="1" x14ac:dyDescent="0.3">
      <c r="G1101" s="470"/>
      <c r="H1101" s="470">
        <v>1094</v>
      </c>
      <c r="I1101" s="455">
        <f t="shared" ca="1" si="105"/>
        <v>-39418230.256472126</v>
      </c>
      <c r="J1101" s="455">
        <f t="array" ref="J1101">IFERROR(INDEX('Retirement Calculator'!K:K,MATCH('Lorri 401b'!N1101,'Retirement Calculator'!A:A,0),0),0)</f>
        <v>20282.026119384056</v>
      </c>
      <c r="K1101" s="455">
        <f t="shared" ca="1" si="103"/>
        <v>-164327.13451079794</v>
      </c>
      <c r="L1101" s="455">
        <f t="shared" ca="1" si="104"/>
        <v>-39602839.417102307</v>
      </c>
      <c r="M1101" s="471">
        <f t="shared" si="106"/>
        <v>0.05</v>
      </c>
      <c r="N1101" s="475">
        <f t="shared" si="107"/>
        <v>84554</v>
      </c>
    </row>
    <row r="1102" spans="7:14" ht="11.25" customHeight="1" x14ac:dyDescent="0.3">
      <c r="G1102" s="470"/>
      <c r="H1102" s="470">
        <v>1095</v>
      </c>
      <c r="I1102" s="455">
        <f t="shared" ca="1" si="105"/>
        <v>-39602839.417102307</v>
      </c>
      <c r="J1102" s="455">
        <f t="array" ref="J1102">IFERROR(INDEX('Retirement Calculator'!K:K,MATCH('Lorri 401b'!N1102,'Retirement Calculator'!A:A,0),0),0)</f>
        <v>20282.026119384056</v>
      </c>
      <c r="K1102" s="455">
        <f t="shared" ca="1" si="103"/>
        <v>-165096.33934675704</v>
      </c>
      <c r="L1102" s="455">
        <f t="shared" ca="1" si="104"/>
        <v>-39788217.782568447</v>
      </c>
      <c r="M1102" s="471">
        <f t="shared" si="106"/>
        <v>0.05</v>
      </c>
      <c r="N1102" s="475">
        <f t="shared" si="107"/>
        <v>84585</v>
      </c>
    </row>
    <row r="1103" spans="7:14" ht="11.25" customHeight="1" x14ac:dyDescent="0.3">
      <c r="G1103" s="470"/>
      <c r="H1103" s="470">
        <v>1096</v>
      </c>
      <c r="I1103" s="455">
        <f t="shared" ca="1" si="105"/>
        <v>-39788217.782568447</v>
      </c>
      <c r="J1103" s="455">
        <f t="array" ref="J1103">IFERROR(INDEX('Retirement Calculator'!K:K,MATCH('Lorri 401b'!N1103,'Retirement Calculator'!A:A,0),0),0)</f>
        <v>20282.026119384056</v>
      </c>
      <c r="K1103" s="455">
        <f t="shared" ca="1" si="103"/>
        <v>-165868.74920286596</v>
      </c>
      <c r="L1103" s="455">
        <f t="shared" ca="1" si="104"/>
        <v>-39974368.557890691</v>
      </c>
      <c r="M1103" s="471">
        <f t="shared" si="106"/>
        <v>0.05</v>
      </c>
      <c r="N1103" s="475">
        <f t="shared" si="107"/>
        <v>84616</v>
      </c>
    </row>
    <row r="1104" spans="7:14" ht="11.25" customHeight="1" x14ac:dyDescent="0.3">
      <c r="G1104" s="470"/>
      <c r="H1104" s="470">
        <v>1097</v>
      </c>
      <c r="I1104" s="455">
        <f t="shared" ca="1" si="105"/>
        <v>-39974368.557890691</v>
      </c>
      <c r="J1104" s="455">
        <f t="array" ref="J1104">IFERROR(INDEX('Retirement Calculator'!K:K,MATCH('Lorri 401b'!N1104,'Retirement Calculator'!A:A,0),0),0)</f>
        <v>20282.026119384056</v>
      </c>
      <c r="K1104" s="455">
        <f t="shared" ca="1" si="103"/>
        <v>-166644.37743337531</v>
      </c>
      <c r="L1104" s="455">
        <f t="shared" ca="1" si="104"/>
        <v>-40161294.961443447</v>
      </c>
      <c r="M1104" s="471">
        <f t="shared" si="106"/>
        <v>0.05</v>
      </c>
      <c r="N1104" s="475">
        <f t="shared" si="107"/>
        <v>84646</v>
      </c>
    </row>
    <row r="1105" spans="7:14" ht="11.25" customHeight="1" x14ac:dyDescent="0.3">
      <c r="G1105" s="470"/>
      <c r="H1105" s="470">
        <v>1098</v>
      </c>
      <c r="I1105" s="455">
        <f t="shared" ca="1" si="105"/>
        <v>-40161294.961443447</v>
      </c>
      <c r="J1105" s="455">
        <f t="array" ref="J1105">IFERROR(INDEX('Retirement Calculator'!K:K,MATCH('Lorri 401b'!N1105,'Retirement Calculator'!A:A,0),0),0)</f>
        <v>20282.026119384056</v>
      </c>
      <c r="K1105" s="455">
        <f t="shared" ca="1" si="103"/>
        <v>-167423.23744817844</v>
      </c>
      <c r="L1105" s="455">
        <f t="shared" ca="1" si="104"/>
        <v>-40349000.225011006</v>
      </c>
      <c r="M1105" s="471">
        <f t="shared" si="106"/>
        <v>0.05</v>
      </c>
      <c r="N1105" s="475">
        <f t="shared" si="107"/>
        <v>84677</v>
      </c>
    </row>
    <row r="1106" spans="7:14" ht="11.25" customHeight="1" x14ac:dyDescent="0.3">
      <c r="G1106" s="470"/>
      <c r="H1106" s="470">
        <v>1099</v>
      </c>
      <c r="I1106" s="455">
        <f t="shared" ca="1" si="105"/>
        <v>-40349000.225011006</v>
      </c>
      <c r="J1106" s="455">
        <f t="array" ref="J1106">IFERROR(INDEX('Retirement Calculator'!K:K,MATCH('Lorri 401b'!N1106,'Retirement Calculator'!A:A,0),0),0)</f>
        <v>20282.026119384056</v>
      </c>
      <c r="K1106" s="455">
        <f t="shared" ca="1" si="103"/>
        <v>-168205.34271304327</v>
      </c>
      <c r="L1106" s="455">
        <f t="shared" ca="1" si="104"/>
        <v>-40537487.59384343</v>
      </c>
      <c r="M1106" s="471">
        <f t="shared" si="106"/>
        <v>0.05</v>
      </c>
      <c r="N1106" s="475">
        <f t="shared" si="107"/>
        <v>84707</v>
      </c>
    </row>
    <row r="1107" spans="7:14" ht="11.25" customHeight="1" x14ac:dyDescent="0.3">
      <c r="G1107" s="470"/>
      <c r="H1107" s="470">
        <v>1100</v>
      </c>
      <c r="I1107" s="455">
        <f t="shared" ca="1" si="105"/>
        <v>-40537487.59384343</v>
      </c>
      <c r="J1107" s="455">
        <f t="array" ref="J1107">IFERROR(INDEX('Retirement Calculator'!K:K,MATCH('Lorri 401b'!N1107,'Retirement Calculator'!A:A,0),0),0)</f>
        <v>20282.026119384056</v>
      </c>
      <c r="K1107" s="455">
        <f t="shared" ca="1" si="103"/>
        <v>-168990.70674984503</v>
      </c>
      <c r="L1107" s="455">
        <f t="shared" ca="1" si="104"/>
        <v>-40726760.326712653</v>
      </c>
      <c r="M1107" s="471">
        <f t="shared" si="106"/>
        <v>0.05</v>
      </c>
      <c r="N1107" s="475">
        <f t="shared" si="107"/>
        <v>84738</v>
      </c>
    </row>
    <row r="1108" spans="7:14" ht="11.25" customHeight="1" x14ac:dyDescent="0.3">
      <c r="G1108" s="470"/>
      <c r="H1108" s="470">
        <v>1101</v>
      </c>
      <c r="I1108" s="455">
        <f t="shared" ca="1" si="105"/>
        <v>-40726760.326712653</v>
      </c>
      <c r="J1108" s="455">
        <f t="array" ref="J1108">IFERROR(INDEX('Retirement Calculator'!K:K,MATCH('Lorri 401b'!N1108,'Retirement Calculator'!A:A,0),0),0)</f>
        <v>20282.026119384056</v>
      </c>
      <c r="K1108" s="455">
        <f t="shared" ca="1" si="103"/>
        <v>-169779.34313680013</v>
      </c>
      <c r="L1108" s="455">
        <f t="shared" ca="1" si="104"/>
        <v>-40916821.695968837</v>
      </c>
      <c r="M1108" s="471">
        <f t="shared" si="106"/>
        <v>0.05</v>
      </c>
      <c r="N1108" s="475">
        <f t="shared" si="107"/>
        <v>84769</v>
      </c>
    </row>
    <row r="1109" spans="7:14" ht="11.25" customHeight="1" x14ac:dyDescent="0.3">
      <c r="G1109" s="470"/>
      <c r="H1109" s="470">
        <v>1102</v>
      </c>
      <c r="I1109" s="455">
        <f t="shared" ca="1" si="105"/>
        <v>-40916821.695968837</v>
      </c>
      <c r="J1109" s="455">
        <f t="array" ref="J1109">IFERROR(INDEX('Retirement Calculator'!K:K,MATCH('Lorri 401b'!N1109,'Retirement Calculator'!A:A,0),0),0)</f>
        <v>20282.026119384056</v>
      </c>
      <c r="K1109" s="455">
        <f t="shared" ca="1" si="103"/>
        <v>-170571.26550870092</v>
      </c>
      <c r="L1109" s="455">
        <f t="shared" ca="1" si="104"/>
        <v>-41107674.987596922</v>
      </c>
      <c r="M1109" s="471">
        <f t="shared" si="106"/>
        <v>0.05</v>
      </c>
      <c r="N1109" s="475">
        <f t="shared" si="107"/>
        <v>84798</v>
      </c>
    </row>
    <row r="1110" spans="7:14" ht="11.25" customHeight="1" x14ac:dyDescent="0.3">
      <c r="G1110" s="470"/>
      <c r="H1110" s="470">
        <v>1103</v>
      </c>
      <c r="I1110" s="455">
        <f t="shared" ca="1" si="105"/>
        <v>-41107674.987596922</v>
      </c>
      <c r="J1110" s="455">
        <f t="array" ref="J1110">IFERROR(INDEX('Retirement Calculator'!K:K,MATCH('Lorri 401b'!N1110,'Retirement Calculator'!A:A,0),0),0)</f>
        <v>20282.026119384056</v>
      </c>
      <c r="K1110" s="455">
        <f t="shared" ca="1" si="103"/>
        <v>-171366.48755715127</v>
      </c>
      <c r="L1110" s="455">
        <f t="shared" ca="1" si="104"/>
        <v>-41299323.501273453</v>
      </c>
      <c r="M1110" s="471">
        <f t="shared" si="106"/>
        <v>0.05</v>
      </c>
      <c r="N1110" s="475">
        <f t="shared" si="107"/>
        <v>84829</v>
      </c>
    </row>
    <row r="1111" spans="7:14" ht="11.25" customHeight="1" x14ac:dyDescent="0.3">
      <c r="G1111" s="470"/>
      <c r="H1111" s="470">
        <v>1104</v>
      </c>
      <c r="I1111" s="455">
        <f t="shared" ca="1" si="105"/>
        <v>-41299323.501273453</v>
      </c>
      <c r="J1111" s="455">
        <f t="array" ref="J1111">IFERROR(INDEX('Retirement Calculator'!K:K,MATCH('Lorri 401b'!N1111,'Retirement Calculator'!A:A,0),0),0)</f>
        <v>20282.026119384056</v>
      </c>
      <c r="K1111" s="455">
        <f t="shared" ca="1" si="103"/>
        <v>-172165.02303080348</v>
      </c>
      <c r="L1111" s="455">
        <f t="shared" ca="1" si="104"/>
        <v>-41491770.550423637</v>
      </c>
      <c r="M1111" s="471">
        <f t="shared" si="106"/>
        <v>0.05</v>
      </c>
      <c r="N1111" s="475">
        <f t="shared" si="107"/>
        <v>84859</v>
      </c>
    </row>
    <row r="1112" spans="7:14" ht="11.25" customHeight="1" x14ac:dyDescent="0.3">
      <c r="G1112" s="470"/>
      <c r="H1112" s="470">
        <v>1105</v>
      </c>
      <c r="I1112" s="455">
        <f t="shared" ca="1" si="105"/>
        <v>-41491770.550423637</v>
      </c>
      <c r="J1112" s="455">
        <f t="array" ref="J1112">IFERROR(INDEX('Retirement Calculator'!K:K,MATCH('Lorri 401b'!N1112,'Retirement Calculator'!A:A,0),0),0)</f>
        <v>20282.026119384056</v>
      </c>
      <c r="K1112" s="455">
        <f t="shared" ca="1" si="103"/>
        <v>-172966.88573559592</v>
      </c>
      <c r="L1112" s="455">
        <f t="shared" ca="1" si="104"/>
        <v>-41685019.462278612</v>
      </c>
      <c r="M1112" s="471">
        <f t="shared" si="106"/>
        <v>0.05</v>
      </c>
      <c r="N1112" s="475">
        <f t="shared" si="107"/>
        <v>84890</v>
      </c>
    </row>
    <row r="1113" spans="7:14" ht="11.25" customHeight="1" x14ac:dyDescent="0.3">
      <c r="G1113" s="470"/>
      <c r="H1113" s="470">
        <v>1106</v>
      </c>
      <c r="I1113" s="455">
        <f t="shared" ca="1" si="105"/>
        <v>-41685019.462278612</v>
      </c>
      <c r="J1113" s="455">
        <f t="array" ref="J1113">IFERROR(INDEX('Retirement Calculator'!K:K,MATCH('Lorri 401b'!N1113,'Retirement Calculator'!A:A,0),0),0)</f>
        <v>20282.026119384056</v>
      </c>
      <c r="K1113" s="455">
        <f t="shared" ca="1" si="103"/>
        <v>-173772.08953499162</v>
      </c>
      <c r="L1113" s="455">
        <f t="shared" ca="1" si="104"/>
        <v>-41879073.577932984</v>
      </c>
      <c r="M1113" s="471">
        <f t="shared" si="106"/>
        <v>0.05</v>
      </c>
      <c r="N1113" s="475">
        <f t="shared" si="107"/>
        <v>84920</v>
      </c>
    </row>
    <row r="1114" spans="7:14" ht="11.25" customHeight="1" x14ac:dyDescent="0.3">
      <c r="G1114" s="470"/>
      <c r="H1114" s="470">
        <v>1107</v>
      </c>
      <c r="I1114" s="455">
        <f t="shared" ca="1" si="105"/>
        <v>-41879073.577932984</v>
      </c>
      <c r="J1114" s="455">
        <f t="array" ref="J1114">IFERROR(INDEX('Retirement Calculator'!K:K,MATCH('Lorri 401b'!N1114,'Retirement Calculator'!A:A,0),0),0)</f>
        <v>20282.026119384056</v>
      </c>
      <c r="K1114" s="455">
        <f t="shared" ca="1" si="103"/>
        <v>-174580.64835021819</v>
      </c>
      <c r="L1114" s="455">
        <f t="shared" ca="1" si="104"/>
        <v>-42073936.252402581</v>
      </c>
      <c r="M1114" s="471">
        <f t="shared" si="106"/>
        <v>0.05</v>
      </c>
      <c r="N1114" s="475">
        <f t="shared" si="107"/>
        <v>84951</v>
      </c>
    </row>
    <row r="1115" spans="7:14" ht="11.25" customHeight="1" x14ac:dyDescent="0.3">
      <c r="G1115" s="470"/>
      <c r="H1115" s="470">
        <v>1108</v>
      </c>
      <c r="I1115" s="455">
        <f t="shared" ca="1" si="105"/>
        <v>-42073936.252402581</v>
      </c>
      <c r="J1115" s="455">
        <f t="array" ref="J1115">IFERROR(INDEX('Retirement Calculator'!K:K,MATCH('Lorri 401b'!N1115,'Retirement Calculator'!A:A,0),0),0)</f>
        <v>20282.026119384056</v>
      </c>
      <c r="K1115" s="455">
        <f t="shared" ca="1" si="103"/>
        <v>-175392.57616050818</v>
      </c>
      <c r="L1115" s="455">
        <f t="shared" ca="1" si="104"/>
        <v>-42269610.854682468</v>
      </c>
      <c r="M1115" s="471">
        <f t="shared" si="106"/>
        <v>0.05</v>
      </c>
      <c r="N1115" s="475">
        <f t="shared" si="107"/>
        <v>84982</v>
      </c>
    </row>
    <row r="1116" spans="7:14" ht="11.25" customHeight="1" x14ac:dyDescent="0.3">
      <c r="G1116" s="470"/>
      <c r="H1116" s="470">
        <v>1109</v>
      </c>
      <c r="I1116" s="455">
        <f t="shared" ca="1" si="105"/>
        <v>-42269610.854682468</v>
      </c>
      <c r="J1116" s="455">
        <f t="array" ref="J1116">IFERROR(INDEX('Retirement Calculator'!K:K,MATCH('Lorri 401b'!N1116,'Retirement Calculator'!A:A,0),0),0)</f>
        <v>20282.026119384056</v>
      </c>
      <c r="K1116" s="455">
        <f t="shared" ca="1" si="103"/>
        <v>-176207.88700334105</v>
      </c>
      <c r="L1116" s="455">
        <f t="shared" ca="1" si="104"/>
        <v>-42466100.767805189</v>
      </c>
      <c r="M1116" s="471">
        <f t="shared" si="106"/>
        <v>0.05</v>
      </c>
      <c r="N1116" s="475">
        <f t="shared" si="107"/>
        <v>85012</v>
      </c>
    </row>
    <row r="1117" spans="7:14" ht="11.25" customHeight="1" x14ac:dyDescent="0.3">
      <c r="G1117" s="470"/>
      <c r="H1117" s="470">
        <v>1110</v>
      </c>
      <c r="I1117" s="455">
        <f t="shared" ca="1" si="105"/>
        <v>-42466100.767805189</v>
      </c>
      <c r="J1117" s="455">
        <f t="array" ref="J1117">IFERROR(INDEX('Retirement Calculator'!K:K,MATCH('Lorri 401b'!N1117,'Retirement Calculator'!A:A,0),0),0)</f>
        <v>20282.026119384056</v>
      </c>
      <c r="K1117" s="455">
        <f t="shared" ca="1" si="103"/>
        <v>-177026.59497468569</v>
      </c>
      <c r="L1117" s="455">
        <f t="shared" ca="1" si="104"/>
        <v>-42663409.388899259</v>
      </c>
      <c r="M1117" s="471">
        <f t="shared" si="106"/>
        <v>0.05</v>
      </c>
      <c r="N1117" s="475">
        <f t="shared" si="107"/>
        <v>85043</v>
      </c>
    </row>
    <row r="1118" spans="7:14" ht="11.25" customHeight="1" x14ac:dyDescent="0.3">
      <c r="G1118" s="470"/>
      <c r="H1118" s="470">
        <v>1111</v>
      </c>
      <c r="I1118" s="455">
        <f t="shared" ca="1" si="105"/>
        <v>-42663409.388899259</v>
      </c>
      <c r="J1118" s="455">
        <f t="array" ref="J1118">IFERROR(INDEX('Retirement Calculator'!K:K,MATCH('Lorri 401b'!N1118,'Retirement Calculator'!A:A,0),0),0)</f>
        <v>20282.026119384056</v>
      </c>
      <c r="K1118" s="455">
        <f t="shared" ca="1" si="103"/>
        <v>-177848.71422924433</v>
      </c>
      <c r="L1118" s="455">
        <f t="shared" ca="1" si="104"/>
        <v>-42861540.129247881</v>
      </c>
      <c r="M1118" s="471">
        <f t="shared" si="106"/>
        <v>0.05</v>
      </c>
      <c r="N1118" s="475">
        <f t="shared" si="107"/>
        <v>85073</v>
      </c>
    </row>
    <row r="1119" spans="7:14" ht="11.25" customHeight="1" x14ac:dyDescent="0.3">
      <c r="G1119" s="470"/>
      <c r="H1119" s="470">
        <v>1112</v>
      </c>
      <c r="I1119" s="455">
        <f t="shared" ca="1" si="105"/>
        <v>-42861540.129247881</v>
      </c>
      <c r="J1119" s="455">
        <f t="array" ref="J1119">IFERROR(INDEX('Retirement Calculator'!K:K,MATCH('Lorri 401b'!N1119,'Retirement Calculator'!A:A,0),0),0)</f>
        <v>20282.026119384056</v>
      </c>
      <c r="K1119" s="455">
        <f t="shared" ca="1" si="103"/>
        <v>-178674.25898069693</v>
      </c>
      <c r="L1119" s="455">
        <f t="shared" ca="1" si="104"/>
        <v>-43060496.414347962</v>
      </c>
      <c r="M1119" s="471">
        <f t="shared" si="106"/>
        <v>0.05</v>
      </c>
      <c r="N1119" s="475">
        <f t="shared" si="107"/>
        <v>85104</v>
      </c>
    </row>
    <row r="1120" spans="7:14" ht="11.25" customHeight="1" x14ac:dyDescent="0.3">
      <c r="G1120" s="470"/>
      <c r="H1120" s="470">
        <v>1113</v>
      </c>
      <c r="I1120" s="455">
        <f t="shared" ca="1" si="105"/>
        <v>-43060496.414347962</v>
      </c>
      <c r="J1120" s="455">
        <f t="array" ref="J1120">IFERROR(INDEX('Retirement Calculator'!K:K,MATCH('Lorri 401b'!N1120,'Retirement Calculator'!A:A,0),0),0)</f>
        <v>20282.026119384056</v>
      </c>
      <c r="K1120" s="455">
        <f t="shared" ca="1" si="103"/>
        <v>-179503.24350194726</v>
      </c>
      <c r="L1120" s="455">
        <f t="shared" ca="1" si="104"/>
        <v>-43260281.683969289</v>
      </c>
      <c r="M1120" s="471">
        <f t="shared" si="106"/>
        <v>0.05</v>
      </c>
      <c r="N1120" s="475">
        <f t="shared" si="107"/>
        <v>85135</v>
      </c>
    </row>
    <row r="1121" spans="7:14" ht="11.25" customHeight="1" x14ac:dyDescent="0.3">
      <c r="G1121" s="470"/>
      <c r="H1121" s="470">
        <v>1114</v>
      </c>
      <c r="I1121" s="455">
        <f t="shared" ca="1" si="105"/>
        <v>-43260281.683969289</v>
      </c>
      <c r="J1121" s="455">
        <f t="array" ref="J1121">IFERROR(INDEX('Retirement Calculator'!K:K,MATCH('Lorri 401b'!N1121,'Retirement Calculator'!A:A,0),0),0)</f>
        <v>20282.026119384056</v>
      </c>
      <c r="K1121" s="455">
        <f t="shared" ca="1" si="103"/>
        <v>-180335.68212536947</v>
      </c>
      <c r="L1121" s="455">
        <f t="shared" ca="1" si="104"/>
        <v>-43460899.392214037</v>
      </c>
      <c r="M1121" s="471">
        <f t="shared" si="106"/>
        <v>0.05</v>
      </c>
      <c r="N1121" s="475">
        <f t="shared" si="107"/>
        <v>85163</v>
      </c>
    </row>
    <row r="1122" spans="7:14" ht="11.25" customHeight="1" x14ac:dyDescent="0.3">
      <c r="G1122" s="470"/>
      <c r="H1122" s="470">
        <v>1115</v>
      </c>
      <c r="I1122" s="455">
        <f t="shared" ca="1" si="105"/>
        <v>-43460899.392214037</v>
      </c>
      <c r="J1122" s="455">
        <f t="array" ref="J1122">IFERROR(INDEX('Retirement Calculator'!K:K,MATCH('Lorri 401b'!N1122,'Retirement Calculator'!A:A,0),0),0)</f>
        <v>20282.026119384056</v>
      </c>
      <c r="K1122" s="455">
        <f t="shared" ca="1" si="103"/>
        <v>-181171.5892430559</v>
      </c>
      <c r="L1122" s="455">
        <f t="shared" ca="1" si="104"/>
        <v>-43662353.007576473</v>
      </c>
      <c r="M1122" s="471">
        <f t="shared" si="106"/>
        <v>0.05</v>
      </c>
      <c r="N1122" s="475">
        <f t="shared" si="107"/>
        <v>85194</v>
      </c>
    </row>
    <row r="1123" spans="7:14" ht="11.25" customHeight="1" x14ac:dyDescent="0.3">
      <c r="G1123" s="470"/>
      <c r="H1123" s="470">
        <v>1116</v>
      </c>
      <c r="I1123" s="455">
        <f t="shared" ca="1" si="105"/>
        <v>-43662353.007576473</v>
      </c>
      <c r="J1123" s="455">
        <f t="array" ref="J1123">IFERROR(INDEX('Retirement Calculator'!K:K,MATCH('Lorri 401b'!N1123,'Retirement Calculator'!A:A,0),0),0)</f>
        <v>20282.026119384056</v>
      </c>
      <c r="K1123" s="455">
        <f t="shared" ca="1" si="103"/>
        <v>-182010.97930706607</v>
      </c>
      <c r="L1123" s="455">
        <f t="shared" ca="1" si="104"/>
        <v>-43864646.013002917</v>
      </c>
      <c r="M1123" s="471">
        <f t="shared" si="106"/>
        <v>0.05</v>
      </c>
      <c r="N1123" s="475">
        <f t="shared" si="107"/>
        <v>85224</v>
      </c>
    </row>
    <row r="1124" spans="7:14" ht="11.25" customHeight="1" x14ac:dyDescent="0.3">
      <c r="G1124" s="470"/>
      <c r="H1124" s="470">
        <v>1117</v>
      </c>
      <c r="I1124" s="455">
        <f t="shared" ca="1" si="105"/>
        <v>-43864646.013002917</v>
      </c>
      <c r="J1124" s="455">
        <f t="array" ref="J1124">IFERROR(INDEX('Retirement Calculator'!K:K,MATCH('Lorri 401b'!N1124,'Retirement Calculator'!A:A,0),0),0)</f>
        <v>20282.026119384056</v>
      </c>
      <c r="K1124" s="455">
        <f t="shared" ca="1" si="103"/>
        <v>-182853.86682967623</v>
      </c>
      <c r="L1124" s="455">
        <f t="shared" ca="1" si="104"/>
        <v>-44067781.905951977</v>
      </c>
      <c r="M1124" s="471">
        <f t="shared" si="106"/>
        <v>0.05</v>
      </c>
      <c r="N1124" s="475">
        <f t="shared" si="107"/>
        <v>85255</v>
      </c>
    </row>
    <row r="1125" spans="7:14" ht="11.25" customHeight="1" x14ac:dyDescent="0.3">
      <c r="G1125" s="470"/>
      <c r="H1125" s="470">
        <v>1118</v>
      </c>
      <c r="I1125" s="455">
        <f t="shared" ca="1" si="105"/>
        <v>-44067781.905951977</v>
      </c>
      <c r="J1125" s="455">
        <f t="array" ref="J1125">IFERROR(INDEX('Retirement Calculator'!K:K,MATCH('Lorri 401b'!N1125,'Retirement Calculator'!A:A,0),0),0)</f>
        <v>20282.026119384056</v>
      </c>
      <c r="K1125" s="455">
        <f t="shared" ca="1" si="103"/>
        <v>-183700.26638363066</v>
      </c>
      <c r="L1125" s="455">
        <f t="shared" ca="1" si="104"/>
        <v>-44271764.198454991</v>
      </c>
      <c r="M1125" s="471">
        <f t="shared" si="106"/>
        <v>0.05</v>
      </c>
      <c r="N1125" s="475">
        <f t="shared" si="107"/>
        <v>85285</v>
      </c>
    </row>
    <row r="1126" spans="7:14" ht="11.25" customHeight="1" x14ac:dyDescent="0.3">
      <c r="G1126" s="470"/>
      <c r="H1126" s="470">
        <v>1119</v>
      </c>
      <c r="I1126" s="455">
        <f t="shared" ca="1" si="105"/>
        <v>-44271764.198454991</v>
      </c>
      <c r="J1126" s="455">
        <f t="array" ref="J1126">IFERROR(INDEX('Retirement Calculator'!K:K,MATCH('Lorri 401b'!N1126,'Retirement Calculator'!A:A,0),0),0)</f>
        <v>20282.026119384056</v>
      </c>
      <c r="K1126" s="455">
        <f t="shared" ca="1" si="103"/>
        <v>-184550.19260239322</v>
      </c>
      <c r="L1126" s="455">
        <f t="shared" ca="1" si="104"/>
        <v>-44476596.417176768</v>
      </c>
      <c r="M1126" s="471">
        <f t="shared" si="106"/>
        <v>0.05</v>
      </c>
      <c r="N1126" s="475">
        <f t="shared" si="107"/>
        <v>85316</v>
      </c>
    </row>
    <row r="1127" spans="7:14" ht="11.25" customHeight="1" x14ac:dyDescent="0.3">
      <c r="G1127" s="470"/>
      <c r="H1127" s="470">
        <v>1120</v>
      </c>
      <c r="I1127" s="455">
        <f t="shared" ca="1" si="105"/>
        <v>-44476596.417176768</v>
      </c>
      <c r="J1127" s="455">
        <f t="array" ref="J1127">IFERROR(INDEX('Retirement Calculator'!K:K,MATCH('Lorri 401b'!N1127,'Retirement Calculator'!A:A,0),0),0)</f>
        <v>20282.026119384056</v>
      </c>
      <c r="K1127" s="455">
        <f t="shared" ca="1" si="103"/>
        <v>-185403.66018040062</v>
      </c>
      <c r="L1127" s="455">
        <f t="shared" ca="1" si="104"/>
        <v>-44682282.103476547</v>
      </c>
      <c r="M1127" s="471">
        <f t="shared" si="106"/>
        <v>0.05</v>
      </c>
      <c r="N1127" s="475">
        <f t="shared" si="107"/>
        <v>85347</v>
      </c>
    </row>
    <row r="1128" spans="7:14" ht="11.25" customHeight="1" x14ac:dyDescent="0.3">
      <c r="G1128" s="470"/>
      <c r="H1128" s="470">
        <v>1121</v>
      </c>
      <c r="I1128" s="455">
        <f t="shared" ca="1" si="105"/>
        <v>-44682282.103476547</v>
      </c>
      <c r="J1128" s="455">
        <f t="array" ref="J1128">IFERROR(INDEX('Retirement Calculator'!K:K,MATCH('Lorri 401b'!N1128,'Retirement Calculator'!A:A,0),0),0)</f>
        <v>20282.026119384056</v>
      </c>
      <c r="K1128" s="455">
        <f t="shared" ca="1" si="103"/>
        <v>-186260.68387331636</v>
      </c>
      <c r="L1128" s="455">
        <f t="shared" ca="1" si="104"/>
        <v>-44888824.813469246</v>
      </c>
      <c r="M1128" s="471">
        <f t="shared" si="106"/>
        <v>0.05</v>
      </c>
      <c r="N1128" s="475">
        <f t="shared" si="107"/>
        <v>85377</v>
      </c>
    </row>
    <row r="1129" spans="7:14" ht="11.25" customHeight="1" x14ac:dyDescent="0.3">
      <c r="G1129" s="470"/>
      <c r="H1129" s="470">
        <v>1122</v>
      </c>
      <c r="I1129" s="455">
        <f t="shared" ca="1" si="105"/>
        <v>-44888824.813469246</v>
      </c>
      <c r="J1129" s="455">
        <f t="array" ref="J1129">IFERROR(INDEX('Retirement Calculator'!K:K,MATCH('Lorri 401b'!N1129,'Retirement Calculator'!A:A,0),0),0)</f>
        <v>20282.026119384056</v>
      </c>
      <c r="K1129" s="455">
        <f t="shared" ca="1" si="103"/>
        <v>-187121.27849828594</v>
      </c>
      <c r="L1129" s="455">
        <f t="shared" ca="1" si="104"/>
        <v>-45096228.118086912</v>
      </c>
      <c r="M1129" s="471">
        <f t="shared" si="106"/>
        <v>0.05</v>
      </c>
      <c r="N1129" s="475">
        <f t="shared" si="107"/>
        <v>85408</v>
      </c>
    </row>
    <row r="1130" spans="7:14" ht="11.25" customHeight="1" x14ac:dyDescent="0.3">
      <c r="G1130" s="470"/>
      <c r="H1130" s="470">
        <v>1123</v>
      </c>
      <c r="I1130" s="455">
        <f t="shared" ca="1" si="105"/>
        <v>-45096228.118086912</v>
      </c>
      <c r="J1130" s="455">
        <f t="array" ref="J1130">IFERROR(INDEX('Retirement Calculator'!K:K,MATCH('Lorri 401b'!N1130,'Retirement Calculator'!A:A,0),0),0)</f>
        <v>20282.026119384056</v>
      </c>
      <c r="K1130" s="455">
        <f t="shared" ca="1" si="103"/>
        <v>-187985.45893419289</v>
      </c>
      <c r="L1130" s="455">
        <f t="shared" ca="1" si="104"/>
        <v>-45304495.603140488</v>
      </c>
      <c r="M1130" s="471">
        <f t="shared" si="106"/>
        <v>0.05</v>
      </c>
      <c r="N1130" s="475">
        <f t="shared" si="107"/>
        <v>85438</v>
      </c>
    </row>
    <row r="1131" spans="7:14" ht="11.25" customHeight="1" x14ac:dyDescent="0.3">
      <c r="G1131" s="470"/>
      <c r="H1131" s="470">
        <v>1124</v>
      </c>
      <c r="I1131" s="455">
        <f t="shared" ca="1" si="105"/>
        <v>-45304495.603140488</v>
      </c>
      <c r="J1131" s="455">
        <f t="array" ref="J1131">IFERROR(INDEX('Retirement Calculator'!K:K,MATCH('Lorri 401b'!N1131,'Retirement Calculator'!A:A,0),0),0)</f>
        <v>20282.026119384056</v>
      </c>
      <c r="K1131" s="455">
        <f t="shared" ca="1" si="103"/>
        <v>-188853.24012191611</v>
      </c>
      <c r="L1131" s="455">
        <f t="shared" ca="1" si="104"/>
        <v>-45513630.869381785</v>
      </c>
      <c r="M1131" s="471">
        <f t="shared" si="106"/>
        <v>0.05</v>
      </c>
      <c r="N1131" s="475">
        <f t="shared" si="107"/>
        <v>85469</v>
      </c>
    </row>
    <row r="1132" spans="7:14" ht="11.25" customHeight="1" x14ac:dyDescent="0.3">
      <c r="G1132" s="470"/>
      <c r="H1132" s="470">
        <v>1125</v>
      </c>
      <c r="I1132" s="455">
        <f t="shared" ca="1" si="105"/>
        <v>-45513630.869381785</v>
      </c>
      <c r="J1132" s="455">
        <f t="array" ref="J1132">IFERROR(INDEX('Retirement Calculator'!K:K,MATCH('Lorri 401b'!N1132,'Retirement Calculator'!A:A,0),0),0)</f>
        <v>20282.026119384056</v>
      </c>
      <c r="K1132" s="455">
        <f t="shared" ca="1" si="103"/>
        <v>-189724.6370645882</v>
      </c>
      <c r="L1132" s="455">
        <f t="shared" ca="1" si="104"/>
        <v>-45723637.532565758</v>
      </c>
      <c r="M1132" s="471">
        <f t="shared" si="106"/>
        <v>0.05</v>
      </c>
      <c r="N1132" s="475">
        <f t="shared" si="107"/>
        <v>85500</v>
      </c>
    </row>
    <row r="1133" spans="7:14" ht="11.25" customHeight="1" x14ac:dyDescent="0.3">
      <c r="G1133" s="470"/>
      <c r="H1133" s="470">
        <v>1126</v>
      </c>
      <c r="I1133" s="455">
        <f t="shared" ca="1" si="105"/>
        <v>-45723637.532565758</v>
      </c>
      <c r="J1133" s="455">
        <f t="array" ref="J1133">IFERROR(INDEX('Retirement Calculator'!K:K,MATCH('Lorri 401b'!N1133,'Retirement Calculator'!A:A,0),0),0)</f>
        <v>20282.026119384056</v>
      </c>
      <c r="K1133" s="455">
        <f t="shared" ca="1" si="103"/>
        <v>-190599.66482785475</v>
      </c>
      <c r="L1133" s="455">
        <f t="shared" ca="1" si="104"/>
        <v>-45934519.223512992</v>
      </c>
      <c r="M1133" s="471">
        <f t="shared" si="106"/>
        <v>0.05</v>
      </c>
      <c r="N1133" s="475">
        <f t="shared" si="107"/>
        <v>85528</v>
      </c>
    </row>
    <row r="1134" spans="7:14" ht="11.25" customHeight="1" x14ac:dyDescent="0.3">
      <c r="G1134" s="470"/>
      <c r="H1134" s="470">
        <v>1127</v>
      </c>
      <c r="I1134" s="455">
        <f t="shared" ca="1" si="105"/>
        <v>-45934519.223512992</v>
      </c>
      <c r="J1134" s="455">
        <f t="array" ref="J1134">IFERROR(INDEX('Retirement Calculator'!K:K,MATCH('Lorri 401b'!N1134,'Retirement Calculator'!A:A,0),0),0)</f>
        <v>20282.026119384056</v>
      </c>
      <c r="K1134" s="455">
        <f t="shared" ca="1" si="103"/>
        <v>-191478.33854013489</v>
      </c>
      <c r="L1134" s="455">
        <f t="shared" ca="1" si="104"/>
        <v>-46146279.58817251</v>
      </c>
      <c r="M1134" s="471">
        <f t="shared" si="106"/>
        <v>0.05</v>
      </c>
      <c r="N1134" s="475">
        <f t="shared" si="107"/>
        <v>85559</v>
      </c>
    </row>
    <row r="1135" spans="7:14" ht="11.25" customHeight="1" x14ac:dyDescent="0.3">
      <c r="G1135" s="470"/>
      <c r="H1135" s="470">
        <v>1128</v>
      </c>
      <c r="I1135" s="455">
        <f t="shared" ca="1" si="105"/>
        <v>-46146279.58817251</v>
      </c>
      <c r="J1135" s="455">
        <f t="array" ref="J1135">IFERROR(INDEX('Retirement Calculator'!K:K,MATCH('Lorri 401b'!N1135,'Retirement Calculator'!A:A,0),0),0)</f>
        <v>20282.026119384056</v>
      </c>
      <c r="K1135" s="455">
        <f t="shared" ca="1" si="103"/>
        <v>-192360.67339288289</v>
      </c>
      <c r="L1135" s="455">
        <f t="shared" ca="1" si="104"/>
        <v>-46358922.287684776</v>
      </c>
      <c r="M1135" s="471">
        <f t="shared" si="106"/>
        <v>0.05</v>
      </c>
      <c r="N1135" s="475">
        <f t="shared" si="107"/>
        <v>85589</v>
      </c>
    </row>
    <row r="1136" spans="7:14" ht="11.25" customHeight="1" x14ac:dyDescent="0.3">
      <c r="G1136" s="470"/>
      <c r="H1136" s="470">
        <v>1129</v>
      </c>
      <c r="I1136" s="455">
        <f t="shared" ca="1" si="105"/>
        <v>-46358922.287684776</v>
      </c>
      <c r="J1136" s="455">
        <f t="array" ref="J1136">IFERROR(INDEX('Retirement Calculator'!K:K,MATCH('Lorri 401b'!N1136,'Retirement Calculator'!A:A,0),0),0)</f>
        <v>20282.026119384056</v>
      </c>
      <c r="K1136" s="455">
        <f t="shared" ca="1" si="103"/>
        <v>-193246.68464085064</v>
      </c>
      <c r="L1136" s="455">
        <f t="shared" ca="1" si="104"/>
        <v>-46572450.998445004</v>
      </c>
      <c r="M1136" s="471">
        <f t="shared" si="106"/>
        <v>0.05</v>
      </c>
      <c r="N1136" s="475">
        <f t="shared" si="107"/>
        <v>85620</v>
      </c>
    </row>
    <row r="1137" spans="7:14" ht="11.25" customHeight="1" x14ac:dyDescent="0.3">
      <c r="G1137" s="470"/>
      <c r="H1137" s="470">
        <v>1130</v>
      </c>
      <c r="I1137" s="455">
        <f t="shared" ca="1" si="105"/>
        <v>-46572450.998445004</v>
      </c>
      <c r="J1137" s="455">
        <f t="array" ref="J1137">IFERROR(INDEX('Retirement Calculator'!K:K,MATCH('Lorri 401b'!N1137,'Retirement Calculator'!A:A,0),0),0)</f>
        <v>20282.026119384056</v>
      </c>
      <c r="K1137" s="455">
        <f t="shared" ca="1" si="103"/>
        <v>-194136.38760235161</v>
      </c>
      <c r="L1137" s="455">
        <f t="shared" ca="1" si="104"/>
        <v>-46786869.412166737</v>
      </c>
      <c r="M1137" s="471">
        <f t="shared" si="106"/>
        <v>0.05</v>
      </c>
      <c r="N1137" s="475">
        <f t="shared" si="107"/>
        <v>85650</v>
      </c>
    </row>
    <row r="1138" spans="7:14" ht="11.25" customHeight="1" x14ac:dyDescent="0.3">
      <c r="G1138" s="470"/>
      <c r="H1138" s="470">
        <v>1131</v>
      </c>
      <c r="I1138" s="455">
        <f t="shared" ca="1" si="105"/>
        <v>-46786869.412166737</v>
      </c>
      <c r="J1138" s="455">
        <f t="array" ref="J1138">IFERROR(INDEX('Retirement Calculator'!K:K,MATCH('Lorri 401b'!N1138,'Retirement Calculator'!A:A,0),0),0)</f>
        <v>20282.026119384056</v>
      </c>
      <c r="K1138" s="455">
        <f t="shared" ca="1" si="103"/>
        <v>-195029.7976595255</v>
      </c>
      <c r="L1138" s="455">
        <f t="shared" ca="1" si="104"/>
        <v>-47002181.235945642</v>
      </c>
      <c r="M1138" s="471">
        <f t="shared" si="106"/>
        <v>0.05</v>
      </c>
      <c r="N1138" s="475">
        <f t="shared" si="107"/>
        <v>85681</v>
      </c>
    </row>
    <row r="1139" spans="7:14" ht="11.25" customHeight="1" x14ac:dyDescent="0.3">
      <c r="G1139" s="470"/>
      <c r="H1139" s="470">
        <v>1132</v>
      </c>
      <c r="I1139" s="455">
        <f t="shared" ca="1" si="105"/>
        <v>-47002181.235945642</v>
      </c>
      <c r="J1139" s="455">
        <f t="array" ref="J1139">IFERROR(INDEX('Retirement Calculator'!K:K,MATCH('Lorri 401b'!N1139,'Retirement Calculator'!A:A,0),0),0)</f>
        <v>20282.026119384056</v>
      </c>
      <c r="K1139" s="455">
        <f t="shared" ca="1" si="103"/>
        <v>-195926.93025860426</v>
      </c>
      <c r="L1139" s="455">
        <f t="shared" ca="1" si="104"/>
        <v>-47218390.192323625</v>
      </c>
      <c r="M1139" s="471">
        <f t="shared" si="106"/>
        <v>0.05</v>
      </c>
      <c r="N1139" s="475">
        <f t="shared" si="107"/>
        <v>85712</v>
      </c>
    </row>
    <row r="1140" spans="7:14" ht="11.25" customHeight="1" x14ac:dyDescent="0.3">
      <c r="G1140" s="470"/>
      <c r="H1140" s="470">
        <v>1133</v>
      </c>
      <c r="I1140" s="455">
        <f t="shared" ca="1" si="105"/>
        <v>-47218390.192323625</v>
      </c>
      <c r="J1140" s="455">
        <f t="array" ref="J1140">IFERROR(INDEX('Retirement Calculator'!K:K,MATCH('Lorri 401b'!N1140,'Retirement Calculator'!A:A,0),0),0)</f>
        <v>20282.026119384056</v>
      </c>
      <c r="K1140" s="455">
        <f t="shared" ca="1" si="103"/>
        <v>-196827.80091017918</v>
      </c>
      <c r="L1140" s="455">
        <f t="shared" ca="1" si="104"/>
        <v>-47435500.019353189</v>
      </c>
      <c r="M1140" s="471">
        <f t="shared" si="106"/>
        <v>0.05</v>
      </c>
      <c r="N1140" s="475">
        <f t="shared" si="107"/>
        <v>85742</v>
      </c>
    </row>
    <row r="1141" spans="7:14" ht="11.25" customHeight="1" x14ac:dyDescent="0.3">
      <c r="G1141" s="470"/>
      <c r="H1141" s="470">
        <v>1134</v>
      </c>
      <c r="I1141" s="455">
        <f t="shared" ca="1" si="105"/>
        <v>-47435500.019353189</v>
      </c>
      <c r="J1141" s="455">
        <f t="array" ref="J1141">IFERROR(INDEX('Retirement Calculator'!K:K,MATCH('Lorri 401b'!N1141,'Retirement Calculator'!A:A,0),0),0)</f>
        <v>20282.026119384056</v>
      </c>
      <c r="K1141" s="455">
        <f t="shared" ca="1" si="103"/>
        <v>-197732.42518946904</v>
      </c>
      <c r="L1141" s="455">
        <f t="shared" ca="1" si="104"/>
        <v>-47653514.470662042</v>
      </c>
      <c r="M1141" s="471">
        <f t="shared" si="106"/>
        <v>0.05</v>
      </c>
      <c r="N1141" s="475">
        <f t="shared" si="107"/>
        <v>85773</v>
      </c>
    </row>
    <row r="1142" spans="7:14" ht="11.25" customHeight="1" x14ac:dyDescent="0.3">
      <c r="G1142" s="470"/>
      <c r="H1142" s="470">
        <v>1135</v>
      </c>
      <c r="I1142" s="455">
        <f t="shared" ca="1" si="105"/>
        <v>-47653514.470662042</v>
      </c>
      <c r="J1142" s="455">
        <f t="array" ref="J1142">IFERROR(INDEX('Retirement Calculator'!K:K,MATCH('Lorri 401b'!N1142,'Retirement Calculator'!A:A,0),0),0)</f>
        <v>20282.026119384056</v>
      </c>
      <c r="K1142" s="455">
        <f t="shared" ca="1" si="103"/>
        <v>-198640.81873658925</v>
      </c>
      <c r="L1142" s="455">
        <f t="shared" ca="1" si="104"/>
        <v>-47872437.315518014</v>
      </c>
      <c r="M1142" s="471">
        <f t="shared" si="106"/>
        <v>0.05</v>
      </c>
      <c r="N1142" s="475">
        <f t="shared" si="107"/>
        <v>85803</v>
      </c>
    </row>
    <row r="1143" spans="7:14" ht="11.25" customHeight="1" x14ac:dyDescent="0.3">
      <c r="G1143" s="470"/>
      <c r="H1143" s="470">
        <v>1136</v>
      </c>
      <c r="I1143" s="455">
        <f t="shared" ca="1" si="105"/>
        <v>-47872437.315518014</v>
      </c>
      <c r="J1143" s="455">
        <f t="array" ref="J1143">IFERROR(INDEX('Retirement Calculator'!K:K,MATCH('Lorri 401b'!N1143,'Retirement Calculator'!A:A,0),0),0)</f>
        <v>20282.026119384056</v>
      </c>
      <c r="K1143" s="455">
        <f t="shared" ca="1" si="103"/>
        <v>-199552.99725682248</v>
      </c>
      <c r="L1143" s="455">
        <f t="shared" ca="1" si="104"/>
        <v>-48092272.338894218</v>
      </c>
      <c r="M1143" s="471">
        <f t="shared" si="106"/>
        <v>0.05</v>
      </c>
      <c r="N1143" s="475">
        <f t="shared" si="107"/>
        <v>85834</v>
      </c>
    </row>
    <row r="1144" spans="7:14" ht="11.25" customHeight="1" x14ac:dyDescent="0.3">
      <c r="G1144" s="470"/>
      <c r="H1144" s="470">
        <v>1137</v>
      </c>
      <c r="I1144" s="455">
        <f t="shared" ca="1" si="105"/>
        <v>-48092272.338894218</v>
      </c>
      <c r="J1144" s="455">
        <f t="array" ref="J1144">IFERROR(INDEX('Retirement Calculator'!K:K,MATCH('Lorri 401b'!N1144,'Retirement Calculator'!A:A,0),0),0)</f>
        <v>20282.026119384056</v>
      </c>
      <c r="K1144" s="455">
        <f t="shared" ca="1" si="103"/>
        <v>-200468.97652088999</v>
      </c>
      <c r="L1144" s="455">
        <f t="shared" ca="1" si="104"/>
        <v>-48313023.341534488</v>
      </c>
      <c r="M1144" s="471">
        <f t="shared" si="106"/>
        <v>0.05</v>
      </c>
      <c r="N1144" s="475">
        <f t="shared" si="107"/>
        <v>85865</v>
      </c>
    </row>
    <row r="1145" spans="7:14" ht="11.25" customHeight="1" x14ac:dyDescent="0.3">
      <c r="G1145" s="470"/>
      <c r="H1145" s="470">
        <v>1138</v>
      </c>
      <c r="I1145" s="455">
        <f t="shared" ca="1" si="105"/>
        <v>-48313023.341534488</v>
      </c>
      <c r="J1145" s="455">
        <f t="array" ref="J1145">IFERROR(INDEX('Retirement Calculator'!K:K,MATCH('Lorri 401b'!N1145,'Retirement Calculator'!A:A,0),0),0)</f>
        <v>20282.026119384056</v>
      </c>
      <c r="K1145" s="455">
        <f t="shared" ca="1" si="103"/>
        <v>-201388.77236522446</v>
      </c>
      <c r="L1145" s="455">
        <f t="shared" ca="1" si="104"/>
        <v>-48534694.140019096</v>
      </c>
      <c r="M1145" s="471">
        <f t="shared" si="106"/>
        <v>0.05</v>
      </c>
      <c r="N1145" s="475">
        <f t="shared" si="107"/>
        <v>85893</v>
      </c>
    </row>
    <row r="1146" spans="7:14" ht="11.25" customHeight="1" x14ac:dyDescent="0.3">
      <c r="G1146" s="470"/>
      <c r="H1146" s="470">
        <v>1139</v>
      </c>
      <c r="I1146" s="455">
        <f t="shared" ca="1" si="105"/>
        <v>-48534694.140019096</v>
      </c>
      <c r="J1146" s="455">
        <f t="array" ref="J1146">IFERROR(INDEX('Retirement Calculator'!K:K,MATCH('Lorri 401b'!N1146,'Retirement Calculator'!A:A,0),0),0)</f>
        <v>20282.026119384056</v>
      </c>
      <c r="K1146" s="455">
        <f t="shared" ca="1" si="103"/>
        <v>-202312.40069224365</v>
      </c>
      <c r="L1146" s="455">
        <f t="shared" ca="1" si="104"/>
        <v>-48757288.566830724</v>
      </c>
      <c r="M1146" s="471">
        <f t="shared" si="106"/>
        <v>0.05</v>
      </c>
      <c r="N1146" s="475">
        <f t="shared" si="107"/>
        <v>85924</v>
      </c>
    </row>
    <row r="1147" spans="7:14" ht="11.25" customHeight="1" x14ac:dyDescent="0.3">
      <c r="G1147" s="470"/>
      <c r="H1147" s="470">
        <v>1140</v>
      </c>
      <c r="I1147" s="455">
        <f t="shared" ca="1" si="105"/>
        <v>-48757288.566830724</v>
      </c>
      <c r="J1147" s="455">
        <f t="array" ref="J1147">IFERROR(INDEX('Retirement Calculator'!K:K,MATCH('Lorri 401b'!N1147,'Retirement Calculator'!A:A,0),0),0)</f>
        <v>20282.026119384056</v>
      </c>
      <c r="K1147" s="455">
        <f t="shared" ca="1" si="103"/>
        <v>-203239.87747062545</v>
      </c>
      <c r="L1147" s="455">
        <f t="shared" ca="1" si="104"/>
        <v>-48980810.470420733</v>
      </c>
      <c r="M1147" s="471">
        <f t="shared" si="106"/>
        <v>0.05</v>
      </c>
      <c r="N1147" s="475">
        <f t="shared" si="107"/>
        <v>85954</v>
      </c>
    </row>
    <row r="1148" spans="7:14" ht="11.25" customHeight="1" x14ac:dyDescent="0.3">
      <c r="G1148" s="470"/>
      <c r="H1148" s="470">
        <v>1141</v>
      </c>
      <c r="I1148" s="455">
        <f t="shared" ca="1" si="105"/>
        <v>-48980810.470420733</v>
      </c>
      <c r="J1148" s="455">
        <f t="array" ref="J1148">IFERROR(INDEX('Retirement Calculator'!K:K,MATCH('Lorri 401b'!N1148,'Retirement Calculator'!A:A,0),0),0)</f>
        <v>20282.026119384056</v>
      </c>
      <c r="K1148" s="455">
        <f t="shared" ca="1" si="103"/>
        <v>-204171.2187355838</v>
      </c>
      <c r="L1148" s="455">
        <f t="shared" ca="1" si="104"/>
        <v>-49205263.715275697</v>
      </c>
      <c r="M1148" s="471">
        <f t="shared" si="106"/>
        <v>0.05</v>
      </c>
      <c r="N1148" s="475">
        <f t="shared" si="107"/>
        <v>85985</v>
      </c>
    </row>
    <row r="1149" spans="7:14" ht="11.25" customHeight="1" x14ac:dyDescent="0.3">
      <c r="G1149" s="470"/>
      <c r="H1149" s="470">
        <v>1142</v>
      </c>
      <c r="I1149" s="455">
        <f t="shared" ca="1" si="105"/>
        <v>-49205263.715275697</v>
      </c>
      <c r="J1149" s="455">
        <f t="array" ref="J1149">IFERROR(INDEX('Retirement Calculator'!K:K,MATCH('Lorri 401b'!N1149,'Retirement Calculator'!A:A,0),0),0)</f>
        <v>20282.026119384056</v>
      </c>
      <c r="K1149" s="455">
        <f t="shared" ca="1" si="103"/>
        <v>-205106.44058914616</v>
      </c>
      <c r="L1149" s="455">
        <f t="shared" ca="1" si="104"/>
        <v>-49430652.181984223</v>
      </c>
      <c r="M1149" s="471">
        <f t="shared" si="106"/>
        <v>0.05</v>
      </c>
      <c r="N1149" s="475">
        <f t="shared" si="107"/>
        <v>86015</v>
      </c>
    </row>
    <row r="1150" spans="7:14" ht="11.25" customHeight="1" x14ac:dyDescent="0.3">
      <c r="G1150" s="470"/>
      <c r="H1150" s="470">
        <v>1143</v>
      </c>
      <c r="I1150" s="455">
        <f t="shared" ca="1" si="105"/>
        <v>-49430652.181984223</v>
      </c>
      <c r="J1150" s="455">
        <f t="array" ref="J1150">IFERROR(INDEX('Retirement Calculator'!K:K,MATCH('Lorri 401b'!N1150,'Retirement Calculator'!A:A,0),0),0)</f>
        <v>20282.026119384056</v>
      </c>
      <c r="K1150" s="455">
        <f t="shared" ca="1" si="103"/>
        <v>-206045.55920043169</v>
      </c>
      <c r="L1150" s="455">
        <f t="shared" ca="1" si="104"/>
        <v>-49656979.767304033</v>
      </c>
      <c r="M1150" s="471">
        <f t="shared" si="106"/>
        <v>0.05</v>
      </c>
      <c r="N1150" s="475">
        <f t="shared" si="107"/>
        <v>86046</v>
      </c>
    </row>
    <row r="1151" spans="7:14" ht="11.25" customHeight="1" x14ac:dyDescent="0.3">
      <c r="G1151" s="470"/>
      <c r="H1151" s="470">
        <v>1144</v>
      </c>
      <c r="I1151" s="455">
        <f t="shared" ca="1" si="105"/>
        <v>-49656979.767304033</v>
      </c>
      <c r="J1151" s="455">
        <f t="array" ref="J1151">IFERROR(INDEX('Retirement Calculator'!K:K,MATCH('Lorri 401b'!N1151,'Retirement Calculator'!A:A,0),0),0)</f>
        <v>20282.026119384056</v>
      </c>
      <c r="K1151" s="455">
        <f t="shared" ca="1" si="103"/>
        <v>-206988.5908059309</v>
      </c>
      <c r="L1151" s="455">
        <f t="shared" ca="1" si="104"/>
        <v>-49884250.384229347</v>
      </c>
      <c r="M1151" s="471">
        <f t="shared" si="106"/>
        <v>0.05</v>
      </c>
      <c r="N1151" s="475">
        <f t="shared" si="107"/>
        <v>86077</v>
      </c>
    </row>
    <row r="1152" spans="7:14" ht="11.25" customHeight="1" x14ac:dyDescent="0.3">
      <c r="G1152" s="470"/>
      <c r="H1152" s="470">
        <v>1145</v>
      </c>
      <c r="I1152" s="455">
        <f t="shared" ca="1" si="105"/>
        <v>-49884250.384229347</v>
      </c>
      <c r="J1152" s="455">
        <f t="array" ref="J1152">IFERROR(INDEX('Retirement Calculator'!K:K,MATCH('Lorri 401b'!N1152,'Retirement Calculator'!A:A,0),0),0)</f>
        <v>20282.026119384056</v>
      </c>
      <c r="K1152" s="455">
        <f t="shared" ca="1" si="103"/>
        <v>-207935.55170978638</v>
      </c>
      <c r="L1152" s="455">
        <f t="shared" ca="1" si="104"/>
        <v>-50112467.962058514</v>
      </c>
      <c r="M1152" s="471">
        <f t="shared" si="106"/>
        <v>0.05</v>
      </c>
      <c r="N1152" s="475">
        <f t="shared" si="107"/>
        <v>86107</v>
      </c>
    </row>
    <row r="1153" spans="7:14" ht="11.25" customHeight="1" x14ac:dyDescent="0.3">
      <c r="G1153" s="470"/>
      <c r="H1153" s="470">
        <v>1146</v>
      </c>
      <c r="I1153" s="455">
        <f t="shared" ca="1" si="105"/>
        <v>-50112467.962058514</v>
      </c>
      <c r="J1153" s="455">
        <f t="array" ref="J1153">IFERROR(INDEX('Retirement Calculator'!K:K,MATCH('Lorri 401b'!N1153,'Retirement Calculator'!A:A,0),0),0)</f>
        <v>20282.026119384056</v>
      </c>
      <c r="K1153" s="455">
        <f t="shared" ca="1" si="103"/>
        <v>-208886.45828407456</v>
      </c>
      <c r="L1153" s="455">
        <f t="shared" ca="1" si="104"/>
        <v>-50341636.446461968</v>
      </c>
      <c r="M1153" s="471">
        <f t="shared" si="106"/>
        <v>0.05</v>
      </c>
      <c r="N1153" s="475">
        <f t="shared" si="107"/>
        <v>86138</v>
      </c>
    </row>
    <row r="1154" spans="7:14" ht="11.25" customHeight="1" x14ac:dyDescent="0.3">
      <c r="G1154" s="470"/>
      <c r="H1154" s="470">
        <v>1147</v>
      </c>
      <c r="I1154" s="455">
        <f t="shared" ca="1" si="105"/>
        <v>-50341636.446461968</v>
      </c>
      <c r="J1154" s="455">
        <f t="array" ref="J1154">IFERROR(INDEX('Retirement Calculator'!K:K,MATCH('Lorri 401b'!N1154,'Retirement Calculator'!A:A,0),0),0)</f>
        <v>20282.026119384056</v>
      </c>
      <c r="K1154" s="455">
        <f t="shared" ca="1" si="103"/>
        <v>-209841.32696908896</v>
      </c>
      <c r="L1154" s="455">
        <f t="shared" ca="1" si="104"/>
        <v>-50571759.799550436</v>
      </c>
      <c r="M1154" s="471">
        <f t="shared" si="106"/>
        <v>0.05</v>
      </c>
      <c r="N1154" s="475">
        <f t="shared" si="107"/>
        <v>86168</v>
      </c>
    </row>
    <row r="1155" spans="7:14" ht="11.25" customHeight="1" x14ac:dyDescent="0.3">
      <c r="G1155" s="470"/>
      <c r="H1155" s="470">
        <v>1148</v>
      </c>
      <c r="I1155" s="455">
        <f t="shared" ca="1" si="105"/>
        <v>-50571759.799550436</v>
      </c>
      <c r="J1155" s="455">
        <f t="array" ref="J1155">IFERROR(INDEX('Retirement Calculator'!K:K,MATCH('Lorri 401b'!N1155,'Retirement Calculator'!A:A,0),0),0)</f>
        <v>20282.026119384056</v>
      </c>
      <c r="K1155" s="455">
        <f t="shared" ca="1" si="103"/>
        <v>-210800.17427362423</v>
      </c>
      <c r="L1155" s="455">
        <f t="shared" ca="1" si="104"/>
        <v>-50802841.999943443</v>
      </c>
      <c r="M1155" s="471">
        <f t="shared" si="106"/>
        <v>0.05</v>
      </c>
      <c r="N1155" s="475">
        <f t="shared" si="107"/>
        <v>86199</v>
      </c>
    </row>
    <row r="1156" spans="7:14" ht="11.25" customHeight="1" x14ac:dyDescent="0.3">
      <c r="G1156" s="470"/>
      <c r="H1156" s="470">
        <v>1149</v>
      </c>
      <c r="I1156" s="455">
        <f t="shared" ca="1" si="105"/>
        <v>-50802841.999943443</v>
      </c>
      <c r="J1156" s="455">
        <f t="array" ref="J1156">IFERROR(INDEX('Retirement Calculator'!K:K,MATCH('Lorri 401b'!N1156,'Retirement Calculator'!A:A,0),0),0)</f>
        <v>20282.026119384056</v>
      </c>
      <c r="K1156" s="455">
        <f t="shared" ca="1" si="103"/>
        <v>-211763.01677526176</v>
      </c>
      <c r="L1156" s="455">
        <f t="shared" ca="1" si="104"/>
        <v>-51034887.042838089</v>
      </c>
      <c r="M1156" s="471">
        <f t="shared" si="106"/>
        <v>0.05</v>
      </c>
      <c r="N1156" s="475">
        <f t="shared" si="107"/>
        <v>86230</v>
      </c>
    </row>
    <row r="1157" spans="7:14" ht="11.25" customHeight="1" x14ac:dyDescent="0.3">
      <c r="G1157" s="470"/>
      <c r="H1157" s="470">
        <v>1150</v>
      </c>
      <c r="I1157" s="455">
        <f t="shared" ca="1" si="105"/>
        <v>-51034887.042838089</v>
      </c>
      <c r="J1157" s="455">
        <f t="array" ref="J1157">IFERROR(INDEX('Retirement Calculator'!K:K,MATCH('Lorri 401b'!N1157,'Retirement Calculator'!A:A,0),0),0)</f>
        <v>20282.026119384056</v>
      </c>
      <c r="K1157" s="455">
        <f t="shared" ca="1" si="103"/>
        <v>-212729.87112065611</v>
      </c>
      <c r="L1157" s="455">
        <f t="shared" ca="1" si="104"/>
        <v>-51267898.940078124</v>
      </c>
      <c r="M1157" s="471">
        <f t="shared" si="106"/>
        <v>0.05</v>
      </c>
      <c r="N1157" s="475">
        <f t="shared" si="107"/>
        <v>86259</v>
      </c>
    </row>
    <row r="1158" spans="7:14" ht="11.25" customHeight="1" x14ac:dyDescent="0.3">
      <c r="G1158" s="470"/>
      <c r="H1158" s="470">
        <v>1151</v>
      </c>
      <c r="I1158" s="455">
        <f t="shared" ca="1" si="105"/>
        <v>-51267898.940078124</v>
      </c>
      <c r="J1158" s="455">
        <f t="array" ref="J1158">IFERROR(INDEX('Retirement Calculator'!K:K,MATCH('Lorri 401b'!N1158,'Retirement Calculator'!A:A,0),0),0)</f>
        <v>20282.026119384056</v>
      </c>
      <c r="K1158" s="455">
        <f t="shared" ca="1" si="103"/>
        <v>-213700.75402582294</v>
      </c>
      <c r="L1158" s="455">
        <f t="shared" ca="1" si="104"/>
        <v>-51501881.72022333</v>
      </c>
      <c r="M1158" s="471">
        <f t="shared" si="106"/>
        <v>0.05</v>
      </c>
      <c r="N1158" s="475">
        <f t="shared" si="107"/>
        <v>86290</v>
      </c>
    </row>
    <row r="1159" spans="7:14" ht="11.25" customHeight="1" x14ac:dyDescent="0.3">
      <c r="G1159" s="470"/>
      <c r="H1159" s="470">
        <v>1152</v>
      </c>
      <c r="I1159" s="455">
        <f t="shared" ca="1" si="105"/>
        <v>-51501881.72022333</v>
      </c>
      <c r="J1159" s="455">
        <f t="array" ref="J1159">IFERROR(INDEX('Retirement Calculator'!K:K,MATCH('Lorri 401b'!N1159,'Retirement Calculator'!A:A,0),0),0)</f>
        <v>20282.026119384056</v>
      </c>
      <c r="K1159" s="455">
        <f t="shared" ca="1" si="103"/>
        <v>-214675.68227642795</v>
      </c>
      <c r="L1159" s="455">
        <f t="shared" ca="1" si="104"/>
        <v>-51736839.428619139</v>
      </c>
      <c r="M1159" s="471">
        <f t="shared" si="106"/>
        <v>0.05</v>
      </c>
      <c r="N1159" s="475">
        <f t="shared" si="107"/>
        <v>86320</v>
      </c>
    </row>
    <row r="1160" spans="7:14" ht="11.25" customHeight="1" x14ac:dyDescent="0.3">
      <c r="G1160" s="470"/>
      <c r="H1160" s="470">
        <v>1153</v>
      </c>
      <c r="I1160" s="455">
        <f t="shared" ca="1" si="105"/>
        <v>-51736839.428619139</v>
      </c>
      <c r="J1160" s="455">
        <f t="array" ref="J1160">IFERROR(INDEX('Retirement Calculator'!K:K,MATCH('Lorri 401b'!N1160,'Retirement Calculator'!A:A,0),0),0)</f>
        <v>20282.026119384056</v>
      </c>
      <c r="K1160" s="455">
        <f t="shared" ca="1" si="103"/>
        <v>-215654.67272807716</v>
      </c>
      <c r="L1160" s="455">
        <f t="shared" ca="1" si="104"/>
        <v>-51972776.127466597</v>
      </c>
      <c r="M1160" s="471">
        <f t="shared" si="106"/>
        <v>0.05</v>
      </c>
      <c r="N1160" s="475">
        <f t="shared" si="107"/>
        <v>86351</v>
      </c>
    </row>
    <row r="1161" spans="7:14" ht="11.25" customHeight="1" x14ac:dyDescent="0.3">
      <c r="G1161" s="470"/>
      <c r="H1161" s="470">
        <v>1154</v>
      </c>
      <c r="I1161" s="455">
        <f t="shared" ca="1" si="105"/>
        <v>-51972776.127466597</v>
      </c>
      <c r="J1161" s="455">
        <f t="array" ref="J1161">IFERROR(INDEX('Retirement Calculator'!K:K,MATCH('Lorri 401b'!N1161,'Retirement Calculator'!A:A,0),0),0)</f>
        <v>20282.026119384056</v>
      </c>
      <c r="K1161" s="455">
        <f t="shared" ca="1" si="103"/>
        <v>-216637.74230660824</v>
      </c>
      <c r="L1161" s="455">
        <f t="shared" ca="1" si="104"/>
        <v>-52209695.895892583</v>
      </c>
      <c r="M1161" s="471">
        <f t="shared" si="106"/>
        <v>0.05</v>
      </c>
      <c r="N1161" s="475">
        <f t="shared" si="107"/>
        <v>86381</v>
      </c>
    </row>
    <row r="1162" spans="7:14" ht="11.25" customHeight="1" x14ac:dyDescent="0.3">
      <c r="G1162" s="470"/>
      <c r="H1162" s="470">
        <v>1155</v>
      </c>
      <c r="I1162" s="455">
        <f t="shared" ca="1" si="105"/>
        <v>-52209695.895892583</v>
      </c>
      <c r="J1162" s="455">
        <f t="array" ref="J1162">IFERROR(INDEX('Retirement Calculator'!K:K,MATCH('Lorri 401b'!N1162,'Retirement Calculator'!A:A,0),0),0)</f>
        <v>20282.026119384056</v>
      </c>
      <c r="K1162" s="455">
        <f t="shared" ca="1" si="103"/>
        <v>-217624.90800838318</v>
      </c>
      <c r="L1162" s="455">
        <f t="shared" ca="1" si="104"/>
        <v>-52447602.830020346</v>
      </c>
      <c r="M1162" s="471">
        <f t="shared" si="106"/>
        <v>0.05</v>
      </c>
      <c r="N1162" s="475">
        <f t="shared" si="107"/>
        <v>86412</v>
      </c>
    </row>
    <row r="1163" spans="7:14" ht="11.25" customHeight="1" x14ac:dyDescent="0.3">
      <c r="G1163" s="470"/>
      <c r="H1163" s="470">
        <v>1156</v>
      </c>
      <c r="I1163" s="455">
        <f t="shared" ca="1" si="105"/>
        <v>-52447602.830020346</v>
      </c>
      <c r="J1163" s="455">
        <f t="array" ref="J1163">IFERROR(INDEX('Retirement Calculator'!K:K,MATCH('Lorri 401b'!N1163,'Retirement Calculator'!A:A,0),0),0)</f>
        <v>20282.026119384056</v>
      </c>
      <c r="K1163" s="455">
        <f t="shared" ca="1" si="103"/>
        <v>-218616.18690058219</v>
      </c>
      <c r="L1163" s="455">
        <f t="shared" ca="1" si="104"/>
        <v>-52686501.043040313</v>
      </c>
      <c r="M1163" s="471">
        <f t="shared" si="106"/>
        <v>0.05</v>
      </c>
      <c r="N1163" s="475">
        <f t="shared" si="107"/>
        <v>86443</v>
      </c>
    </row>
    <row r="1164" spans="7:14" ht="11.25" customHeight="1" x14ac:dyDescent="0.3">
      <c r="G1164" s="470"/>
      <c r="H1164" s="470">
        <v>1157</v>
      </c>
      <c r="I1164" s="455">
        <f t="shared" ca="1" si="105"/>
        <v>-52686501.043040313</v>
      </c>
      <c r="J1164" s="455">
        <f t="array" ref="J1164">IFERROR(INDEX('Retirement Calculator'!K:K,MATCH('Lorri 401b'!N1164,'Retirement Calculator'!A:A,0),0),0)</f>
        <v>20282.026119384056</v>
      </c>
      <c r="K1164" s="455">
        <f t="shared" ca="1" si="103"/>
        <v>-219611.59612149873</v>
      </c>
      <c r="L1164" s="455">
        <f t="shared" ca="1" si="104"/>
        <v>-52926394.665281191</v>
      </c>
      <c r="M1164" s="471">
        <f t="shared" si="106"/>
        <v>0.05</v>
      </c>
      <c r="N1164" s="475">
        <f t="shared" si="107"/>
        <v>86473</v>
      </c>
    </row>
    <row r="1165" spans="7:14" ht="11.25" customHeight="1" x14ac:dyDescent="0.3">
      <c r="G1165" s="470"/>
      <c r="H1165" s="470">
        <v>1158</v>
      </c>
      <c r="I1165" s="455">
        <f t="shared" ca="1" si="105"/>
        <v>-52926394.665281191</v>
      </c>
      <c r="J1165" s="455">
        <f t="array" ref="J1165">IFERROR(INDEX('Retirement Calculator'!K:K,MATCH('Lorri 401b'!N1165,'Retirement Calculator'!A:A,0),0),0)</f>
        <v>20282.026119384056</v>
      </c>
      <c r="K1165" s="455">
        <f t="shared" ca="1" si="103"/>
        <v>-220611.15288083575</v>
      </c>
      <c r="L1165" s="455">
        <f t="shared" ca="1" si="104"/>
        <v>-53167287.844281405</v>
      </c>
      <c r="M1165" s="471">
        <f t="shared" si="106"/>
        <v>0.05</v>
      </c>
      <c r="N1165" s="475">
        <f t="shared" si="107"/>
        <v>86504</v>
      </c>
    </row>
    <row r="1166" spans="7:14" ht="11.25" customHeight="1" x14ac:dyDescent="0.3">
      <c r="G1166" s="470"/>
      <c r="H1166" s="470">
        <v>1159</v>
      </c>
      <c r="I1166" s="455">
        <f t="shared" ca="1" si="105"/>
        <v>-53167287.844281405</v>
      </c>
      <c r="J1166" s="455">
        <f t="array" ref="J1166">IFERROR(INDEX('Retirement Calculator'!K:K,MATCH('Lorri 401b'!N1166,'Retirement Calculator'!A:A,0),0),0)</f>
        <v>20282.026119384056</v>
      </c>
      <c r="K1166" s="455">
        <f t="shared" ca="1" si="103"/>
        <v>-221614.87446000328</v>
      </c>
      <c r="L1166" s="455">
        <f t="shared" ca="1" si="104"/>
        <v>-53409184.744860791</v>
      </c>
      <c r="M1166" s="471">
        <f t="shared" si="106"/>
        <v>0.05</v>
      </c>
      <c r="N1166" s="475">
        <f t="shared" si="107"/>
        <v>86534</v>
      </c>
    </row>
    <row r="1167" spans="7:14" ht="11.25" customHeight="1" x14ac:dyDescent="0.3">
      <c r="G1167" s="470"/>
      <c r="H1167" s="470">
        <v>1160</v>
      </c>
      <c r="I1167" s="455">
        <f t="shared" ca="1" si="105"/>
        <v>-53409184.744860791</v>
      </c>
      <c r="J1167" s="455">
        <f t="array" ref="J1167">IFERROR(INDEX('Retirement Calculator'!K:K,MATCH('Lorri 401b'!N1167,'Retirement Calculator'!A:A,0),0),0)</f>
        <v>20282.026119384056</v>
      </c>
      <c r="K1167" s="455">
        <f t="shared" ca="1" si="103"/>
        <v>-222622.77821241738</v>
      </c>
      <c r="L1167" s="455">
        <f t="shared" ca="1" si="104"/>
        <v>-53652089.549192593</v>
      </c>
      <c r="M1167" s="471">
        <f t="shared" si="106"/>
        <v>0.05</v>
      </c>
      <c r="N1167" s="475">
        <f t="shared" si="107"/>
        <v>86565</v>
      </c>
    </row>
    <row r="1168" spans="7:14" ht="11.25" customHeight="1" x14ac:dyDescent="0.3">
      <c r="G1168" s="470"/>
      <c r="H1168" s="470">
        <v>1161</v>
      </c>
      <c r="I1168" s="455">
        <f t="shared" ca="1" si="105"/>
        <v>-53652089.549192593</v>
      </c>
      <c r="J1168" s="455">
        <f t="array" ref="J1168">IFERROR(INDEX('Retirement Calculator'!K:K,MATCH('Lorri 401b'!N1168,'Retirement Calculator'!A:A,0),0),0)</f>
        <v>20282.026119384056</v>
      </c>
      <c r="K1168" s="455">
        <f t="shared" ca="1" si="103"/>
        <v>-223634.88156379989</v>
      </c>
      <c r="L1168" s="455">
        <f t="shared" ca="1" si="104"/>
        <v>-53896006.456875771</v>
      </c>
      <c r="M1168" s="471">
        <f t="shared" si="106"/>
        <v>0.05</v>
      </c>
      <c r="N1168" s="475">
        <f t="shared" si="107"/>
        <v>86596</v>
      </c>
    </row>
    <row r="1169" spans="7:14" ht="11.25" customHeight="1" x14ac:dyDescent="0.3">
      <c r="G1169" s="470"/>
      <c r="H1169" s="470">
        <v>1162</v>
      </c>
      <c r="I1169" s="455">
        <f t="shared" ca="1" si="105"/>
        <v>-53896006.456875771</v>
      </c>
      <c r="J1169" s="455">
        <f t="array" ref="J1169">IFERROR(INDEX('Retirement Calculator'!K:K,MATCH('Lorri 401b'!N1169,'Retirement Calculator'!A:A,0),0),0)</f>
        <v>0</v>
      </c>
      <c r="K1169" s="455">
        <f t="shared" ca="1" si="103"/>
        <v>-224566.69357031572</v>
      </c>
      <c r="L1169" s="455">
        <f t="shared" ca="1" si="104"/>
        <v>-54120573.150446087</v>
      </c>
      <c r="M1169" s="471">
        <f t="shared" si="106"/>
        <v>0.05</v>
      </c>
      <c r="N1169" s="475">
        <f t="shared" si="107"/>
        <v>86624</v>
      </c>
    </row>
    <row r="1170" spans="7:14" ht="11.25" customHeight="1" x14ac:dyDescent="0.3">
      <c r="G1170" s="470"/>
      <c r="H1170" s="470">
        <v>1163</v>
      </c>
      <c r="I1170" s="455">
        <f t="shared" ca="1" si="105"/>
        <v>-54120573.150446087</v>
      </c>
      <c r="J1170" s="455">
        <f t="array" ref="J1170">IFERROR(INDEX('Retirement Calculator'!K:K,MATCH('Lorri 401b'!N1170,'Retirement Calculator'!A:A,0),0),0)</f>
        <v>0</v>
      </c>
      <c r="K1170" s="455">
        <f t="shared" ca="1" si="103"/>
        <v>-225502.38812685866</v>
      </c>
      <c r="L1170" s="455">
        <f t="shared" ca="1" si="104"/>
        <v>-54346075.538572945</v>
      </c>
      <c r="M1170" s="471">
        <f t="shared" si="106"/>
        <v>0.05</v>
      </c>
      <c r="N1170" s="475">
        <f t="shared" si="107"/>
        <v>86655</v>
      </c>
    </row>
    <row r="1171" spans="7:14" ht="11.25" customHeight="1" x14ac:dyDescent="0.3">
      <c r="G1171" s="470"/>
      <c r="H1171" s="470">
        <v>1164</v>
      </c>
      <c r="I1171" s="455">
        <f t="shared" ca="1" si="105"/>
        <v>-54346075.538572945</v>
      </c>
      <c r="J1171" s="455">
        <f t="array" ref="J1171">IFERROR(INDEX('Retirement Calculator'!K:K,MATCH('Lorri 401b'!N1171,'Retirement Calculator'!A:A,0),0),0)</f>
        <v>0</v>
      </c>
      <c r="K1171" s="455">
        <f t="shared" ca="1" si="103"/>
        <v>-226441.98141072062</v>
      </c>
      <c r="L1171" s="455">
        <f t="shared" ca="1" si="104"/>
        <v>-54572517.519983664</v>
      </c>
      <c r="M1171" s="471">
        <f t="shared" si="106"/>
        <v>0.05</v>
      </c>
      <c r="N1171" s="475">
        <f t="shared" si="107"/>
        <v>86685</v>
      </c>
    </row>
    <row r="1172" spans="7:14" ht="11.25" customHeight="1" x14ac:dyDescent="0.3">
      <c r="G1172" s="470"/>
      <c r="H1172" s="470">
        <v>1165</v>
      </c>
      <c r="I1172" s="455">
        <f t="shared" ca="1" si="105"/>
        <v>-54572517.519983664</v>
      </c>
      <c r="J1172" s="455">
        <f t="array" ref="J1172">IFERROR(INDEX('Retirement Calculator'!K:K,MATCH('Lorri 401b'!N1172,'Retirement Calculator'!A:A,0),0),0)</f>
        <v>0</v>
      </c>
      <c r="K1172" s="455">
        <f t="shared" ca="1" si="103"/>
        <v>-227385.48966659859</v>
      </c>
      <c r="L1172" s="455">
        <f t="shared" ca="1" si="104"/>
        <v>-54799903.00965026</v>
      </c>
      <c r="M1172" s="471">
        <f t="shared" si="106"/>
        <v>0.05</v>
      </c>
      <c r="N1172" s="475">
        <f t="shared" si="107"/>
        <v>86716</v>
      </c>
    </row>
    <row r="1173" spans="7:14" ht="11.25" customHeight="1" x14ac:dyDescent="0.3">
      <c r="G1173" s="470"/>
      <c r="H1173" s="470">
        <v>1166</v>
      </c>
      <c r="I1173" s="455">
        <f t="shared" ca="1" si="105"/>
        <v>-54799903.00965026</v>
      </c>
      <c r="J1173" s="455">
        <f t="array" ref="J1173">IFERROR(INDEX('Retirement Calculator'!K:K,MATCH('Lorri 401b'!N1173,'Retirement Calculator'!A:A,0),0),0)</f>
        <v>0</v>
      </c>
      <c r="K1173" s="455">
        <f t="shared" ca="1" si="103"/>
        <v>-228332.92920687608</v>
      </c>
      <c r="L1173" s="455">
        <f t="shared" ca="1" si="104"/>
        <v>-55028235.938857138</v>
      </c>
      <c r="M1173" s="471">
        <f t="shared" si="106"/>
        <v>0.05</v>
      </c>
      <c r="N1173" s="475">
        <f t="shared" si="107"/>
        <v>86746</v>
      </c>
    </row>
    <row r="1174" spans="7:14" ht="11.25" customHeight="1" x14ac:dyDescent="0.3">
      <c r="G1174" s="470"/>
      <c r="H1174" s="470">
        <v>1167</v>
      </c>
      <c r="I1174" s="455">
        <f t="shared" ca="1" si="105"/>
        <v>-55028235.938857138</v>
      </c>
      <c r="J1174" s="455">
        <f t="array" ref="J1174">IFERROR(INDEX('Retirement Calculator'!K:K,MATCH('Lorri 401b'!N1174,'Retirement Calculator'!A:A,0),0),0)</f>
        <v>0</v>
      </c>
      <c r="K1174" s="455">
        <f t="shared" ca="1" si="103"/>
        <v>-229284.31641190476</v>
      </c>
      <c r="L1174" s="455">
        <f t="shared" ca="1" si="104"/>
        <v>-55257520.255269043</v>
      </c>
      <c r="M1174" s="471">
        <f t="shared" si="106"/>
        <v>0.05</v>
      </c>
      <c r="N1174" s="475">
        <f t="shared" si="107"/>
        <v>86777</v>
      </c>
    </row>
    <row r="1175" spans="7:14" ht="11.25" customHeight="1" x14ac:dyDescent="0.3">
      <c r="G1175" s="470"/>
      <c r="H1175" s="470">
        <v>1168</v>
      </c>
      <c r="I1175" s="455">
        <f t="shared" ca="1" si="105"/>
        <v>-55257520.255269043</v>
      </c>
      <c r="J1175" s="455">
        <f t="array" ref="J1175">IFERROR(INDEX('Retirement Calculator'!K:K,MATCH('Lorri 401b'!N1175,'Retirement Calculator'!A:A,0),0),0)</f>
        <v>0</v>
      </c>
      <c r="K1175" s="455">
        <f t="shared" ca="1" si="103"/>
        <v>-230239.66773028765</v>
      </c>
      <c r="L1175" s="455">
        <f t="shared" ca="1" si="104"/>
        <v>-55487759.92299933</v>
      </c>
      <c r="M1175" s="471">
        <f t="shared" si="106"/>
        <v>0.05</v>
      </c>
      <c r="N1175" s="475">
        <f t="shared" si="107"/>
        <v>86808</v>
      </c>
    </row>
    <row r="1176" spans="7:14" ht="11.25" customHeight="1" x14ac:dyDescent="0.3">
      <c r="G1176" s="470"/>
      <c r="H1176" s="470">
        <v>1169</v>
      </c>
      <c r="I1176" s="455">
        <f t="shared" ca="1" si="105"/>
        <v>-55487759.92299933</v>
      </c>
      <c r="J1176" s="455">
        <f t="array" ref="J1176">IFERROR(INDEX('Retirement Calculator'!K:K,MATCH('Lorri 401b'!N1176,'Retirement Calculator'!A:A,0),0),0)</f>
        <v>0</v>
      </c>
      <c r="K1176" s="455">
        <f t="shared" ca="1" si="103"/>
        <v>-231198.99967916388</v>
      </c>
      <c r="L1176" s="455">
        <f t="shared" ca="1" si="104"/>
        <v>-55718958.922678493</v>
      </c>
      <c r="M1176" s="471">
        <f t="shared" si="106"/>
        <v>0.05</v>
      </c>
      <c r="N1176" s="475">
        <f t="shared" si="107"/>
        <v>86838</v>
      </c>
    </row>
    <row r="1177" spans="7:14" ht="11.25" customHeight="1" x14ac:dyDescent="0.3">
      <c r="G1177" s="470"/>
      <c r="H1177" s="470">
        <v>1170</v>
      </c>
      <c r="I1177" s="455">
        <f t="shared" ca="1" si="105"/>
        <v>-55718958.922678493</v>
      </c>
      <c r="J1177" s="455">
        <f t="array" ref="J1177">IFERROR(INDEX('Retirement Calculator'!K:K,MATCH('Lorri 401b'!N1177,'Retirement Calculator'!A:A,0),0),0)</f>
        <v>0</v>
      </c>
      <c r="K1177" s="455">
        <f t="shared" ca="1" si="103"/>
        <v>-232162.32884449369</v>
      </c>
      <c r="L1177" s="455">
        <f t="shared" ca="1" si="104"/>
        <v>-55951121.251522988</v>
      </c>
      <c r="M1177" s="471">
        <f t="shared" si="106"/>
        <v>0.05</v>
      </c>
      <c r="N1177" s="475">
        <f t="shared" si="107"/>
        <v>86869</v>
      </c>
    </row>
    <row r="1178" spans="7:14" ht="11.25" customHeight="1" x14ac:dyDescent="0.3">
      <c r="G1178" s="470"/>
      <c r="H1178" s="470">
        <v>1171</v>
      </c>
      <c r="I1178" s="455">
        <f t="shared" ca="1" si="105"/>
        <v>-55951121.251522988</v>
      </c>
      <c r="J1178" s="455">
        <f t="array" ref="J1178">IFERROR(INDEX('Retirement Calculator'!K:K,MATCH('Lorri 401b'!N1178,'Retirement Calculator'!A:A,0),0),0)</f>
        <v>0</v>
      </c>
      <c r="K1178" s="455">
        <f t="shared" ca="1" si="103"/>
        <v>-233129.67188134577</v>
      </c>
      <c r="L1178" s="455">
        <f t="shared" ca="1" si="104"/>
        <v>-56184250.923404336</v>
      </c>
      <c r="M1178" s="471">
        <f t="shared" si="106"/>
        <v>0.05</v>
      </c>
      <c r="N1178" s="475">
        <f t="shared" si="107"/>
        <v>86899</v>
      </c>
    </row>
    <row r="1179" spans="7:14" ht="11.25" customHeight="1" x14ac:dyDescent="0.3">
      <c r="G1179" s="470"/>
      <c r="H1179" s="470">
        <v>1172</v>
      </c>
      <c r="I1179" s="455">
        <f t="shared" ca="1" si="105"/>
        <v>-56184250.923404336</v>
      </c>
      <c r="J1179" s="455">
        <f t="array" ref="J1179">IFERROR(INDEX('Retirement Calculator'!K:K,MATCH('Lorri 401b'!N1179,'Retirement Calculator'!A:A,0),0),0)</f>
        <v>0</v>
      </c>
      <c r="K1179" s="455">
        <f t="shared" ca="1" si="103"/>
        <v>-234101.04551418472</v>
      </c>
      <c r="L1179" s="455">
        <f t="shared" ca="1" si="104"/>
        <v>-56418351.968918517</v>
      </c>
      <c r="M1179" s="471">
        <f t="shared" si="106"/>
        <v>0.05</v>
      </c>
      <c r="N1179" s="475">
        <f t="shared" si="107"/>
        <v>86930</v>
      </c>
    </row>
    <row r="1180" spans="7:14" ht="11.25" customHeight="1" x14ac:dyDescent="0.3">
      <c r="G1180" s="470"/>
      <c r="H1180" s="470">
        <v>1173</v>
      </c>
      <c r="I1180" s="455">
        <f t="shared" ca="1" si="105"/>
        <v>-56418351.968918517</v>
      </c>
      <c r="J1180" s="455">
        <f t="array" ref="J1180">IFERROR(INDEX('Retirement Calculator'!K:K,MATCH('Lorri 401b'!N1180,'Retirement Calculator'!A:A,0),0),0)</f>
        <v>0</v>
      </c>
      <c r="K1180" s="455">
        <f t="shared" ca="1" si="103"/>
        <v>-235076.46653716045</v>
      </c>
      <c r="L1180" s="455">
        <f t="shared" ca="1" si="104"/>
        <v>-56653428.43545568</v>
      </c>
      <c r="M1180" s="471">
        <f t="shared" si="106"/>
        <v>0.05</v>
      </c>
      <c r="N1180" s="475">
        <f t="shared" si="107"/>
        <v>86961</v>
      </c>
    </row>
    <row r="1181" spans="7:14" ht="11.25" customHeight="1" x14ac:dyDescent="0.3">
      <c r="G1181" s="470"/>
      <c r="H1181" s="470">
        <v>1174</v>
      </c>
      <c r="I1181" s="455">
        <f t="shared" ca="1" si="105"/>
        <v>-56653428.43545568</v>
      </c>
      <c r="J1181" s="455">
        <f t="array" ref="J1181">IFERROR(INDEX('Retirement Calculator'!K:K,MATCH('Lorri 401b'!N1181,'Retirement Calculator'!A:A,0),0),0)</f>
        <v>0</v>
      </c>
      <c r="K1181" s="455">
        <f t="shared" ca="1" si="103"/>
        <v>-236055.95181439866</v>
      </c>
      <c r="L1181" s="455">
        <f t="shared" ca="1" si="104"/>
        <v>-56889484.387270078</v>
      </c>
      <c r="M1181" s="471">
        <f t="shared" si="106"/>
        <v>0.05</v>
      </c>
      <c r="N1181" s="475">
        <f t="shared" si="107"/>
        <v>86989</v>
      </c>
    </row>
    <row r="1182" spans="7:14" ht="11.25" customHeight="1" x14ac:dyDescent="0.3">
      <c r="G1182" s="470"/>
      <c r="H1182" s="470">
        <v>1175</v>
      </c>
      <c r="I1182" s="455">
        <f t="shared" ca="1" si="105"/>
        <v>-56889484.387270078</v>
      </c>
      <c r="J1182" s="455">
        <f t="array" ref="J1182">IFERROR(INDEX('Retirement Calculator'!K:K,MATCH('Lorri 401b'!N1182,'Retirement Calculator'!A:A,0),0),0)</f>
        <v>0</v>
      </c>
      <c r="K1182" s="455">
        <f t="shared" ca="1" si="103"/>
        <v>-237039.51828029202</v>
      </c>
      <c r="L1182" s="455">
        <f t="shared" ca="1" si="104"/>
        <v>-57126523.905550368</v>
      </c>
      <c r="M1182" s="471">
        <f t="shared" si="106"/>
        <v>0.05</v>
      </c>
      <c r="N1182" s="475">
        <f t="shared" si="107"/>
        <v>87020</v>
      </c>
    </row>
    <row r="1183" spans="7:14" ht="11.25" customHeight="1" x14ac:dyDescent="0.3">
      <c r="G1183" s="470"/>
      <c r="H1183" s="470">
        <v>1176</v>
      </c>
      <c r="I1183" s="455">
        <f t="shared" ca="1" si="105"/>
        <v>-57126523.905550368</v>
      </c>
      <c r="J1183" s="455">
        <f t="array" ref="J1183">IFERROR(INDEX('Retirement Calculator'!K:K,MATCH('Lorri 401b'!N1183,'Retirement Calculator'!A:A,0),0),0)</f>
        <v>0</v>
      </c>
      <c r="K1183" s="455">
        <f t="shared" ca="1" si="103"/>
        <v>-238027.18293979319</v>
      </c>
      <c r="L1183" s="455">
        <f t="shared" ca="1" si="104"/>
        <v>-57364551.088490158</v>
      </c>
      <c r="M1183" s="471">
        <f t="shared" si="106"/>
        <v>0.05</v>
      </c>
      <c r="N1183" s="475">
        <f t="shared" si="107"/>
        <v>87050</v>
      </c>
    </row>
    <row r="1184" spans="7:14" ht="11.25" customHeight="1" x14ac:dyDescent="0.3">
      <c r="G1184" s="470"/>
      <c r="H1184" s="470">
        <v>1177</v>
      </c>
      <c r="I1184" s="455">
        <f t="shared" ca="1" si="105"/>
        <v>-57364551.088490158</v>
      </c>
      <c r="J1184" s="455">
        <f t="array" ref="J1184">IFERROR(INDEX('Retirement Calculator'!K:K,MATCH('Lorri 401b'!N1184,'Retirement Calculator'!A:A,0),0),0)</f>
        <v>0</v>
      </c>
      <c r="K1184" s="455">
        <f t="shared" ca="1" si="103"/>
        <v>-239018.962868709</v>
      </c>
      <c r="L1184" s="455">
        <f t="shared" ca="1" si="104"/>
        <v>-57603570.051358864</v>
      </c>
      <c r="M1184" s="471">
        <f t="shared" si="106"/>
        <v>0.05</v>
      </c>
      <c r="N1184" s="475">
        <f t="shared" si="107"/>
        <v>87081</v>
      </c>
    </row>
    <row r="1185" spans="7:14" ht="11.25" customHeight="1" x14ac:dyDescent="0.3">
      <c r="G1185" s="470"/>
      <c r="H1185" s="470">
        <v>1178</v>
      </c>
      <c r="I1185" s="455">
        <f t="shared" ca="1" si="105"/>
        <v>-57603570.051358864</v>
      </c>
      <c r="J1185" s="455">
        <f t="array" ref="J1185">IFERROR(INDEX('Retirement Calculator'!K:K,MATCH('Lorri 401b'!N1185,'Retirement Calculator'!A:A,0),0),0)</f>
        <v>0</v>
      </c>
      <c r="K1185" s="455">
        <f t="shared" ca="1" si="103"/>
        <v>-240014.87521399523</v>
      </c>
      <c r="L1185" s="455">
        <f t="shared" ca="1" si="104"/>
        <v>-57843584.926572859</v>
      </c>
      <c r="M1185" s="471">
        <f t="shared" si="106"/>
        <v>0.05</v>
      </c>
      <c r="N1185" s="475">
        <f t="shared" si="107"/>
        <v>87111</v>
      </c>
    </row>
    <row r="1186" spans="7:14" ht="11.25" customHeight="1" x14ac:dyDescent="0.3">
      <c r="G1186" s="470"/>
      <c r="H1186" s="470">
        <v>1179</v>
      </c>
      <c r="I1186" s="455">
        <f t="shared" ca="1" si="105"/>
        <v>-57843584.926572859</v>
      </c>
      <c r="J1186" s="455">
        <f t="array" ref="J1186">IFERROR(INDEX('Retirement Calculator'!K:K,MATCH('Lorri 401b'!N1186,'Retirement Calculator'!A:A,0),0),0)</f>
        <v>0</v>
      </c>
      <c r="K1186" s="455">
        <f t="shared" ca="1" si="103"/>
        <v>-241014.93719405358</v>
      </c>
      <c r="L1186" s="455">
        <f t="shared" ca="1" si="104"/>
        <v>-58084599.863766916</v>
      </c>
      <c r="M1186" s="471">
        <f t="shared" si="106"/>
        <v>0.05</v>
      </c>
      <c r="N1186" s="475">
        <f t="shared" si="107"/>
        <v>87142</v>
      </c>
    </row>
    <row r="1187" spans="7:14" ht="11.25" customHeight="1" x14ac:dyDescent="0.3">
      <c r="G1187" s="470"/>
      <c r="H1187" s="470">
        <v>1180</v>
      </c>
      <c r="I1187" s="455">
        <f t="shared" ca="1" si="105"/>
        <v>-58084599.863766916</v>
      </c>
      <c r="J1187" s="455">
        <f t="array" ref="J1187">IFERROR(INDEX('Retirement Calculator'!K:K,MATCH('Lorri 401b'!N1187,'Retirement Calculator'!A:A,0),0),0)</f>
        <v>0</v>
      </c>
      <c r="K1187" s="455">
        <f t="shared" ca="1" si="103"/>
        <v>-242019.16609902881</v>
      </c>
      <c r="L1187" s="455">
        <f t="shared" ca="1" si="104"/>
        <v>-58326619.029865943</v>
      </c>
      <c r="M1187" s="471">
        <f t="shared" si="106"/>
        <v>0.05</v>
      </c>
      <c r="N1187" s="475">
        <f t="shared" si="107"/>
        <v>87173</v>
      </c>
    </row>
    <row r="1188" spans="7:14" ht="11.25" customHeight="1" x14ac:dyDescent="0.3">
      <c r="G1188" s="470"/>
      <c r="H1188" s="470">
        <v>1181</v>
      </c>
      <c r="I1188" s="455">
        <f t="shared" ca="1" si="105"/>
        <v>-58326619.029865943</v>
      </c>
      <c r="J1188" s="455">
        <f t="array" ref="J1188">IFERROR(INDEX('Retirement Calculator'!K:K,MATCH('Lorri 401b'!N1188,'Retirement Calculator'!A:A,0),0),0)</f>
        <v>0</v>
      </c>
      <c r="K1188" s="455">
        <f t="shared" ca="1" si="103"/>
        <v>-243027.57929110806</v>
      </c>
      <c r="L1188" s="455">
        <f t="shared" ca="1" si="104"/>
        <v>-58569646.609157048</v>
      </c>
      <c r="M1188" s="471">
        <f t="shared" si="106"/>
        <v>0.05</v>
      </c>
      <c r="N1188" s="475">
        <f t="shared" si="107"/>
        <v>87203</v>
      </c>
    </row>
    <row r="1189" spans="7:14" ht="11.25" customHeight="1" x14ac:dyDescent="0.3">
      <c r="G1189" s="470"/>
      <c r="H1189" s="470">
        <v>1182</v>
      </c>
      <c r="I1189" s="455">
        <f t="shared" ca="1" si="105"/>
        <v>-58569646.609157048</v>
      </c>
      <c r="J1189" s="455">
        <f t="array" ref="J1189">IFERROR(INDEX('Retirement Calculator'!K:K,MATCH('Lorri 401b'!N1189,'Retirement Calculator'!A:A,0),0),0)</f>
        <v>0</v>
      </c>
      <c r="K1189" s="455">
        <f t="shared" ca="1" si="103"/>
        <v>-244040.19420482105</v>
      </c>
      <c r="L1189" s="455">
        <f t="shared" ca="1" si="104"/>
        <v>-58813686.80336187</v>
      </c>
      <c r="M1189" s="471">
        <f t="shared" si="106"/>
        <v>0.05</v>
      </c>
      <c r="N1189" s="475">
        <f t="shared" si="107"/>
        <v>87234</v>
      </c>
    </row>
    <row r="1190" spans="7:14" ht="11.25" customHeight="1" x14ac:dyDescent="0.3">
      <c r="G1190" s="470"/>
      <c r="H1190" s="470">
        <v>1183</v>
      </c>
      <c r="I1190" s="455">
        <f t="shared" ca="1" si="105"/>
        <v>-58813686.80336187</v>
      </c>
      <c r="J1190" s="455">
        <f t="array" ref="J1190">IFERROR(INDEX('Retirement Calculator'!K:K,MATCH('Lorri 401b'!N1190,'Retirement Calculator'!A:A,0),0),0)</f>
        <v>0</v>
      </c>
      <c r="K1190" s="455">
        <f t="shared" ca="1" si="103"/>
        <v>-245057.02834734111</v>
      </c>
      <c r="L1190" s="455">
        <f t="shared" ca="1" si="104"/>
        <v>-59058743.831709214</v>
      </c>
      <c r="M1190" s="471">
        <f t="shared" si="106"/>
        <v>0.05</v>
      </c>
      <c r="N1190" s="475">
        <f t="shared" si="107"/>
        <v>87264</v>
      </c>
    </row>
    <row r="1191" spans="7:14" ht="11.25" customHeight="1" x14ac:dyDescent="0.3">
      <c r="G1191" s="470"/>
      <c r="H1191" s="470">
        <v>1184</v>
      </c>
      <c r="I1191" s="455">
        <f t="shared" ca="1" si="105"/>
        <v>-59058743.831709214</v>
      </c>
      <c r="J1191" s="455">
        <f t="array" ref="J1191">IFERROR(INDEX('Retirement Calculator'!K:K,MATCH('Lorri 401b'!N1191,'Retirement Calculator'!A:A,0),0),0)</f>
        <v>0</v>
      </c>
      <c r="K1191" s="455">
        <f t="shared" ca="1" si="103"/>
        <v>-246078.09929878841</v>
      </c>
      <c r="L1191" s="455">
        <f t="shared" ca="1" si="104"/>
        <v>-59304821.931008004</v>
      </c>
      <c r="M1191" s="471">
        <f t="shared" si="106"/>
        <v>0.05</v>
      </c>
      <c r="N1191" s="475">
        <f t="shared" si="107"/>
        <v>87295</v>
      </c>
    </row>
    <row r="1192" spans="7:14" ht="11.25" customHeight="1" x14ac:dyDescent="0.3">
      <c r="G1192" s="470"/>
      <c r="H1192" s="470">
        <v>1185</v>
      </c>
      <c r="I1192" s="455">
        <f t="shared" ca="1" si="105"/>
        <v>-59304821.931008004</v>
      </c>
      <c r="J1192" s="455">
        <f t="array" ref="J1192">IFERROR(INDEX('Retirement Calculator'!K:K,MATCH('Lorri 401b'!N1192,'Retirement Calculator'!A:A,0),0),0)</f>
        <v>0</v>
      </c>
      <c r="K1192" s="455">
        <f t="shared" ca="1" si="103"/>
        <v>-247103.42471253333</v>
      </c>
      <c r="L1192" s="455">
        <f t="shared" ca="1" si="104"/>
        <v>-59551925.355720535</v>
      </c>
      <c r="M1192" s="471">
        <f t="shared" si="106"/>
        <v>0.05</v>
      </c>
      <c r="N1192" s="475">
        <f t="shared" si="107"/>
        <v>87326</v>
      </c>
    </row>
    <row r="1193" spans="7:14" ht="11.25" customHeight="1" x14ac:dyDescent="0.3">
      <c r="G1193" s="470"/>
      <c r="H1193" s="470">
        <v>1186</v>
      </c>
      <c r="I1193" s="455">
        <f t="shared" ca="1" si="105"/>
        <v>-59551925.355720535</v>
      </c>
      <c r="J1193" s="455">
        <f t="array" ref="J1193">IFERROR(INDEX('Retirement Calculator'!K:K,MATCH('Lorri 401b'!N1193,'Retirement Calculator'!A:A,0),0),0)</f>
        <v>0</v>
      </c>
      <c r="K1193" s="455">
        <f t="shared" ca="1" si="103"/>
        <v>-248133.02231550225</v>
      </c>
      <c r="L1193" s="455">
        <f t="shared" ca="1" si="104"/>
        <v>-59800058.378036037</v>
      </c>
      <c r="M1193" s="471">
        <f t="shared" si="106"/>
        <v>0.05</v>
      </c>
      <c r="N1193" s="475">
        <f t="shared" si="107"/>
        <v>87354</v>
      </c>
    </row>
    <row r="1194" spans="7:14" ht="11.25" customHeight="1" x14ac:dyDescent="0.3">
      <c r="G1194" s="470"/>
      <c r="H1194" s="470">
        <v>1187</v>
      </c>
      <c r="I1194" s="455">
        <f t="shared" ca="1" si="105"/>
        <v>-59800058.378036037</v>
      </c>
      <c r="J1194" s="455">
        <f t="array" ref="J1194">IFERROR(INDEX('Retirement Calculator'!K:K,MATCH('Lorri 401b'!N1194,'Retirement Calculator'!A:A,0),0),0)</f>
        <v>0</v>
      </c>
      <c r="K1194" s="455">
        <f t="shared" ca="1" si="103"/>
        <v>-249166.90990848347</v>
      </c>
      <c r="L1194" s="455">
        <f t="shared" ca="1" si="104"/>
        <v>-60049225.287944518</v>
      </c>
      <c r="M1194" s="471">
        <f t="shared" si="106"/>
        <v>0.05</v>
      </c>
      <c r="N1194" s="475">
        <f t="shared" si="107"/>
        <v>87385</v>
      </c>
    </row>
    <row r="1195" spans="7:14" ht="11.25" customHeight="1" x14ac:dyDescent="0.3">
      <c r="G1195" s="470"/>
      <c r="H1195" s="470">
        <v>1188</v>
      </c>
      <c r="I1195" s="455">
        <f t="shared" ca="1" si="105"/>
        <v>-60049225.287944518</v>
      </c>
      <c r="J1195" s="455">
        <f t="array" ref="J1195">IFERROR(INDEX('Retirement Calculator'!K:K,MATCH('Lorri 401b'!N1195,'Retirement Calculator'!A:A,0),0),0)</f>
        <v>0</v>
      </c>
      <c r="K1195" s="455">
        <f t="shared" ca="1" si="103"/>
        <v>-250205.10536643548</v>
      </c>
      <c r="L1195" s="455">
        <f t="shared" ca="1" si="104"/>
        <v>-60299430.393310957</v>
      </c>
      <c r="M1195" s="471">
        <f t="shared" si="106"/>
        <v>0.05</v>
      </c>
      <c r="N1195" s="475">
        <f t="shared" si="107"/>
        <v>87415</v>
      </c>
    </row>
    <row r="1196" spans="7:14" ht="11.25" customHeight="1" x14ac:dyDescent="0.3">
      <c r="G1196" s="470"/>
      <c r="H1196" s="470">
        <v>1189</v>
      </c>
      <c r="I1196" s="455">
        <f t="shared" ca="1" si="105"/>
        <v>-60299430.393310957</v>
      </c>
      <c r="J1196" s="455">
        <f t="array" ref="J1196">IFERROR(INDEX('Retirement Calculator'!K:K,MATCH('Lorri 401b'!N1196,'Retirement Calculator'!A:A,0),0),0)</f>
        <v>0</v>
      </c>
      <c r="K1196" s="455">
        <f t="shared" ca="1" si="103"/>
        <v>-251247.62663879566</v>
      </c>
      <c r="L1196" s="455">
        <f t="shared" ca="1" si="104"/>
        <v>-60550678.019949749</v>
      </c>
      <c r="M1196" s="471">
        <f t="shared" si="106"/>
        <v>0.05</v>
      </c>
      <c r="N1196" s="475">
        <f t="shared" si="107"/>
        <v>87446</v>
      </c>
    </row>
    <row r="1197" spans="7:14" ht="11.25" customHeight="1" x14ac:dyDescent="0.3">
      <c r="G1197" s="470"/>
      <c r="H1197" s="470">
        <v>1190</v>
      </c>
      <c r="I1197" s="455">
        <f t="shared" ca="1" si="105"/>
        <v>-60550678.019949749</v>
      </c>
      <c r="J1197" s="455">
        <f t="array" ref="J1197">IFERROR(INDEX('Retirement Calculator'!K:K,MATCH('Lorri 401b'!N1197,'Retirement Calculator'!A:A,0),0),0)</f>
        <v>0</v>
      </c>
      <c r="K1197" s="455">
        <f t="shared" ca="1" si="103"/>
        <v>-252294.49174979064</v>
      </c>
      <c r="L1197" s="455">
        <f t="shared" ca="1" si="104"/>
        <v>-60802972.511699542</v>
      </c>
      <c r="M1197" s="471">
        <f t="shared" si="106"/>
        <v>0.05</v>
      </c>
      <c r="N1197" s="475">
        <f t="shared" si="107"/>
        <v>87476</v>
      </c>
    </row>
    <row r="1198" spans="7:14" ht="11.25" customHeight="1" x14ac:dyDescent="0.3">
      <c r="G1198" s="470"/>
      <c r="H1198" s="470">
        <v>1191</v>
      </c>
      <c r="I1198" s="455">
        <f t="shared" ca="1" si="105"/>
        <v>-60802972.511699542</v>
      </c>
      <c r="J1198" s="455">
        <f t="array" ref="J1198">IFERROR(INDEX('Retirement Calculator'!K:K,MATCH('Lorri 401b'!N1198,'Retirement Calculator'!A:A,0),0),0)</f>
        <v>0</v>
      </c>
      <c r="K1198" s="455">
        <f t="shared" ca="1" si="103"/>
        <v>-253345.7187987481</v>
      </c>
      <c r="L1198" s="455">
        <f t="shared" ca="1" si="104"/>
        <v>-61056318.230498292</v>
      </c>
      <c r="M1198" s="471">
        <f t="shared" si="106"/>
        <v>0.05</v>
      </c>
      <c r="N1198" s="475">
        <f t="shared" si="107"/>
        <v>87507</v>
      </c>
    </row>
    <row r="1199" spans="7:14" ht="11.25" customHeight="1" x14ac:dyDescent="0.3">
      <c r="G1199" s="470"/>
      <c r="H1199" s="470">
        <v>1192</v>
      </c>
      <c r="I1199" s="455">
        <f t="shared" ca="1" si="105"/>
        <v>-61056318.230498292</v>
      </c>
      <c r="J1199" s="455">
        <f t="array" ref="J1199">IFERROR(INDEX('Retirement Calculator'!K:K,MATCH('Lorri 401b'!N1199,'Retirement Calculator'!A:A,0),0),0)</f>
        <v>0</v>
      </c>
      <c r="K1199" s="455">
        <f t="shared" ca="1" si="103"/>
        <v>-254401.32596040954</v>
      </c>
      <c r="L1199" s="455">
        <f t="shared" ca="1" si="104"/>
        <v>-61310719.556458704</v>
      </c>
      <c r="M1199" s="471">
        <f t="shared" si="106"/>
        <v>0.05</v>
      </c>
      <c r="N1199" s="475">
        <f t="shared" si="107"/>
        <v>87538</v>
      </c>
    </row>
    <row r="1200" spans="7:14" ht="11.25" customHeight="1" x14ac:dyDescent="0.3">
      <c r="G1200" s="470"/>
      <c r="H1200" s="470">
        <v>1193</v>
      </c>
      <c r="I1200" s="455">
        <f t="shared" ca="1" si="105"/>
        <v>-61310719.556458704</v>
      </c>
      <c r="J1200" s="455">
        <f t="array" ref="J1200">IFERROR(INDEX('Retirement Calculator'!K:K,MATCH('Lorri 401b'!N1200,'Retirement Calculator'!A:A,0),0),0)</f>
        <v>0</v>
      </c>
      <c r="K1200" s="455">
        <f t="shared" ca="1" si="103"/>
        <v>-255461.33148524459</v>
      </c>
      <c r="L1200" s="455">
        <f t="shared" ca="1" si="104"/>
        <v>-61566180.887943946</v>
      </c>
      <c r="M1200" s="471">
        <f t="shared" si="106"/>
        <v>0.05</v>
      </c>
      <c r="N1200" s="475">
        <f t="shared" si="107"/>
        <v>87568</v>
      </c>
    </row>
    <row r="1201" spans="7:14" ht="11.25" customHeight="1" x14ac:dyDescent="0.3">
      <c r="G1201" s="470"/>
      <c r="H1201" s="470">
        <v>1194</v>
      </c>
      <c r="I1201" s="455">
        <f t="shared" ca="1" si="105"/>
        <v>-61566180.887943946</v>
      </c>
      <c r="J1201" s="455">
        <f t="array" ref="J1201">IFERROR(INDEX('Retirement Calculator'!K:K,MATCH('Lorri 401b'!N1201,'Retirement Calculator'!A:A,0),0),0)</f>
        <v>0</v>
      </c>
      <c r="K1201" s="455">
        <f t="shared" ca="1" si="103"/>
        <v>-256525.75369976644</v>
      </c>
      <c r="L1201" s="455">
        <f t="shared" ca="1" si="104"/>
        <v>-61822706.64164371</v>
      </c>
      <c r="M1201" s="471">
        <f t="shared" si="106"/>
        <v>0.05</v>
      </c>
      <c r="N1201" s="475">
        <f t="shared" si="107"/>
        <v>87599</v>
      </c>
    </row>
    <row r="1202" spans="7:14" ht="11.25" customHeight="1" x14ac:dyDescent="0.3">
      <c r="G1202" s="470"/>
      <c r="H1202" s="470">
        <v>1195</v>
      </c>
      <c r="I1202" s="455">
        <f t="shared" ca="1" si="105"/>
        <v>-61822706.64164371</v>
      </c>
      <c r="J1202" s="455">
        <f t="array" ref="J1202">IFERROR(INDEX('Retirement Calculator'!K:K,MATCH('Lorri 401b'!N1202,'Retirement Calculator'!A:A,0),0),0)</f>
        <v>0</v>
      </c>
      <c r="K1202" s="455">
        <f t="shared" ca="1" si="103"/>
        <v>-257594.61100684878</v>
      </c>
      <c r="L1202" s="455">
        <f t="shared" ca="1" si="104"/>
        <v>-62080301.252650559</v>
      </c>
      <c r="M1202" s="471">
        <f t="shared" si="106"/>
        <v>0.05</v>
      </c>
      <c r="N1202" s="475">
        <f t="shared" si="107"/>
        <v>87629</v>
      </c>
    </row>
    <row r="1203" spans="7:14" ht="11.25" customHeight="1" x14ac:dyDescent="0.3">
      <c r="G1203" s="470"/>
      <c r="H1203" s="470">
        <v>1196</v>
      </c>
      <c r="I1203" s="455">
        <f t="shared" ca="1" si="105"/>
        <v>-62080301.252650559</v>
      </c>
      <c r="J1203" s="455">
        <f t="array" ref="J1203">IFERROR(INDEX('Retirement Calculator'!K:K,MATCH('Lorri 401b'!N1203,'Retirement Calculator'!A:A,0),0),0)</f>
        <v>0</v>
      </c>
      <c r="K1203" s="455">
        <f t="shared" ca="1" si="103"/>
        <v>-258667.921886044</v>
      </c>
      <c r="L1203" s="455">
        <f t="shared" ca="1" si="104"/>
        <v>-62338969.174536601</v>
      </c>
      <c r="M1203" s="471">
        <f t="shared" si="106"/>
        <v>0.05</v>
      </c>
      <c r="N1203" s="475">
        <f t="shared" si="107"/>
        <v>87660</v>
      </c>
    </row>
    <row r="1204" spans="7:14" ht="11.25" customHeight="1" x14ac:dyDescent="0.3">
      <c r="G1204" s="470"/>
      <c r="H1204" s="470">
        <v>1197</v>
      </c>
      <c r="I1204" s="455">
        <f t="shared" ca="1" si="105"/>
        <v>-62338969.174536601</v>
      </c>
      <c r="J1204" s="455">
        <f t="array" ref="J1204">IFERROR(INDEX('Retirement Calculator'!K:K,MATCH('Lorri 401b'!N1204,'Retirement Calculator'!A:A,0),0),0)</f>
        <v>0</v>
      </c>
      <c r="K1204" s="455">
        <f t="shared" ca="1" si="103"/>
        <v>-259745.7048939025</v>
      </c>
      <c r="L1204" s="455">
        <f t="shared" ca="1" si="104"/>
        <v>-62598714.879430503</v>
      </c>
      <c r="M1204" s="471">
        <f t="shared" si="106"/>
        <v>0.05</v>
      </c>
      <c r="N1204" s="475">
        <f t="shared" si="107"/>
        <v>87691</v>
      </c>
    </row>
    <row r="1205" spans="7:14" ht="11.25" customHeight="1" x14ac:dyDescent="0.3">
      <c r="G1205" s="470"/>
      <c r="H1205" s="470">
        <v>1198</v>
      </c>
      <c r="I1205" s="455">
        <f t="shared" ca="1" si="105"/>
        <v>-62598714.879430503</v>
      </c>
      <c r="J1205" s="455">
        <f t="array" ref="J1205">IFERROR(INDEX('Retirement Calculator'!K:K,MATCH('Lorri 401b'!N1205,'Retirement Calculator'!A:A,0),0),0)</f>
        <v>0</v>
      </c>
      <c r="K1205" s="455">
        <f t="shared" ca="1" si="103"/>
        <v>-260827.97866429377</v>
      </c>
      <c r="L1205" s="455">
        <f t="shared" ca="1" si="104"/>
        <v>-62859542.858094797</v>
      </c>
      <c r="M1205" s="471">
        <f t="shared" si="106"/>
        <v>0.05</v>
      </c>
      <c r="N1205" s="475">
        <f t="shared" si="107"/>
        <v>87720</v>
      </c>
    </row>
    <row r="1206" spans="7:14" ht="11.25" customHeight="1" x14ac:dyDescent="0.3">
      <c r="G1206" s="470"/>
      <c r="H1206" s="470">
        <v>1199</v>
      </c>
      <c r="I1206" s="455">
        <f t="shared" ca="1" si="105"/>
        <v>-62859542.858094797</v>
      </c>
      <c r="J1206" s="455">
        <f t="array" ref="J1206">IFERROR(INDEX('Retirement Calculator'!K:K,MATCH('Lorri 401b'!N1206,'Retirement Calculator'!A:A,0),0),0)</f>
        <v>0</v>
      </c>
      <c r="K1206" s="455">
        <f t="shared" ca="1" si="103"/>
        <v>-261914.76190872831</v>
      </c>
      <c r="L1206" s="455">
        <f t="shared" ca="1" si="104"/>
        <v>-63121457.620003521</v>
      </c>
      <c r="M1206" s="471">
        <f t="shared" si="106"/>
        <v>0.05</v>
      </c>
      <c r="N1206" s="475">
        <f t="shared" si="107"/>
        <v>87751</v>
      </c>
    </row>
    <row r="1207" spans="7:14" ht="11.25" customHeight="1" x14ac:dyDescent="0.3">
      <c r="G1207" s="470"/>
      <c r="H1207" s="470">
        <v>1200</v>
      </c>
      <c r="I1207" s="455">
        <f t="shared" ca="1" si="105"/>
        <v>-63121457.620003521</v>
      </c>
      <c r="J1207" s="455">
        <f t="array" ref="J1207">IFERROR(INDEX('Retirement Calculator'!K:K,MATCH('Lorri 401b'!N1207,'Retirement Calculator'!A:A,0),0),0)</f>
        <v>0</v>
      </c>
      <c r="K1207" s="455">
        <f t="shared" ca="1" si="103"/>
        <v>-263006.07341668132</v>
      </c>
      <c r="L1207" s="455">
        <f t="shared" ca="1" si="104"/>
        <v>-63384463.693420202</v>
      </c>
      <c r="M1207" s="471">
        <f t="shared" si="106"/>
        <v>0.05</v>
      </c>
      <c r="N1207" s="475">
        <f t="shared" si="107"/>
        <v>87781</v>
      </c>
    </row>
    <row r="1208" spans="7:14" ht="11.25" customHeight="1" x14ac:dyDescent="0.3">
      <c r="G1208" s="470"/>
      <c r="H1208" s="470">
        <v>1201</v>
      </c>
      <c r="I1208" s="455">
        <f t="shared" ca="1" si="105"/>
        <v>-63384463.693420202</v>
      </c>
      <c r="J1208" s="455">
        <f t="array" ref="J1208">IFERROR(INDEX('Retirement Calculator'!K:K,MATCH('Lorri 401b'!N1208,'Retirement Calculator'!A:A,0),0),0)</f>
        <v>0</v>
      </c>
      <c r="K1208" s="455">
        <f t="shared" ca="1" si="103"/>
        <v>-264101.93205591751</v>
      </c>
      <c r="L1208" s="455">
        <f t="shared" ca="1" si="104"/>
        <v>-63648565.625476122</v>
      </c>
      <c r="M1208" s="471">
        <f t="shared" si="106"/>
        <v>0.05</v>
      </c>
      <c r="N1208" s="475">
        <f t="shared" si="107"/>
        <v>87812</v>
      </c>
    </row>
    <row r="1209" spans="7:14" ht="11.25" customHeight="1" x14ac:dyDescent="0.3">
      <c r="G1209" s="470"/>
      <c r="H1209" s="470">
        <v>1202</v>
      </c>
      <c r="I1209" s="455">
        <f t="shared" ca="1" si="105"/>
        <v>-63648565.625476122</v>
      </c>
      <c r="J1209" s="455">
        <f t="array" ref="J1209">IFERROR(INDEX('Retirement Calculator'!K:K,MATCH('Lorri 401b'!N1209,'Retirement Calculator'!A:A,0),0),0)</f>
        <v>0</v>
      </c>
      <c r="K1209" s="455">
        <f t="shared" ca="1" si="103"/>
        <v>-265202.35677281715</v>
      </c>
      <c r="L1209" s="455">
        <f t="shared" ca="1" si="104"/>
        <v>-63913767.98224894</v>
      </c>
      <c r="M1209" s="471">
        <f t="shared" si="106"/>
        <v>0.05</v>
      </c>
      <c r="N1209" s="475">
        <f t="shared" si="107"/>
        <v>87842</v>
      </c>
    </row>
    <row r="1210" spans="7:14" ht="11.25" customHeight="1" x14ac:dyDescent="0.3">
      <c r="G1210" s="470"/>
      <c r="H1210" s="470">
        <v>1203</v>
      </c>
      <c r="I1210" s="455">
        <f t="shared" ca="1" si="105"/>
        <v>-63913767.98224894</v>
      </c>
      <c r="J1210" s="455">
        <f t="array" ref="J1210">IFERROR(INDEX('Retirement Calculator'!K:K,MATCH('Lorri 401b'!N1210,'Retirement Calculator'!A:A,0),0),0)</f>
        <v>0</v>
      </c>
      <c r="K1210" s="455">
        <f t="shared" ca="1" si="103"/>
        <v>-266307.36659270391</v>
      </c>
      <c r="L1210" s="455">
        <f t="shared" ca="1" si="104"/>
        <v>-64180075.348841645</v>
      </c>
      <c r="M1210" s="471">
        <f t="shared" si="106"/>
        <v>0.05</v>
      </c>
      <c r="N1210" s="475">
        <f t="shared" si="107"/>
        <v>87873</v>
      </c>
    </row>
    <row r="1211" spans="7:14" ht="11.25" customHeight="1" x14ac:dyDescent="0.3">
      <c r="G1211" s="470"/>
      <c r="H1211" s="470">
        <v>1204</v>
      </c>
      <c r="I1211" s="455">
        <f t="shared" ca="1" si="105"/>
        <v>-64180075.348841645</v>
      </c>
      <c r="J1211" s="455">
        <f t="array" ref="J1211">IFERROR(INDEX('Retirement Calculator'!K:K,MATCH('Lorri 401b'!N1211,'Retirement Calculator'!A:A,0),0),0)</f>
        <v>0</v>
      </c>
      <c r="K1211" s="455">
        <f t="shared" ca="1" si="103"/>
        <v>-267416.98062017356</v>
      </c>
      <c r="L1211" s="455">
        <f t="shared" ca="1" si="104"/>
        <v>-64447492.32946182</v>
      </c>
      <c r="M1211" s="471">
        <f t="shared" si="106"/>
        <v>0.05</v>
      </c>
      <c r="N1211" s="475">
        <f t="shared" si="107"/>
        <v>87904</v>
      </c>
    </row>
    <row r="1212" spans="7:14" ht="11.25" customHeight="1" x14ac:dyDescent="0.3">
      <c r="G1212" s="470"/>
      <c r="H1212" s="470">
        <v>1205</v>
      </c>
      <c r="I1212" s="455">
        <f t="shared" ca="1" si="105"/>
        <v>-64447492.32946182</v>
      </c>
      <c r="J1212" s="455">
        <f t="array" ref="J1212">IFERROR(INDEX('Retirement Calculator'!K:K,MATCH('Lorri 401b'!N1212,'Retirement Calculator'!A:A,0),0),0)</f>
        <v>0</v>
      </c>
      <c r="K1212" s="455">
        <f t="shared" ca="1" si="103"/>
        <v>-268531.21803942422</v>
      </c>
      <c r="L1212" s="455">
        <f t="shared" ca="1" si="104"/>
        <v>-64716023.547501244</v>
      </c>
      <c r="M1212" s="471">
        <f t="shared" si="106"/>
        <v>0.05</v>
      </c>
      <c r="N1212" s="475">
        <f t="shared" si="107"/>
        <v>87934</v>
      </c>
    </row>
    <row r="1213" spans="7:14" ht="11.25" customHeight="1" x14ac:dyDescent="0.3">
      <c r="G1213" s="470"/>
      <c r="H1213" s="470">
        <v>1206</v>
      </c>
      <c r="I1213" s="455">
        <f t="shared" ca="1" si="105"/>
        <v>-64716023.547501244</v>
      </c>
      <c r="J1213" s="455">
        <f t="array" ref="J1213">IFERROR(INDEX('Retirement Calculator'!K:K,MATCH('Lorri 401b'!N1213,'Retirement Calculator'!A:A,0),0),0)</f>
        <v>0</v>
      </c>
      <c r="K1213" s="455">
        <f t="shared" ca="1" si="103"/>
        <v>-269650.09811458853</v>
      </c>
      <c r="L1213" s="455">
        <f t="shared" ca="1" si="104"/>
        <v>-64985673.645615831</v>
      </c>
      <c r="M1213" s="471">
        <f t="shared" si="106"/>
        <v>0.05</v>
      </c>
      <c r="N1213" s="475">
        <f t="shared" si="107"/>
        <v>87965</v>
      </c>
    </row>
    <row r="1214" spans="7:14" ht="11.25" customHeight="1" x14ac:dyDescent="0.3">
      <c r="G1214" s="470"/>
      <c r="H1214" s="470">
        <v>1207</v>
      </c>
      <c r="I1214" s="455">
        <f t="shared" ca="1" si="105"/>
        <v>-64985673.645615831</v>
      </c>
      <c r="J1214" s="455">
        <f t="array" ref="J1214">IFERROR(INDEX('Retirement Calculator'!K:K,MATCH('Lorri 401b'!N1214,'Retirement Calculator'!A:A,0),0),0)</f>
        <v>0</v>
      </c>
      <c r="K1214" s="455">
        <f t="shared" ca="1" si="103"/>
        <v>-270773.64019006595</v>
      </c>
      <c r="L1214" s="455">
        <f t="shared" ca="1" si="104"/>
        <v>-65256447.285805896</v>
      </c>
      <c r="M1214" s="471">
        <f t="shared" si="106"/>
        <v>0.05</v>
      </c>
      <c r="N1214" s="475">
        <f t="shared" si="107"/>
        <v>87995</v>
      </c>
    </row>
    <row r="1215" spans="7:14" ht="11.25" customHeight="1" x14ac:dyDescent="0.3">
      <c r="G1215" s="470"/>
      <c r="H1215" s="470">
        <v>1208</v>
      </c>
      <c r="I1215" s="455">
        <f t="shared" ca="1" si="105"/>
        <v>-65256447.285805896</v>
      </c>
      <c r="J1215" s="455">
        <f t="array" ref="J1215">IFERROR(INDEX('Retirement Calculator'!K:K,MATCH('Lorri 401b'!N1215,'Retirement Calculator'!A:A,0),0),0)</f>
        <v>0</v>
      </c>
      <c r="K1215" s="455">
        <f t="shared" ca="1" si="103"/>
        <v>-271901.86369085789</v>
      </c>
      <c r="L1215" s="455">
        <f t="shared" ca="1" si="104"/>
        <v>-65528349.149496756</v>
      </c>
      <c r="M1215" s="471">
        <f t="shared" si="106"/>
        <v>0.05</v>
      </c>
      <c r="N1215" s="475">
        <f t="shared" si="107"/>
        <v>88026</v>
      </c>
    </row>
    <row r="1216" spans="7:14" ht="11.25" customHeight="1" x14ac:dyDescent="0.3">
      <c r="G1216" s="470"/>
      <c r="H1216" s="470">
        <v>1209</v>
      </c>
      <c r="I1216" s="455">
        <f t="shared" ca="1" si="105"/>
        <v>-65528349.149496756</v>
      </c>
      <c r="J1216" s="455">
        <f t="array" ref="J1216">IFERROR(INDEX('Retirement Calculator'!K:K,MATCH('Lorri 401b'!N1216,'Retirement Calculator'!A:A,0),0),0)</f>
        <v>0</v>
      </c>
      <c r="K1216" s="455">
        <f t="shared" ca="1" si="103"/>
        <v>-273034.78812290315</v>
      </c>
      <c r="L1216" s="455">
        <f t="shared" ca="1" si="104"/>
        <v>-65801383.937619656</v>
      </c>
      <c r="M1216" s="471">
        <f t="shared" si="106"/>
        <v>0.05</v>
      </c>
      <c r="N1216" s="475">
        <f t="shared" si="107"/>
        <v>88057</v>
      </c>
    </row>
    <row r="1217" spans="7:14" ht="11.25" customHeight="1" x14ac:dyDescent="0.3">
      <c r="G1217" s="470"/>
      <c r="H1217" s="470">
        <v>1210</v>
      </c>
      <c r="I1217" s="455">
        <f t="shared" ca="1" si="105"/>
        <v>-65801383.937619656</v>
      </c>
      <c r="J1217" s="455">
        <f t="array" ref="J1217">IFERROR(INDEX('Retirement Calculator'!K:K,MATCH('Lorri 401b'!N1217,'Retirement Calculator'!A:A,0),0),0)</f>
        <v>0</v>
      </c>
      <c r="K1217" s="455">
        <f t="shared" ca="1" si="103"/>
        <v>-274172.43307341525</v>
      </c>
      <c r="L1217" s="455">
        <f t="shared" ca="1" si="104"/>
        <v>-66075556.370693073</v>
      </c>
      <c r="M1217" s="471">
        <f t="shared" si="106"/>
        <v>0.05</v>
      </c>
      <c r="N1217" s="475">
        <f t="shared" si="107"/>
        <v>88085</v>
      </c>
    </row>
    <row r="1218" spans="7:14" ht="11.25" customHeight="1" x14ac:dyDescent="0.3">
      <c r="G1218" s="470"/>
      <c r="H1218" s="470">
        <v>1211</v>
      </c>
      <c r="I1218" s="455">
        <f t="shared" ca="1" si="105"/>
        <v>-66075556.370693073</v>
      </c>
      <c r="J1218" s="455">
        <f t="array" ref="J1218">IFERROR(INDEX('Retirement Calculator'!K:K,MATCH('Lorri 401b'!N1218,'Retirement Calculator'!A:A,0),0),0)</f>
        <v>0</v>
      </c>
      <c r="K1218" s="455">
        <f t="shared" ca="1" si="103"/>
        <v>-275314.81821122114</v>
      </c>
      <c r="L1218" s="455">
        <f t="shared" ca="1" si="104"/>
        <v>-66350871.188904293</v>
      </c>
      <c r="M1218" s="471">
        <f t="shared" si="106"/>
        <v>0.05</v>
      </c>
      <c r="N1218" s="475">
        <f t="shared" si="107"/>
        <v>88116</v>
      </c>
    </row>
    <row r="1219" spans="7:14" ht="11.25" customHeight="1" x14ac:dyDescent="0.3">
      <c r="G1219" s="470"/>
      <c r="H1219" s="470">
        <v>1212</v>
      </c>
      <c r="I1219" s="455">
        <f t="shared" ca="1" si="105"/>
        <v>-66350871.188904293</v>
      </c>
      <c r="J1219" s="455">
        <f t="array" ref="J1219">IFERROR(INDEX('Retirement Calculator'!K:K,MATCH('Lorri 401b'!N1219,'Retirement Calculator'!A:A,0),0),0)</f>
        <v>0</v>
      </c>
      <c r="K1219" s="455">
        <f t="shared" ca="1" si="103"/>
        <v>-276461.96328710119</v>
      </c>
      <c r="L1219" s="455">
        <f t="shared" ca="1" si="104"/>
        <v>-66627333.152191393</v>
      </c>
      <c r="M1219" s="471">
        <f t="shared" si="106"/>
        <v>0.05</v>
      </c>
      <c r="N1219" s="475">
        <f t="shared" si="107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5"/>
        <v>-66627333.152191393</v>
      </c>
      <c r="J1220" s="455">
        <f t="array" ref="J1220">IFERROR(INDEX('Retirement Calculator'!K:K,MATCH('Lorri 401b'!N1220,'Retirement Calculator'!A:A,0),0),0)</f>
        <v>0</v>
      </c>
      <c r="K1220" s="455">
        <f t="shared" ca="1" si="103"/>
        <v>-277613.88813413074</v>
      </c>
      <c r="L1220" s="455">
        <f t="shared" ca="1" si="104"/>
        <v>-66904947.040325522</v>
      </c>
      <c r="M1220" s="471">
        <f t="shared" si="106"/>
        <v>0.05</v>
      </c>
      <c r="N1220" s="475">
        <f t="shared" si="107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5"/>
        <v>-66904947.040325522</v>
      </c>
      <c r="J1221" s="455">
        <f t="array" ref="J1221">IFERROR(INDEX('Retirement Calculator'!K:K,MATCH('Lorri 401b'!N1221,'Retirement Calculator'!A:A,0),0),0)</f>
        <v>0</v>
      </c>
      <c r="K1221" s="455">
        <f t="shared" ca="1" si="103"/>
        <v>-278770.61266802298</v>
      </c>
      <c r="L1221" s="455">
        <f t="shared" ca="1" si="104"/>
        <v>-67183717.652993545</v>
      </c>
      <c r="M1221" s="471">
        <f t="shared" si="106"/>
        <v>0.05</v>
      </c>
      <c r="N1221" s="475">
        <f t="shared" si="107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5"/>
        <v>-67183717.652993545</v>
      </c>
      <c r="J1222" s="455">
        <f t="array" ref="J1222">IFERROR(INDEX('Retirement Calculator'!K:K,MATCH('Lorri 401b'!N1222,'Retirement Calculator'!A:A,0),0),0)</f>
        <v>0</v>
      </c>
      <c r="K1222" s="455">
        <f t="shared" ca="1" si="103"/>
        <v>-279932.15688747307</v>
      </c>
      <c r="L1222" s="455">
        <f t="shared" ca="1" si="104"/>
        <v>-67463649.809881017</v>
      </c>
      <c r="M1222" s="471">
        <f t="shared" si="106"/>
        <v>0.05</v>
      </c>
      <c r="N1222" s="475">
        <f t="shared" si="107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5"/>
        <v>-67463649.809881017</v>
      </c>
      <c r="J1223" s="455">
        <f t="array" ref="J1223">IFERROR(INDEX('Retirement Calculator'!K:K,MATCH('Lorri 401b'!N1223,'Retirement Calculator'!A:A,0),0),0)</f>
        <v>0</v>
      </c>
      <c r="K1223" s="455">
        <f t="shared" ca="1" si="103"/>
        <v>-281098.54087450425</v>
      </c>
      <c r="L1223" s="455">
        <f t="shared" ca="1" si="104"/>
        <v>-67744748.350755528</v>
      </c>
      <c r="M1223" s="471">
        <f t="shared" si="106"/>
        <v>0.05</v>
      </c>
      <c r="N1223" s="475">
        <f t="shared" si="107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5"/>
        <v>-67744748.350755528</v>
      </c>
      <c r="J1224" s="455">
        <f t="array" ref="J1224">IFERROR(INDEX('Retirement Calculator'!K:K,MATCH('Lorri 401b'!N1224,'Retirement Calculator'!A:A,0),0),0)</f>
        <v>0</v>
      </c>
      <c r="K1224" s="455">
        <f t="shared" ca="1" si="103"/>
        <v>-282269.78479481471</v>
      </c>
      <c r="L1224" s="455">
        <f t="shared" ca="1" si="104"/>
        <v>-68027018.135550335</v>
      </c>
      <c r="M1224" s="471">
        <f t="shared" si="106"/>
        <v>0.05</v>
      </c>
      <c r="N1224" s="475">
        <f t="shared" si="107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5"/>
        <v>-68027018.135550335</v>
      </c>
      <c r="J1225" s="455">
        <f t="array" ref="J1225">IFERROR(INDEX('Retirement Calculator'!K:K,MATCH('Lorri 401b'!N1225,'Retirement Calculator'!A:A,0),0),0)</f>
        <v>0</v>
      </c>
      <c r="K1225" s="455">
        <f t="shared" ca="1" si="103"/>
        <v>-283445.90889812639</v>
      </c>
      <c r="L1225" s="455">
        <f t="shared" ca="1" si="104"/>
        <v>-68310464.044448465</v>
      </c>
      <c r="M1225" s="471">
        <f t="shared" si="106"/>
        <v>0.05</v>
      </c>
      <c r="N1225" s="475">
        <f t="shared" si="107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5"/>
        <v>-68310464.044448465</v>
      </c>
      <c r="J1226" s="455">
        <f t="array" ref="J1226">IFERROR(INDEX('Retirement Calculator'!K:K,MATCH('Lorri 401b'!N1226,'Retirement Calculator'!A:A,0),0),0)</f>
        <v>0</v>
      </c>
      <c r="K1226" s="455">
        <f t="shared" ca="1" si="103"/>
        <v>-284626.93351853528</v>
      </c>
      <c r="L1226" s="455">
        <f t="shared" ca="1" si="104"/>
        <v>-68595090.977966994</v>
      </c>
      <c r="M1226" s="471">
        <f t="shared" si="106"/>
        <v>0.05</v>
      </c>
      <c r="N1226" s="475">
        <f t="shared" si="107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5"/>
        <v>-68595090.977966994</v>
      </c>
      <c r="J1227" s="455">
        <f t="array" ref="J1227">IFERROR(INDEX('Retirement Calculator'!K:K,MATCH('Lorri 401b'!N1227,'Retirement Calculator'!A:A,0),0),0)</f>
        <v>0</v>
      </c>
      <c r="K1227" s="455">
        <f t="shared" ca="1" si="103"/>
        <v>-285812.87907486246</v>
      </c>
      <c r="L1227" s="455">
        <f t="shared" ca="1" si="104"/>
        <v>-68880903.857041851</v>
      </c>
      <c r="M1227" s="471">
        <f t="shared" si="106"/>
        <v>0.05</v>
      </c>
      <c r="N1227" s="475">
        <f t="shared" si="107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5"/>
        <v>-68880903.857041851</v>
      </c>
      <c r="J1228" s="455">
        <f t="array" ref="J1228">IFERROR(INDEX('Retirement Calculator'!K:K,MATCH('Lorri 401b'!N1228,'Retirement Calculator'!A:A,0),0),0)</f>
        <v>0</v>
      </c>
      <c r="K1228" s="455">
        <f t="shared" ca="1" si="103"/>
        <v>-287003.7660710077</v>
      </c>
      <c r="L1228" s="455">
        <f t="shared" ca="1" si="104"/>
        <v>-69167907.623112857</v>
      </c>
      <c r="M1228" s="471">
        <f t="shared" si="106"/>
        <v>0.05</v>
      </c>
      <c r="N1228" s="475">
        <f t="shared" si="107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5"/>
        <v>-69167907.623112857</v>
      </c>
      <c r="J1229" s="455">
        <f t="array" ref="J1229">IFERROR(INDEX('Retirement Calculator'!K:K,MATCH('Lorri 401b'!N1229,'Retirement Calculator'!A:A,0),0),0)</f>
        <v>0</v>
      </c>
      <c r="K1229" s="455">
        <f t="shared" ca="1" si="103"/>
        <v>-288199.61509630358</v>
      </c>
      <c r="L1229" s="455">
        <f t="shared" ca="1" si="104"/>
        <v>-69456107.238209158</v>
      </c>
      <c r="M1229" s="471">
        <f t="shared" si="106"/>
        <v>0.05</v>
      </c>
      <c r="N1229" s="475">
        <f t="shared" si="107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5"/>
        <v>-69456107.238209158</v>
      </c>
      <c r="J1230" s="455">
        <f t="array" ref="J1230">IFERROR(INDEX('Retirement Calculator'!K:K,MATCH('Lorri 401b'!N1230,'Retirement Calculator'!A:A,0),0),0)</f>
        <v>0</v>
      </c>
      <c r="K1230" s="455">
        <f t="shared" ca="1" si="103"/>
        <v>-289400.44682587148</v>
      </c>
      <c r="L1230" s="455">
        <f t="shared" ca="1" si="104"/>
        <v>-69745507.685035035</v>
      </c>
      <c r="M1230" s="471">
        <f t="shared" si="106"/>
        <v>0.05</v>
      </c>
      <c r="N1230" s="475">
        <f t="shared" si="107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5"/>
        <v>-69745507.685035035</v>
      </c>
      <c r="J1231" s="455">
        <f t="array" ref="J1231">IFERROR(INDEX('Retirement Calculator'!K:K,MATCH('Lorri 401b'!N1231,'Retirement Calculator'!A:A,0),0),0)</f>
        <v>0</v>
      </c>
      <c r="K1231" s="455">
        <f t="shared" ca="1" si="103"/>
        <v>-290606.28202097933</v>
      </c>
      <c r="L1231" s="455">
        <f t="shared" ca="1" si="104"/>
        <v>-70036113.967056021</v>
      </c>
      <c r="M1231" s="471">
        <f t="shared" si="106"/>
        <v>0.05</v>
      </c>
      <c r="N1231" s="475">
        <f t="shared" si="107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5"/>
        <v>-70036113.967056021</v>
      </c>
      <c r="J1232" s="455">
        <f t="array" ref="J1232">IFERROR(INDEX('Retirement Calculator'!K:K,MATCH('Lorri 401b'!N1232,'Retirement Calculator'!A:A,0),0),0)</f>
        <v>0</v>
      </c>
      <c r="K1232" s="455">
        <f t="shared" ca="1" si="103"/>
        <v>-291817.14152940008</v>
      </c>
      <c r="L1232" s="455">
        <f t="shared" ca="1" si="104"/>
        <v>-70327931.108585417</v>
      </c>
      <c r="M1232" s="471">
        <f t="shared" si="106"/>
        <v>0.05</v>
      </c>
      <c r="N1232" s="475">
        <f t="shared" si="107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5"/>
        <v>-70327931.108585417</v>
      </c>
      <c r="J1233" s="455">
        <f t="array" ref="J1233">IFERROR(INDEX('Retirement Calculator'!K:K,MATCH('Lorri 401b'!N1233,'Retirement Calculator'!A:A,0),0),0)</f>
        <v>0</v>
      </c>
      <c r="K1233" s="455">
        <f t="shared" ca="1" si="103"/>
        <v>-293033.04628577258</v>
      </c>
      <c r="L1233" s="455">
        <f t="shared" ca="1" si="104"/>
        <v>-70620964.154871196</v>
      </c>
      <c r="M1233" s="471">
        <f t="shared" si="106"/>
        <v>0.05</v>
      </c>
      <c r="N1233" s="475">
        <f t="shared" si="107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5"/>
        <v>-70620964.154871196</v>
      </c>
      <c r="J1234" s="455">
        <f t="array" ref="J1234">IFERROR(INDEX('Retirement Calculator'!K:K,MATCH('Lorri 401b'!N1234,'Retirement Calculator'!A:A,0),0),0)</f>
        <v>0</v>
      </c>
      <c r="K1234" s="455">
        <f t="shared" ca="1" si="103"/>
        <v>-294254.01731196331</v>
      </c>
      <c r="L1234" s="455">
        <f t="shared" ca="1" si="104"/>
        <v>-70915218.172183156</v>
      </c>
      <c r="M1234" s="471">
        <f t="shared" si="106"/>
        <v>0.05</v>
      </c>
      <c r="N1234" s="475">
        <f t="shared" si="107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5"/>
        <v>-70915218.172183156</v>
      </c>
      <c r="J1235" s="455">
        <f t="array" ref="J1235">IFERROR(INDEX('Retirement Calculator'!K:K,MATCH('Lorri 401b'!N1235,'Retirement Calculator'!A:A,0),0),0)</f>
        <v>0</v>
      </c>
      <c r="K1235" s="455">
        <f t="shared" ca="1" si="103"/>
        <v>-295480.07571742981</v>
      </c>
      <c r="L1235" s="455">
        <f t="shared" ca="1" si="104"/>
        <v>-71210698.24790059</v>
      </c>
      <c r="M1235" s="471">
        <f t="shared" si="106"/>
        <v>0.05</v>
      </c>
      <c r="N1235" s="475">
        <f t="shared" si="107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5"/>
        <v>-71210698.24790059</v>
      </c>
      <c r="J1236" s="455">
        <f t="array" ref="J1236">IFERROR(INDEX('Retirement Calculator'!K:K,MATCH('Lorri 401b'!N1236,'Retirement Calculator'!A:A,0),0),0)</f>
        <v>0</v>
      </c>
      <c r="K1236" s="455">
        <f t="shared" ca="1" si="103"/>
        <v>-296711.2426995858</v>
      </c>
      <c r="L1236" s="455">
        <f t="shared" ca="1" si="104"/>
        <v>-71507409.490600169</v>
      </c>
      <c r="M1236" s="471">
        <f t="shared" si="106"/>
        <v>0.05</v>
      </c>
      <c r="N1236" s="475">
        <f t="shared" si="107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5"/>
        <v>-71507409.490600169</v>
      </c>
      <c r="J1237" s="455">
        <f t="array" ref="J1237">IFERROR(INDEX('Retirement Calculator'!K:K,MATCH('Lorri 401b'!N1237,'Retirement Calculator'!A:A,0),0),0)</f>
        <v>0</v>
      </c>
      <c r="K1237" s="455">
        <f t="shared" ca="1" si="103"/>
        <v>-297947.53954416735</v>
      </c>
      <c r="L1237" s="455">
        <f t="shared" ca="1" si="104"/>
        <v>-71805357.030144334</v>
      </c>
      <c r="M1237" s="471">
        <f t="shared" si="106"/>
        <v>0.05</v>
      </c>
      <c r="N1237" s="475">
        <f t="shared" si="107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5"/>
        <v>-71805357.030144334</v>
      </c>
      <c r="J1238" s="455">
        <f t="array" ref="J1238">IFERROR(INDEX('Retirement Calculator'!K:K,MATCH('Lorri 401b'!N1238,'Retirement Calculator'!A:A,0),0),0)</f>
        <v>0</v>
      </c>
      <c r="K1238" s="455">
        <f t="shared" ca="1" si="103"/>
        <v>-299188.98762560141</v>
      </c>
      <c r="L1238" s="455">
        <f t="shared" ca="1" si="104"/>
        <v>-72104546.017769933</v>
      </c>
      <c r="M1238" s="471">
        <f t="shared" si="106"/>
        <v>0.05</v>
      </c>
      <c r="N1238" s="475">
        <f t="shared" si="107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5"/>
        <v>-72104546.017769933</v>
      </c>
      <c r="J1239" s="455">
        <f t="array" ref="J1239">IFERROR(INDEX('Retirement Calculator'!K:K,MATCH('Lorri 401b'!N1239,'Retirement Calculator'!A:A,0),0),0)</f>
        <v>0</v>
      </c>
      <c r="K1239" s="455">
        <f t="shared" ca="1" si="103"/>
        <v>-300435.6084073747</v>
      </c>
      <c r="L1239" s="455">
        <f t="shared" ca="1" si="104"/>
        <v>-72404981.626177311</v>
      </c>
      <c r="M1239" s="471">
        <f t="shared" si="106"/>
        <v>0.05</v>
      </c>
      <c r="N1239" s="475">
        <f t="shared" si="107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5"/>
        <v>-72404981.626177311</v>
      </c>
      <c r="J1240" s="455">
        <f t="array" ref="J1240">IFERROR(INDEX('Retirement Calculator'!K:K,MATCH('Lorri 401b'!N1240,'Retirement Calculator'!A:A,0),0),0)</f>
        <v>0</v>
      </c>
      <c r="K1240" s="455">
        <f t="shared" ca="1" si="103"/>
        <v>-301687.42344240547</v>
      </c>
      <c r="L1240" s="455">
        <f t="shared" ca="1" si="104"/>
        <v>-72706669.049619719</v>
      </c>
      <c r="M1240" s="471">
        <f t="shared" si="106"/>
        <v>0.05</v>
      </c>
      <c r="N1240" s="475">
        <f t="shared" si="107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5"/>
        <v>-72706669.049619719</v>
      </c>
      <c r="J1241" s="455">
        <f t="array" ref="J1241">IFERROR(INDEX('Retirement Calculator'!K:K,MATCH('Lorri 401b'!N1241,'Retirement Calculator'!A:A,0),0),0)</f>
        <v>0</v>
      </c>
      <c r="K1241" s="455">
        <f t="shared" ca="1" si="103"/>
        <v>-302944.4543734155</v>
      </c>
      <c r="L1241" s="455">
        <f t="shared" ca="1" si="104"/>
        <v>-73009613.503993139</v>
      </c>
      <c r="M1241" s="471">
        <f t="shared" si="106"/>
        <v>0.05</v>
      </c>
      <c r="N1241" s="475">
        <f t="shared" si="107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5"/>
        <v>-73009613.503993139</v>
      </c>
      <c r="J1242" s="455">
        <f t="array" ref="J1242">IFERROR(INDEX('Retirement Calculator'!K:K,MATCH('Lorri 401b'!N1242,'Retirement Calculator'!A:A,0),0),0)</f>
        <v>0</v>
      </c>
      <c r="K1242" s="455">
        <f t="shared" ca="1" si="103"/>
        <v>-304206.72293330473</v>
      </c>
      <c r="L1242" s="455">
        <f t="shared" ca="1" si="104"/>
        <v>-73313820.226926446</v>
      </c>
      <c r="M1242" s="471">
        <f t="shared" si="106"/>
        <v>0.05</v>
      </c>
      <c r="N1242" s="475">
        <f t="shared" si="107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5"/>
        <v>-73313820.226926446</v>
      </c>
      <c r="J1243" s="455">
        <f t="array" ref="J1243">IFERROR(INDEX('Retirement Calculator'!K:K,MATCH('Lorri 401b'!N1243,'Retirement Calculator'!A:A,0),0),0)</f>
        <v>0</v>
      </c>
      <c r="K1243" s="455">
        <f t="shared" ca="1" si="103"/>
        <v>-305474.25094552687</v>
      </c>
      <c r="L1243" s="455">
        <f t="shared" ca="1" si="104"/>
        <v>-73619294.477871969</v>
      </c>
      <c r="M1243" s="471">
        <f t="shared" si="106"/>
        <v>0.05</v>
      </c>
      <c r="N1243" s="475">
        <f t="shared" si="107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5"/>
        <v>-73619294.477871969</v>
      </c>
      <c r="J1244" s="455">
        <f t="array" ref="J1244">IFERROR(INDEX('Retirement Calculator'!K:K,MATCH('Lorri 401b'!N1244,'Retirement Calculator'!A:A,0),0),0)</f>
        <v>0</v>
      </c>
      <c r="K1244" s="455">
        <f t="shared" ca="1" si="103"/>
        <v>-306747.06032446655</v>
      </c>
      <c r="L1244" s="455">
        <f t="shared" ca="1" si="104"/>
        <v>-73926041.53819643</v>
      </c>
      <c r="M1244" s="471">
        <f t="shared" si="106"/>
        <v>0.05</v>
      </c>
      <c r="N1244" s="475">
        <f t="shared" si="107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5"/>
        <v>-73926041.53819643</v>
      </c>
      <c r="J1245" s="455">
        <f t="array" ref="J1245">IFERROR(INDEX('Retirement Calculator'!K:K,MATCH('Lorri 401b'!N1245,'Retirement Calculator'!A:A,0),0),0)</f>
        <v>0</v>
      </c>
      <c r="K1245" s="455">
        <f t="shared" ca="1" si="103"/>
        <v>-308025.17307581846</v>
      </c>
      <c r="L1245" s="455">
        <f t="shared" ca="1" si="104"/>
        <v>-74234066.711272255</v>
      </c>
      <c r="M1245" s="471">
        <f t="shared" si="106"/>
        <v>0.05</v>
      </c>
      <c r="N1245" s="475">
        <f t="shared" si="107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5"/>
        <v>-74234066.711272255</v>
      </c>
      <c r="J1246" s="455">
        <f t="array" ref="J1246">IFERROR(INDEX('Retirement Calculator'!K:K,MATCH('Lorri 401b'!N1246,'Retirement Calculator'!A:A,0),0),0)</f>
        <v>0</v>
      </c>
      <c r="K1246" s="455">
        <f t="shared" ca="1" si="103"/>
        <v>-309308.61129696772</v>
      </c>
      <c r="L1246" s="455">
        <f t="shared" ca="1" si="104"/>
        <v>-74543375.322569221</v>
      </c>
      <c r="M1246" s="471">
        <f t="shared" si="106"/>
        <v>0.05</v>
      </c>
      <c r="N1246" s="475">
        <f t="shared" si="107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5"/>
        <v>-74543375.322569221</v>
      </c>
      <c r="J1247" s="455">
        <f t="array" ref="J1247">IFERROR(INDEX('Retirement Calculator'!K:K,MATCH('Lorri 401b'!N1247,'Retirement Calculator'!A:A,0),0),0)</f>
        <v>0</v>
      </c>
      <c r="K1247" s="455">
        <f t="shared" ca="1" si="103"/>
        <v>-310597.39717737178</v>
      </c>
      <c r="L1247" s="455">
        <f t="shared" ca="1" si="104"/>
        <v>-74853972.71974659</v>
      </c>
      <c r="M1247" s="471">
        <f t="shared" si="106"/>
        <v>0.05</v>
      </c>
      <c r="N1247" s="475">
        <f t="shared" si="107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5"/>
        <v>-74853972.71974659</v>
      </c>
      <c r="J1248" s="455">
        <f t="array" ref="J1248">IFERROR(INDEX('Retirement Calculator'!K:K,MATCH('Lorri 401b'!N1248,'Retirement Calculator'!A:A,0),0),0)</f>
        <v>0</v>
      </c>
      <c r="K1248" s="455">
        <f t="shared" ca="1" si="103"/>
        <v>-311891.55299894413</v>
      </c>
      <c r="L1248" s="455">
        <f t="shared" ca="1" si="104"/>
        <v>-75165864.272745535</v>
      </c>
      <c r="M1248" s="471">
        <f t="shared" si="106"/>
        <v>0.05</v>
      </c>
      <c r="N1248" s="475">
        <f t="shared" si="107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5"/>
        <v>-75165864.272745535</v>
      </c>
      <c r="J1249" s="455">
        <f t="array" ref="J1249">IFERROR(INDEX('Retirement Calculator'!K:K,MATCH('Lorri 401b'!N1249,'Retirement Calculator'!A:A,0),0),0)</f>
        <v>0</v>
      </c>
      <c r="K1249" s="455">
        <f t="shared" ca="1" si="103"/>
        <v>-313191.10113643971</v>
      </c>
      <c r="L1249" s="455">
        <f t="shared" ca="1" si="104"/>
        <v>-75479055.373881981</v>
      </c>
      <c r="M1249" s="471">
        <f t="shared" si="106"/>
        <v>0.05</v>
      </c>
      <c r="N1249" s="475">
        <f t="shared" si="107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5"/>
        <v>-75479055.373881981</v>
      </c>
      <c r="J1250" s="455">
        <f t="array" ref="J1250">IFERROR(INDEX('Retirement Calculator'!K:K,MATCH('Lorri 401b'!N1250,'Retirement Calculator'!A:A,0),0),0)</f>
        <v>0</v>
      </c>
      <c r="K1250" s="455">
        <f t="shared" ca="1" si="103"/>
        <v>-314496.06405784161</v>
      </c>
      <c r="L1250" s="455">
        <f t="shared" ca="1" si="104"/>
        <v>-75793551.437939823</v>
      </c>
      <c r="M1250" s="471">
        <f t="shared" si="106"/>
        <v>0.05</v>
      </c>
      <c r="N1250" s="475">
        <f t="shared" si="107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5"/>
        <v>-75793551.437939823</v>
      </c>
      <c r="J1251" s="455">
        <f t="array" ref="J1251">IFERROR(INDEX('Retirement Calculator'!K:K,MATCH('Lorri 401b'!N1251,'Retirement Calculator'!A:A,0),0),0)</f>
        <v>0</v>
      </c>
      <c r="K1251" s="455">
        <f t="shared" ca="1" si="103"/>
        <v>-315806.46432474925</v>
      </c>
      <c r="L1251" s="455">
        <f t="shared" ca="1" si="104"/>
        <v>-76109357.902264565</v>
      </c>
      <c r="M1251" s="471">
        <f t="shared" si="106"/>
        <v>0.05</v>
      </c>
      <c r="N1251" s="475">
        <f t="shared" si="107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5"/>
        <v>-76109357.902264565</v>
      </c>
      <c r="J1252" s="455">
        <f t="array" ref="J1252">IFERROR(INDEX('Retirement Calculator'!K:K,MATCH('Lorri 401b'!N1252,'Retirement Calculator'!A:A,0),0),0)</f>
        <v>0</v>
      </c>
      <c r="K1252" s="455">
        <f t="shared" ca="1" si="103"/>
        <v>-317122.32459276903</v>
      </c>
      <c r="L1252" s="455">
        <f t="shared" ca="1" si="104"/>
        <v>-76426480.226857334</v>
      </c>
      <c r="M1252" s="471">
        <f t="shared" si="106"/>
        <v>0.05</v>
      </c>
      <c r="N1252" s="475">
        <f t="shared" si="107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5"/>
        <v>-76426480.226857334</v>
      </c>
      <c r="J1253" s="455">
        <f t="array" ref="J1253">IFERROR(INDEX('Retirement Calculator'!K:K,MATCH('Lorri 401b'!N1253,'Retirement Calculator'!A:A,0),0),0)</f>
        <v>0</v>
      </c>
      <c r="K1253" s="455">
        <f t="shared" ca="1" si="103"/>
        <v>-318443.66761190555</v>
      </c>
      <c r="L1253" s="455">
        <f t="shared" ca="1" si="104"/>
        <v>-76744923.894469246</v>
      </c>
      <c r="M1253" s="471">
        <f t="shared" si="106"/>
        <v>0.05</v>
      </c>
      <c r="N1253" s="475">
        <f t="shared" si="107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5"/>
        <v>-76744923.894469246</v>
      </c>
      <c r="J1254" s="455">
        <f t="array" ref="J1254">IFERROR(INDEX('Retirement Calculator'!K:K,MATCH('Lorri 401b'!N1254,'Retirement Calculator'!A:A,0),0),0)</f>
        <v>0</v>
      </c>
      <c r="K1254" s="455">
        <f t="shared" ca="1" si="103"/>
        <v>-319770.51622695517</v>
      </c>
      <c r="L1254" s="455">
        <f t="shared" ca="1" si="104"/>
        <v>-77064694.410696208</v>
      </c>
      <c r="M1254" s="471">
        <f t="shared" si="106"/>
        <v>0.05</v>
      </c>
      <c r="N1254" s="475">
        <f t="shared" si="107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5"/>
        <v>-77064694.410696208</v>
      </c>
      <c r="J1255" s="455">
        <f t="array" ref="J1255">IFERROR(INDEX('Retirement Calculator'!K:K,MATCH('Lorri 401b'!N1255,'Retirement Calculator'!A:A,0),0),0)</f>
        <v>0</v>
      </c>
      <c r="K1255" s="455">
        <f t="shared" ca="1" si="103"/>
        <v>-321102.89337790088</v>
      </c>
      <c r="L1255" s="455">
        <f t="shared" ca="1" si="104"/>
        <v>-77385797.304074109</v>
      </c>
      <c r="M1255" s="471">
        <f t="shared" si="106"/>
        <v>0.05</v>
      </c>
      <c r="N1255" s="475">
        <f t="shared" si="107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5"/>
        <v>-77385797.304074109</v>
      </c>
      <c r="J1256" s="455">
        <f t="array" ref="J1256">IFERROR(INDEX('Retirement Calculator'!K:K,MATCH('Lorri 401b'!N1256,'Retirement Calculator'!A:A,0),0),0)</f>
        <v>0</v>
      </c>
      <c r="K1256" s="455">
        <f t="shared" ca="1" si="103"/>
        <v>-322440.82210030878</v>
      </c>
      <c r="L1256" s="455">
        <f t="shared" ca="1" si="104"/>
        <v>-77708238.12617442</v>
      </c>
      <c r="M1256" s="471">
        <f t="shared" si="106"/>
        <v>0.05</v>
      </c>
      <c r="N1256" s="475">
        <f t="shared" si="107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5"/>
        <v>-77708238.12617442</v>
      </c>
      <c r="J1257" s="455">
        <f t="array" ref="J1257">IFERROR(INDEX('Retirement Calculator'!K:K,MATCH('Lorri 401b'!N1257,'Retirement Calculator'!A:A,0),0),0)</f>
        <v>0</v>
      </c>
      <c r="K1257" s="455">
        <f t="shared" ca="1" si="103"/>
        <v>-323784.32552572677</v>
      </c>
      <c r="L1257" s="455">
        <f t="shared" ca="1" si="104"/>
        <v>-78032022.451700151</v>
      </c>
      <c r="M1257" s="471">
        <f t="shared" si="106"/>
        <v>0.05</v>
      </c>
      <c r="N1257" s="475">
        <f t="shared" si="107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5"/>
        <v>-78032022.451700151</v>
      </c>
      <c r="J1258" s="455">
        <f t="array" ref="J1258">IFERROR(INDEX('Retirement Calculator'!K:K,MATCH('Lorri 401b'!N1258,'Retirement Calculator'!A:A,0),0),0)</f>
        <v>0</v>
      </c>
      <c r="K1258" s="455">
        <f t="shared" ca="1" si="103"/>
        <v>-325133.42688208394</v>
      </c>
      <c r="L1258" s="455">
        <f t="shared" ca="1" si="104"/>
        <v>-78357155.878582239</v>
      </c>
      <c r="M1258" s="471">
        <f t="shared" si="106"/>
        <v>0.05</v>
      </c>
      <c r="N1258" s="475">
        <f t="shared" si="107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5"/>
        <v>-78357155.878582239</v>
      </c>
      <c r="J1259" s="455">
        <f t="array" ref="J1259">IFERROR(INDEX('Retirement Calculator'!K:K,MATCH('Lorri 401b'!N1259,'Retirement Calculator'!A:A,0),0),0)</f>
        <v>0</v>
      </c>
      <c r="K1259" s="455">
        <f t="shared" ca="1" si="103"/>
        <v>-326488.14949409268</v>
      </c>
      <c r="L1259" s="455">
        <f t="shared" ca="1" si="104"/>
        <v>-78683644.028076336</v>
      </c>
      <c r="M1259" s="471">
        <f t="shared" si="106"/>
        <v>0.05</v>
      </c>
      <c r="N1259" s="475">
        <f t="shared" si="107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5"/>
        <v>-78683644.028076336</v>
      </c>
      <c r="J1260" s="455">
        <f t="array" ref="J1260">IFERROR(INDEX('Retirement Calculator'!K:K,MATCH('Lorri 401b'!N1260,'Retirement Calculator'!A:A,0),0),0)</f>
        <v>0</v>
      </c>
      <c r="K1260" s="455">
        <f t="shared" ca="1" si="103"/>
        <v>-327848.51678365137</v>
      </c>
      <c r="L1260" s="455">
        <f t="shared" ca="1" si="104"/>
        <v>-79011492.54485999</v>
      </c>
      <c r="M1260" s="471">
        <f t="shared" si="106"/>
        <v>0.05</v>
      </c>
      <c r="N1260" s="475">
        <f t="shared" si="107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5"/>
        <v>-79011492.54485999</v>
      </c>
      <c r="J1261" s="455">
        <f t="array" ref="J1261">IFERROR(INDEX('Retirement Calculator'!K:K,MATCH('Lorri 401b'!N1261,'Retirement Calculator'!A:A,0),0),0)</f>
        <v>0</v>
      </c>
      <c r="K1261" s="455">
        <f t="shared" ca="1" si="103"/>
        <v>-329214.55227024993</v>
      </c>
      <c r="L1261" s="455">
        <f t="shared" ca="1" si="104"/>
        <v>-79340707.097130239</v>
      </c>
      <c r="M1261" s="471">
        <f t="shared" si="106"/>
        <v>0.05</v>
      </c>
      <c r="N1261" s="475">
        <f t="shared" si="107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5"/>
        <v>-79340707.097130239</v>
      </c>
      <c r="J1262" s="455">
        <f t="array" ref="J1262">IFERROR(INDEX('Retirement Calculator'!K:K,MATCH('Lorri 401b'!N1262,'Retirement Calculator'!A:A,0),0),0)</f>
        <v>0</v>
      </c>
      <c r="K1262" s="455">
        <f t="shared" ca="1" si="103"/>
        <v>-330586.27957137598</v>
      </c>
      <c r="L1262" s="455">
        <f t="shared" ca="1" si="104"/>
        <v>-79671293.376701608</v>
      </c>
      <c r="M1262" s="471">
        <f t="shared" si="106"/>
        <v>0.05</v>
      </c>
      <c r="N1262" s="475">
        <f t="shared" si="107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5"/>
        <v>-79671293.376701608</v>
      </c>
      <c r="J1263" s="455">
        <f t="array" ref="J1263">IFERROR(INDEX('Retirement Calculator'!K:K,MATCH('Lorri 401b'!N1263,'Retirement Calculator'!A:A,0),0),0)</f>
        <v>0</v>
      </c>
      <c r="K1263" s="455">
        <f t="shared" ca="1" si="103"/>
        <v>-331963.72240292339</v>
      </c>
      <c r="L1263" s="455">
        <f t="shared" ca="1" si="104"/>
        <v>-80003257.099104539</v>
      </c>
      <c r="M1263" s="471">
        <f t="shared" si="106"/>
        <v>0.05</v>
      </c>
      <c r="N1263" s="475">
        <f t="shared" si="107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5"/>
        <v>-80003257.099104539</v>
      </c>
      <c r="J1264" s="455">
        <f t="array" ref="J1264">IFERROR(INDEX('Retirement Calculator'!K:K,MATCH('Lorri 401b'!N1264,'Retirement Calculator'!A:A,0),0),0)</f>
        <v>0</v>
      </c>
      <c r="K1264" s="455">
        <f t="shared" ca="1" si="103"/>
        <v>-333346.90457960224</v>
      </c>
      <c r="L1264" s="455">
        <f t="shared" ca="1" si="104"/>
        <v>-80336604.003684148</v>
      </c>
      <c r="M1264" s="471">
        <f t="shared" si="106"/>
        <v>0.05</v>
      </c>
      <c r="N1264" s="475">
        <f t="shared" si="107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5"/>
        <v>-80336604.003684148</v>
      </c>
      <c r="J1265" s="455">
        <f t="array" ref="J1265">IFERROR(INDEX('Retirement Calculator'!K:K,MATCH('Lorri 401b'!N1265,'Retirement Calculator'!A:A,0),0),0)</f>
        <v>0</v>
      </c>
      <c r="K1265" s="455">
        <f t="shared" ca="1" si="103"/>
        <v>-334735.85001535062</v>
      </c>
      <c r="L1265" s="455">
        <f t="shared" ca="1" si="104"/>
        <v>-80671339.853699505</v>
      </c>
      <c r="M1265" s="471">
        <f t="shared" si="106"/>
        <v>0.05</v>
      </c>
      <c r="N1265" s="475">
        <f t="shared" si="107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5"/>
        <v>-80671339.853699505</v>
      </c>
      <c r="J1266" s="455">
        <f t="array" ref="J1266">IFERROR(INDEX('Retirement Calculator'!K:K,MATCH('Lorri 401b'!N1266,'Retirement Calculator'!A:A,0),0),0)</f>
        <v>0</v>
      </c>
      <c r="K1266" s="455">
        <f t="shared" ca="1" si="103"/>
        <v>-336130.58272374794</v>
      </c>
      <c r="L1266" s="455">
        <f t="shared" ca="1" si="104"/>
        <v>-81007470.436423257</v>
      </c>
      <c r="M1266" s="471">
        <f t="shared" si="106"/>
        <v>0.05</v>
      </c>
      <c r="N1266" s="475">
        <f t="shared" si="107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5"/>
        <v>-81007470.436423257</v>
      </c>
      <c r="J1267" s="455">
        <f t="array" ref="J1267">IFERROR(INDEX('Retirement Calculator'!K:K,MATCH('Lorri 401b'!N1267,'Retirement Calculator'!A:A,0),0),0)</f>
        <v>0</v>
      </c>
      <c r="K1267" s="455">
        <f t="shared" ca="1" si="103"/>
        <v>-337531.12681843026</v>
      </c>
      <c r="L1267" s="455">
        <f t="shared" ca="1" si="104"/>
        <v>-81345001.56324169</v>
      </c>
      <c r="M1267" s="471">
        <f t="shared" si="106"/>
        <v>0.05</v>
      </c>
      <c r="N1267" s="475">
        <f t="shared" si="107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5"/>
        <v>-81345001.56324169</v>
      </c>
      <c r="J1268" s="455">
        <f t="array" ref="J1268">IFERROR(INDEX('Retirement Calculator'!K:K,MATCH('Lorri 401b'!N1268,'Retirement Calculator'!A:A,0),0),0)</f>
        <v>0</v>
      </c>
      <c r="K1268" s="455">
        <f t="shared" ca="1" si="103"/>
        <v>-338937.50651350705</v>
      </c>
      <c r="L1268" s="455">
        <f t="shared" ca="1" si="104"/>
        <v>-81683939.069755197</v>
      </c>
      <c r="M1268" s="471">
        <f t="shared" si="106"/>
        <v>0.05</v>
      </c>
      <c r="N1268" s="475">
        <f t="shared" si="107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5"/>
        <v>-81683939.069755197</v>
      </c>
      <c r="J1269" s="455">
        <f t="array" ref="J1269">IFERROR(INDEX('Retirement Calculator'!K:K,MATCH('Lorri 401b'!N1269,'Retirement Calculator'!A:A,0),0),0)</f>
        <v>0</v>
      </c>
      <c r="K1269" s="455">
        <f t="shared" ca="1" si="103"/>
        <v>-340349.74612397997</v>
      </c>
      <c r="L1269" s="455">
        <f t="shared" ca="1" si="104"/>
        <v>-82024288.815879181</v>
      </c>
      <c r="M1269" s="471">
        <f t="shared" si="106"/>
        <v>0.05</v>
      </c>
      <c r="N1269" s="475">
        <f t="shared" si="107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5"/>
        <v>-82024288.815879181</v>
      </c>
      <c r="J1270" s="455">
        <f t="array" ref="J1270">IFERROR(INDEX('Retirement Calculator'!K:K,MATCH('Lorri 401b'!N1270,'Retirement Calculator'!A:A,0),0),0)</f>
        <v>0</v>
      </c>
      <c r="K1270" s="455">
        <f t="shared" ca="1" si="103"/>
        <v>-341767.87006616325</v>
      </c>
      <c r="L1270" s="455">
        <f t="shared" ca="1" si="104"/>
        <v>-82366056.685945347</v>
      </c>
      <c r="M1270" s="471">
        <f t="shared" si="106"/>
        <v>0.05</v>
      </c>
      <c r="N1270" s="475">
        <f t="shared" si="107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5"/>
        <v>-82366056.685945347</v>
      </c>
      <c r="J1271" s="455">
        <f t="array" ref="J1271">IFERROR(INDEX('Retirement Calculator'!K:K,MATCH('Lorri 401b'!N1271,'Retirement Calculator'!A:A,0),0),0)</f>
        <v>0</v>
      </c>
      <c r="K1271" s="455">
        <f t="shared" ca="1" si="103"/>
        <v>-343191.9028581056</v>
      </c>
      <c r="L1271" s="455">
        <f t="shared" ca="1" si="104"/>
        <v>-82709248.588803455</v>
      </c>
      <c r="M1271" s="471">
        <f t="shared" si="106"/>
        <v>0.05</v>
      </c>
      <c r="N1271" s="475">
        <f t="shared" si="107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5"/>
        <v>-82709248.588803455</v>
      </c>
      <c r="J1272" s="455">
        <f t="array" ref="J1272">IFERROR(INDEX('Retirement Calculator'!K:K,MATCH('Lorri 401b'!N1272,'Retirement Calculator'!A:A,0),0),0)</f>
        <v>0</v>
      </c>
      <c r="K1272" s="455">
        <f t="shared" ca="1" si="103"/>
        <v>-344621.86912001437</v>
      </c>
      <c r="L1272" s="455">
        <f t="shared" ca="1" si="104"/>
        <v>-83053870.457923472</v>
      </c>
      <c r="M1272" s="471">
        <f t="shared" si="106"/>
        <v>0.05</v>
      </c>
      <c r="N1272" s="475">
        <f t="shared" si="107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5"/>
        <v>-83053870.457923472</v>
      </c>
      <c r="J1273" s="455">
        <f t="array" ref="J1273">IFERROR(INDEX('Retirement Calculator'!K:K,MATCH('Lorri 401b'!N1273,'Retirement Calculator'!A:A,0),0),0)</f>
        <v>0</v>
      </c>
      <c r="K1273" s="455">
        <f t="shared" ca="1" si="103"/>
        <v>-346057.79357468116</v>
      </c>
      <c r="L1273" s="455">
        <f t="shared" ca="1" si="104"/>
        <v>-83399928.251498148</v>
      </c>
      <c r="M1273" s="471">
        <f t="shared" si="106"/>
        <v>0.05</v>
      </c>
      <c r="N1273" s="475">
        <f t="shared" si="107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5"/>
        <v>-83399928.251498148</v>
      </c>
      <c r="J1274" s="455">
        <f t="array" ref="J1274">IFERROR(INDEX('Retirement Calculator'!K:K,MATCH('Lorri 401b'!N1274,'Retirement Calculator'!A:A,0),0),0)</f>
        <v>0</v>
      </c>
      <c r="K1274" s="455">
        <f t="shared" ca="1" si="103"/>
        <v>-347499.70104790892</v>
      </c>
      <c r="L1274" s="455">
        <f t="shared" ca="1" si="104"/>
        <v>-83747427.95254606</v>
      </c>
      <c r="M1274" s="471">
        <f t="shared" si="106"/>
        <v>0.05</v>
      </c>
      <c r="N1274" s="475">
        <f t="shared" si="107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5"/>
        <v>-83747427.95254606</v>
      </c>
      <c r="J1275" s="455">
        <f t="array" ref="J1275">IFERROR(INDEX('Retirement Calculator'!K:K,MATCH('Lorri 401b'!N1275,'Retirement Calculator'!A:A,0),0),0)</f>
        <v>0</v>
      </c>
      <c r="K1275" s="455">
        <f t="shared" ca="1" si="103"/>
        <v>-348947.61646894191</v>
      </c>
      <c r="L1275" s="455">
        <f t="shared" ca="1" si="104"/>
        <v>-84096375.569014996</v>
      </c>
      <c r="M1275" s="471">
        <f t="shared" si="106"/>
        <v>0.05</v>
      </c>
      <c r="N1275" s="475">
        <f t="shared" si="107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5"/>
        <v>-84096375.569014996</v>
      </c>
      <c r="J1276" s="455">
        <f t="array" ref="J1276">IFERROR(INDEX('Retirement Calculator'!K:K,MATCH('Lorri 401b'!N1276,'Retirement Calculator'!A:A,0),0),0)</f>
        <v>0</v>
      </c>
      <c r="K1276" s="455">
        <f t="shared" ca="1" si="103"/>
        <v>-350401.56487089582</v>
      </c>
      <c r="L1276" s="455">
        <f t="shared" ca="1" si="104"/>
        <v>-84446777.13388589</v>
      </c>
      <c r="M1276" s="471">
        <f t="shared" si="106"/>
        <v>0.05</v>
      </c>
      <c r="N1276" s="475">
        <f t="shared" si="107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5"/>
        <v>-84446777.13388589</v>
      </c>
      <c r="J1277" s="455">
        <f t="array" ref="J1277">IFERROR(INDEX('Retirement Calculator'!K:K,MATCH('Lorri 401b'!N1277,'Retirement Calculator'!A:A,0),0),0)</f>
        <v>0</v>
      </c>
      <c r="K1277" s="455">
        <f t="shared" ca="1" si="103"/>
        <v>-351861.57139119122</v>
      </c>
      <c r="L1277" s="455">
        <f t="shared" ca="1" si="104"/>
        <v>-84798638.705277085</v>
      </c>
      <c r="M1277" s="471">
        <f t="shared" si="106"/>
        <v>0.05</v>
      </c>
      <c r="N1277" s="475">
        <f t="shared" si="107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5"/>
        <v>-84798638.705277085</v>
      </c>
      <c r="J1278" s="455">
        <f t="array" ref="J1278">IFERROR(INDEX('Retirement Calculator'!K:K,MATCH('Lorri 401b'!N1278,'Retirement Calculator'!A:A,0),0),0)</f>
        <v>0</v>
      </c>
      <c r="K1278" s="455">
        <f t="shared" ca="1" si="103"/>
        <v>-353327.66127198783</v>
      </c>
      <c r="L1278" s="455">
        <f t="shared" ca="1" si="104"/>
        <v>-85151966.366549075</v>
      </c>
      <c r="M1278" s="471">
        <f t="shared" si="106"/>
        <v>0.05</v>
      </c>
      <c r="N1278" s="475">
        <f t="shared" si="107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5"/>
        <v>-85151966.366549075</v>
      </c>
      <c r="J1279" s="455">
        <f t="array" ref="J1279">IFERROR(INDEX('Retirement Calculator'!K:K,MATCH('Lorri 401b'!N1279,'Retirement Calculator'!A:A,0),0),0)</f>
        <v>0</v>
      </c>
      <c r="K1279" s="455">
        <f t="shared" ca="1" si="103"/>
        <v>-354799.85986062116</v>
      </c>
      <c r="L1279" s="455">
        <f t="shared" ca="1" si="104"/>
        <v>-85506766.226409689</v>
      </c>
      <c r="M1279" s="471">
        <f t="shared" si="106"/>
        <v>0.05</v>
      </c>
      <c r="N1279" s="475">
        <f t="shared" si="107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5"/>
        <v>-85506766.226409689</v>
      </c>
      <c r="J1280" s="455">
        <f t="array" ref="J1280">IFERROR(INDEX('Retirement Calculator'!K:K,MATCH('Lorri 401b'!N1280,'Retirement Calculator'!A:A,0),0),0)</f>
        <v>0</v>
      </c>
      <c r="K1280" s="455">
        <f t="shared" ca="1" si="103"/>
        <v>-356278.19261004037</v>
      </c>
      <c r="L1280" s="455">
        <f t="shared" ca="1" si="104"/>
        <v>-85863044.419019729</v>
      </c>
      <c r="M1280" s="471">
        <f t="shared" si="106"/>
        <v>0.05</v>
      </c>
      <c r="N1280" s="475">
        <f t="shared" si="107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5"/>
        <v>-85863044.419019729</v>
      </c>
      <c r="J1281" s="455">
        <f t="array" ref="J1281">IFERROR(INDEX('Retirement Calculator'!K:K,MATCH('Lorri 401b'!N1281,'Retirement Calculator'!A:A,0),0),0)</f>
        <v>0</v>
      </c>
      <c r="K1281" s="455">
        <f t="shared" ca="1" si="103"/>
        <v>-357762.68507924885</v>
      </c>
      <c r="L1281" s="455">
        <f t="shared" ca="1" si="104"/>
        <v>-86220807.104098976</v>
      </c>
      <c r="M1281" s="471">
        <f t="shared" si="106"/>
        <v>0.05</v>
      </c>
      <c r="N1281" s="475">
        <f t="shared" si="107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5"/>
        <v>-86220807.104098976</v>
      </c>
      <c r="J1282" s="455">
        <f t="array" ref="J1282">IFERROR(INDEX('Retirement Calculator'!K:K,MATCH('Lorri 401b'!N1282,'Retirement Calculator'!A:A,0),0),0)</f>
        <v>0</v>
      </c>
      <c r="K1282" s="455">
        <f t="shared" ca="1" si="103"/>
        <v>-359253.36293374572</v>
      </c>
      <c r="L1282" s="455">
        <f t="shared" ca="1" si="104"/>
        <v>-86580060.467032716</v>
      </c>
      <c r="M1282" s="471">
        <f t="shared" si="106"/>
        <v>0.05</v>
      </c>
      <c r="N1282" s="475">
        <f t="shared" si="107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5"/>
        <v>-86580060.467032716</v>
      </c>
      <c r="J1283" s="455">
        <f t="array" ref="J1283">IFERROR(INDEX('Retirement Calculator'!K:K,MATCH('Lorri 401b'!N1283,'Retirement Calculator'!A:A,0),0),0)</f>
        <v>0</v>
      </c>
      <c r="K1283" s="455">
        <f t="shared" ref="K1283:K1537" ca="1" si="108">IPMT(M1283/12,1,12,-I1283+J1283,,0)</f>
        <v>-360750.25194596965</v>
      </c>
      <c r="L1283" s="455">
        <f t="shared" ref="L1283:L1537" ca="1" si="109">I1283-J1283+K1283</f>
        <v>-86940810.718978688</v>
      </c>
      <c r="M1283" s="471">
        <f t="shared" si="106"/>
        <v>0.05</v>
      </c>
      <c r="N1283" s="475">
        <f t="shared" si="107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10">L1283</f>
        <v>-86940810.718978688</v>
      </c>
      <c r="J1284" s="455">
        <f t="array" ref="J1284">IFERROR(INDEX('Retirement Calculator'!K:K,MATCH('Lorri 401b'!N1284,'Retirement Calculator'!A:A,0),0),0)</f>
        <v>0</v>
      </c>
      <c r="K1284" s="455">
        <f t="shared" ca="1" si="108"/>
        <v>-362253.37799574452</v>
      </c>
      <c r="L1284" s="455">
        <f t="shared" ca="1" si="109"/>
        <v>-87303064.096974432</v>
      </c>
      <c r="M1284" s="471">
        <f t="shared" ref="M1284:M1538" si="111">M1283</f>
        <v>0.05</v>
      </c>
      <c r="N1284" s="475">
        <f t="shared" ref="N1284:N1538" si="112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10"/>
        <v>-87303064.096974432</v>
      </c>
      <c r="J1285" s="455">
        <f t="array" ref="J1285">IFERROR(INDEX('Retirement Calculator'!K:K,MATCH('Lorri 401b'!N1285,'Retirement Calculator'!A:A,0),0),0)</f>
        <v>0</v>
      </c>
      <c r="K1285" s="455">
        <f t="shared" ca="1" si="108"/>
        <v>-363762.76707072678</v>
      </c>
      <c r="L1285" s="455">
        <f t="shared" ca="1" si="109"/>
        <v>-87666826.864045158</v>
      </c>
      <c r="M1285" s="471">
        <f t="shared" si="111"/>
        <v>0.05</v>
      </c>
      <c r="N1285" s="475">
        <f t="shared" si="112"/>
        <v>90156</v>
      </c>
    </row>
    <row r="1286" spans="7:14" ht="11.25" customHeight="1" x14ac:dyDescent="0.3">
      <c r="G1286" s="470"/>
      <c r="H1286" s="470">
        <v>1279</v>
      </c>
      <c r="I1286" s="455">
        <f t="shared" ca="1" si="110"/>
        <v>-87666826.864045158</v>
      </c>
      <c r="J1286" s="455">
        <f t="array" ref="J1286">IFERROR(INDEX('Retirement Calculator'!K:K,MATCH('Lorri 401b'!N1286,'Retirement Calculator'!A:A,0),0),0)</f>
        <v>0</v>
      </c>
      <c r="K1286" s="455">
        <f t="shared" ca="1" si="108"/>
        <v>-365278.44526685483</v>
      </c>
      <c r="L1286" s="455">
        <f t="shared" ca="1" si="109"/>
        <v>-88032105.309312016</v>
      </c>
      <c r="M1286" s="471">
        <f t="shared" si="111"/>
        <v>0.05</v>
      </c>
      <c r="N1286" s="475">
        <f t="shared" si="112"/>
        <v>90186</v>
      </c>
    </row>
    <row r="1287" spans="7:14" ht="11.25" customHeight="1" x14ac:dyDescent="0.3">
      <c r="G1287" s="470"/>
      <c r="H1287" s="470">
        <v>1280</v>
      </c>
      <c r="I1287" s="455">
        <f t="shared" ca="1" si="110"/>
        <v>-88032105.309312016</v>
      </c>
      <c r="J1287" s="455">
        <f t="array" ref="J1287">IFERROR(INDEX('Retirement Calculator'!K:K,MATCH('Lorri 401b'!N1287,'Retirement Calculator'!A:A,0),0),0)</f>
        <v>0</v>
      </c>
      <c r="K1287" s="455">
        <f t="shared" ca="1" si="108"/>
        <v>-366800.43878880003</v>
      </c>
      <c r="L1287" s="455">
        <f t="shared" ca="1" si="109"/>
        <v>-88398905.748100817</v>
      </c>
      <c r="M1287" s="471">
        <f t="shared" si="111"/>
        <v>0.05</v>
      </c>
      <c r="N1287" s="475">
        <f t="shared" si="112"/>
        <v>90217</v>
      </c>
    </row>
    <row r="1288" spans="7:14" ht="11.25" customHeight="1" x14ac:dyDescent="0.3">
      <c r="G1288" s="470"/>
      <c r="H1288" s="470">
        <v>1281</v>
      </c>
      <c r="I1288" s="455">
        <f t="shared" ca="1" si="110"/>
        <v>-88398905.748100817</v>
      </c>
      <c r="J1288" s="455">
        <f t="array" ref="J1288">IFERROR(INDEX('Retirement Calculator'!K:K,MATCH('Lorri 401b'!N1288,'Retirement Calculator'!A:A,0),0),0)</f>
        <v>0</v>
      </c>
      <c r="K1288" s="455">
        <f t="shared" ca="1" si="108"/>
        <v>-368328.77395042009</v>
      </c>
      <c r="L1288" s="455">
        <f t="shared" ca="1" si="109"/>
        <v>-88767234.52205123</v>
      </c>
      <c r="M1288" s="471">
        <f t="shared" si="111"/>
        <v>0.05</v>
      </c>
      <c r="N1288" s="475">
        <f t="shared" si="112"/>
        <v>90248</v>
      </c>
    </row>
    <row r="1289" spans="7:14" ht="11.25" customHeight="1" x14ac:dyDescent="0.3">
      <c r="G1289" s="470"/>
      <c r="H1289" s="470">
        <v>1282</v>
      </c>
      <c r="I1289" s="455">
        <f t="shared" ca="1" si="110"/>
        <v>-88767234.52205123</v>
      </c>
      <c r="J1289" s="455">
        <f t="array" ref="J1289">IFERROR(INDEX('Retirement Calculator'!K:K,MATCH('Lorri 401b'!N1289,'Retirement Calculator'!A:A,0),0),0)</f>
        <v>0</v>
      </c>
      <c r="K1289" s="455">
        <f t="shared" ca="1" si="108"/>
        <v>-369863.47717521345</v>
      </c>
      <c r="L1289" s="455">
        <f t="shared" ca="1" si="109"/>
        <v>-89137097.999226451</v>
      </c>
      <c r="M1289" s="471">
        <f t="shared" si="111"/>
        <v>0.05</v>
      </c>
      <c r="N1289" s="475">
        <f t="shared" si="112"/>
        <v>90276</v>
      </c>
    </row>
    <row r="1290" spans="7:14" ht="11.25" customHeight="1" x14ac:dyDescent="0.3">
      <c r="G1290" s="470"/>
      <c r="H1290" s="470">
        <v>1283</v>
      </c>
      <c r="I1290" s="455">
        <f t="shared" ca="1" si="110"/>
        <v>-89137097.999226451</v>
      </c>
      <c r="J1290" s="455">
        <f t="array" ref="J1290">IFERROR(INDEX('Retirement Calculator'!K:K,MATCH('Lorri 401b'!N1290,'Retirement Calculator'!A:A,0),0),0)</f>
        <v>0</v>
      </c>
      <c r="K1290" s="455">
        <f t="shared" ca="1" si="108"/>
        <v>-371404.57499677688</v>
      </c>
      <c r="L1290" s="455">
        <f t="shared" ca="1" si="109"/>
        <v>-89508502.57422322</v>
      </c>
      <c r="M1290" s="471">
        <f t="shared" si="111"/>
        <v>0.05</v>
      </c>
      <c r="N1290" s="475">
        <f t="shared" si="112"/>
        <v>90307</v>
      </c>
    </row>
    <row r="1291" spans="7:14" ht="11.25" customHeight="1" x14ac:dyDescent="0.3">
      <c r="G1291" s="470"/>
      <c r="H1291" s="470">
        <v>1284</v>
      </c>
      <c r="I1291" s="455">
        <f t="shared" ca="1" si="110"/>
        <v>-89508502.57422322</v>
      </c>
      <c r="J1291" s="455">
        <f t="array" ref="J1291">IFERROR(INDEX('Retirement Calculator'!K:K,MATCH('Lorri 401b'!N1291,'Retirement Calculator'!A:A,0),0),0)</f>
        <v>0</v>
      </c>
      <c r="K1291" s="455">
        <f t="shared" ca="1" si="108"/>
        <v>-372952.09405926341</v>
      </c>
      <c r="L1291" s="455">
        <f t="shared" ca="1" si="109"/>
        <v>-89881454.668282479</v>
      </c>
      <c r="M1291" s="471">
        <f t="shared" si="111"/>
        <v>0.05</v>
      </c>
      <c r="N1291" s="475">
        <f t="shared" si="112"/>
        <v>90337</v>
      </c>
    </row>
    <row r="1292" spans="7:14" ht="11.25" customHeight="1" x14ac:dyDescent="0.3">
      <c r="G1292" s="470"/>
      <c r="H1292" s="470">
        <v>1285</v>
      </c>
      <c r="I1292" s="455">
        <f t="shared" ca="1" si="110"/>
        <v>-89881454.668282479</v>
      </c>
      <c r="J1292" s="455">
        <f t="array" ref="J1292">IFERROR(INDEX('Retirement Calculator'!K:K,MATCH('Lorri 401b'!N1292,'Retirement Calculator'!A:A,0),0),0)</f>
        <v>0</v>
      </c>
      <c r="K1292" s="455">
        <f t="shared" ca="1" si="108"/>
        <v>-374506.06111784367</v>
      </c>
      <c r="L1292" s="455">
        <f t="shared" ca="1" si="109"/>
        <v>-90255960.729400322</v>
      </c>
      <c r="M1292" s="471">
        <f t="shared" si="111"/>
        <v>0.05</v>
      </c>
      <c r="N1292" s="475">
        <f t="shared" si="112"/>
        <v>90368</v>
      </c>
    </row>
    <row r="1293" spans="7:14" ht="11.25" customHeight="1" x14ac:dyDescent="0.3">
      <c r="G1293" s="470"/>
      <c r="H1293" s="470">
        <v>1286</v>
      </c>
      <c r="I1293" s="455">
        <f t="shared" ca="1" si="110"/>
        <v>-90255960.729400322</v>
      </c>
      <c r="J1293" s="455">
        <f t="array" ref="J1293">IFERROR(INDEX('Retirement Calculator'!K:K,MATCH('Lorri 401b'!N1293,'Retirement Calculator'!A:A,0),0),0)</f>
        <v>0</v>
      </c>
      <c r="K1293" s="455">
        <f t="shared" ca="1" si="108"/>
        <v>-376066.50303916802</v>
      </c>
      <c r="L1293" s="455">
        <f t="shared" ca="1" si="109"/>
        <v>-90632027.232439488</v>
      </c>
      <c r="M1293" s="471">
        <f t="shared" si="111"/>
        <v>0.05</v>
      </c>
      <c r="N1293" s="475">
        <f t="shared" si="112"/>
        <v>90398</v>
      </c>
    </row>
    <row r="1294" spans="7:14" ht="11.25" customHeight="1" x14ac:dyDescent="0.3">
      <c r="G1294" s="470"/>
      <c r="H1294" s="470">
        <v>1287</v>
      </c>
      <c r="I1294" s="455">
        <f t="shared" ca="1" si="110"/>
        <v>-90632027.232439488</v>
      </c>
      <c r="J1294" s="455">
        <f t="array" ref="J1294">IFERROR(INDEX('Retirement Calculator'!K:K,MATCH('Lorri 401b'!N1294,'Retirement Calculator'!A:A,0),0),0)</f>
        <v>0</v>
      </c>
      <c r="K1294" s="455">
        <f t="shared" ca="1" si="108"/>
        <v>-377633.44680183119</v>
      </c>
      <c r="L1294" s="455">
        <f t="shared" ca="1" si="109"/>
        <v>-91009660.679241315</v>
      </c>
      <c r="M1294" s="471">
        <f t="shared" si="111"/>
        <v>0.05</v>
      </c>
      <c r="N1294" s="475">
        <f t="shared" si="112"/>
        <v>90429</v>
      </c>
    </row>
    <row r="1295" spans="7:14" ht="11.25" customHeight="1" x14ac:dyDescent="0.3">
      <c r="G1295" s="470"/>
      <c r="H1295" s="470">
        <v>1288</v>
      </c>
      <c r="I1295" s="455">
        <f t="shared" ca="1" si="110"/>
        <v>-91009660.679241315</v>
      </c>
      <c r="J1295" s="455">
        <f t="array" ref="J1295">IFERROR(INDEX('Retirement Calculator'!K:K,MATCH('Lorri 401b'!N1295,'Retirement Calculator'!A:A,0),0),0)</f>
        <v>0</v>
      </c>
      <c r="K1295" s="455">
        <f t="shared" ca="1" si="108"/>
        <v>-379206.91949683882</v>
      </c>
      <c r="L1295" s="455">
        <f t="shared" ca="1" si="109"/>
        <v>-91388867.598738149</v>
      </c>
      <c r="M1295" s="471">
        <f t="shared" si="111"/>
        <v>0.05</v>
      </c>
      <c r="N1295" s="475">
        <f t="shared" si="112"/>
        <v>90460</v>
      </c>
    </row>
    <row r="1296" spans="7:14" ht="11.25" customHeight="1" x14ac:dyDescent="0.3">
      <c r="G1296" s="470"/>
      <c r="H1296" s="470">
        <v>1289</v>
      </c>
      <c r="I1296" s="455">
        <f t="shared" ca="1" si="110"/>
        <v>-91388867.598738149</v>
      </c>
      <c r="J1296" s="455">
        <f t="array" ref="J1296">IFERROR(INDEX('Retirement Calculator'!K:K,MATCH('Lorri 401b'!N1296,'Retirement Calculator'!A:A,0),0),0)</f>
        <v>0</v>
      </c>
      <c r="K1296" s="455">
        <f t="shared" ca="1" si="108"/>
        <v>-380786.94832807564</v>
      </c>
      <c r="L1296" s="455">
        <f t="shared" ca="1" si="109"/>
        <v>-91769654.547066227</v>
      </c>
      <c r="M1296" s="471">
        <f t="shared" si="111"/>
        <v>0.05</v>
      </c>
      <c r="N1296" s="475">
        <f t="shared" si="112"/>
        <v>90490</v>
      </c>
    </row>
    <row r="1297" spans="7:14" ht="11.25" customHeight="1" x14ac:dyDescent="0.3">
      <c r="G1297" s="470"/>
      <c r="H1297" s="470">
        <v>1290</v>
      </c>
      <c r="I1297" s="455">
        <f t="shared" ca="1" si="110"/>
        <v>-91769654.547066227</v>
      </c>
      <c r="J1297" s="455">
        <f t="array" ref="J1297">IFERROR(INDEX('Retirement Calculator'!K:K,MATCH('Lorri 401b'!N1297,'Retirement Calculator'!A:A,0),0),0)</f>
        <v>0</v>
      </c>
      <c r="K1297" s="455">
        <f t="shared" ca="1" si="108"/>
        <v>-382373.56061277597</v>
      </c>
      <c r="L1297" s="455">
        <f t="shared" ca="1" si="109"/>
        <v>-92152028.107679009</v>
      </c>
      <c r="M1297" s="471">
        <f t="shared" si="111"/>
        <v>0.05</v>
      </c>
      <c r="N1297" s="475">
        <f t="shared" si="112"/>
        <v>90521</v>
      </c>
    </row>
    <row r="1298" spans="7:14" ht="11.25" customHeight="1" x14ac:dyDescent="0.3">
      <c r="G1298" s="470"/>
      <c r="H1298" s="470">
        <v>1291</v>
      </c>
      <c r="I1298" s="455">
        <f t="shared" ca="1" si="110"/>
        <v>-92152028.107679009</v>
      </c>
      <c r="J1298" s="455">
        <f t="array" ref="J1298">IFERROR(INDEX('Retirement Calculator'!K:K,MATCH('Lorri 401b'!N1298,'Retirement Calculator'!A:A,0),0),0)</f>
        <v>0</v>
      </c>
      <c r="K1298" s="455">
        <f t="shared" ca="1" si="108"/>
        <v>-383966.78378199588</v>
      </c>
      <c r="L1298" s="455">
        <f t="shared" ca="1" si="109"/>
        <v>-92535994.891461</v>
      </c>
      <c r="M1298" s="471">
        <f t="shared" si="111"/>
        <v>0.05</v>
      </c>
      <c r="N1298" s="475">
        <f t="shared" si="112"/>
        <v>90551</v>
      </c>
    </row>
    <row r="1299" spans="7:14" ht="11.25" customHeight="1" x14ac:dyDescent="0.3">
      <c r="G1299" s="470"/>
      <c r="H1299" s="470">
        <v>1292</v>
      </c>
      <c r="I1299" s="455">
        <f t="shared" ca="1" si="110"/>
        <v>-92535994.891461</v>
      </c>
      <c r="J1299" s="455">
        <f t="array" ref="J1299">IFERROR(INDEX('Retirement Calculator'!K:K,MATCH('Lorri 401b'!N1299,'Retirement Calculator'!A:A,0),0),0)</f>
        <v>0</v>
      </c>
      <c r="K1299" s="455">
        <f t="shared" ca="1" si="108"/>
        <v>-385566.6453810875</v>
      </c>
      <c r="L1299" s="455">
        <f t="shared" ca="1" si="109"/>
        <v>-92921561.536842093</v>
      </c>
      <c r="M1299" s="471">
        <f t="shared" si="111"/>
        <v>0.05</v>
      </c>
      <c r="N1299" s="475">
        <f t="shared" si="112"/>
        <v>90582</v>
      </c>
    </row>
    <row r="1300" spans="7:14" ht="11.25" customHeight="1" x14ac:dyDescent="0.3">
      <c r="G1300" s="470"/>
      <c r="H1300" s="470">
        <v>1293</v>
      </c>
      <c r="I1300" s="455">
        <f t="shared" ca="1" si="110"/>
        <v>-92921561.536842093</v>
      </c>
      <c r="J1300" s="455">
        <f t="array" ref="J1300">IFERROR(INDEX('Retirement Calculator'!K:K,MATCH('Lorri 401b'!N1300,'Retirement Calculator'!A:A,0),0),0)</f>
        <v>0</v>
      </c>
      <c r="K1300" s="455">
        <f t="shared" ca="1" si="108"/>
        <v>-387173.1730701754</v>
      </c>
      <c r="L1300" s="455">
        <f t="shared" ca="1" si="109"/>
        <v>-93308734.70991227</v>
      </c>
      <c r="M1300" s="471">
        <f t="shared" si="111"/>
        <v>0.05</v>
      </c>
      <c r="N1300" s="475">
        <f t="shared" si="112"/>
        <v>90613</v>
      </c>
    </row>
    <row r="1301" spans="7:14" ht="11.25" customHeight="1" x14ac:dyDescent="0.3">
      <c r="G1301" s="470"/>
      <c r="H1301" s="470">
        <v>1294</v>
      </c>
      <c r="I1301" s="455">
        <f t="shared" ca="1" si="110"/>
        <v>-93308734.70991227</v>
      </c>
      <c r="J1301" s="455">
        <f t="array" ref="J1301">IFERROR(INDEX('Retirement Calculator'!K:K,MATCH('Lorri 401b'!N1301,'Retirement Calculator'!A:A,0),0),0)</f>
        <v>0</v>
      </c>
      <c r="K1301" s="455">
        <f t="shared" ca="1" si="108"/>
        <v>-388786.39462463447</v>
      </c>
      <c r="L1301" s="455">
        <f t="shared" ca="1" si="109"/>
        <v>-93697521.104536906</v>
      </c>
      <c r="M1301" s="471">
        <f t="shared" si="111"/>
        <v>0.05</v>
      </c>
      <c r="N1301" s="475">
        <f t="shared" si="112"/>
        <v>90642</v>
      </c>
    </row>
    <row r="1302" spans="7:14" ht="11.25" customHeight="1" x14ac:dyDescent="0.3">
      <c r="G1302" s="470"/>
      <c r="H1302" s="470">
        <v>1295</v>
      </c>
      <c r="I1302" s="455">
        <f t="shared" ca="1" si="110"/>
        <v>-93697521.104536906</v>
      </c>
      <c r="J1302" s="455">
        <f t="array" ref="J1302">IFERROR(INDEX('Retirement Calculator'!K:K,MATCH('Lorri 401b'!N1302,'Retirement Calculator'!A:A,0),0),0)</f>
        <v>0</v>
      </c>
      <c r="K1302" s="455">
        <f t="shared" ca="1" si="108"/>
        <v>-390406.33793557045</v>
      </c>
      <c r="L1302" s="455">
        <f t="shared" ca="1" si="109"/>
        <v>-94087927.442472473</v>
      </c>
      <c r="M1302" s="471">
        <f t="shared" si="111"/>
        <v>0.05</v>
      </c>
      <c r="N1302" s="475">
        <f t="shared" si="112"/>
        <v>90673</v>
      </c>
    </row>
    <row r="1303" spans="7:14" ht="11.25" customHeight="1" x14ac:dyDescent="0.3">
      <c r="G1303" s="470"/>
      <c r="H1303" s="470">
        <v>1296</v>
      </c>
      <c r="I1303" s="455">
        <f t="shared" ca="1" si="110"/>
        <v>-94087927.442472473</v>
      </c>
      <c r="J1303" s="455">
        <f t="array" ref="J1303">IFERROR(INDEX('Retirement Calculator'!K:K,MATCH('Lorri 401b'!N1303,'Retirement Calculator'!A:A,0),0),0)</f>
        <v>0</v>
      </c>
      <c r="K1303" s="455">
        <f t="shared" ca="1" si="108"/>
        <v>-392033.03101030196</v>
      </c>
      <c r="L1303" s="455">
        <f t="shared" ca="1" si="109"/>
        <v>-94479960.473482773</v>
      </c>
      <c r="M1303" s="471">
        <f t="shared" si="111"/>
        <v>0.05</v>
      </c>
      <c r="N1303" s="475">
        <f t="shared" si="112"/>
        <v>90703</v>
      </c>
    </row>
    <row r="1304" spans="7:14" ht="11.25" customHeight="1" x14ac:dyDescent="0.3">
      <c r="G1304" s="470"/>
      <c r="H1304" s="470">
        <v>1297</v>
      </c>
      <c r="I1304" s="455">
        <f t="shared" ca="1" si="110"/>
        <v>-94479960.473482773</v>
      </c>
      <c r="J1304" s="455">
        <f t="array" ref="J1304">IFERROR(INDEX('Retirement Calculator'!K:K,MATCH('Lorri 401b'!N1304,'Retirement Calculator'!A:A,0),0),0)</f>
        <v>0</v>
      </c>
      <c r="K1304" s="455">
        <f t="shared" ca="1" si="108"/>
        <v>-393666.50197284488</v>
      </c>
      <c r="L1304" s="455">
        <f t="shared" ca="1" si="109"/>
        <v>-94873626.975455612</v>
      </c>
      <c r="M1304" s="471">
        <f t="shared" si="111"/>
        <v>0.05</v>
      </c>
      <c r="N1304" s="475">
        <f t="shared" si="112"/>
        <v>90734</v>
      </c>
    </row>
    <row r="1305" spans="7:14" ht="11.25" customHeight="1" x14ac:dyDescent="0.3">
      <c r="G1305" s="470"/>
      <c r="H1305" s="470">
        <v>1298</v>
      </c>
      <c r="I1305" s="455">
        <f t="shared" ca="1" si="110"/>
        <v>-94873626.975455612</v>
      </c>
      <c r="J1305" s="455">
        <f t="array" ref="J1305">IFERROR(INDEX('Retirement Calculator'!K:K,MATCH('Lorri 401b'!N1305,'Retirement Calculator'!A:A,0),0),0)</f>
        <v>0</v>
      </c>
      <c r="K1305" s="455">
        <f t="shared" ca="1" si="108"/>
        <v>-395306.77906439838</v>
      </c>
      <c r="L1305" s="455">
        <f t="shared" ca="1" si="109"/>
        <v>-95268933.754520014</v>
      </c>
      <c r="M1305" s="471">
        <f t="shared" si="111"/>
        <v>0.05</v>
      </c>
      <c r="N1305" s="475">
        <f t="shared" si="112"/>
        <v>90764</v>
      </c>
    </row>
    <row r="1306" spans="7:14" ht="11.25" customHeight="1" x14ac:dyDescent="0.3">
      <c r="G1306" s="470"/>
      <c r="H1306" s="470">
        <v>1299</v>
      </c>
      <c r="I1306" s="455">
        <f t="shared" ca="1" si="110"/>
        <v>-95268933.754520014</v>
      </c>
      <c r="J1306" s="455">
        <f t="array" ref="J1306">IFERROR(INDEX('Retirement Calculator'!K:K,MATCH('Lorri 401b'!N1306,'Retirement Calculator'!A:A,0),0),0)</f>
        <v>0</v>
      </c>
      <c r="K1306" s="455">
        <f t="shared" ca="1" si="108"/>
        <v>-396953.89064383338</v>
      </c>
      <c r="L1306" s="455">
        <f t="shared" ca="1" si="109"/>
        <v>-95665887.645163849</v>
      </c>
      <c r="M1306" s="471">
        <f t="shared" si="111"/>
        <v>0.05</v>
      </c>
      <c r="N1306" s="475">
        <f t="shared" si="112"/>
        <v>90795</v>
      </c>
    </row>
    <row r="1307" spans="7:14" ht="11.25" customHeight="1" x14ac:dyDescent="0.3">
      <c r="G1307" s="470"/>
      <c r="H1307" s="470">
        <v>1300</v>
      </c>
      <c r="I1307" s="455">
        <f t="shared" ca="1" si="110"/>
        <v>-95665887.645163849</v>
      </c>
      <c r="J1307" s="455">
        <f t="array" ref="J1307">IFERROR(INDEX('Retirement Calculator'!K:K,MATCH('Lorri 401b'!N1307,'Retirement Calculator'!A:A,0),0),0)</f>
        <v>0</v>
      </c>
      <c r="K1307" s="455">
        <f t="shared" ca="1" si="108"/>
        <v>-398607.86518818268</v>
      </c>
      <c r="L1307" s="455">
        <f t="shared" ca="1" si="109"/>
        <v>-96064495.51035203</v>
      </c>
      <c r="M1307" s="471">
        <f t="shared" si="111"/>
        <v>0.05</v>
      </c>
      <c r="N1307" s="475">
        <f t="shared" si="112"/>
        <v>90826</v>
      </c>
    </row>
    <row r="1308" spans="7:14" ht="11.25" customHeight="1" x14ac:dyDescent="0.3">
      <c r="G1308" s="470"/>
      <c r="H1308" s="470">
        <v>1301</v>
      </c>
      <c r="I1308" s="455">
        <f t="shared" ca="1" si="110"/>
        <v>-96064495.51035203</v>
      </c>
      <c r="J1308" s="455">
        <f t="array" ref="J1308">IFERROR(INDEX('Retirement Calculator'!K:K,MATCH('Lorri 401b'!N1308,'Retirement Calculator'!A:A,0),0),0)</f>
        <v>0</v>
      </c>
      <c r="K1308" s="455">
        <f t="shared" ca="1" si="108"/>
        <v>-400268.73129313346</v>
      </c>
      <c r="L1308" s="455">
        <f t="shared" ca="1" si="109"/>
        <v>-96464764.241645157</v>
      </c>
      <c r="M1308" s="471">
        <f t="shared" si="111"/>
        <v>0.05</v>
      </c>
      <c r="N1308" s="475">
        <f t="shared" si="112"/>
        <v>90856</v>
      </c>
    </row>
    <row r="1309" spans="7:14" ht="11.25" customHeight="1" x14ac:dyDescent="0.3">
      <c r="G1309" s="470"/>
      <c r="H1309" s="470">
        <v>1302</v>
      </c>
      <c r="I1309" s="455">
        <f t="shared" ca="1" si="110"/>
        <v>-96464764.241645157</v>
      </c>
      <c r="J1309" s="455">
        <f t="array" ref="J1309">IFERROR(INDEX('Retirement Calculator'!K:K,MATCH('Lorri 401b'!N1309,'Retirement Calculator'!A:A,0),0),0)</f>
        <v>0</v>
      </c>
      <c r="K1309" s="455">
        <f t="shared" ca="1" si="108"/>
        <v>-401936.51767352148</v>
      </c>
      <c r="L1309" s="455">
        <f t="shared" ca="1" si="109"/>
        <v>-96866700.75931868</v>
      </c>
      <c r="M1309" s="471">
        <f t="shared" si="111"/>
        <v>0.05</v>
      </c>
      <c r="N1309" s="475">
        <f t="shared" si="112"/>
        <v>90887</v>
      </c>
    </row>
    <row r="1310" spans="7:14" ht="11.25" customHeight="1" x14ac:dyDescent="0.3">
      <c r="G1310" s="470"/>
      <c r="H1310" s="470">
        <v>1303</v>
      </c>
      <c r="I1310" s="455">
        <f t="shared" ca="1" si="110"/>
        <v>-96866700.75931868</v>
      </c>
      <c r="J1310" s="455">
        <f t="array" ref="J1310">IFERROR(INDEX('Retirement Calculator'!K:K,MATCH('Lorri 401b'!N1310,'Retirement Calculator'!A:A,0),0),0)</f>
        <v>0</v>
      </c>
      <c r="K1310" s="455">
        <f t="shared" ca="1" si="108"/>
        <v>-403611.25316382782</v>
      </c>
      <c r="L1310" s="455">
        <f t="shared" ca="1" si="109"/>
        <v>-97270312.012482509</v>
      </c>
      <c r="M1310" s="471">
        <f t="shared" si="111"/>
        <v>0.05</v>
      </c>
      <c r="N1310" s="475">
        <f t="shared" si="112"/>
        <v>90917</v>
      </c>
    </row>
    <row r="1311" spans="7:14" ht="11.25" customHeight="1" x14ac:dyDescent="0.3">
      <c r="G1311" s="470"/>
      <c r="H1311" s="470">
        <v>1304</v>
      </c>
      <c r="I1311" s="455">
        <f t="shared" ca="1" si="110"/>
        <v>-97270312.012482509</v>
      </c>
      <c r="J1311" s="455">
        <f t="array" ref="J1311">IFERROR(INDEX('Retirement Calculator'!K:K,MATCH('Lorri 401b'!N1311,'Retirement Calculator'!A:A,0),0),0)</f>
        <v>0</v>
      </c>
      <c r="K1311" s="455">
        <f t="shared" ca="1" si="108"/>
        <v>-405292.96671867714</v>
      </c>
      <c r="L1311" s="455">
        <f t="shared" ca="1" si="109"/>
        <v>-97675604.979201183</v>
      </c>
      <c r="M1311" s="471">
        <f t="shared" si="111"/>
        <v>0.05</v>
      </c>
      <c r="N1311" s="475">
        <f t="shared" si="112"/>
        <v>90948</v>
      </c>
    </row>
    <row r="1312" spans="7:14" ht="11.25" customHeight="1" x14ac:dyDescent="0.3">
      <c r="G1312" s="470"/>
      <c r="H1312" s="470">
        <v>1305</v>
      </c>
      <c r="I1312" s="455">
        <f t="shared" ca="1" si="110"/>
        <v>-97675604.979201183</v>
      </c>
      <c r="J1312" s="455">
        <f t="array" ref="J1312">IFERROR(INDEX('Retirement Calculator'!K:K,MATCH('Lorri 401b'!N1312,'Retirement Calculator'!A:A,0),0),0)</f>
        <v>0</v>
      </c>
      <c r="K1312" s="455">
        <f t="shared" ca="1" si="108"/>
        <v>-406981.68741333828</v>
      </c>
      <c r="L1312" s="455">
        <f t="shared" ca="1" si="109"/>
        <v>-98082586.666614518</v>
      </c>
      <c r="M1312" s="471">
        <f t="shared" si="111"/>
        <v>0.05</v>
      </c>
      <c r="N1312" s="475">
        <f t="shared" si="112"/>
        <v>90979</v>
      </c>
    </row>
    <row r="1313" spans="7:14" ht="11.25" customHeight="1" x14ac:dyDescent="0.3">
      <c r="G1313" s="470"/>
      <c r="H1313" s="470">
        <v>1306</v>
      </c>
      <c r="I1313" s="455">
        <f t="shared" ca="1" si="110"/>
        <v>-98082586.666614518</v>
      </c>
      <c r="J1313" s="455">
        <f t="array" ref="J1313">IFERROR(INDEX('Retirement Calculator'!K:K,MATCH('Lorri 401b'!N1313,'Retirement Calculator'!A:A,0),0),0)</f>
        <v>0</v>
      </c>
      <c r="K1313" s="455">
        <f t="shared" ca="1" si="108"/>
        <v>-408677.44444422715</v>
      </c>
      <c r="L1313" s="455">
        <f t="shared" ca="1" si="109"/>
        <v>-98491264.111058742</v>
      </c>
      <c r="M1313" s="471">
        <f t="shared" si="111"/>
        <v>0.05</v>
      </c>
      <c r="N1313" s="475">
        <f t="shared" si="112"/>
        <v>91007</v>
      </c>
    </row>
    <row r="1314" spans="7:14" ht="11.25" customHeight="1" x14ac:dyDescent="0.3">
      <c r="G1314" s="470"/>
      <c r="H1314" s="470">
        <v>1307</v>
      </c>
      <c r="I1314" s="455">
        <f t="shared" ca="1" si="110"/>
        <v>-98491264.111058742</v>
      </c>
      <c r="J1314" s="455">
        <f t="array" ref="J1314">IFERROR(INDEX('Retirement Calculator'!K:K,MATCH('Lorri 401b'!N1314,'Retirement Calculator'!A:A,0),0),0)</f>
        <v>0</v>
      </c>
      <c r="K1314" s="455">
        <f t="shared" ca="1" si="108"/>
        <v>-410380.2671294114</v>
      </c>
      <c r="L1314" s="455">
        <f t="shared" ca="1" si="109"/>
        <v>-98901644.378188148</v>
      </c>
      <c r="M1314" s="471">
        <f t="shared" si="111"/>
        <v>0.05</v>
      </c>
      <c r="N1314" s="475">
        <f t="shared" si="112"/>
        <v>91038</v>
      </c>
    </row>
    <row r="1315" spans="7:14" ht="11.25" customHeight="1" x14ac:dyDescent="0.3">
      <c r="G1315" s="470"/>
      <c r="H1315" s="470">
        <v>1308</v>
      </c>
      <c r="I1315" s="455">
        <f t="shared" ca="1" si="110"/>
        <v>-98901644.378188148</v>
      </c>
      <c r="J1315" s="455">
        <f t="array" ref="J1315">IFERROR(INDEX('Retirement Calculator'!K:K,MATCH('Lorri 401b'!N1315,'Retirement Calculator'!A:A,0),0),0)</f>
        <v>0</v>
      </c>
      <c r="K1315" s="455">
        <f t="shared" ca="1" si="108"/>
        <v>-412090.18490911729</v>
      </c>
      <c r="L1315" s="455">
        <f t="shared" ca="1" si="109"/>
        <v>-99313734.563097268</v>
      </c>
      <c r="M1315" s="471">
        <f t="shared" si="111"/>
        <v>0.05</v>
      </c>
      <c r="N1315" s="475">
        <f t="shared" si="112"/>
        <v>91068</v>
      </c>
    </row>
    <row r="1316" spans="7:14" ht="11.25" customHeight="1" x14ac:dyDescent="0.3">
      <c r="G1316" s="470"/>
      <c r="H1316" s="470">
        <v>1309</v>
      </c>
      <c r="I1316" s="455">
        <f t="shared" ca="1" si="110"/>
        <v>-99313734.563097268</v>
      </c>
      <c r="J1316" s="455">
        <f t="array" ref="J1316">IFERROR(INDEX('Retirement Calculator'!K:K,MATCH('Lorri 401b'!N1316,'Retirement Calculator'!A:A,0),0),0)</f>
        <v>0</v>
      </c>
      <c r="K1316" s="455">
        <f t="shared" ca="1" si="108"/>
        <v>-413807.22734623862</v>
      </c>
      <c r="L1316" s="455">
        <f t="shared" ca="1" si="109"/>
        <v>-99727541.79044351</v>
      </c>
      <c r="M1316" s="471">
        <f t="shared" si="111"/>
        <v>0.05</v>
      </c>
      <c r="N1316" s="475">
        <f t="shared" si="112"/>
        <v>91099</v>
      </c>
    </row>
    <row r="1317" spans="7:14" ht="11.25" customHeight="1" x14ac:dyDescent="0.3">
      <c r="G1317" s="470"/>
      <c r="H1317" s="470">
        <v>1310</v>
      </c>
      <c r="I1317" s="455">
        <f t="shared" ca="1" si="110"/>
        <v>-99727541.79044351</v>
      </c>
      <c r="J1317" s="455">
        <f t="array" ref="J1317">IFERROR(INDEX('Retirement Calculator'!K:K,MATCH('Lorri 401b'!N1317,'Retirement Calculator'!A:A,0),0),0)</f>
        <v>0</v>
      </c>
      <c r="K1317" s="455">
        <f t="shared" ca="1" si="108"/>
        <v>-415531.42412684794</v>
      </c>
      <c r="L1317" s="455">
        <f t="shared" ca="1" si="109"/>
        <v>-100143073.21457036</v>
      </c>
      <c r="M1317" s="471">
        <f t="shared" si="111"/>
        <v>0.05</v>
      </c>
      <c r="N1317" s="475">
        <f t="shared" si="112"/>
        <v>91129</v>
      </c>
    </row>
    <row r="1318" spans="7:14" ht="11.25" customHeight="1" x14ac:dyDescent="0.3">
      <c r="G1318" s="470"/>
      <c r="H1318" s="470">
        <v>1311</v>
      </c>
      <c r="I1318" s="455">
        <f t="shared" ca="1" si="110"/>
        <v>-100143073.21457036</v>
      </c>
      <c r="J1318" s="455">
        <f t="array" ref="J1318">IFERROR(INDEX('Retirement Calculator'!K:K,MATCH('Lorri 401b'!N1318,'Retirement Calculator'!A:A,0),0),0)</f>
        <v>0</v>
      </c>
      <c r="K1318" s="455">
        <f t="shared" ca="1" si="108"/>
        <v>-417262.80506070983</v>
      </c>
      <c r="L1318" s="455">
        <f t="shared" ca="1" si="109"/>
        <v>-100560336.01963107</v>
      </c>
      <c r="M1318" s="471">
        <f t="shared" si="111"/>
        <v>0.05</v>
      </c>
      <c r="N1318" s="475">
        <f t="shared" si="112"/>
        <v>91160</v>
      </c>
    </row>
    <row r="1319" spans="7:14" ht="11.25" customHeight="1" x14ac:dyDescent="0.3">
      <c r="G1319" s="470"/>
      <c r="H1319" s="470">
        <v>1312</v>
      </c>
      <c r="I1319" s="455">
        <f t="shared" ca="1" si="110"/>
        <v>-100560336.01963107</v>
      </c>
      <c r="J1319" s="455">
        <f t="array" ref="J1319">IFERROR(INDEX('Retirement Calculator'!K:K,MATCH('Lorri 401b'!N1319,'Retirement Calculator'!A:A,0),0),0)</f>
        <v>0</v>
      </c>
      <c r="K1319" s="455">
        <f t="shared" ca="1" si="108"/>
        <v>-419001.40008179611</v>
      </c>
      <c r="L1319" s="455">
        <f t="shared" ca="1" si="109"/>
        <v>-100979337.41971287</v>
      </c>
      <c r="M1319" s="471">
        <f t="shared" si="111"/>
        <v>0.05</v>
      </c>
      <c r="N1319" s="475">
        <f t="shared" si="112"/>
        <v>91191</v>
      </c>
    </row>
    <row r="1320" spans="7:14" ht="11.25" customHeight="1" x14ac:dyDescent="0.3">
      <c r="G1320" s="470"/>
      <c r="H1320" s="470">
        <v>1313</v>
      </c>
      <c r="I1320" s="455">
        <f t="shared" ca="1" si="110"/>
        <v>-100979337.41971287</v>
      </c>
      <c r="J1320" s="455">
        <f t="array" ref="J1320">IFERROR(INDEX('Retirement Calculator'!K:K,MATCH('Lorri 401b'!N1320,'Retirement Calculator'!A:A,0),0),0)</f>
        <v>0</v>
      </c>
      <c r="K1320" s="455">
        <f t="shared" ca="1" si="108"/>
        <v>-420747.23924880364</v>
      </c>
      <c r="L1320" s="455">
        <f t="shared" ca="1" si="109"/>
        <v>-101400084.65896167</v>
      </c>
      <c r="M1320" s="471">
        <f t="shared" si="111"/>
        <v>0.05</v>
      </c>
      <c r="N1320" s="475">
        <f t="shared" si="112"/>
        <v>91221</v>
      </c>
    </row>
    <row r="1321" spans="7:14" ht="11.25" customHeight="1" x14ac:dyDescent="0.3">
      <c r="G1321" s="470"/>
      <c r="H1321" s="470">
        <v>1314</v>
      </c>
      <c r="I1321" s="455">
        <f t="shared" ca="1" si="110"/>
        <v>-101400084.65896167</v>
      </c>
      <c r="J1321" s="455">
        <f t="array" ref="J1321">IFERROR(INDEX('Retirement Calculator'!K:K,MATCH('Lorri 401b'!N1321,'Retirement Calculator'!A:A,0),0),0)</f>
        <v>0</v>
      </c>
      <c r="K1321" s="455">
        <f t="shared" ca="1" si="108"/>
        <v>-422500.35274567362</v>
      </c>
      <c r="L1321" s="455">
        <f t="shared" ca="1" si="109"/>
        <v>-101822585.01170734</v>
      </c>
      <c r="M1321" s="471">
        <f t="shared" si="111"/>
        <v>0.05</v>
      </c>
      <c r="N1321" s="475">
        <f t="shared" si="112"/>
        <v>91252</v>
      </c>
    </row>
    <row r="1322" spans="7:14" ht="11.25" customHeight="1" x14ac:dyDescent="0.3">
      <c r="G1322" s="470"/>
      <c r="H1322" s="470">
        <v>1315</v>
      </c>
      <c r="I1322" s="455">
        <f t="shared" ca="1" si="110"/>
        <v>-101822585.01170734</v>
      </c>
      <c r="J1322" s="455">
        <f t="array" ref="J1322">IFERROR(INDEX('Retirement Calculator'!K:K,MATCH('Lorri 401b'!N1322,'Retirement Calculator'!A:A,0),0),0)</f>
        <v>0</v>
      </c>
      <c r="K1322" s="455">
        <f t="shared" ca="1" si="108"/>
        <v>-424260.77088211389</v>
      </c>
      <c r="L1322" s="455">
        <f t="shared" ca="1" si="109"/>
        <v>-102246845.78258945</v>
      </c>
      <c r="M1322" s="471">
        <f t="shared" si="111"/>
        <v>0.05</v>
      </c>
      <c r="N1322" s="475">
        <f t="shared" si="112"/>
        <v>91282</v>
      </c>
    </row>
    <row r="1323" spans="7:14" ht="11.25" customHeight="1" x14ac:dyDescent="0.3">
      <c r="G1323" s="470"/>
      <c r="H1323" s="470">
        <v>1316</v>
      </c>
      <c r="I1323" s="455">
        <f t="shared" ca="1" si="110"/>
        <v>-102246845.78258945</v>
      </c>
      <c r="J1323" s="455">
        <f t="array" ref="J1323">IFERROR(INDEX('Retirement Calculator'!K:K,MATCH('Lorri 401b'!N1323,'Retirement Calculator'!A:A,0),0),0)</f>
        <v>0</v>
      </c>
      <c r="K1323" s="455">
        <f t="shared" ca="1" si="108"/>
        <v>-426028.52409412269</v>
      </c>
      <c r="L1323" s="455">
        <f t="shared" ca="1" si="109"/>
        <v>-102672874.30668357</v>
      </c>
      <c r="M1323" s="471">
        <f t="shared" si="111"/>
        <v>0.05</v>
      </c>
      <c r="N1323" s="475">
        <f t="shared" si="112"/>
        <v>91313</v>
      </c>
    </row>
    <row r="1324" spans="7:14" ht="11.25" customHeight="1" x14ac:dyDescent="0.3">
      <c r="G1324" s="470"/>
      <c r="H1324" s="470">
        <v>1317</v>
      </c>
      <c r="I1324" s="455">
        <f t="shared" ca="1" si="110"/>
        <v>-102672874.30668357</v>
      </c>
      <c r="J1324" s="455">
        <f t="array" ref="J1324">IFERROR(INDEX('Retirement Calculator'!K:K,MATCH('Lorri 401b'!N1324,'Retirement Calculator'!A:A,0),0),0)</f>
        <v>0</v>
      </c>
      <c r="K1324" s="455">
        <f t="shared" ca="1" si="108"/>
        <v>-427803.64294451487</v>
      </c>
      <c r="L1324" s="455">
        <f t="shared" ca="1" si="109"/>
        <v>-103100677.94962808</v>
      </c>
      <c r="M1324" s="471">
        <f t="shared" si="111"/>
        <v>0.05</v>
      </c>
      <c r="N1324" s="475">
        <f t="shared" si="112"/>
        <v>91344</v>
      </c>
    </row>
    <row r="1325" spans="7:14" ht="11.25" customHeight="1" x14ac:dyDescent="0.3">
      <c r="G1325" s="470"/>
      <c r="H1325" s="470">
        <v>1318</v>
      </c>
      <c r="I1325" s="455">
        <f t="shared" ca="1" si="110"/>
        <v>-103100677.94962808</v>
      </c>
      <c r="J1325" s="455">
        <f t="array" ref="J1325">IFERROR(INDEX('Retirement Calculator'!K:K,MATCH('Lorri 401b'!N1325,'Retirement Calculator'!A:A,0),0),0)</f>
        <v>0</v>
      </c>
      <c r="K1325" s="455">
        <f t="shared" ca="1" si="108"/>
        <v>-429586.15812345035</v>
      </c>
      <c r="L1325" s="455">
        <f t="shared" ca="1" si="109"/>
        <v>-103530264.10775153</v>
      </c>
      <c r="M1325" s="471">
        <f t="shared" si="111"/>
        <v>0.05</v>
      </c>
      <c r="N1325" s="475">
        <f t="shared" si="112"/>
        <v>91372</v>
      </c>
    </row>
    <row r="1326" spans="7:14" ht="11.25" customHeight="1" x14ac:dyDescent="0.3">
      <c r="G1326" s="470"/>
      <c r="H1326" s="470">
        <v>1319</v>
      </c>
      <c r="I1326" s="455">
        <f t="shared" ca="1" si="110"/>
        <v>-103530264.10775153</v>
      </c>
      <c r="J1326" s="455">
        <f t="array" ref="J1326">IFERROR(INDEX('Retirement Calculator'!K:K,MATCH('Lorri 401b'!N1326,'Retirement Calculator'!A:A,0),0),0)</f>
        <v>0</v>
      </c>
      <c r="K1326" s="455">
        <f t="shared" ca="1" si="108"/>
        <v>-431376.10044896469</v>
      </c>
      <c r="L1326" s="455">
        <f t="shared" ca="1" si="109"/>
        <v>-103961640.2082005</v>
      </c>
      <c r="M1326" s="471">
        <f t="shared" si="111"/>
        <v>0.05</v>
      </c>
      <c r="N1326" s="475">
        <f t="shared" si="112"/>
        <v>91403</v>
      </c>
    </row>
    <row r="1327" spans="7:14" ht="11.25" customHeight="1" x14ac:dyDescent="0.3">
      <c r="G1327" s="470"/>
      <c r="H1327" s="470">
        <v>1320</v>
      </c>
      <c r="I1327" s="455">
        <f t="shared" ca="1" si="110"/>
        <v>-103961640.2082005</v>
      </c>
      <c r="J1327" s="455">
        <f t="array" ref="J1327">IFERROR(INDEX('Retirement Calculator'!K:K,MATCH('Lorri 401b'!N1327,'Retirement Calculator'!A:A,0),0),0)</f>
        <v>0</v>
      </c>
      <c r="K1327" s="455">
        <f t="shared" ca="1" si="108"/>
        <v>-433173.50086750207</v>
      </c>
      <c r="L1327" s="455">
        <f t="shared" ca="1" si="109"/>
        <v>-104394813.709068</v>
      </c>
      <c r="M1327" s="471">
        <f t="shared" si="111"/>
        <v>0.05</v>
      </c>
      <c r="N1327" s="475">
        <f t="shared" si="112"/>
        <v>91433</v>
      </c>
    </row>
    <row r="1328" spans="7:14" ht="11.25" customHeight="1" x14ac:dyDescent="0.3">
      <c r="G1328" s="470"/>
      <c r="H1328" s="470">
        <v>1321</v>
      </c>
      <c r="I1328" s="455">
        <f t="shared" ca="1" si="110"/>
        <v>-104394813.709068</v>
      </c>
      <c r="J1328" s="455">
        <f t="array" ref="J1328">IFERROR(INDEX('Retirement Calculator'!K:K,MATCH('Lorri 401b'!N1328,'Retirement Calculator'!A:A,0),0),0)</f>
        <v>0</v>
      </c>
      <c r="K1328" s="455">
        <f t="shared" ca="1" si="108"/>
        <v>-434978.39045444998</v>
      </c>
      <c r="L1328" s="455">
        <f t="shared" ca="1" si="109"/>
        <v>-104829792.09952246</v>
      </c>
      <c r="M1328" s="471">
        <f t="shared" si="111"/>
        <v>0.05</v>
      </c>
      <c r="N1328" s="475">
        <f t="shared" si="112"/>
        <v>91464</v>
      </c>
    </row>
    <row r="1329" spans="7:14" ht="11.25" customHeight="1" x14ac:dyDescent="0.3">
      <c r="G1329" s="470"/>
      <c r="H1329" s="470">
        <v>1322</v>
      </c>
      <c r="I1329" s="455">
        <f t="shared" ca="1" si="110"/>
        <v>-104829792.09952246</v>
      </c>
      <c r="J1329" s="455">
        <f t="array" ref="J1329">IFERROR(INDEX('Retirement Calculator'!K:K,MATCH('Lorri 401b'!N1329,'Retirement Calculator'!A:A,0),0),0)</f>
        <v>0</v>
      </c>
      <c r="K1329" s="455">
        <f t="shared" ca="1" si="108"/>
        <v>-436790.80041467689</v>
      </c>
      <c r="L1329" s="455">
        <f t="shared" ca="1" si="109"/>
        <v>-105266582.89993714</v>
      </c>
      <c r="M1329" s="471">
        <f t="shared" si="111"/>
        <v>0.05</v>
      </c>
      <c r="N1329" s="475">
        <f t="shared" si="112"/>
        <v>91494</v>
      </c>
    </row>
    <row r="1330" spans="7:14" ht="11.25" customHeight="1" x14ac:dyDescent="0.3">
      <c r="G1330" s="470"/>
      <c r="H1330" s="470">
        <v>1323</v>
      </c>
      <c r="I1330" s="455">
        <f t="shared" ca="1" si="110"/>
        <v>-105266582.89993714</v>
      </c>
      <c r="J1330" s="455">
        <f t="array" ref="J1330">IFERROR(INDEX('Retirement Calculator'!K:K,MATCH('Lorri 401b'!N1330,'Retirement Calculator'!A:A,0),0),0)</f>
        <v>0</v>
      </c>
      <c r="K1330" s="455">
        <f t="shared" ca="1" si="108"/>
        <v>-438610.7620830714</v>
      </c>
      <c r="L1330" s="455">
        <f t="shared" ca="1" si="109"/>
        <v>-105705193.66202021</v>
      </c>
      <c r="M1330" s="471">
        <f t="shared" si="111"/>
        <v>0.05</v>
      </c>
      <c r="N1330" s="475">
        <f t="shared" si="112"/>
        <v>91525</v>
      </c>
    </row>
    <row r="1331" spans="7:14" ht="11.25" customHeight="1" x14ac:dyDescent="0.3">
      <c r="G1331" s="470"/>
      <c r="H1331" s="470">
        <v>1324</v>
      </c>
      <c r="I1331" s="455">
        <f t="shared" ca="1" si="110"/>
        <v>-105705193.66202021</v>
      </c>
      <c r="J1331" s="455">
        <f t="array" ref="J1331">IFERROR(INDEX('Retirement Calculator'!K:K,MATCH('Lorri 401b'!N1331,'Retirement Calculator'!A:A,0),0),0)</f>
        <v>0</v>
      </c>
      <c r="K1331" s="455">
        <f t="shared" ca="1" si="108"/>
        <v>-440438.30692508415</v>
      </c>
      <c r="L1331" s="455">
        <f t="shared" ca="1" si="109"/>
        <v>-106145631.96894529</v>
      </c>
      <c r="M1331" s="471">
        <f t="shared" si="111"/>
        <v>0.05</v>
      </c>
      <c r="N1331" s="475">
        <f t="shared" si="112"/>
        <v>91556</v>
      </c>
    </row>
    <row r="1332" spans="7:14" ht="11.25" customHeight="1" x14ac:dyDescent="0.3">
      <c r="G1332" s="470"/>
      <c r="H1332" s="470">
        <v>1325</v>
      </c>
      <c r="I1332" s="455">
        <f t="shared" ca="1" si="110"/>
        <v>-106145631.96894529</v>
      </c>
      <c r="J1332" s="455">
        <f t="array" ref="J1332">IFERROR(INDEX('Retirement Calculator'!K:K,MATCH('Lorri 401b'!N1332,'Retirement Calculator'!A:A,0),0),0)</f>
        <v>0</v>
      </c>
      <c r="K1332" s="455">
        <f t="shared" ca="1" si="108"/>
        <v>-442273.46653727203</v>
      </c>
      <c r="L1332" s="455">
        <f t="shared" ca="1" si="109"/>
        <v>-106587905.43548256</v>
      </c>
      <c r="M1332" s="471">
        <f t="shared" si="111"/>
        <v>0.05</v>
      </c>
      <c r="N1332" s="475">
        <f t="shared" si="112"/>
        <v>91586</v>
      </c>
    </row>
    <row r="1333" spans="7:14" ht="11.25" customHeight="1" x14ac:dyDescent="0.3">
      <c r="G1333" s="470"/>
      <c r="H1333" s="470">
        <v>1326</v>
      </c>
      <c r="I1333" s="455">
        <f t="shared" ca="1" si="110"/>
        <v>-106587905.43548256</v>
      </c>
      <c r="J1333" s="455">
        <f t="array" ref="J1333">IFERROR(INDEX('Retirement Calculator'!K:K,MATCH('Lorri 401b'!N1333,'Retirement Calculator'!A:A,0),0),0)</f>
        <v>0</v>
      </c>
      <c r="K1333" s="455">
        <f t="shared" ca="1" si="108"/>
        <v>-444116.27264784399</v>
      </c>
      <c r="L1333" s="455">
        <f t="shared" ca="1" si="109"/>
        <v>-107032021.7081304</v>
      </c>
      <c r="M1333" s="471">
        <f t="shared" si="111"/>
        <v>0.05</v>
      </c>
      <c r="N1333" s="475">
        <f t="shared" si="112"/>
        <v>91617</v>
      </c>
    </row>
    <row r="1334" spans="7:14" ht="11.25" customHeight="1" x14ac:dyDescent="0.3">
      <c r="G1334" s="470"/>
      <c r="H1334" s="470">
        <v>1327</v>
      </c>
      <c r="I1334" s="455">
        <f t="shared" ca="1" si="110"/>
        <v>-107032021.7081304</v>
      </c>
      <c r="J1334" s="455">
        <f t="array" ref="J1334">IFERROR(INDEX('Retirement Calculator'!K:K,MATCH('Lorri 401b'!N1334,'Retirement Calculator'!A:A,0),0),0)</f>
        <v>0</v>
      </c>
      <c r="K1334" s="455">
        <f t="shared" ca="1" si="108"/>
        <v>-445966.75711720996</v>
      </c>
      <c r="L1334" s="455">
        <f t="shared" ca="1" si="109"/>
        <v>-107477988.46524762</v>
      </c>
      <c r="M1334" s="471">
        <f t="shared" si="111"/>
        <v>0.05</v>
      </c>
      <c r="N1334" s="475">
        <f t="shared" si="112"/>
        <v>91647</v>
      </c>
    </row>
    <row r="1335" spans="7:14" ht="11.25" customHeight="1" x14ac:dyDescent="0.3">
      <c r="G1335" s="470"/>
      <c r="H1335" s="470">
        <v>1328</v>
      </c>
      <c r="I1335" s="455">
        <f t="shared" ca="1" si="110"/>
        <v>-107477988.46524762</v>
      </c>
      <c r="J1335" s="455">
        <f t="array" ref="J1335">IFERROR(INDEX('Retirement Calculator'!K:K,MATCH('Lorri 401b'!N1335,'Retirement Calculator'!A:A,0),0),0)</f>
        <v>0</v>
      </c>
      <c r="K1335" s="455">
        <f t="shared" ca="1" si="108"/>
        <v>-447824.95193853165</v>
      </c>
      <c r="L1335" s="455">
        <f t="shared" ca="1" si="109"/>
        <v>-107925813.41718614</v>
      </c>
      <c r="M1335" s="471">
        <f t="shared" si="111"/>
        <v>0.05</v>
      </c>
      <c r="N1335" s="475">
        <f t="shared" si="112"/>
        <v>91678</v>
      </c>
    </row>
    <row r="1336" spans="7:14" ht="11.25" customHeight="1" x14ac:dyDescent="0.3">
      <c r="G1336" s="470"/>
      <c r="H1336" s="470">
        <v>1329</v>
      </c>
      <c r="I1336" s="455">
        <f t="shared" ca="1" si="110"/>
        <v>-107925813.41718614</v>
      </c>
      <c r="J1336" s="455">
        <f t="array" ref="J1336">IFERROR(INDEX('Retirement Calculator'!K:K,MATCH('Lorri 401b'!N1336,'Retirement Calculator'!A:A,0),0),0)</f>
        <v>0</v>
      </c>
      <c r="K1336" s="455">
        <f t="shared" ca="1" si="108"/>
        <v>-449690.88923827559</v>
      </c>
      <c r="L1336" s="455">
        <f t="shared" ca="1" si="109"/>
        <v>-108375504.30642441</v>
      </c>
      <c r="M1336" s="471">
        <f t="shared" si="111"/>
        <v>0.05</v>
      </c>
      <c r="N1336" s="475">
        <f t="shared" si="112"/>
        <v>91709</v>
      </c>
    </row>
    <row r="1337" spans="7:14" ht="11.25" customHeight="1" x14ac:dyDescent="0.3">
      <c r="G1337" s="470"/>
      <c r="H1337" s="470">
        <v>1330</v>
      </c>
      <c r="I1337" s="455">
        <f t="shared" ca="1" si="110"/>
        <v>-108375504.30642441</v>
      </c>
      <c r="J1337" s="455">
        <f t="array" ref="J1337">IFERROR(INDEX('Retirement Calculator'!K:K,MATCH('Lorri 401b'!N1337,'Retirement Calculator'!A:A,0),0),0)</f>
        <v>0</v>
      </c>
      <c r="K1337" s="455">
        <f t="shared" ca="1" si="108"/>
        <v>-451564.60127676837</v>
      </c>
      <c r="L1337" s="455">
        <f t="shared" ca="1" si="109"/>
        <v>-108827068.90770118</v>
      </c>
      <c r="M1337" s="471">
        <f t="shared" si="111"/>
        <v>0.05</v>
      </c>
      <c r="N1337" s="475">
        <f t="shared" si="112"/>
        <v>91737</v>
      </c>
    </row>
    <row r="1338" spans="7:14" ht="11.25" customHeight="1" x14ac:dyDescent="0.3">
      <c r="G1338" s="470"/>
      <c r="H1338" s="470">
        <v>1331</v>
      </c>
      <c r="I1338" s="455">
        <f t="shared" ca="1" si="110"/>
        <v>-108827068.90770118</v>
      </c>
      <c r="J1338" s="455">
        <f t="array" ref="J1338">IFERROR(INDEX('Retirement Calculator'!K:K,MATCH('Lorri 401b'!N1338,'Retirement Calculator'!A:A,0),0),0)</f>
        <v>0</v>
      </c>
      <c r="K1338" s="455">
        <f t="shared" ca="1" si="108"/>
        <v>-453446.12044875498</v>
      </c>
      <c r="L1338" s="455">
        <f t="shared" ca="1" si="109"/>
        <v>-109280515.02814993</v>
      </c>
      <c r="M1338" s="471">
        <f t="shared" si="111"/>
        <v>0.05</v>
      </c>
      <c r="N1338" s="475">
        <f t="shared" si="112"/>
        <v>91768</v>
      </c>
    </row>
    <row r="1339" spans="7:14" ht="11.25" customHeight="1" x14ac:dyDescent="0.3">
      <c r="G1339" s="470"/>
      <c r="H1339" s="470">
        <v>1332</v>
      </c>
      <c r="I1339" s="455">
        <f t="shared" ca="1" si="110"/>
        <v>-109280515.02814993</v>
      </c>
      <c r="J1339" s="455">
        <f t="array" ref="J1339">IFERROR(INDEX('Retirement Calculator'!K:K,MATCH('Lorri 401b'!N1339,'Retirement Calculator'!A:A,0),0),0)</f>
        <v>0</v>
      </c>
      <c r="K1339" s="455">
        <f t="shared" ca="1" si="108"/>
        <v>-455335.47928395809</v>
      </c>
      <c r="L1339" s="455">
        <f t="shared" ca="1" si="109"/>
        <v>-109735850.50743389</v>
      </c>
      <c r="M1339" s="471">
        <f t="shared" si="111"/>
        <v>0.05</v>
      </c>
      <c r="N1339" s="475">
        <f t="shared" si="112"/>
        <v>91798</v>
      </c>
    </row>
    <row r="1340" spans="7:14" ht="11.25" customHeight="1" x14ac:dyDescent="0.3">
      <c r="G1340" s="470"/>
      <c r="H1340" s="470">
        <v>1333</v>
      </c>
      <c r="I1340" s="455">
        <f t="shared" ca="1" si="110"/>
        <v>-109735850.50743389</v>
      </c>
      <c r="J1340" s="455">
        <f t="array" ref="J1340">IFERROR(INDEX('Retirement Calculator'!K:K,MATCH('Lorri 401b'!N1340,'Retirement Calculator'!A:A,0),0),0)</f>
        <v>0</v>
      </c>
      <c r="K1340" s="455">
        <f t="shared" ca="1" si="108"/>
        <v>-457232.71044764121</v>
      </c>
      <c r="L1340" s="455">
        <f t="shared" ca="1" si="109"/>
        <v>-110193083.21788153</v>
      </c>
      <c r="M1340" s="471">
        <f t="shared" si="111"/>
        <v>0.05</v>
      </c>
      <c r="N1340" s="475">
        <f t="shared" si="112"/>
        <v>91829</v>
      </c>
    </row>
    <row r="1341" spans="7:14" ht="11.25" customHeight="1" x14ac:dyDescent="0.3">
      <c r="G1341" s="470"/>
      <c r="H1341" s="470">
        <v>1334</v>
      </c>
      <c r="I1341" s="455">
        <f t="shared" ca="1" si="110"/>
        <v>-110193083.21788153</v>
      </c>
      <c r="J1341" s="455">
        <f t="array" ref="J1341">IFERROR(INDEX('Retirement Calculator'!K:K,MATCH('Lorri 401b'!N1341,'Retirement Calculator'!A:A,0),0),0)</f>
        <v>0</v>
      </c>
      <c r="K1341" s="455">
        <f t="shared" ca="1" si="108"/>
        <v>-459137.84674117301</v>
      </c>
      <c r="L1341" s="455">
        <f t="shared" ca="1" si="109"/>
        <v>-110652221.0646227</v>
      </c>
      <c r="M1341" s="471">
        <f t="shared" si="111"/>
        <v>0.05</v>
      </c>
      <c r="N1341" s="475">
        <f t="shared" si="112"/>
        <v>91859</v>
      </c>
    </row>
    <row r="1342" spans="7:14" ht="11.25" customHeight="1" x14ac:dyDescent="0.3">
      <c r="G1342" s="470"/>
      <c r="H1342" s="470">
        <v>1335</v>
      </c>
      <c r="I1342" s="455">
        <f t="shared" ca="1" si="110"/>
        <v>-110652221.0646227</v>
      </c>
      <c r="J1342" s="455">
        <f t="array" ref="J1342">IFERROR(INDEX('Retirement Calculator'!K:K,MATCH('Lorri 401b'!N1342,'Retirement Calculator'!A:A,0),0),0)</f>
        <v>0</v>
      </c>
      <c r="K1342" s="455">
        <f t="shared" ca="1" si="108"/>
        <v>-461050.92110259458</v>
      </c>
      <c r="L1342" s="455">
        <f t="shared" ca="1" si="109"/>
        <v>-111113271.9857253</v>
      </c>
      <c r="M1342" s="471">
        <f t="shared" si="111"/>
        <v>0.05</v>
      </c>
      <c r="N1342" s="475">
        <f t="shared" si="112"/>
        <v>91890</v>
      </c>
    </row>
    <row r="1343" spans="7:14" ht="11.25" customHeight="1" x14ac:dyDescent="0.3">
      <c r="G1343" s="470"/>
      <c r="H1343" s="470">
        <v>1336</v>
      </c>
      <c r="I1343" s="455">
        <f t="shared" ca="1" si="110"/>
        <v>-111113271.9857253</v>
      </c>
      <c r="J1343" s="455">
        <f t="array" ref="J1343">IFERROR(INDEX('Retirement Calculator'!K:K,MATCH('Lorri 401b'!N1343,'Retirement Calculator'!A:A,0),0),0)</f>
        <v>0</v>
      </c>
      <c r="K1343" s="455">
        <f t="shared" ca="1" si="108"/>
        <v>-462971.96660718881</v>
      </c>
      <c r="L1343" s="455">
        <f t="shared" ca="1" si="109"/>
        <v>-111576243.95233248</v>
      </c>
      <c r="M1343" s="471">
        <f t="shared" si="111"/>
        <v>0.05</v>
      </c>
      <c r="N1343" s="475">
        <f t="shared" si="112"/>
        <v>91921</v>
      </c>
    </row>
    <row r="1344" spans="7:14" ht="11.25" customHeight="1" x14ac:dyDescent="0.3">
      <c r="G1344" s="470"/>
      <c r="H1344" s="470">
        <v>1337</v>
      </c>
      <c r="I1344" s="455">
        <f t="shared" ca="1" si="110"/>
        <v>-111576243.95233248</v>
      </c>
      <c r="J1344" s="455">
        <f t="array" ref="J1344">IFERROR(INDEX('Retirement Calculator'!K:K,MATCH('Lorri 401b'!N1344,'Retirement Calculator'!A:A,0),0),0)</f>
        <v>0</v>
      </c>
      <c r="K1344" s="455">
        <f t="shared" ca="1" si="108"/>
        <v>-464901.016468052</v>
      </c>
      <c r="L1344" s="455">
        <f t="shared" ca="1" si="109"/>
        <v>-112041144.96880053</v>
      </c>
      <c r="M1344" s="471">
        <f t="shared" si="111"/>
        <v>0.05</v>
      </c>
      <c r="N1344" s="475">
        <f t="shared" si="112"/>
        <v>91951</v>
      </c>
    </row>
    <row r="1345" spans="7:14" ht="11.25" customHeight="1" x14ac:dyDescent="0.3">
      <c r="G1345" s="470"/>
      <c r="H1345" s="470">
        <v>1338</v>
      </c>
      <c r="I1345" s="455">
        <f t="shared" ca="1" si="110"/>
        <v>-112041144.96880053</v>
      </c>
      <c r="J1345" s="455">
        <f t="array" ref="J1345">IFERROR(INDEX('Retirement Calculator'!K:K,MATCH('Lorri 401b'!N1345,'Retirement Calculator'!A:A,0),0),0)</f>
        <v>0</v>
      </c>
      <c r="K1345" s="455">
        <f t="shared" ca="1" si="108"/>
        <v>-466838.10403666884</v>
      </c>
      <c r="L1345" s="455">
        <f t="shared" ca="1" si="109"/>
        <v>-112507983.0728372</v>
      </c>
      <c r="M1345" s="471">
        <f t="shared" si="111"/>
        <v>0.05</v>
      </c>
      <c r="N1345" s="475">
        <f t="shared" si="112"/>
        <v>91982</v>
      </c>
    </row>
    <row r="1346" spans="7:14" ht="11.25" customHeight="1" x14ac:dyDescent="0.3">
      <c r="G1346" s="470"/>
      <c r="H1346" s="470">
        <v>1339</v>
      </c>
      <c r="I1346" s="455">
        <f t="shared" ca="1" si="110"/>
        <v>-112507983.0728372</v>
      </c>
      <c r="J1346" s="455">
        <f t="array" ref="J1346">IFERROR(INDEX('Retirement Calculator'!K:K,MATCH('Lorri 401b'!N1346,'Retirement Calculator'!A:A,0),0),0)</f>
        <v>0</v>
      </c>
      <c r="K1346" s="455">
        <f t="shared" ca="1" si="108"/>
        <v>-468783.26280348829</v>
      </c>
      <c r="L1346" s="455">
        <f t="shared" ca="1" si="109"/>
        <v>-112976766.3356407</v>
      </c>
      <c r="M1346" s="471">
        <f t="shared" si="111"/>
        <v>0.05</v>
      </c>
      <c r="N1346" s="475">
        <f t="shared" si="112"/>
        <v>92012</v>
      </c>
    </row>
    <row r="1347" spans="7:14" ht="11.25" customHeight="1" x14ac:dyDescent="0.3">
      <c r="G1347" s="470"/>
      <c r="H1347" s="470">
        <v>1340</v>
      </c>
      <c r="I1347" s="455">
        <f t="shared" ca="1" si="110"/>
        <v>-112976766.3356407</v>
      </c>
      <c r="J1347" s="455">
        <f t="array" ref="J1347">IFERROR(INDEX('Retirement Calculator'!K:K,MATCH('Lorri 401b'!N1347,'Retirement Calculator'!A:A,0),0),0)</f>
        <v>0</v>
      </c>
      <c r="K1347" s="455">
        <f t="shared" ca="1" si="108"/>
        <v>-470736.52639850299</v>
      </c>
      <c r="L1347" s="455">
        <f t="shared" ca="1" si="109"/>
        <v>-113447502.86203921</v>
      </c>
      <c r="M1347" s="471">
        <f t="shared" si="111"/>
        <v>0.05</v>
      </c>
      <c r="N1347" s="475">
        <f t="shared" si="112"/>
        <v>92043</v>
      </c>
    </row>
    <row r="1348" spans="7:14" ht="11.25" customHeight="1" x14ac:dyDescent="0.3">
      <c r="G1348" s="470"/>
      <c r="H1348" s="470">
        <v>1341</v>
      </c>
      <c r="I1348" s="455">
        <f t="shared" ca="1" si="110"/>
        <v>-113447502.86203921</v>
      </c>
      <c r="J1348" s="455">
        <f t="array" ref="J1348">IFERROR(INDEX('Retirement Calculator'!K:K,MATCH('Lorri 401b'!N1348,'Retirement Calculator'!A:A,0),0),0)</f>
        <v>0</v>
      </c>
      <c r="K1348" s="455">
        <f t="shared" ca="1" si="108"/>
        <v>-472697.92859183002</v>
      </c>
      <c r="L1348" s="455">
        <f t="shared" ca="1" si="109"/>
        <v>-113920200.79063104</v>
      </c>
      <c r="M1348" s="471">
        <f t="shared" si="111"/>
        <v>0.05</v>
      </c>
      <c r="N1348" s="475">
        <f t="shared" si="112"/>
        <v>92074</v>
      </c>
    </row>
    <row r="1349" spans="7:14" ht="11.25" customHeight="1" x14ac:dyDescent="0.3">
      <c r="G1349" s="470"/>
      <c r="H1349" s="470">
        <v>1342</v>
      </c>
      <c r="I1349" s="455">
        <f t="shared" ca="1" si="110"/>
        <v>-113920200.79063104</v>
      </c>
      <c r="J1349" s="455">
        <f t="array" ref="J1349">IFERROR(INDEX('Retirement Calculator'!K:K,MATCH('Lorri 401b'!N1349,'Retirement Calculator'!A:A,0),0),0)</f>
        <v>0</v>
      </c>
      <c r="K1349" s="455">
        <f t="shared" ca="1" si="108"/>
        <v>-474667.50329429598</v>
      </c>
      <c r="L1349" s="455">
        <f t="shared" ca="1" si="109"/>
        <v>-114394868.29392533</v>
      </c>
      <c r="M1349" s="471">
        <f t="shared" si="111"/>
        <v>0.05</v>
      </c>
      <c r="N1349" s="475">
        <f t="shared" si="112"/>
        <v>92103</v>
      </c>
    </row>
    <row r="1350" spans="7:14" ht="11.25" customHeight="1" x14ac:dyDescent="0.3">
      <c r="G1350" s="470"/>
      <c r="H1350" s="470">
        <v>1343</v>
      </c>
      <c r="I1350" s="455">
        <f t="shared" ca="1" si="110"/>
        <v>-114394868.29392533</v>
      </c>
      <c r="J1350" s="455">
        <f t="array" ref="J1350">IFERROR(INDEX('Retirement Calculator'!K:K,MATCH('Lorri 401b'!N1350,'Retirement Calculator'!A:A,0),0),0)</f>
        <v>0</v>
      </c>
      <c r="K1350" s="455">
        <f t="shared" ca="1" si="108"/>
        <v>-476645.28455802222</v>
      </c>
      <c r="L1350" s="455">
        <f t="shared" ca="1" si="109"/>
        <v>-114871513.57848336</v>
      </c>
      <c r="M1350" s="471">
        <f t="shared" si="111"/>
        <v>0.05</v>
      </c>
      <c r="N1350" s="475">
        <f t="shared" si="112"/>
        <v>92134</v>
      </c>
    </row>
    <row r="1351" spans="7:14" ht="11.25" customHeight="1" x14ac:dyDescent="0.3">
      <c r="G1351" s="470"/>
      <c r="H1351" s="470">
        <v>1344</v>
      </c>
      <c r="I1351" s="455">
        <f t="shared" ca="1" si="110"/>
        <v>-114871513.57848336</v>
      </c>
      <c r="J1351" s="455">
        <f t="array" ref="J1351">IFERROR(INDEX('Retirement Calculator'!K:K,MATCH('Lorri 401b'!N1351,'Retirement Calculator'!A:A,0),0),0)</f>
        <v>0</v>
      </c>
      <c r="K1351" s="455">
        <f t="shared" ca="1" si="108"/>
        <v>-478631.30657701404</v>
      </c>
      <c r="L1351" s="455">
        <f t="shared" ca="1" si="109"/>
        <v>-115350144.88506037</v>
      </c>
      <c r="M1351" s="471">
        <f t="shared" si="111"/>
        <v>0.05</v>
      </c>
      <c r="N1351" s="475">
        <f t="shared" si="112"/>
        <v>92164</v>
      </c>
    </row>
    <row r="1352" spans="7:14" ht="11.25" customHeight="1" x14ac:dyDescent="0.3">
      <c r="G1352" s="470"/>
      <c r="H1352" s="470">
        <v>1345</v>
      </c>
      <c r="I1352" s="455">
        <f t="shared" ca="1" si="110"/>
        <v>-115350144.88506037</v>
      </c>
      <c r="J1352" s="455">
        <f t="array" ref="J1352">IFERROR(INDEX('Retirement Calculator'!K:K,MATCH('Lorri 401b'!N1352,'Retirement Calculator'!A:A,0),0),0)</f>
        <v>0</v>
      </c>
      <c r="K1352" s="455">
        <f t="shared" ca="1" si="108"/>
        <v>-480625.60368775151</v>
      </c>
      <c r="L1352" s="455">
        <f t="shared" ca="1" si="109"/>
        <v>-115830770.48874812</v>
      </c>
      <c r="M1352" s="471">
        <f t="shared" si="111"/>
        <v>0.05</v>
      </c>
      <c r="N1352" s="475">
        <f t="shared" si="112"/>
        <v>92195</v>
      </c>
    </row>
    <row r="1353" spans="7:14" ht="11.25" customHeight="1" x14ac:dyDescent="0.3">
      <c r="G1353" s="470"/>
      <c r="H1353" s="470">
        <v>1346</v>
      </c>
      <c r="I1353" s="455">
        <f t="shared" ca="1" si="110"/>
        <v>-115830770.48874812</v>
      </c>
      <c r="J1353" s="455">
        <f t="array" ref="J1353">IFERROR(INDEX('Retirement Calculator'!K:K,MATCH('Lorri 401b'!N1353,'Retirement Calculator'!A:A,0),0),0)</f>
        <v>0</v>
      </c>
      <c r="K1353" s="455">
        <f t="shared" ca="1" si="108"/>
        <v>-482628.21036978386</v>
      </c>
      <c r="L1353" s="455">
        <f t="shared" ca="1" si="109"/>
        <v>-116313398.6991179</v>
      </c>
      <c r="M1353" s="471">
        <f t="shared" si="111"/>
        <v>0.05</v>
      </c>
      <c r="N1353" s="475">
        <f t="shared" si="112"/>
        <v>92225</v>
      </c>
    </row>
    <row r="1354" spans="7:14" ht="11.25" customHeight="1" x14ac:dyDescent="0.3">
      <c r="G1354" s="470"/>
      <c r="H1354" s="470">
        <v>1347</v>
      </c>
      <c r="I1354" s="455">
        <f t="shared" ca="1" si="110"/>
        <v>-116313398.6991179</v>
      </c>
      <c r="J1354" s="455">
        <f t="array" ref="J1354">IFERROR(INDEX('Retirement Calculator'!K:K,MATCH('Lorri 401b'!N1354,'Retirement Calculator'!A:A,0),0),0)</f>
        <v>0</v>
      </c>
      <c r="K1354" s="455">
        <f t="shared" ca="1" si="108"/>
        <v>-484639.16124632466</v>
      </c>
      <c r="L1354" s="455">
        <f t="shared" ca="1" si="109"/>
        <v>-116798037.86036423</v>
      </c>
      <c r="M1354" s="471">
        <f t="shared" si="111"/>
        <v>0.05</v>
      </c>
      <c r="N1354" s="475">
        <f t="shared" si="112"/>
        <v>92256</v>
      </c>
    </row>
    <row r="1355" spans="7:14" ht="11.25" customHeight="1" x14ac:dyDescent="0.3">
      <c r="G1355" s="470"/>
      <c r="H1355" s="470">
        <v>1348</v>
      </c>
      <c r="I1355" s="455">
        <f t="shared" ca="1" si="110"/>
        <v>-116798037.86036423</v>
      </c>
      <c r="J1355" s="455">
        <f t="array" ref="J1355">IFERROR(INDEX('Retirement Calculator'!K:K,MATCH('Lorri 401b'!N1355,'Retirement Calculator'!A:A,0),0),0)</f>
        <v>0</v>
      </c>
      <c r="K1355" s="455">
        <f t="shared" ca="1" si="108"/>
        <v>-486658.49108485086</v>
      </c>
      <c r="L1355" s="455">
        <f t="shared" ca="1" si="109"/>
        <v>-117284696.35144907</v>
      </c>
      <c r="M1355" s="471">
        <f t="shared" si="111"/>
        <v>0.05</v>
      </c>
      <c r="N1355" s="475">
        <f t="shared" si="112"/>
        <v>92287</v>
      </c>
    </row>
    <row r="1356" spans="7:14" ht="11.25" customHeight="1" x14ac:dyDescent="0.3">
      <c r="G1356" s="470"/>
      <c r="H1356" s="470">
        <v>1349</v>
      </c>
      <c r="I1356" s="455">
        <f t="shared" ca="1" si="110"/>
        <v>-117284696.35144907</v>
      </c>
      <c r="J1356" s="455">
        <f t="array" ref="J1356">IFERROR(INDEX('Retirement Calculator'!K:K,MATCH('Lorri 401b'!N1356,'Retirement Calculator'!A:A,0),0),0)</f>
        <v>0</v>
      </c>
      <c r="K1356" s="455">
        <f t="shared" ca="1" si="108"/>
        <v>-488686.23479770444</v>
      </c>
      <c r="L1356" s="455">
        <f t="shared" ca="1" si="109"/>
        <v>-117773382.58624677</v>
      </c>
      <c r="M1356" s="471">
        <f t="shared" si="111"/>
        <v>0.05</v>
      </c>
      <c r="N1356" s="475">
        <f t="shared" si="112"/>
        <v>92317</v>
      </c>
    </row>
    <row r="1357" spans="7:14" ht="11.25" customHeight="1" x14ac:dyDescent="0.3">
      <c r="G1357" s="470"/>
      <c r="H1357" s="470">
        <v>1350</v>
      </c>
      <c r="I1357" s="455">
        <f t="shared" ca="1" si="110"/>
        <v>-117773382.58624677</v>
      </c>
      <c r="J1357" s="455">
        <f t="array" ref="J1357">IFERROR(INDEX('Retirement Calculator'!K:K,MATCH('Lorri 401b'!N1357,'Retirement Calculator'!A:A,0),0),0)</f>
        <v>0</v>
      </c>
      <c r="K1357" s="455">
        <f t="shared" ca="1" si="108"/>
        <v>-490722.42744269496</v>
      </c>
      <c r="L1357" s="455">
        <f t="shared" ca="1" si="109"/>
        <v>-118264105.01368947</v>
      </c>
      <c r="M1357" s="471">
        <f t="shared" si="111"/>
        <v>0.05</v>
      </c>
      <c r="N1357" s="475">
        <f t="shared" si="112"/>
        <v>92348</v>
      </c>
    </row>
    <row r="1358" spans="7:14" ht="11.25" customHeight="1" x14ac:dyDescent="0.3">
      <c r="G1358" s="470"/>
      <c r="H1358" s="470">
        <v>1351</v>
      </c>
      <c r="I1358" s="455">
        <f t="shared" ca="1" si="110"/>
        <v>-118264105.01368947</v>
      </c>
      <c r="J1358" s="455">
        <f t="array" ref="J1358">IFERROR(INDEX('Retirement Calculator'!K:K,MATCH('Lorri 401b'!N1358,'Retirement Calculator'!A:A,0),0),0)</f>
        <v>0</v>
      </c>
      <c r="K1358" s="455">
        <f t="shared" ca="1" si="108"/>
        <v>-492767.10422370618</v>
      </c>
      <c r="L1358" s="455">
        <f t="shared" ca="1" si="109"/>
        <v>-118756872.11791319</v>
      </c>
      <c r="M1358" s="471">
        <f t="shared" si="111"/>
        <v>0.05</v>
      </c>
      <c r="N1358" s="475">
        <f t="shared" si="112"/>
        <v>92378</v>
      </c>
    </row>
    <row r="1359" spans="7:14" ht="11.25" customHeight="1" x14ac:dyDescent="0.3">
      <c r="G1359" s="470"/>
      <c r="H1359" s="470">
        <v>1352</v>
      </c>
      <c r="I1359" s="455">
        <f t="shared" ca="1" si="110"/>
        <v>-118756872.11791319</v>
      </c>
      <c r="J1359" s="455">
        <f t="array" ref="J1359">IFERROR(INDEX('Retirement Calculator'!K:K,MATCH('Lorri 401b'!N1359,'Retirement Calculator'!A:A,0),0),0)</f>
        <v>0</v>
      </c>
      <c r="K1359" s="455">
        <f t="shared" ca="1" si="108"/>
        <v>-494820.30049130495</v>
      </c>
      <c r="L1359" s="455">
        <f t="shared" ca="1" si="109"/>
        <v>-119251692.41840449</v>
      </c>
      <c r="M1359" s="471">
        <f t="shared" si="111"/>
        <v>0.05</v>
      </c>
      <c r="N1359" s="475">
        <f t="shared" si="112"/>
        <v>92409</v>
      </c>
    </row>
    <row r="1360" spans="7:14" ht="11.25" customHeight="1" x14ac:dyDescent="0.3">
      <c r="G1360" s="470"/>
      <c r="H1360" s="470">
        <v>1353</v>
      </c>
      <c r="I1360" s="455">
        <f t="shared" ca="1" si="110"/>
        <v>-119251692.41840449</v>
      </c>
      <c r="J1360" s="455">
        <f t="array" ref="J1360">IFERROR(INDEX('Retirement Calculator'!K:K,MATCH('Lorri 401b'!N1360,'Retirement Calculator'!A:A,0),0),0)</f>
        <v>0</v>
      </c>
      <c r="K1360" s="455">
        <f t="shared" ca="1" si="108"/>
        <v>-496882.05174335203</v>
      </c>
      <c r="L1360" s="455">
        <f t="shared" ca="1" si="109"/>
        <v>-119748574.47014785</v>
      </c>
      <c r="M1360" s="471">
        <f t="shared" si="111"/>
        <v>0.05</v>
      </c>
      <c r="N1360" s="475">
        <f t="shared" si="112"/>
        <v>92440</v>
      </c>
    </row>
    <row r="1361" spans="7:14" ht="11.25" customHeight="1" x14ac:dyDescent="0.3">
      <c r="G1361" s="470"/>
      <c r="H1361" s="470">
        <v>1354</v>
      </c>
      <c r="I1361" s="455">
        <f t="shared" ca="1" si="110"/>
        <v>-119748574.47014785</v>
      </c>
      <c r="J1361" s="455">
        <f t="array" ref="J1361">IFERROR(INDEX('Retirement Calculator'!K:K,MATCH('Lorri 401b'!N1361,'Retirement Calculator'!A:A,0),0),0)</f>
        <v>0</v>
      </c>
      <c r="K1361" s="455">
        <f t="shared" ca="1" si="108"/>
        <v>-498952.39362561604</v>
      </c>
      <c r="L1361" s="455">
        <f t="shared" ca="1" si="109"/>
        <v>-120247526.86377347</v>
      </c>
      <c r="M1361" s="471">
        <f t="shared" si="111"/>
        <v>0.05</v>
      </c>
      <c r="N1361" s="475">
        <f t="shared" si="112"/>
        <v>92468</v>
      </c>
    </row>
    <row r="1362" spans="7:14" ht="11.25" customHeight="1" x14ac:dyDescent="0.3">
      <c r="G1362" s="470"/>
      <c r="H1362" s="470">
        <v>1355</v>
      </c>
      <c r="I1362" s="455">
        <f t="shared" ca="1" si="110"/>
        <v>-120247526.86377347</v>
      </c>
      <c r="J1362" s="455">
        <f t="array" ref="J1362">IFERROR(INDEX('Retirement Calculator'!K:K,MATCH('Lorri 401b'!N1362,'Retirement Calculator'!A:A,0),0),0)</f>
        <v>0</v>
      </c>
      <c r="K1362" s="455">
        <f t="shared" ca="1" si="108"/>
        <v>-501031.36193238938</v>
      </c>
      <c r="L1362" s="455">
        <f t="shared" ca="1" si="109"/>
        <v>-120748558.22570585</v>
      </c>
      <c r="M1362" s="471">
        <f t="shared" si="111"/>
        <v>0.05</v>
      </c>
      <c r="N1362" s="475">
        <f t="shared" si="112"/>
        <v>92499</v>
      </c>
    </row>
    <row r="1363" spans="7:14" ht="11.25" customHeight="1" x14ac:dyDescent="0.3">
      <c r="G1363" s="470"/>
      <c r="H1363" s="470">
        <v>1356</v>
      </c>
      <c r="I1363" s="455">
        <f t="shared" ca="1" si="110"/>
        <v>-120748558.22570585</v>
      </c>
      <c r="J1363" s="455">
        <f t="array" ref="J1363">IFERROR(INDEX('Retirement Calculator'!K:K,MATCH('Lorri 401b'!N1363,'Retirement Calculator'!A:A,0),0),0)</f>
        <v>0</v>
      </c>
      <c r="K1363" s="455">
        <f t="shared" ca="1" si="108"/>
        <v>-503118.99260710768</v>
      </c>
      <c r="L1363" s="455">
        <f t="shared" ca="1" si="109"/>
        <v>-121251677.21831295</v>
      </c>
      <c r="M1363" s="471">
        <f t="shared" si="111"/>
        <v>0.05</v>
      </c>
      <c r="N1363" s="475">
        <f t="shared" si="112"/>
        <v>92529</v>
      </c>
    </row>
    <row r="1364" spans="7:14" ht="11.25" customHeight="1" x14ac:dyDescent="0.3">
      <c r="G1364" s="470"/>
      <c r="H1364" s="470">
        <v>1357</v>
      </c>
      <c r="I1364" s="455">
        <f t="shared" ca="1" si="110"/>
        <v>-121251677.21831295</v>
      </c>
      <c r="J1364" s="455">
        <f t="array" ref="J1364">IFERROR(INDEX('Retirement Calculator'!K:K,MATCH('Lorri 401b'!N1364,'Retirement Calculator'!A:A,0),0),0)</f>
        <v>0</v>
      </c>
      <c r="K1364" s="455">
        <f t="shared" ca="1" si="108"/>
        <v>-505215.32174297055</v>
      </c>
      <c r="L1364" s="455">
        <f t="shared" ca="1" si="109"/>
        <v>-121756892.54005592</v>
      </c>
      <c r="M1364" s="471">
        <f t="shared" si="111"/>
        <v>0.05</v>
      </c>
      <c r="N1364" s="475">
        <f t="shared" si="112"/>
        <v>92560</v>
      </c>
    </row>
    <row r="1365" spans="7:14" ht="11.25" customHeight="1" x14ac:dyDescent="0.3">
      <c r="G1365" s="470"/>
      <c r="H1365" s="470">
        <v>1358</v>
      </c>
      <c r="I1365" s="455">
        <f t="shared" ca="1" si="110"/>
        <v>-121756892.54005592</v>
      </c>
      <c r="J1365" s="455">
        <f t="array" ref="J1365">IFERROR(INDEX('Retirement Calculator'!K:K,MATCH('Lorri 401b'!N1365,'Retirement Calculator'!A:A,0),0),0)</f>
        <v>0</v>
      </c>
      <c r="K1365" s="455">
        <f t="shared" ca="1" si="108"/>
        <v>-507320.38558356639</v>
      </c>
      <c r="L1365" s="455">
        <f t="shared" ca="1" si="109"/>
        <v>-122264212.92563948</v>
      </c>
      <c r="M1365" s="471">
        <f t="shared" si="111"/>
        <v>0.05</v>
      </c>
      <c r="N1365" s="475">
        <f t="shared" si="112"/>
        <v>92590</v>
      </c>
    </row>
    <row r="1366" spans="7:14" ht="11.25" customHeight="1" x14ac:dyDescent="0.3">
      <c r="G1366" s="470"/>
      <c r="H1366" s="470">
        <v>1359</v>
      </c>
      <c r="I1366" s="455">
        <f t="shared" ca="1" si="110"/>
        <v>-122264212.92563948</v>
      </c>
      <c r="J1366" s="455">
        <f t="array" ref="J1366">IFERROR(INDEX('Retirement Calculator'!K:K,MATCH('Lorri 401b'!N1366,'Retirement Calculator'!A:A,0),0),0)</f>
        <v>0</v>
      </c>
      <c r="K1366" s="455">
        <f t="shared" ca="1" si="108"/>
        <v>-509434.22052349785</v>
      </c>
      <c r="L1366" s="455">
        <f t="shared" ca="1" si="109"/>
        <v>-122773647.14616297</v>
      </c>
      <c r="M1366" s="471">
        <f t="shared" si="111"/>
        <v>0.05</v>
      </c>
      <c r="N1366" s="475">
        <f t="shared" si="112"/>
        <v>92621</v>
      </c>
    </row>
    <row r="1367" spans="7:14" ht="11.25" customHeight="1" x14ac:dyDescent="0.3">
      <c r="G1367" s="470"/>
      <c r="H1367" s="470">
        <v>1360</v>
      </c>
      <c r="I1367" s="455">
        <f t="shared" ca="1" si="110"/>
        <v>-122773647.14616297</v>
      </c>
      <c r="J1367" s="455">
        <f t="array" ref="J1367">IFERROR(INDEX('Retirement Calculator'!K:K,MATCH('Lorri 401b'!N1367,'Retirement Calculator'!A:A,0),0),0)</f>
        <v>0</v>
      </c>
      <c r="K1367" s="455">
        <f t="shared" ca="1" si="108"/>
        <v>-511556.86310901237</v>
      </c>
      <c r="L1367" s="455">
        <f t="shared" ca="1" si="109"/>
        <v>-123285204.00927198</v>
      </c>
      <c r="M1367" s="471">
        <f t="shared" si="111"/>
        <v>0.05</v>
      </c>
      <c r="N1367" s="475">
        <f t="shared" si="112"/>
        <v>92652</v>
      </c>
    </row>
    <row r="1368" spans="7:14" ht="11.25" customHeight="1" x14ac:dyDescent="0.3">
      <c r="G1368" s="470"/>
      <c r="H1368" s="470">
        <v>1361</v>
      </c>
      <c r="I1368" s="455">
        <f t="shared" ca="1" si="110"/>
        <v>-123285204.00927198</v>
      </c>
      <c r="J1368" s="455">
        <f t="array" ref="J1368">IFERROR(INDEX('Retirement Calculator'!K:K,MATCH('Lorri 401b'!N1368,'Retirement Calculator'!A:A,0),0),0)</f>
        <v>0</v>
      </c>
      <c r="K1368" s="455">
        <f t="shared" ca="1" si="108"/>
        <v>-513688.35003863316</v>
      </c>
      <c r="L1368" s="455">
        <f t="shared" ca="1" si="109"/>
        <v>-123798892.35931061</v>
      </c>
      <c r="M1368" s="471">
        <f t="shared" si="111"/>
        <v>0.05</v>
      </c>
      <c r="N1368" s="475">
        <f t="shared" si="112"/>
        <v>92682</v>
      </c>
    </row>
    <row r="1369" spans="7:14" ht="11.25" customHeight="1" x14ac:dyDescent="0.3">
      <c r="G1369" s="470"/>
      <c r="H1369" s="470">
        <v>1362</v>
      </c>
      <c r="I1369" s="455">
        <f t="shared" ca="1" si="110"/>
        <v>-123798892.35931061</v>
      </c>
      <c r="J1369" s="455">
        <f t="array" ref="J1369">IFERROR(INDEX('Retirement Calculator'!K:K,MATCH('Lorri 401b'!N1369,'Retirement Calculator'!A:A,0),0),0)</f>
        <v>0</v>
      </c>
      <c r="K1369" s="455">
        <f t="shared" ca="1" si="108"/>
        <v>-515828.7181637942</v>
      </c>
      <c r="L1369" s="455">
        <f t="shared" ca="1" si="109"/>
        <v>-124314721.0774744</v>
      </c>
      <c r="M1369" s="471">
        <f t="shared" si="111"/>
        <v>0.05</v>
      </c>
      <c r="N1369" s="475">
        <f t="shared" si="112"/>
        <v>92713</v>
      </c>
    </row>
    <row r="1370" spans="7:14" ht="11.25" customHeight="1" x14ac:dyDescent="0.3">
      <c r="G1370" s="470"/>
      <c r="H1370" s="470">
        <v>1363</v>
      </c>
      <c r="I1370" s="455">
        <f t="shared" ca="1" si="110"/>
        <v>-124314721.0774744</v>
      </c>
      <c r="J1370" s="455">
        <f t="array" ref="J1370">IFERROR(INDEX('Retirement Calculator'!K:K,MATCH('Lorri 401b'!N1370,'Retirement Calculator'!A:A,0),0),0)</f>
        <v>0</v>
      </c>
      <c r="K1370" s="455">
        <f t="shared" ca="1" si="108"/>
        <v>-517978.00448947668</v>
      </c>
      <c r="L1370" s="455">
        <f t="shared" ca="1" si="109"/>
        <v>-124832699.08196388</v>
      </c>
      <c r="M1370" s="471">
        <f t="shared" si="111"/>
        <v>0.05</v>
      </c>
      <c r="N1370" s="475">
        <f t="shared" si="112"/>
        <v>92743</v>
      </c>
    </row>
    <row r="1371" spans="7:14" ht="11.25" customHeight="1" x14ac:dyDescent="0.3">
      <c r="G1371" s="470"/>
      <c r="H1371" s="470">
        <v>1364</v>
      </c>
      <c r="I1371" s="455">
        <f t="shared" ca="1" si="110"/>
        <v>-124832699.08196388</v>
      </c>
      <c r="J1371" s="455">
        <f t="array" ref="J1371">IFERROR(INDEX('Retirement Calculator'!K:K,MATCH('Lorri 401b'!N1371,'Retirement Calculator'!A:A,0),0),0)</f>
        <v>0</v>
      </c>
      <c r="K1371" s="455">
        <f t="shared" ca="1" si="108"/>
        <v>-520136.24617484945</v>
      </c>
      <c r="L1371" s="455">
        <f t="shared" ca="1" si="109"/>
        <v>-125352835.32813872</v>
      </c>
      <c r="M1371" s="471">
        <f t="shared" si="111"/>
        <v>0.05</v>
      </c>
      <c r="N1371" s="475">
        <f t="shared" si="112"/>
        <v>92774</v>
      </c>
    </row>
    <row r="1372" spans="7:14" ht="11.25" customHeight="1" x14ac:dyDescent="0.3">
      <c r="G1372" s="470"/>
      <c r="H1372" s="470">
        <v>1365</v>
      </c>
      <c r="I1372" s="455">
        <f t="shared" ca="1" si="110"/>
        <v>-125352835.32813872</v>
      </c>
      <c r="J1372" s="455">
        <f t="array" ref="J1372">IFERROR(INDEX('Retirement Calculator'!K:K,MATCH('Lorri 401b'!N1372,'Retirement Calculator'!A:A,0),0),0)</f>
        <v>0</v>
      </c>
      <c r="K1372" s="455">
        <f t="shared" ca="1" si="108"/>
        <v>-522303.48053391138</v>
      </c>
      <c r="L1372" s="455">
        <f t="shared" ca="1" si="109"/>
        <v>-125875138.80867264</v>
      </c>
      <c r="M1372" s="471">
        <f t="shared" si="111"/>
        <v>0.05</v>
      </c>
      <c r="N1372" s="475">
        <f t="shared" si="112"/>
        <v>92805</v>
      </c>
    </row>
    <row r="1373" spans="7:14" ht="11.25" customHeight="1" x14ac:dyDescent="0.3">
      <c r="G1373" s="470"/>
      <c r="H1373" s="470">
        <v>1366</v>
      </c>
      <c r="I1373" s="455">
        <f t="shared" ca="1" si="110"/>
        <v>-125875138.80867264</v>
      </c>
      <c r="J1373" s="455">
        <f t="array" ref="J1373">IFERROR(INDEX('Retirement Calculator'!K:K,MATCH('Lorri 401b'!N1373,'Retirement Calculator'!A:A,0),0),0)</f>
        <v>0</v>
      </c>
      <c r="K1373" s="455">
        <f t="shared" ca="1" si="108"/>
        <v>-524479.74503613601</v>
      </c>
      <c r="L1373" s="455">
        <f t="shared" ca="1" si="109"/>
        <v>-126399618.55370878</v>
      </c>
      <c r="M1373" s="471">
        <f t="shared" si="111"/>
        <v>0.05</v>
      </c>
      <c r="N1373" s="475">
        <f t="shared" si="112"/>
        <v>92833</v>
      </c>
    </row>
    <row r="1374" spans="7:14" ht="11.25" customHeight="1" x14ac:dyDescent="0.3">
      <c r="G1374" s="470"/>
      <c r="H1374" s="470">
        <v>1367</v>
      </c>
      <c r="I1374" s="455">
        <f t="shared" ca="1" si="110"/>
        <v>-126399618.55370878</v>
      </c>
      <c r="J1374" s="455">
        <f t="array" ref="J1374">IFERROR(INDEX('Retirement Calculator'!K:K,MATCH('Lorri 401b'!N1374,'Retirement Calculator'!A:A,0),0),0)</f>
        <v>0</v>
      </c>
      <c r="K1374" s="455">
        <f t="shared" ca="1" si="108"/>
        <v>-526665.07730711997</v>
      </c>
      <c r="L1374" s="455">
        <f t="shared" ca="1" si="109"/>
        <v>-126926283.6310159</v>
      </c>
      <c r="M1374" s="471">
        <f t="shared" si="111"/>
        <v>0.05</v>
      </c>
      <c r="N1374" s="475">
        <f t="shared" si="112"/>
        <v>92864</v>
      </c>
    </row>
    <row r="1375" spans="7:14" ht="11.25" customHeight="1" x14ac:dyDescent="0.3">
      <c r="G1375" s="470"/>
      <c r="H1375" s="470">
        <v>1368</v>
      </c>
      <c r="I1375" s="455">
        <f t="shared" ca="1" si="110"/>
        <v>-126926283.6310159</v>
      </c>
      <c r="J1375" s="455">
        <f t="array" ref="J1375">IFERROR(INDEX('Retirement Calculator'!K:K,MATCH('Lorri 401b'!N1375,'Retirement Calculator'!A:A,0),0),0)</f>
        <v>0</v>
      </c>
      <c r="K1375" s="455">
        <f t="shared" ca="1" si="108"/>
        <v>-528859.5151292329</v>
      </c>
      <c r="L1375" s="455">
        <f t="shared" ca="1" si="109"/>
        <v>-127455143.14614514</v>
      </c>
      <c r="M1375" s="471">
        <f t="shared" si="111"/>
        <v>0.05</v>
      </c>
      <c r="N1375" s="475">
        <f t="shared" si="112"/>
        <v>92894</v>
      </c>
    </row>
    <row r="1376" spans="7:14" ht="11.25" customHeight="1" x14ac:dyDescent="0.3">
      <c r="G1376" s="470"/>
      <c r="H1376" s="470">
        <v>1369</v>
      </c>
      <c r="I1376" s="455">
        <f t="shared" ca="1" si="110"/>
        <v>-127455143.14614514</v>
      </c>
      <c r="J1376" s="455">
        <f t="array" ref="J1376">IFERROR(INDEX('Retirement Calculator'!K:K,MATCH('Lorri 401b'!N1376,'Retirement Calculator'!A:A,0),0),0)</f>
        <v>0</v>
      </c>
      <c r="K1376" s="455">
        <f t="shared" ca="1" si="108"/>
        <v>-531063.09644227137</v>
      </c>
      <c r="L1376" s="455">
        <f t="shared" ca="1" si="109"/>
        <v>-127986206.2425874</v>
      </c>
      <c r="M1376" s="471">
        <f t="shared" si="111"/>
        <v>0.05</v>
      </c>
      <c r="N1376" s="475">
        <f t="shared" si="112"/>
        <v>92925</v>
      </c>
    </row>
    <row r="1377" spans="7:14" ht="11.25" customHeight="1" x14ac:dyDescent="0.3">
      <c r="G1377" s="470"/>
      <c r="H1377" s="470">
        <v>1370</v>
      </c>
      <c r="I1377" s="455">
        <f t="shared" ca="1" si="110"/>
        <v>-127986206.2425874</v>
      </c>
      <c r="J1377" s="455">
        <f t="array" ref="J1377">IFERROR(INDEX('Retirement Calculator'!K:K,MATCH('Lorri 401b'!N1377,'Retirement Calculator'!A:A,0),0),0)</f>
        <v>0</v>
      </c>
      <c r="K1377" s="455">
        <f t="shared" ca="1" si="108"/>
        <v>-533275.8593441142</v>
      </c>
      <c r="L1377" s="455">
        <f t="shared" ca="1" si="109"/>
        <v>-128519482.10193151</v>
      </c>
      <c r="M1377" s="471">
        <f t="shared" si="111"/>
        <v>0.05</v>
      </c>
      <c r="N1377" s="475">
        <f t="shared" si="112"/>
        <v>92955</v>
      </c>
    </row>
    <row r="1378" spans="7:14" ht="11.25" customHeight="1" x14ac:dyDescent="0.3">
      <c r="G1378" s="470"/>
      <c r="H1378" s="470">
        <v>1371</v>
      </c>
      <c r="I1378" s="455">
        <f t="shared" ca="1" si="110"/>
        <v>-128519482.10193151</v>
      </c>
      <c r="J1378" s="455">
        <f t="array" ref="J1378">IFERROR(INDEX('Retirement Calculator'!K:K,MATCH('Lorri 401b'!N1378,'Retirement Calculator'!A:A,0),0),0)</f>
        <v>0</v>
      </c>
      <c r="K1378" s="455">
        <f t="shared" ca="1" si="108"/>
        <v>-535497.84209138132</v>
      </c>
      <c r="L1378" s="455">
        <f t="shared" ca="1" si="109"/>
        <v>-129054979.94402289</v>
      </c>
      <c r="M1378" s="471">
        <f t="shared" si="111"/>
        <v>0.05</v>
      </c>
      <c r="N1378" s="475">
        <f t="shared" si="112"/>
        <v>92986</v>
      </c>
    </row>
    <row r="1379" spans="7:14" ht="11.25" customHeight="1" x14ac:dyDescent="0.3">
      <c r="G1379" s="470"/>
      <c r="H1379" s="470">
        <v>1372</v>
      </c>
      <c r="I1379" s="455">
        <f t="shared" ca="1" si="110"/>
        <v>-129054979.94402289</v>
      </c>
      <c r="J1379" s="455">
        <f t="array" ref="J1379">IFERROR(INDEX('Retirement Calculator'!K:K,MATCH('Lorri 401b'!N1379,'Retirement Calculator'!A:A,0),0),0)</f>
        <v>0</v>
      </c>
      <c r="K1379" s="455">
        <f t="shared" ca="1" si="108"/>
        <v>-537729.08310009539</v>
      </c>
      <c r="L1379" s="455">
        <f t="shared" ca="1" si="109"/>
        <v>-129592709.02712299</v>
      </c>
      <c r="M1379" s="471">
        <f t="shared" si="111"/>
        <v>0.05</v>
      </c>
      <c r="N1379" s="475">
        <f t="shared" si="112"/>
        <v>93017</v>
      </c>
    </row>
    <row r="1380" spans="7:14" ht="11.25" customHeight="1" x14ac:dyDescent="0.3">
      <c r="G1380" s="470"/>
      <c r="H1380" s="470">
        <v>1373</v>
      </c>
      <c r="I1380" s="455">
        <f t="shared" ca="1" si="110"/>
        <v>-129592709.02712299</v>
      </c>
      <c r="J1380" s="455">
        <f t="array" ref="J1380">IFERROR(INDEX('Retirement Calculator'!K:K,MATCH('Lorri 401b'!N1380,'Retirement Calculator'!A:A,0),0),0)</f>
        <v>0</v>
      </c>
      <c r="K1380" s="455">
        <f t="shared" ca="1" si="108"/>
        <v>-539969.62094634573</v>
      </c>
      <c r="L1380" s="455">
        <f t="shared" ca="1" si="109"/>
        <v>-130132678.64806934</v>
      </c>
      <c r="M1380" s="471">
        <f t="shared" si="111"/>
        <v>0.05</v>
      </c>
      <c r="N1380" s="475">
        <f t="shared" si="112"/>
        <v>93047</v>
      </c>
    </row>
    <row r="1381" spans="7:14" ht="11.25" customHeight="1" x14ac:dyDescent="0.3">
      <c r="G1381" s="470"/>
      <c r="H1381" s="470">
        <v>1374</v>
      </c>
      <c r="I1381" s="455">
        <f t="shared" ca="1" si="110"/>
        <v>-130132678.64806934</v>
      </c>
      <c r="J1381" s="455">
        <f t="array" ref="J1381">IFERROR(INDEX('Retirement Calculator'!K:K,MATCH('Lorri 401b'!N1381,'Retirement Calculator'!A:A,0),0),0)</f>
        <v>0</v>
      </c>
      <c r="K1381" s="455">
        <f t="shared" ca="1" si="108"/>
        <v>-542219.49436695559</v>
      </c>
      <c r="L1381" s="455">
        <f t="shared" ca="1" si="109"/>
        <v>-130674898.1424363</v>
      </c>
      <c r="M1381" s="471">
        <f t="shared" si="111"/>
        <v>0.05</v>
      </c>
      <c r="N1381" s="475">
        <f t="shared" si="112"/>
        <v>93078</v>
      </c>
    </row>
    <row r="1382" spans="7:14" ht="11.25" customHeight="1" x14ac:dyDescent="0.3">
      <c r="G1382" s="470"/>
      <c r="H1382" s="470">
        <v>1375</v>
      </c>
      <c r="I1382" s="455">
        <f t="shared" ca="1" si="110"/>
        <v>-130674898.1424363</v>
      </c>
      <c r="J1382" s="455">
        <f t="array" ref="J1382">IFERROR(INDEX('Retirement Calculator'!K:K,MATCH('Lorri 401b'!N1382,'Retirement Calculator'!A:A,0),0),0)</f>
        <v>0</v>
      </c>
      <c r="K1382" s="455">
        <f t="shared" ca="1" si="108"/>
        <v>-544478.74226015119</v>
      </c>
      <c r="L1382" s="455">
        <f t="shared" ca="1" si="109"/>
        <v>-131219376.88469645</v>
      </c>
      <c r="M1382" s="471">
        <f t="shared" si="111"/>
        <v>0.05</v>
      </c>
      <c r="N1382" s="475">
        <f t="shared" si="112"/>
        <v>93108</v>
      </c>
    </row>
    <row r="1383" spans="7:14" ht="11.25" customHeight="1" x14ac:dyDescent="0.3">
      <c r="G1383" s="470"/>
      <c r="H1383" s="470">
        <v>1376</v>
      </c>
      <c r="I1383" s="455">
        <f t="shared" ca="1" si="110"/>
        <v>-131219376.88469645</v>
      </c>
      <c r="J1383" s="455">
        <f t="array" ref="J1383">IFERROR(INDEX('Retirement Calculator'!K:K,MATCH('Lorri 401b'!N1383,'Retirement Calculator'!A:A,0),0),0)</f>
        <v>0</v>
      </c>
      <c r="K1383" s="455">
        <f t="shared" ca="1" si="108"/>
        <v>-546747.40368623531</v>
      </c>
      <c r="L1383" s="455">
        <f t="shared" ca="1" si="109"/>
        <v>-131766124.28838269</v>
      </c>
      <c r="M1383" s="471">
        <f t="shared" si="111"/>
        <v>0.05</v>
      </c>
      <c r="N1383" s="475">
        <f t="shared" si="112"/>
        <v>93139</v>
      </c>
    </row>
    <row r="1384" spans="7:14" ht="11.25" customHeight="1" x14ac:dyDescent="0.3">
      <c r="G1384" s="470"/>
      <c r="H1384" s="470">
        <v>1377</v>
      </c>
      <c r="I1384" s="455">
        <f t="shared" ca="1" si="110"/>
        <v>-131766124.28838269</v>
      </c>
      <c r="J1384" s="455">
        <f t="array" ref="J1384">IFERROR(INDEX('Retirement Calculator'!K:K,MATCH('Lorri 401b'!N1384,'Retirement Calculator'!A:A,0),0),0)</f>
        <v>0</v>
      </c>
      <c r="K1384" s="455">
        <f t="shared" ca="1" si="108"/>
        <v>-549025.5178682612</v>
      </c>
      <c r="L1384" s="455">
        <f t="shared" ca="1" si="109"/>
        <v>-132315149.80625096</v>
      </c>
      <c r="M1384" s="471">
        <f t="shared" si="111"/>
        <v>0.05</v>
      </c>
      <c r="N1384" s="475">
        <f t="shared" si="112"/>
        <v>93170</v>
      </c>
    </row>
    <row r="1385" spans="7:14" ht="11.25" customHeight="1" x14ac:dyDescent="0.3">
      <c r="G1385" s="470"/>
      <c r="H1385" s="470">
        <v>1378</v>
      </c>
      <c r="I1385" s="455">
        <f t="shared" ca="1" si="110"/>
        <v>-132315149.80625096</v>
      </c>
      <c r="J1385" s="455">
        <f t="array" ref="J1385">IFERROR(INDEX('Retirement Calculator'!K:K,MATCH('Lorri 401b'!N1385,'Retirement Calculator'!A:A,0),0),0)</f>
        <v>0</v>
      </c>
      <c r="K1385" s="455">
        <f t="shared" ca="1" si="108"/>
        <v>-551313.12419271236</v>
      </c>
      <c r="L1385" s="455">
        <f t="shared" ca="1" si="109"/>
        <v>-132866462.93044367</v>
      </c>
      <c r="M1385" s="471">
        <f t="shared" si="111"/>
        <v>0.05</v>
      </c>
      <c r="N1385" s="475">
        <f t="shared" si="112"/>
        <v>93198</v>
      </c>
    </row>
    <row r="1386" spans="7:14" ht="11.25" customHeight="1" x14ac:dyDescent="0.3">
      <c r="G1386" s="470"/>
      <c r="H1386" s="470">
        <v>1379</v>
      </c>
      <c r="I1386" s="455">
        <f t="shared" ca="1" si="110"/>
        <v>-132866462.93044367</v>
      </c>
      <c r="J1386" s="455">
        <f t="array" ref="J1386">IFERROR(INDEX('Retirement Calculator'!K:K,MATCH('Lorri 401b'!N1386,'Retirement Calculator'!A:A,0),0),0)</f>
        <v>0</v>
      </c>
      <c r="K1386" s="455">
        <f t="shared" ca="1" si="108"/>
        <v>-553610.26221018191</v>
      </c>
      <c r="L1386" s="455">
        <f t="shared" ca="1" si="109"/>
        <v>-133420073.19265385</v>
      </c>
      <c r="M1386" s="471">
        <f t="shared" si="111"/>
        <v>0.05</v>
      </c>
      <c r="N1386" s="475">
        <f t="shared" si="112"/>
        <v>93229</v>
      </c>
    </row>
    <row r="1387" spans="7:14" ht="11.25" customHeight="1" x14ac:dyDescent="0.3">
      <c r="G1387" s="470"/>
      <c r="H1387" s="470">
        <v>1380</v>
      </c>
      <c r="I1387" s="455">
        <f t="shared" ca="1" si="110"/>
        <v>-133420073.19265385</v>
      </c>
      <c r="J1387" s="455">
        <f t="array" ref="J1387">IFERROR(INDEX('Retirement Calculator'!K:K,MATCH('Lorri 401b'!N1387,'Retirement Calculator'!A:A,0),0),0)</f>
        <v>0</v>
      </c>
      <c r="K1387" s="455">
        <f t="shared" ca="1" si="108"/>
        <v>-555916.97163605771</v>
      </c>
      <c r="L1387" s="455">
        <f t="shared" ca="1" si="109"/>
        <v>-133975990.16428991</v>
      </c>
      <c r="M1387" s="471">
        <f t="shared" si="111"/>
        <v>0.05</v>
      </c>
      <c r="N1387" s="475">
        <f t="shared" si="112"/>
        <v>93259</v>
      </c>
    </row>
    <row r="1388" spans="7:14" ht="11.25" customHeight="1" x14ac:dyDescent="0.3">
      <c r="G1388" s="470"/>
      <c r="H1388" s="470">
        <v>1381</v>
      </c>
      <c r="I1388" s="455">
        <f t="shared" ca="1" si="110"/>
        <v>-133975990.16428991</v>
      </c>
      <c r="J1388" s="455">
        <f t="array" ref="J1388">IFERROR(INDEX('Retirement Calculator'!K:K,MATCH('Lorri 401b'!N1388,'Retirement Calculator'!A:A,0),0),0)</f>
        <v>0</v>
      </c>
      <c r="K1388" s="455">
        <f t="shared" ca="1" si="108"/>
        <v>-558233.29235120805</v>
      </c>
      <c r="L1388" s="455">
        <f t="shared" ca="1" si="109"/>
        <v>-134534223.45664111</v>
      </c>
      <c r="M1388" s="471">
        <f t="shared" si="111"/>
        <v>0.05</v>
      </c>
      <c r="N1388" s="475">
        <f t="shared" si="112"/>
        <v>93290</v>
      </c>
    </row>
    <row r="1389" spans="7:14" ht="11.25" customHeight="1" x14ac:dyDescent="0.3">
      <c r="G1389" s="470"/>
      <c r="H1389" s="470">
        <v>1382</v>
      </c>
      <c r="I1389" s="455">
        <f t="shared" ca="1" si="110"/>
        <v>-134534223.45664111</v>
      </c>
      <c r="J1389" s="455">
        <f t="array" ref="J1389">IFERROR(INDEX('Retirement Calculator'!K:K,MATCH('Lorri 401b'!N1389,'Retirement Calculator'!A:A,0),0),0)</f>
        <v>0</v>
      </c>
      <c r="K1389" s="455">
        <f t="shared" ca="1" si="108"/>
        <v>-560559.26440267125</v>
      </c>
      <c r="L1389" s="455">
        <f t="shared" ca="1" si="109"/>
        <v>-135094782.72104377</v>
      </c>
      <c r="M1389" s="471">
        <f t="shared" si="111"/>
        <v>0.05</v>
      </c>
      <c r="N1389" s="475">
        <f t="shared" si="112"/>
        <v>93320</v>
      </c>
    </row>
    <row r="1390" spans="7:14" ht="11.25" customHeight="1" x14ac:dyDescent="0.3">
      <c r="G1390" s="470"/>
      <c r="H1390" s="470">
        <v>1383</v>
      </c>
      <c r="I1390" s="455">
        <f t="shared" ca="1" si="110"/>
        <v>-135094782.72104377</v>
      </c>
      <c r="J1390" s="455">
        <f t="array" ref="J1390">IFERROR(INDEX('Retirement Calculator'!K:K,MATCH('Lorri 401b'!N1390,'Retirement Calculator'!A:A,0),0),0)</f>
        <v>0</v>
      </c>
      <c r="K1390" s="455">
        <f t="shared" ca="1" si="108"/>
        <v>-562894.928004349</v>
      </c>
      <c r="L1390" s="455">
        <f t="shared" ca="1" si="109"/>
        <v>-135657677.64904812</v>
      </c>
      <c r="M1390" s="471">
        <f t="shared" si="111"/>
        <v>0.05</v>
      </c>
      <c r="N1390" s="475">
        <f t="shared" si="112"/>
        <v>93351</v>
      </c>
    </row>
    <row r="1391" spans="7:14" ht="11.25" customHeight="1" x14ac:dyDescent="0.3">
      <c r="G1391" s="470"/>
      <c r="H1391" s="470">
        <v>1384</v>
      </c>
      <c r="I1391" s="455">
        <f t="shared" ca="1" si="110"/>
        <v>-135657677.64904812</v>
      </c>
      <c r="J1391" s="455">
        <f t="array" ref="J1391">IFERROR(INDEX('Retirement Calculator'!K:K,MATCH('Lorri 401b'!N1391,'Retirement Calculator'!A:A,0),0),0)</f>
        <v>0</v>
      </c>
      <c r="K1391" s="455">
        <f t="shared" ca="1" si="108"/>
        <v>-565240.32353770046</v>
      </c>
      <c r="L1391" s="455">
        <f t="shared" ca="1" si="109"/>
        <v>-136222917.97258583</v>
      </c>
      <c r="M1391" s="471">
        <f t="shared" si="111"/>
        <v>0.05</v>
      </c>
      <c r="N1391" s="475">
        <f t="shared" si="112"/>
        <v>93382</v>
      </c>
    </row>
    <row r="1392" spans="7:14" ht="11.25" customHeight="1" x14ac:dyDescent="0.3">
      <c r="G1392" s="470"/>
      <c r="H1392" s="470">
        <v>1385</v>
      </c>
      <c r="I1392" s="455">
        <f t="shared" ca="1" si="110"/>
        <v>-136222917.97258583</v>
      </c>
      <c r="J1392" s="455">
        <f t="array" ref="J1392">IFERROR(INDEX('Retirement Calculator'!K:K,MATCH('Lorri 401b'!N1392,'Retirement Calculator'!A:A,0),0),0)</f>
        <v>0</v>
      </c>
      <c r="K1392" s="455">
        <f t="shared" ca="1" si="108"/>
        <v>-567595.49155244092</v>
      </c>
      <c r="L1392" s="455">
        <f t="shared" ca="1" si="109"/>
        <v>-136790513.46413827</v>
      </c>
      <c r="M1392" s="471">
        <f t="shared" si="111"/>
        <v>0.05</v>
      </c>
      <c r="N1392" s="475">
        <f t="shared" si="112"/>
        <v>93412</v>
      </c>
    </row>
    <row r="1393" spans="7:14" ht="11.25" customHeight="1" x14ac:dyDescent="0.3">
      <c r="G1393" s="470"/>
      <c r="H1393" s="470">
        <v>1386</v>
      </c>
      <c r="I1393" s="455">
        <f t="shared" ca="1" si="110"/>
        <v>-136790513.46413827</v>
      </c>
      <c r="J1393" s="455">
        <f t="array" ref="J1393">IFERROR(INDEX('Retirement Calculator'!K:K,MATCH('Lorri 401b'!N1393,'Retirement Calculator'!A:A,0),0),0)</f>
        <v>0</v>
      </c>
      <c r="K1393" s="455">
        <f t="shared" ca="1" si="108"/>
        <v>-569960.47276724281</v>
      </c>
      <c r="L1393" s="455">
        <f t="shared" ca="1" si="109"/>
        <v>-137360473.9369055</v>
      </c>
      <c r="M1393" s="471">
        <f t="shared" si="111"/>
        <v>0.05</v>
      </c>
      <c r="N1393" s="475">
        <f t="shared" si="112"/>
        <v>93443</v>
      </c>
    </row>
    <row r="1394" spans="7:14" ht="11.25" customHeight="1" x14ac:dyDescent="0.3">
      <c r="G1394" s="470"/>
      <c r="H1394" s="470">
        <v>1387</v>
      </c>
      <c r="I1394" s="455">
        <f t="shared" ca="1" si="110"/>
        <v>-137360473.9369055</v>
      </c>
      <c r="J1394" s="455">
        <f t="array" ref="J1394">IFERROR(INDEX('Retirement Calculator'!K:K,MATCH('Lorri 401b'!N1394,'Retirement Calculator'!A:A,0),0),0)</f>
        <v>0</v>
      </c>
      <c r="K1394" s="455">
        <f t="shared" ca="1" si="108"/>
        <v>-572335.30807043961</v>
      </c>
      <c r="L1394" s="455">
        <f t="shared" ca="1" si="109"/>
        <v>-137932809.24497595</v>
      </c>
      <c r="M1394" s="471">
        <f t="shared" si="111"/>
        <v>0.05</v>
      </c>
      <c r="N1394" s="475">
        <f t="shared" si="112"/>
        <v>93473</v>
      </c>
    </row>
    <row r="1395" spans="7:14" ht="11.25" customHeight="1" x14ac:dyDescent="0.3">
      <c r="G1395" s="470"/>
      <c r="H1395" s="470">
        <v>1388</v>
      </c>
      <c r="I1395" s="455">
        <f t="shared" ca="1" si="110"/>
        <v>-137932809.24497595</v>
      </c>
      <c r="J1395" s="455">
        <f t="array" ref="J1395">IFERROR(INDEX('Retirement Calculator'!K:K,MATCH('Lorri 401b'!N1395,'Retirement Calculator'!A:A,0),0),0)</f>
        <v>0</v>
      </c>
      <c r="K1395" s="455">
        <f t="shared" ca="1" si="108"/>
        <v>-574720.03852073313</v>
      </c>
      <c r="L1395" s="455">
        <f t="shared" ca="1" si="109"/>
        <v>-138507529.28349668</v>
      </c>
      <c r="M1395" s="471">
        <f t="shared" si="111"/>
        <v>0.05</v>
      </c>
      <c r="N1395" s="475">
        <f t="shared" si="112"/>
        <v>93504</v>
      </c>
    </row>
    <row r="1396" spans="7:14" ht="11.25" customHeight="1" x14ac:dyDescent="0.3">
      <c r="G1396" s="470"/>
      <c r="H1396" s="470">
        <v>1389</v>
      </c>
      <c r="I1396" s="455">
        <f t="shared" ca="1" si="110"/>
        <v>-138507529.28349668</v>
      </c>
      <c r="J1396" s="455">
        <f t="array" ref="J1396">IFERROR(INDEX('Retirement Calculator'!K:K,MATCH('Lorri 401b'!N1396,'Retirement Calculator'!A:A,0),0),0)</f>
        <v>0</v>
      </c>
      <c r="K1396" s="455">
        <f t="shared" ca="1" si="108"/>
        <v>-577114.70534790284</v>
      </c>
      <c r="L1396" s="455">
        <f t="shared" ca="1" si="109"/>
        <v>-139084643.98884457</v>
      </c>
      <c r="M1396" s="471">
        <f t="shared" si="111"/>
        <v>0.05</v>
      </c>
      <c r="N1396" s="475">
        <f t="shared" si="112"/>
        <v>93535</v>
      </c>
    </row>
    <row r="1397" spans="7:14" ht="11.25" customHeight="1" x14ac:dyDescent="0.3">
      <c r="G1397" s="470"/>
      <c r="H1397" s="470">
        <v>1390</v>
      </c>
      <c r="I1397" s="455">
        <f t="shared" ca="1" si="110"/>
        <v>-139084643.98884457</v>
      </c>
      <c r="J1397" s="455">
        <f t="array" ref="J1397">IFERROR(INDEX('Retirement Calculator'!K:K,MATCH('Lorri 401b'!N1397,'Retirement Calculator'!A:A,0),0),0)</f>
        <v>0</v>
      </c>
      <c r="K1397" s="455">
        <f t="shared" ca="1" si="108"/>
        <v>-579519.34995351906</v>
      </c>
      <c r="L1397" s="455">
        <f t="shared" ca="1" si="109"/>
        <v>-139664163.33879811</v>
      </c>
      <c r="M1397" s="471">
        <f t="shared" si="111"/>
        <v>0.05</v>
      </c>
      <c r="N1397" s="475">
        <f t="shared" si="112"/>
        <v>93564</v>
      </c>
    </row>
    <row r="1398" spans="7:14" ht="11.25" customHeight="1" x14ac:dyDescent="0.3">
      <c r="G1398" s="470"/>
      <c r="H1398" s="470">
        <v>1391</v>
      </c>
      <c r="I1398" s="455">
        <f t="shared" ca="1" si="110"/>
        <v>-139664163.33879811</v>
      </c>
      <c r="J1398" s="455">
        <f t="array" ref="J1398">IFERROR(INDEX('Retirement Calculator'!K:K,MATCH('Lorri 401b'!N1398,'Retirement Calculator'!A:A,0),0),0)</f>
        <v>0</v>
      </c>
      <c r="K1398" s="455">
        <f t="shared" ca="1" si="108"/>
        <v>-581934.01391165878</v>
      </c>
      <c r="L1398" s="455">
        <f t="shared" ca="1" si="109"/>
        <v>-140246097.35270977</v>
      </c>
      <c r="M1398" s="471">
        <f t="shared" si="111"/>
        <v>0.05</v>
      </c>
      <c r="N1398" s="475">
        <f t="shared" si="112"/>
        <v>93595</v>
      </c>
    </row>
    <row r="1399" spans="7:14" ht="11.25" customHeight="1" x14ac:dyDescent="0.3">
      <c r="G1399" s="470"/>
      <c r="H1399" s="470">
        <v>1392</v>
      </c>
      <c r="I1399" s="455">
        <f t="shared" ca="1" si="110"/>
        <v>-140246097.35270977</v>
      </c>
      <c r="J1399" s="455">
        <f t="array" ref="J1399">IFERROR(INDEX('Retirement Calculator'!K:K,MATCH('Lorri 401b'!N1399,'Retirement Calculator'!A:A,0),0),0)</f>
        <v>0</v>
      </c>
      <c r="K1399" s="455">
        <f t="shared" ca="1" si="108"/>
        <v>-584358.73896962404</v>
      </c>
      <c r="L1399" s="455">
        <f t="shared" ca="1" si="109"/>
        <v>-140830456.09167939</v>
      </c>
      <c r="M1399" s="471">
        <f t="shared" si="111"/>
        <v>0.05</v>
      </c>
      <c r="N1399" s="475">
        <f t="shared" si="112"/>
        <v>93625</v>
      </c>
    </row>
    <row r="1400" spans="7:14" ht="11.25" customHeight="1" x14ac:dyDescent="0.3">
      <c r="G1400" s="470"/>
      <c r="H1400" s="470">
        <v>1393</v>
      </c>
      <c r="I1400" s="455">
        <f t="shared" ca="1" si="110"/>
        <v>-140830456.09167939</v>
      </c>
      <c r="J1400" s="455">
        <f t="array" ref="J1400">IFERROR(INDEX('Retirement Calculator'!K:K,MATCH('Lorri 401b'!N1400,'Retirement Calculator'!A:A,0),0),0)</f>
        <v>0</v>
      </c>
      <c r="K1400" s="455">
        <f t="shared" ca="1" si="108"/>
        <v>-586793.56704866409</v>
      </c>
      <c r="L1400" s="455">
        <f t="shared" ca="1" si="109"/>
        <v>-141417249.65872806</v>
      </c>
      <c r="M1400" s="471">
        <f t="shared" si="111"/>
        <v>0.05</v>
      </c>
      <c r="N1400" s="475">
        <f t="shared" si="112"/>
        <v>93656</v>
      </c>
    </row>
    <row r="1401" spans="7:14" ht="11.25" customHeight="1" x14ac:dyDescent="0.3">
      <c r="G1401" s="470"/>
      <c r="H1401" s="470">
        <v>1394</v>
      </c>
      <c r="I1401" s="455">
        <f t="shared" ca="1" si="110"/>
        <v>-141417249.65872806</v>
      </c>
      <c r="J1401" s="455">
        <f t="array" ref="J1401">IFERROR(INDEX('Retirement Calculator'!K:K,MATCH('Lorri 401b'!N1401,'Retirement Calculator'!A:A,0),0),0)</f>
        <v>0</v>
      </c>
      <c r="K1401" s="455">
        <f t="shared" ca="1" si="108"/>
        <v>-589238.54024470027</v>
      </c>
      <c r="L1401" s="455">
        <f t="shared" ca="1" si="109"/>
        <v>-142006488.19897276</v>
      </c>
      <c r="M1401" s="471">
        <f t="shared" si="111"/>
        <v>0.05</v>
      </c>
      <c r="N1401" s="475">
        <f t="shared" si="112"/>
        <v>93686</v>
      </c>
    </row>
    <row r="1402" spans="7:14" ht="11.25" customHeight="1" x14ac:dyDescent="0.3">
      <c r="G1402" s="470"/>
      <c r="H1402" s="470">
        <v>1395</v>
      </c>
      <c r="I1402" s="455">
        <f t="shared" ca="1" si="110"/>
        <v>-142006488.19897276</v>
      </c>
      <c r="J1402" s="455">
        <f t="array" ref="J1402">IFERROR(INDEX('Retirement Calculator'!K:K,MATCH('Lorri 401b'!N1402,'Retirement Calculator'!A:A,0),0),0)</f>
        <v>0</v>
      </c>
      <c r="K1402" s="455">
        <f t="shared" ca="1" si="108"/>
        <v>-591693.70082905318</v>
      </c>
      <c r="L1402" s="455">
        <f t="shared" ca="1" si="109"/>
        <v>-142598181.89980182</v>
      </c>
      <c r="M1402" s="471">
        <f t="shared" si="111"/>
        <v>0.05</v>
      </c>
      <c r="N1402" s="475">
        <f t="shared" si="112"/>
        <v>93717</v>
      </c>
    </row>
    <row r="1403" spans="7:14" ht="11.25" customHeight="1" x14ac:dyDescent="0.3">
      <c r="G1403" s="470"/>
      <c r="H1403" s="470">
        <v>1396</v>
      </c>
      <c r="I1403" s="455">
        <f t="shared" ca="1" si="110"/>
        <v>-142598181.89980182</v>
      </c>
      <c r="J1403" s="455">
        <f t="array" ref="J1403">IFERROR(INDEX('Retirement Calculator'!K:K,MATCH('Lorri 401b'!N1403,'Retirement Calculator'!A:A,0),0),0)</f>
        <v>0</v>
      </c>
      <c r="K1403" s="455">
        <f t="shared" ca="1" si="108"/>
        <v>-594159.09124917421</v>
      </c>
      <c r="L1403" s="455">
        <f t="shared" ca="1" si="109"/>
        <v>-143192340.99105099</v>
      </c>
      <c r="M1403" s="471">
        <f t="shared" si="111"/>
        <v>0.05</v>
      </c>
      <c r="N1403" s="475">
        <f t="shared" si="112"/>
        <v>93748</v>
      </c>
    </row>
    <row r="1404" spans="7:14" ht="11.25" customHeight="1" x14ac:dyDescent="0.3">
      <c r="G1404" s="470"/>
      <c r="H1404" s="470">
        <v>1397</v>
      </c>
      <c r="I1404" s="455">
        <f t="shared" ca="1" si="110"/>
        <v>-143192340.99105099</v>
      </c>
      <c r="J1404" s="455">
        <f t="array" ref="J1404">IFERROR(INDEX('Retirement Calculator'!K:K,MATCH('Lorri 401b'!N1404,'Retirement Calculator'!A:A,0),0),0)</f>
        <v>0</v>
      </c>
      <c r="K1404" s="455">
        <f t="shared" ca="1" si="108"/>
        <v>-596634.75412937906</v>
      </c>
      <c r="L1404" s="455">
        <f t="shared" ca="1" si="109"/>
        <v>-143788975.74518037</v>
      </c>
      <c r="M1404" s="471">
        <f t="shared" si="111"/>
        <v>0.05</v>
      </c>
      <c r="N1404" s="475">
        <f t="shared" si="112"/>
        <v>93778</v>
      </c>
    </row>
    <row r="1405" spans="7:14" ht="11.25" customHeight="1" x14ac:dyDescent="0.3">
      <c r="G1405" s="470"/>
      <c r="H1405" s="470">
        <v>1398</v>
      </c>
      <c r="I1405" s="455">
        <f t="shared" ca="1" si="110"/>
        <v>-143788975.74518037</v>
      </c>
      <c r="J1405" s="455">
        <f t="array" ref="J1405">IFERROR(INDEX('Retirement Calculator'!K:K,MATCH('Lorri 401b'!N1405,'Retirement Calculator'!A:A,0),0),0)</f>
        <v>0</v>
      </c>
      <c r="K1405" s="455">
        <f t="shared" ca="1" si="108"/>
        <v>-599120.73227158491</v>
      </c>
      <c r="L1405" s="455">
        <f t="shared" ca="1" si="109"/>
        <v>-144388096.47745195</v>
      </c>
      <c r="M1405" s="471">
        <f t="shared" si="111"/>
        <v>0.05</v>
      </c>
      <c r="N1405" s="475">
        <f t="shared" si="112"/>
        <v>93809</v>
      </c>
    </row>
    <row r="1406" spans="7:14" ht="11.25" customHeight="1" x14ac:dyDescent="0.3">
      <c r="G1406" s="470"/>
      <c r="H1406" s="470">
        <v>1399</v>
      </c>
      <c r="I1406" s="455">
        <f t="shared" ca="1" si="110"/>
        <v>-144388096.47745195</v>
      </c>
      <c r="J1406" s="455">
        <f t="array" ref="J1406">IFERROR(INDEX('Retirement Calculator'!K:K,MATCH('Lorri 401b'!N1406,'Retirement Calculator'!A:A,0),0),0)</f>
        <v>0</v>
      </c>
      <c r="K1406" s="455">
        <f t="shared" ca="1" si="108"/>
        <v>-601617.06865604979</v>
      </c>
      <c r="L1406" s="455">
        <f t="shared" ca="1" si="109"/>
        <v>-144989713.54610801</v>
      </c>
      <c r="M1406" s="471">
        <f t="shared" si="111"/>
        <v>0.05</v>
      </c>
      <c r="N1406" s="475">
        <f t="shared" si="112"/>
        <v>93839</v>
      </c>
    </row>
    <row r="1407" spans="7:14" ht="11.25" customHeight="1" x14ac:dyDescent="0.3">
      <c r="G1407" s="470"/>
      <c r="H1407" s="470">
        <v>1400</v>
      </c>
      <c r="I1407" s="455">
        <f t="shared" ca="1" si="110"/>
        <v>-144989713.54610801</v>
      </c>
      <c r="J1407" s="455">
        <f t="array" ref="J1407">IFERROR(INDEX('Retirement Calculator'!K:K,MATCH('Lorri 401b'!N1407,'Retirement Calculator'!A:A,0),0),0)</f>
        <v>0</v>
      </c>
      <c r="K1407" s="455">
        <f t="shared" ca="1" si="108"/>
        <v>-604123.80644211674</v>
      </c>
      <c r="L1407" s="455">
        <f t="shared" ca="1" si="109"/>
        <v>-145593837.35255012</v>
      </c>
      <c r="M1407" s="471">
        <f t="shared" si="111"/>
        <v>0.05</v>
      </c>
      <c r="N1407" s="475">
        <f t="shared" si="112"/>
        <v>93870</v>
      </c>
    </row>
    <row r="1408" spans="7:14" ht="11.25" customHeight="1" x14ac:dyDescent="0.3">
      <c r="G1408" s="470"/>
      <c r="H1408" s="470">
        <v>1401</v>
      </c>
      <c r="I1408" s="455">
        <f t="shared" ca="1" si="110"/>
        <v>-145593837.35255012</v>
      </c>
      <c r="J1408" s="455">
        <f t="array" ref="J1408">IFERROR(INDEX('Retirement Calculator'!K:K,MATCH('Lorri 401b'!N1408,'Retirement Calculator'!A:A,0),0),0)</f>
        <v>0</v>
      </c>
      <c r="K1408" s="455">
        <f t="shared" ca="1" si="108"/>
        <v>-606640.98896895885</v>
      </c>
      <c r="L1408" s="455">
        <f t="shared" ca="1" si="109"/>
        <v>-146200478.34151909</v>
      </c>
      <c r="M1408" s="471">
        <f t="shared" si="111"/>
        <v>0.05</v>
      </c>
      <c r="N1408" s="475">
        <f t="shared" si="112"/>
        <v>93901</v>
      </c>
    </row>
    <row r="1409" spans="7:14" ht="11.25" customHeight="1" x14ac:dyDescent="0.3">
      <c r="G1409" s="470"/>
      <c r="H1409" s="470">
        <v>1402</v>
      </c>
      <c r="I1409" s="455">
        <f t="shared" ca="1" si="110"/>
        <v>-146200478.34151909</v>
      </c>
      <c r="J1409" s="455">
        <f t="array" ref="J1409">IFERROR(INDEX('Retirement Calculator'!K:K,MATCH('Lorri 401b'!N1409,'Retirement Calculator'!A:A,0),0),0)</f>
        <v>0</v>
      </c>
      <c r="K1409" s="455">
        <f t="shared" ca="1" si="108"/>
        <v>-609168.65975632949</v>
      </c>
      <c r="L1409" s="455">
        <f t="shared" ca="1" si="109"/>
        <v>-146809647.00127542</v>
      </c>
      <c r="M1409" s="471">
        <f t="shared" si="111"/>
        <v>0.05</v>
      </c>
      <c r="N1409" s="475">
        <f t="shared" si="112"/>
        <v>93929</v>
      </c>
    </row>
    <row r="1410" spans="7:14" ht="11.25" customHeight="1" x14ac:dyDescent="0.3">
      <c r="G1410" s="470"/>
      <c r="H1410" s="470">
        <v>1403</v>
      </c>
      <c r="I1410" s="455">
        <f t="shared" ca="1" si="110"/>
        <v>-146809647.00127542</v>
      </c>
      <c r="J1410" s="455">
        <f t="array" ref="J1410">IFERROR(INDEX('Retirement Calculator'!K:K,MATCH('Lorri 401b'!N1410,'Retirement Calculator'!A:A,0),0),0)</f>
        <v>0</v>
      </c>
      <c r="K1410" s="455">
        <f t="shared" ca="1" si="108"/>
        <v>-611706.86250531429</v>
      </c>
      <c r="L1410" s="455">
        <f t="shared" ca="1" si="109"/>
        <v>-147421353.86378074</v>
      </c>
      <c r="M1410" s="471">
        <f t="shared" si="111"/>
        <v>0.05</v>
      </c>
      <c r="N1410" s="475">
        <f t="shared" si="112"/>
        <v>93960</v>
      </c>
    </row>
    <row r="1411" spans="7:14" ht="11.25" customHeight="1" x14ac:dyDescent="0.3">
      <c r="G1411" s="470"/>
      <c r="H1411" s="470">
        <v>1404</v>
      </c>
      <c r="I1411" s="455">
        <f t="shared" ca="1" si="110"/>
        <v>-147421353.86378074</v>
      </c>
      <c r="J1411" s="455">
        <f t="array" ref="J1411">IFERROR(INDEX('Retirement Calculator'!K:K,MATCH('Lorri 401b'!N1411,'Retirement Calculator'!A:A,0),0),0)</f>
        <v>0</v>
      </c>
      <c r="K1411" s="455">
        <f t="shared" ca="1" si="108"/>
        <v>-614255.64109908638</v>
      </c>
      <c r="L1411" s="455">
        <f t="shared" ca="1" si="109"/>
        <v>-148035609.50487983</v>
      </c>
      <c r="M1411" s="471">
        <f t="shared" si="111"/>
        <v>0.05</v>
      </c>
      <c r="N1411" s="475">
        <f t="shared" si="112"/>
        <v>93990</v>
      </c>
    </row>
    <row r="1412" spans="7:14" ht="11.25" customHeight="1" x14ac:dyDescent="0.3">
      <c r="G1412" s="470"/>
      <c r="H1412" s="470">
        <v>1405</v>
      </c>
      <c r="I1412" s="455">
        <f t="shared" ca="1" si="110"/>
        <v>-148035609.50487983</v>
      </c>
      <c r="J1412" s="455">
        <f t="array" ref="J1412">IFERROR(INDEX('Retirement Calculator'!K:K,MATCH('Lorri 401b'!N1412,'Retirement Calculator'!A:A,0),0),0)</f>
        <v>0</v>
      </c>
      <c r="K1412" s="455">
        <f t="shared" ca="1" si="108"/>
        <v>-616815.03960366594</v>
      </c>
      <c r="L1412" s="455">
        <f t="shared" ca="1" si="109"/>
        <v>-148652424.54448351</v>
      </c>
      <c r="M1412" s="471">
        <f t="shared" si="111"/>
        <v>0.05</v>
      </c>
      <c r="N1412" s="475">
        <f t="shared" si="112"/>
        <v>94021</v>
      </c>
    </row>
    <row r="1413" spans="7:14" ht="11.25" customHeight="1" x14ac:dyDescent="0.3">
      <c r="G1413" s="470"/>
      <c r="H1413" s="470">
        <v>1406</v>
      </c>
      <c r="I1413" s="455">
        <f t="shared" ca="1" si="110"/>
        <v>-148652424.54448351</v>
      </c>
      <c r="J1413" s="455">
        <f t="array" ref="J1413">IFERROR(INDEX('Retirement Calculator'!K:K,MATCH('Lorri 401b'!N1413,'Retirement Calculator'!A:A,0),0),0)</f>
        <v>0</v>
      </c>
      <c r="K1413" s="455">
        <f t="shared" ca="1" si="108"/>
        <v>-619385.10226868128</v>
      </c>
      <c r="L1413" s="455">
        <f t="shared" ca="1" si="109"/>
        <v>-149271809.64675221</v>
      </c>
      <c r="M1413" s="471">
        <f t="shared" si="111"/>
        <v>0.05</v>
      </c>
      <c r="N1413" s="475">
        <f t="shared" si="112"/>
        <v>94051</v>
      </c>
    </row>
    <row r="1414" spans="7:14" ht="11.25" customHeight="1" x14ac:dyDescent="0.3">
      <c r="G1414" s="470"/>
      <c r="H1414" s="470">
        <v>1407</v>
      </c>
      <c r="I1414" s="455">
        <f t="shared" ca="1" si="110"/>
        <v>-149271809.64675221</v>
      </c>
      <c r="J1414" s="455">
        <f t="array" ref="J1414">IFERROR(INDEX('Retirement Calculator'!K:K,MATCH('Lorri 401b'!N1414,'Retirement Calculator'!A:A,0),0),0)</f>
        <v>0</v>
      </c>
      <c r="K1414" s="455">
        <f t="shared" ca="1" si="108"/>
        <v>-621965.87352813419</v>
      </c>
      <c r="L1414" s="455">
        <f t="shared" ca="1" si="109"/>
        <v>-149893775.52028033</v>
      </c>
      <c r="M1414" s="471">
        <f t="shared" si="111"/>
        <v>0.05</v>
      </c>
      <c r="N1414" s="475">
        <f t="shared" si="112"/>
        <v>94082</v>
      </c>
    </row>
    <row r="1415" spans="7:14" ht="11.25" customHeight="1" x14ac:dyDescent="0.3">
      <c r="G1415" s="470"/>
      <c r="H1415" s="470">
        <v>1408</v>
      </c>
      <c r="I1415" s="455">
        <f t="shared" ca="1" si="110"/>
        <v>-149893775.52028033</v>
      </c>
      <c r="J1415" s="455">
        <f t="array" ref="J1415">IFERROR(INDEX('Retirement Calculator'!K:K,MATCH('Lorri 401b'!N1415,'Retirement Calculator'!A:A,0),0),0)</f>
        <v>0</v>
      </c>
      <c r="K1415" s="455">
        <f t="shared" ca="1" si="108"/>
        <v>-624557.39800116804</v>
      </c>
      <c r="L1415" s="455">
        <f t="shared" ca="1" si="109"/>
        <v>-150518332.9182815</v>
      </c>
      <c r="M1415" s="471">
        <f t="shared" si="111"/>
        <v>0.05</v>
      </c>
      <c r="N1415" s="475">
        <f t="shared" si="112"/>
        <v>94113</v>
      </c>
    </row>
    <row r="1416" spans="7:14" ht="11.25" customHeight="1" x14ac:dyDescent="0.3">
      <c r="G1416" s="470"/>
      <c r="H1416" s="470">
        <v>1409</v>
      </c>
      <c r="I1416" s="455">
        <f t="shared" ca="1" si="110"/>
        <v>-150518332.9182815</v>
      </c>
      <c r="J1416" s="455">
        <f t="array" ref="J1416">IFERROR(INDEX('Retirement Calculator'!K:K,MATCH('Lorri 401b'!N1416,'Retirement Calculator'!A:A,0),0),0)</f>
        <v>0</v>
      </c>
      <c r="K1416" s="455">
        <f t="shared" ca="1" si="108"/>
        <v>-627159.72049283958</v>
      </c>
      <c r="L1416" s="455">
        <f t="shared" ca="1" si="109"/>
        <v>-151145492.63877434</v>
      </c>
      <c r="M1416" s="471">
        <f t="shared" si="111"/>
        <v>0.05</v>
      </c>
      <c r="N1416" s="475">
        <f t="shared" si="112"/>
        <v>94143</v>
      </c>
    </row>
    <row r="1417" spans="7:14" ht="11.25" customHeight="1" x14ac:dyDescent="0.3">
      <c r="G1417" s="470"/>
      <c r="H1417" s="470">
        <v>1410</v>
      </c>
      <c r="I1417" s="455">
        <f t="shared" ca="1" si="110"/>
        <v>-151145492.63877434</v>
      </c>
      <c r="J1417" s="455">
        <f t="array" ref="J1417">IFERROR(INDEX('Retirement Calculator'!K:K,MATCH('Lorri 401b'!N1417,'Retirement Calculator'!A:A,0),0),0)</f>
        <v>0</v>
      </c>
      <c r="K1417" s="455">
        <f t="shared" ca="1" si="108"/>
        <v>-629772.88599489303</v>
      </c>
      <c r="L1417" s="455">
        <f t="shared" ca="1" si="109"/>
        <v>-151775265.52476922</v>
      </c>
      <c r="M1417" s="471">
        <f t="shared" si="111"/>
        <v>0.05</v>
      </c>
      <c r="N1417" s="475">
        <f t="shared" si="112"/>
        <v>94174</v>
      </c>
    </row>
    <row r="1418" spans="7:14" ht="11.25" customHeight="1" x14ac:dyDescent="0.3">
      <c r="G1418" s="470"/>
      <c r="H1418" s="470">
        <v>1411</v>
      </c>
      <c r="I1418" s="455">
        <f t="shared" ca="1" si="110"/>
        <v>-151775265.52476922</v>
      </c>
      <c r="J1418" s="455">
        <f t="array" ref="J1418">IFERROR(INDEX('Retirement Calculator'!K:K,MATCH('Lorri 401b'!N1418,'Retirement Calculator'!A:A,0),0),0)</f>
        <v>0</v>
      </c>
      <c r="K1418" s="455">
        <f t="shared" ca="1" si="108"/>
        <v>-632396.93968653842</v>
      </c>
      <c r="L1418" s="455">
        <f t="shared" ca="1" si="109"/>
        <v>-152407662.46445575</v>
      </c>
      <c r="M1418" s="471">
        <f t="shared" si="111"/>
        <v>0.05</v>
      </c>
      <c r="N1418" s="475">
        <f t="shared" si="112"/>
        <v>94204</v>
      </c>
    </row>
    <row r="1419" spans="7:14" ht="11.25" customHeight="1" x14ac:dyDescent="0.3">
      <c r="G1419" s="470"/>
      <c r="H1419" s="470">
        <v>1412</v>
      </c>
      <c r="I1419" s="455">
        <f t="shared" ca="1" si="110"/>
        <v>-152407662.46445575</v>
      </c>
      <c r="J1419" s="455">
        <f t="array" ref="J1419">IFERROR(INDEX('Retirement Calculator'!K:K,MATCH('Lorri 401b'!N1419,'Retirement Calculator'!A:A,0),0),0)</f>
        <v>0</v>
      </c>
      <c r="K1419" s="455">
        <f t="shared" ca="1" si="108"/>
        <v>-635031.92693523224</v>
      </c>
      <c r="L1419" s="455">
        <f t="shared" ca="1" si="109"/>
        <v>-153042694.39139098</v>
      </c>
      <c r="M1419" s="471">
        <f t="shared" si="111"/>
        <v>0.05</v>
      </c>
      <c r="N1419" s="475">
        <f t="shared" si="112"/>
        <v>94235</v>
      </c>
    </row>
    <row r="1420" spans="7:14" ht="11.25" customHeight="1" x14ac:dyDescent="0.3">
      <c r="G1420" s="470"/>
      <c r="H1420" s="470">
        <v>1413</v>
      </c>
      <c r="I1420" s="455">
        <f t="shared" ca="1" si="110"/>
        <v>-153042694.39139098</v>
      </c>
      <c r="J1420" s="455">
        <f t="array" ref="J1420">IFERROR(INDEX('Retirement Calculator'!K:K,MATCH('Lorri 401b'!N1420,'Retirement Calculator'!A:A,0),0),0)</f>
        <v>0</v>
      </c>
      <c r="K1420" s="455">
        <f t="shared" ca="1" si="108"/>
        <v>-637677.89329746237</v>
      </c>
      <c r="L1420" s="455">
        <f t="shared" ca="1" si="109"/>
        <v>-153680372.28468844</v>
      </c>
      <c r="M1420" s="471">
        <f t="shared" si="111"/>
        <v>0.05</v>
      </c>
      <c r="N1420" s="475">
        <f t="shared" si="112"/>
        <v>94266</v>
      </c>
    </row>
    <row r="1421" spans="7:14" ht="11.25" customHeight="1" x14ac:dyDescent="0.3">
      <c r="G1421" s="470"/>
      <c r="H1421" s="470">
        <v>1414</v>
      </c>
      <c r="I1421" s="455">
        <f t="shared" ca="1" si="110"/>
        <v>-153680372.28468844</v>
      </c>
      <c r="J1421" s="455">
        <f t="array" ref="J1421">IFERROR(INDEX('Retirement Calculator'!K:K,MATCH('Lorri 401b'!N1421,'Retirement Calculator'!A:A,0),0),0)</f>
        <v>0</v>
      </c>
      <c r="K1421" s="455">
        <f t="shared" ca="1" si="108"/>
        <v>-640334.88451953512</v>
      </c>
      <c r="L1421" s="455">
        <f t="shared" ca="1" si="109"/>
        <v>-154320707.16920799</v>
      </c>
      <c r="M1421" s="471">
        <f t="shared" si="111"/>
        <v>0.05</v>
      </c>
      <c r="N1421" s="475">
        <f t="shared" si="112"/>
        <v>94294</v>
      </c>
    </row>
    <row r="1422" spans="7:14" ht="11.25" customHeight="1" x14ac:dyDescent="0.3">
      <c r="G1422" s="470"/>
      <c r="H1422" s="470">
        <v>1415</v>
      </c>
      <c r="I1422" s="455">
        <f t="shared" ca="1" si="110"/>
        <v>-154320707.16920799</v>
      </c>
      <c r="J1422" s="455">
        <f t="array" ref="J1422">IFERROR(INDEX('Retirement Calculator'!K:K,MATCH('Lorri 401b'!N1422,'Retirement Calculator'!A:A,0),0),0)</f>
        <v>0</v>
      </c>
      <c r="K1422" s="455">
        <f t="shared" ca="1" si="108"/>
        <v>-643002.94653836661</v>
      </c>
      <c r="L1422" s="455">
        <f t="shared" ca="1" si="109"/>
        <v>-154963710.11574635</v>
      </c>
      <c r="M1422" s="471">
        <f t="shared" si="111"/>
        <v>0.05</v>
      </c>
      <c r="N1422" s="475">
        <f t="shared" si="112"/>
        <v>94325</v>
      </c>
    </row>
    <row r="1423" spans="7:14" ht="11.25" customHeight="1" x14ac:dyDescent="0.3">
      <c r="G1423" s="470"/>
      <c r="H1423" s="470">
        <v>1416</v>
      </c>
      <c r="I1423" s="455">
        <f t="shared" ca="1" si="110"/>
        <v>-154963710.11574635</v>
      </c>
      <c r="J1423" s="455">
        <f t="array" ref="J1423">IFERROR(INDEX('Retirement Calculator'!K:K,MATCH('Lorri 401b'!N1423,'Retirement Calculator'!A:A,0),0),0)</f>
        <v>0</v>
      </c>
      <c r="K1423" s="455">
        <f t="shared" ca="1" si="108"/>
        <v>-645682.12548227643</v>
      </c>
      <c r="L1423" s="455">
        <f t="shared" ca="1" si="109"/>
        <v>-155609392.24122864</v>
      </c>
      <c r="M1423" s="471">
        <f t="shared" si="111"/>
        <v>0.05</v>
      </c>
      <c r="N1423" s="475">
        <f t="shared" si="112"/>
        <v>94355</v>
      </c>
    </row>
    <row r="1424" spans="7:14" ht="11.25" customHeight="1" x14ac:dyDescent="0.3">
      <c r="G1424" s="470"/>
      <c r="H1424" s="470">
        <v>1417</v>
      </c>
      <c r="I1424" s="455">
        <f t="shared" ca="1" si="110"/>
        <v>-155609392.24122864</v>
      </c>
      <c r="J1424" s="455">
        <f t="array" ref="J1424">IFERROR(INDEX('Retirement Calculator'!K:K,MATCH('Lorri 401b'!N1424,'Retirement Calculator'!A:A,0),0),0)</f>
        <v>0</v>
      </c>
      <c r="K1424" s="455">
        <f t="shared" ca="1" si="108"/>
        <v>-648372.46767178597</v>
      </c>
      <c r="L1424" s="455">
        <f t="shared" ca="1" si="109"/>
        <v>-156257764.70890042</v>
      </c>
      <c r="M1424" s="471">
        <f t="shared" si="111"/>
        <v>0.05</v>
      </c>
      <c r="N1424" s="475">
        <f t="shared" si="112"/>
        <v>94386</v>
      </c>
    </row>
    <row r="1425" spans="7:14" ht="11.25" customHeight="1" x14ac:dyDescent="0.3">
      <c r="G1425" s="470"/>
      <c r="H1425" s="470">
        <v>1418</v>
      </c>
      <c r="I1425" s="455">
        <f t="shared" ca="1" si="110"/>
        <v>-156257764.70890042</v>
      </c>
      <c r="J1425" s="455">
        <f t="array" ref="J1425">IFERROR(INDEX('Retirement Calculator'!K:K,MATCH('Lorri 401b'!N1425,'Retirement Calculator'!A:A,0),0),0)</f>
        <v>0</v>
      </c>
      <c r="K1425" s="455">
        <f t="shared" ca="1" si="108"/>
        <v>-651074.01962041843</v>
      </c>
      <c r="L1425" s="455">
        <f t="shared" ca="1" si="109"/>
        <v>-156908838.72852084</v>
      </c>
      <c r="M1425" s="471">
        <f t="shared" si="111"/>
        <v>0.05</v>
      </c>
      <c r="N1425" s="475">
        <f t="shared" si="112"/>
        <v>94416</v>
      </c>
    </row>
    <row r="1426" spans="7:14" ht="11.25" customHeight="1" x14ac:dyDescent="0.3">
      <c r="G1426" s="470"/>
      <c r="H1426" s="470">
        <v>1419</v>
      </c>
      <c r="I1426" s="455">
        <f t="shared" ca="1" si="110"/>
        <v>-156908838.72852084</v>
      </c>
      <c r="J1426" s="455">
        <f t="array" ref="J1426">IFERROR(INDEX('Retirement Calculator'!K:K,MATCH('Lorri 401b'!N1426,'Retirement Calculator'!A:A,0),0),0)</f>
        <v>0</v>
      </c>
      <c r="K1426" s="455">
        <f t="shared" ca="1" si="108"/>
        <v>-653786.82803550351</v>
      </c>
      <c r="L1426" s="455">
        <f t="shared" ca="1" si="109"/>
        <v>-157562625.55655634</v>
      </c>
      <c r="M1426" s="471">
        <f t="shared" si="111"/>
        <v>0.05</v>
      </c>
      <c r="N1426" s="475">
        <f t="shared" si="112"/>
        <v>94447</v>
      </c>
    </row>
    <row r="1427" spans="7:14" ht="11.25" customHeight="1" x14ac:dyDescent="0.3">
      <c r="G1427" s="470"/>
      <c r="H1427" s="470">
        <v>1420</v>
      </c>
      <c r="I1427" s="455">
        <f t="shared" ca="1" si="110"/>
        <v>-157562625.55655634</v>
      </c>
      <c r="J1427" s="455">
        <f t="array" ref="J1427">IFERROR(INDEX('Retirement Calculator'!K:K,MATCH('Lorri 401b'!N1427,'Retirement Calculator'!A:A,0),0),0)</f>
        <v>0</v>
      </c>
      <c r="K1427" s="455">
        <f t="shared" ca="1" si="108"/>
        <v>-656510.93981898471</v>
      </c>
      <c r="L1427" s="455">
        <f t="shared" ca="1" si="109"/>
        <v>-158219136.49637532</v>
      </c>
      <c r="M1427" s="471">
        <f t="shared" si="111"/>
        <v>0.05</v>
      </c>
      <c r="N1427" s="475">
        <f t="shared" si="112"/>
        <v>94478</v>
      </c>
    </row>
    <row r="1428" spans="7:14" ht="11.25" customHeight="1" x14ac:dyDescent="0.3">
      <c r="G1428" s="470"/>
      <c r="H1428" s="470">
        <v>1421</v>
      </c>
      <c r="I1428" s="455">
        <f t="shared" ca="1" si="110"/>
        <v>-158219136.49637532</v>
      </c>
      <c r="J1428" s="455">
        <f t="array" ref="J1428">IFERROR(INDEX('Retirement Calculator'!K:K,MATCH('Lorri 401b'!N1428,'Retirement Calculator'!A:A,0),0),0)</f>
        <v>0</v>
      </c>
      <c r="K1428" s="455">
        <f t="shared" ca="1" si="108"/>
        <v>-659246.40206823056</v>
      </c>
      <c r="L1428" s="455">
        <f t="shared" ca="1" si="109"/>
        <v>-158878382.89844355</v>
      </c>
      <c r="M1428" s="471">
        <f t="shared" si="111"/>
        <v>0.05</v>
      </c>
      <c r="N1428" s="475">
        <f t="shared" si="112"/>
        <v>94508</v>
      </c>
    </row>
    <row r="1429" spans="7:14" ht="11.25" customHeight="1" x14ac:dyDescent="0.3">
      <c r="G1429" s="470"/>
      <c r="H1429" s="470">
        <v>1422</v>
      </c>
      <c r="I1429" s="455">
        <f t="shared" ca="1" si="110"/>
        <v>-158878382.89844355</v>
      </c>
      <c r="J1429" s="455">
        <f t="array" ref="J1429">IFERROR(INDEX('Retirement Calculator'!K:K,MATCH('Lorri 401b'!N1429,'Retirement Calculator'!A:A,0),0),0)</f>
        <v>0</v>
      </c>
      <c r="K1429" s="455">
        <f t="shared" ca="1" si="108"/>
        <v>-661993.26207684807</v>
      </c>
      <c r="L1429" s="455">
        <f t="shared" ca="1" si="109"/>
        <v>-159540376.1605204</v>
      </c>
      <c r="M1429" s="471">
        <f t="shared" si="111"/>
        <v>0.05</v>
      </c>
      <c r="N1429" s="475">
        <f t="shared" si="112"/>
        <v>94539</v>
      </c>
    </row>
    <row r="1430" spans="7:14" ht="11.25" customHeight="1" x14ac:dyDescent="0.3">
      <c r="G1430" s="470"/>
      <c r="H1430" s="470">
        <v>1423</v>
      </c>
      <c r="I1430" s="455">
        <f t="shared" ca="1" si="110"/>
        <v>-159540376.1605204</v>
      </c>
      <c r="J1430" s="455">
        <f t="array" ref="J1430">IFERROR(INDEX('Retirement Calculator'!K:K,MATCH('Lorri 401b'!N1430,'Retirement Calculator'!A:A,0),0),0)</f>
        <v>0</v>
      </c>
      <c r="K1430" s="455">
        <f t="shared" ca="1" si="108"/>
        <v>-664751.56733550166</v>
      </c>
      <c r="L1430" s="455">
        <f t="shared" ca="1" si="109"/>
        <v>-160205127.72785592</v>
      </c>
      <c r="M1430" s="471">
        <f t="shared" si="111"/>
        <v>0.05</v>
      </c>
      <c r="N1430" s="475">
        <f t="shared" si="112"/>
        <v>94569</v>
      </c>
    </row>
    <row r="1431" spans="7:14" ht="11.25" customHeight="1" x14ac:dyDescent="0.3">
      <c r="G1431" s="470"/>
      <c r="H1431" s="470">
        <v>1424</v>
      </c>
      <c r="I1431" s="455">
        <f t="shared" ca="1" si="110"/>
        <v>-160205127.72785592</v>
      </c>
      <c r="J1431" s="455">
        <f t="array" ref="J1431">IFERROR(INDEX('Retirement Calculator'!K:K,MATCH('Lorri 401b'!N1431,'Retirement Calculator'!A:A,0),0),0)</f>
        <v>0</v>
      </c>
      <c r="K1431" s="455">
        <f t="shared" ca="1" si="108"/>
        <v>-667521.36553273303</v>
      </c>
      <c r="L1431" s="455">
        <f t="shared" ca="1" si="109"/>
        <v>-160872649.09338865</v>
      </c>
      <c r="M1431" s="471">
        <f t="shared" si="111"/>
        <v>0.05</v>
      </c>
      <c r="N1431" s="475">
        <f t="shared" si="112"/>
        <v>94600</v>
      </c>
    </row>
    <row r="1432" spans="7:14" ht="11.25" customHeight="1" x14ac:dyDescent="0.3">
      <c r="G1432" s="470"/>
      <c r="H1432" s="470">
        <v>1425</v>
      </c>
      <c r="I1432" s="455">
        <f t="shared" ca="1" si="110"/>
        <v>-160872649.09338865</v>
      </c>
      <c r="J1432" s="455">
        <f t="array" ref="J1432">IFERROR(INDEX('Retirement Calculator'!K:K,MATCH('Lorri 401b'!N1432,'Retirement Calculator'!A:A,0),0),0)</f>
        <v>0</v>
      </c>
      <c r="K1432" s="455">
        <f t="shared" ca="1" si="108"/>
        <v>-670302.70455578598</v>
      </c>
      <c r="L1432" s="455">
        <f t="shared" ca="1" si="109"/>
        <v>-161542951.79794443</v>
      </c>
      <c r="M1432" s="471">
        <f t="shared" si="111"/>
        <v>0.05</v>
      </c>
      <c r="N1432" s="475">
        <f t="shared" si="112"/>
        <v>94631</v>
      </c>
    </row>
    <row r="1433" spans="7:14" ht="11.25" customHeight="1" x14ac:dyDescent="0.3">
      <c r="G1433" s="470"/>
      <c r="H1433" s="470">
        <v>1426</v>
      </c>
      <c r="I1433" s="455">
        <f t="shared" ca="1" si="110"/>
        <v>-161542951.79794443</v>
      </c>
      <c r="J1433" s="455">
        <f t="array" ref="J1433">IFERROR(INDEX('Retirement Calculator'!K:K,MATCH('Lorri 401b'!N1433,'Retirement Calculator'!A:A,0),0),0)</f>
        <v>0</v>
      </c>
      <c r="K1433" s="455">
        <f t="shared" ca="1" si="108"/>
        <v>-673095.63249143516</v>
      </c>
      <c r="L1433" s="455">
        <f t="shared" ca="1" si="109"/>
        <v>-162216047.43043587</v>
      </c>
      <c r="M1433" s="471">
        <f t="shared" si="111"/>
        <v>0.05</v>
      </c>
      <c r="N1433" s="475">
        <f t="shared" si="112"/>
        <v>94659</v>
      </c>
    </row>
    <row r="1434" spans="7:14" ht="11.25" customHeight="1" x14ac:dyDescent="0.3">
      <c r="G1434" s="470"/>
      <c r="H1434" s="470">
        <v>1427</v>
      </c>
      <c r="I1434" s="455">
        <f t="shared" ca="1" si="110"/>
        <v>-162216047.43043587</v>
      </c>
      <c r="J1434" s="455">
        <f t="array" ref="J1434">IFERROR(INDEX('Retirement Calculator'!K:K,MATCH('Lorri 401b'!N1434,'Retirement Calculator'!A:A,0),0),0)</f>
        <v>0</v>
      </c>
      <c r="K1434" s="455">
        <f t="shared" ca="1" si="108"/>
        <v>-675900.19762681611</v>
      </c>
      <c r="L1434" s="455">
        <f t="shared" ca="1" si="109"/>
        <v>-162891947.6280627</v>
      </c>
      <c r="M1434" s="471">
        <f t="shared" si="111"/>
        <v>0.05</v>
      </c>
      <c r="N1434" s="475">
        <f t="shared" si="112"/>
        <v>94690</v>
      </c>
    </row>
    <row r="1435" spans="7:14" ht="11.25" customHeight="1" x14ac:dyDescent="0.3">
      <c r="G1435" s="470"/>
      <c r="H1435" s="470">
        <v>1428</v>
      </c>
      <c r="I1435" s="455">
        <f t="shared" ca="1" si="110"/>
        <v>-162891947.6280627</v>
      </c>
      <c r="J1435" s="455">
        <f t="array" ref="J1435">IFERROR(INDEX('Retirement Calculator'!K:K,MATCH('Lorri 401b'!N1435,'Retirement Calculator'!A:A,0),0),0)</f>
        <v>0</v>
      </c>
      <c r="K1435" s="455">
        <f t="shared" ca="1" si="108"/>
        <v>-678716.44845026126</v>
      </c>
      <c r="L1435" s="455">
        <f t="shared" ca="1" si="109"/>
        <v>-163570664.07651296</v>
      </c>
      <c r="M1435" s="471">
        <f t="shared" si="111"/>
        <v>0.05</v>
      </c>
      <c r="N1435" s="475">
        <f t="shared" si="112"/>
        <v>94720</v>
      </c>
    </row>
    <row r="1436" spans="7:14" ht="11.25" customHeight="1" x14ac:dyDescent="0.3">
      <c r="G1436" s="470"/>
      <c r="H1436" s="470">
        <v>1429</v>
      </c>
      <c r="I1436" s="455">
        <f t="shared" ca="1" si="110"/>
        <v>-163570664.07651296</v>
      </c>
      <c r="J1436" s="455">
        <f t="array" ref="J1436">IFERROR(INDEX('Retirement Calculator'!K:K,MATCH('Lorri 401b'!N1436,'Retirement Calculator'!A:A,0),0),0)</f>
        <v>0</v>
      </c>
      <c r="K1436" s="455">
        <f t="shared" ca="1" si="108"/>
        <v>-681544.43365213729</v>
      </c>
      <c r="L1436" s="455">
        <f t="shared" ca="1" si="109"/>
        <v>-164252208.5101651</v>
      </c>
      <c r="M1436" s="471">
        <f t="shared" si="111"/>
        <v>0.05</v>
      </c>
      <c r="N1436" s="475">
        <f t="shared" si="112"/>
        <v>94751</v>
      </c>
    </row>
    <row r="1437" spans="7:14" ht="11.25" customHeight="1" x14ac:dyDescent="0.3">
      <c r="G1437" s="470"/>
      <c r="H1437" s="470">
        <v>1430</v>
      </c>
      <c r="I1437" s="455">
        <f t="shared" ca="1" si="110"/>
        <v>-164252208.5101651</v>
      </c>
      <c r="J1437" s="455">
        <f t="array" ref="J1437">IFERROR(INDEX('Retirement Calculator'!K:K,MATCH('Lorri 401b'!N1437,'Retirement Calculator'!A:A,0),0),0)</f>
        <v>0</v>
      </c>
      <c r="K1437" s="455">
        <f t="shared" ca="1" si="108"/>
        <v>-684384.20212568785</v>
      </c>
      <c r="L1437" s="455">
        <f t="shared" ca="1" si="109"/>
        <v>-164936592.71229079</v>
      </c>
      <c r="M1437" s="471">
        <f t="shared" si="111"/>
        <v>0.05</v>
      </c>
      <c r="N1437" s="475">
        <f t="shared" si="112"/>
        <v>94781</v>
      </c>
    </row>
    <row r="1438" spans="7:14" ht="11.25" customHeight="1" x14ac:dyDescent="0.3">
      <c r="G1438" s="470"/>
      <c r="H1438" s="470">
        <v>1431</v>
      </c>
      <c r="I1438" s="455">
        <f t="shared" ca="1" si="110"/>
        <v>-164936592.71229079</v>
      </c>
      <c r="J1438" s="455">
        <f t="array" ref="J1438">IFERROR(INDEX('Retirement Calculator'!K:K,MATCH('Lorri 401b'!N1438,'Retirement Calculator'!A:A,0),0),0)</f>
        <v>0</v>
      </c>
      <c r="K1438" s="455">
        <f t="shared" ca="1" si="108"/>
        <v>-687235.80296787829</v>
      </c>
      <c r="L1438" s="455">
        <f t="shared" ca="1" si="109"/>
        <v>-165623828.51525867</v>
      </c>
      <c r="M1438" s="471">
        <f t="shared" si="111"/>
        <v>0.05</v>
      </c>
      <c r="N1438" s="475">
        <f t="shared" si="112"/>
        <v>94812</v>
      </c>
    </row>
    <row r="1439" spans="7:14" ht="11.25" customHeight="1" x14ac:dyDescent="0.3">
      <c r="G1439" s="470"/>
      <c r="H1439" s="470">
        <v>1432</v>
      </c>
      <c r="I1439" s="455">
        <f t="shared" ca="1" si="110"/>
        <v>-165623828.51525867</v>
      </c>
      <c r="J1439" s="455">
        <f t="array" ref="J1439">IFERROR(INDEX('Retirement Calculator'!K:K,MATCH('Lorri 401b'!N1439,'Retirement Calculator'!A:A,0),0),0)</f>
        <v>0</v>
      </c>
      <c r="K1439" s="455">
        <f t="shared" ca="1" si="108"/>
        <v>-690099.28548024443</v>
      </c>
      <c r="L1439" s="455">
        <f t="shared" ca="1" si="109"/>
        <v>-166313927.8007389</v>
      </c>
      <c r="M1439" s="471">
        <f t="shared" si="111"/>
        <v>0.05</v>
      </c>
      <c r="N1439" s="475">
        <f t="shared" si="112"/>
        <v>94843</v>
      </c>
    </row>
    <row r="1440" spans="7:14" ht="11.25" customHeight="1" x14ac:dyDescent="0.3">
      <c r="G1440" s="470"/>
      <c r="H1440" s="470">
        <v>1433</v>
      </c>
      <c r="I1440" s="455">
        <f t="shared" ca="1" si="110"/>
        <v>-166313927.8007389</v>
      </c>
      <c r="J1440" s="455">
        <f t="array" ref="J1440">IFERROR(INDEX('Retirement Calculator'!K:K,MATCH('Lorri 401b'!N1440,'Retirement Calculator'!A:A,0),0),0)</f>
        <v>0</v>
      </c>
      <c r="K1440" s="455">
        <f t="shared" ca="1" si="108"/>
        <v>-692974.69916974544</v>
      </c>
      <c r="L1440" s="455">
        <f t="shared" ca="1" si="109"/>
        <v>-167006902.49990866</v>
      </c>
      <c r="M1440" s="471">
        <f t="shared" si="111"/>
        <v>0.05</v>
      </c>
      <c r="N1440" s="475">
        <f t="shared" si="112"/>
        <v>94873</v>
      </c>
    </row>
    <row r="1441" spans="7:14" ht="11.25" customHeight="1" x14ac:dyDescent="0.3">
      <c r="G1441" s="470"/>
      <c r="H1441" s="470">
        <v>1434</v>
      </c>
      <c r="I1441" s="455">
        <f t="shared" ca="1" si="110"/>
        <v>-167006902.49990866</v>
      </c>
      <c r="J1441" s="455">
        <f t="array" ref="J1441">IFERROR(INDEX('Retirement Calculator'!K:K,MATCH('Lorri 401b'!N1441,'Retirement Calculator'!A:A,0),0),0)</f>
        <v>0</v>
      </c>
      <c r="K1441" s="455">
        <f t="shared" ca="1" si="108"/>
        <v>-695862.09374961944</v>
      </c>
      <c r="L1441" s="455">
        <f t="shared" ca="1" si="109"/>
        <v>-167702764.59365827</v>
      </c>
      <c r="M1441" s="471">
        <f t="shared" si="111"/>
        <v>0.05</v>
      </c>
      <c r="N1441" s="475">
        <f t="shared" si="112"/>
        <v>94904</v>
      </c>
    </row>
    <row r="1442" spans="7:14" ht="11.25" customHeight="1" x14ac:dyDescent="0.3">
      <c r="G1442" s="470"/>
      <c r="H1442" s="470">
        <v>1435</v>
      </c>
      <c r="I1442" s="455">
        <f t="shared" ca="1" si="110"/>
        <v>-167702764.59365827</v>
      </c>
      <c r="J1442" s="455">
        <f t="array" ref="J1442">IFERROR(INDEX('Retirement Calculator'!K:K,MATCH('Lorri 401b'!N1442,'Retirement Calculator'!A:A,0),0),0)</f>
        <v>0</v>
      </c>
      <c r="K1442" s="455">
        <f t="shared" ca="1" si="108"/>
        <v>-698761.51914024283</v>
      </c>
      <c r="L1442" s="455">
        <f t="shared" ca="1" si="109"/>
        <v>-168401526.11279851</v>
      </c>
      <c r="M1442" s="471">
        <f t="shared" si="111"/>
        <v>0.05</v>
      </c>
      <c r="N1442" s="475">
        <f t="shared" si="112"/>
        <v>94934</v>
      </c>
    </row>
    <row r="1443" spans="7:14" ht="11.25" customHeight="1" x14ac:dyDescent="0.3">
      <c r="G1443" s="470"/>
      <c r="H1443" s="470">
        <v>1436</v>
      </c>
      <c r="I1443" s="455">
        <f t="shared" ca="1" si="110"/>
        <v>-168401526.11279851</v>
      </c>
      <c r="J1443" s="455">
        <f t="array" ref="J1443">IFERROR(INDEX('Retirement Calculator'!K:K,MATCH('Lorri 401b'!N1443,'Retirement Calculator'!A:A,0),0),0)</f>
        <v>0</v>
      </c>
      <c r="K1443" s="455">
        <f t="shared" ca="1" si="108"/>
        <v>-701673.02546999382</v>
      </c>
      <c r="L1443" s="455">
        <f t="shared" ca="1" si="109"/>
        <v>-169103199.1382685</v>
      </c>
      <c r="M1443" s="471">
        <f t="shared" si="111"/>
        <v>0.05</v>
      </c>
      <c r="N1443" s="475">
        <f t="shared" si="112"/>
        <v>94965</v>
      </c>
    </row>
    <row r="1444" spans="7:14" ht="11.25" customHeight="1" x14ac:dyDescent="0.3">
      <c r="G1444" s="470"/>
      <c r="H1444" s="470">
        <v>1437</v>
      </c>
      <c r="I1444" s="455">
        <f t="shared" ca="1" si="110"/>
        <v>-169103199.1382685</v>
      </c>
      <c r="J1444" s="455">
        <f t="array" ref="J1444">IFERROR(INDEX('Retirement Calculator'!K:K,MATCH('Lorri 401b'!N1444,'Retirement Calculator'!A:A,0),0),0)</f>
        <v>0</v>
      </c>
      <c r="K1444" s="455">
        <f t="shared" ca="1" si="108"/>
        <v>-704596.6630761188</v>
      </c>
      <c r="L1444" s="455">
        <f t="shared" ca="1" si="109"/>
        <v>-169807795.80134463</v>
      </c>
      <c r="M1444" s="471">
        <f t="shared" si="111"/>
        <v>0.05</v>
      </c>
      <c r="N1444" s="475">
        <f t="shared" si="112"/>
        <v>94996</v>
      </c>
    </row>
    <row r="1445" spans="7:14" ht="11.25" customHeight="1" x14ac:dyDescent="0.3">
      <c r="G1445" s="470"/>
      <c r="H1445" s="470">
        <v>1438</v>
      </c>
      <c r="I1445" s="455">
        <f t="shared" ca="1" si="110"/>
        <v>-169807795.80134463</v>
      </c>
      <c r="J1445" s="455">
        <f t="array" ref="J1445">IFERROR(INDEX('Retirement Calculator'!K:K,MATCH('Lorri 401b'!N1445,'Retirement Calculator'!A:A,0),0),0)</f>
        <v>0</v>
      </c>
      <c r="K1445" s="455">
        <f t="shared" ca="1" si="108"/>
        <v>-707532.48250560265</v>
      </c>
      <c r="L1445" s="455">
        <f t="shared" ca="1" si="109"/>
        <v>-170515328.28385022</v>
      </c>
      <c r="M1445" s="471">
        <f t="shared" si="111"/>
        <v>0.05</v>
      </c>
      <c r="N1445" s="475">
        <f t="shared" si="112"/>
        <v>95025</v>
      </c>
    </row>
    <row r="1446" spans="7:14" ht="11.25" customHeight="1" x14ac:dyDescent="0.3">
      <c r="G1446" s="470"/>
      <c r="H1446" s="470">
        <v>1439</v>
      </c>
      <c r="I1446" s="455">
        <f t="shared" ca="1" si="110"/>
        <v>-170515328.28385022</v>
      </c>
      <c r="J1446" s="455">
        <f t="array" ref="J1446">IFERROR(INDEX('Retirement Calculator'!K:K,MATCH('Lorri 401b'!N1446,'Retirement Calculator'!A:A,0),0),0)</f>
        <v>0</v>
      </c>
      <c r="K1446" s="455">
        <f t="shared" ca="1" si="108"/>
        <v>-710480.53451604256</v>
      </c>
      <c r="L1446" s="455">
        <f t="shared" ca="1" si="109"/>
        <v>-171225808.81836626</v>
      </c>
      <c r="M1446" s="471">
        <f t="shared" si="111"/>
        <v>0.05</v>
      </c>
      <c r="N1446" s="475">
        <f t="shared" si="112"/>
        <v>95056</v>
      </c>
    </row>
    <row r="1447" spans="7:14" ht="11.25" customHeight="1" x14ac:dyDescent="0.3">
      <c r="G1447" s="470"/>
      <c r="H1447" s="470">
        <v>1440</v>
      </c>
      <c r="I1447" s="455">
        <f t="shared" ca="1" si="110"/>
        <v>-171225808.81836626</v>
      </c>
      <c r="J1447" s="455">
        <f t="array" ref="J1447">IFERROR(INDEX('Retirement Calculator'!K:K,MATCH('Lorri 401b'!N1447,'Retirement Calculator'!A:A,0),0),0)</f>
        <v>0</v>
      </c>
      <c r="K1447" s="455">
        <f t="shared" ca="1" si="108"/>
        <v>-713440.87007652607</v>
      </c>
      <c r="L1447" s="455">
        <f t="shared" ca="1" si="109"/>
        <v>-171939249.6884428</v>
      </c>
      <c r="M1447" s="471">
        <f t="shared" si="111"/>
        <v>0.05</v>
      </c>
      <c r="N1447" s="475">
        <f t="shared" si="112"/>
        <v>95086</v>
      </c>
    </row>
    <row r="1448" spans="7:14" ht="11.25" customHeight="1" x14ac:dyDescent="0.3">
      <c r="G1448" s="470"/>
      <c r="H1448" s="470">
        <v>1441</v>
      </c>
      <c r="I1448" s="455">
        <f t="shared" ca="1" si="110"/>
        <v>-171939249.6884428</v>
      </c>
      <c r="J1448" s="455">
        <f t="array" ref="J1448">IFERROR(INDEX('Retirement Calculator'!K:K,MATCH('Lorri 401b'!N1448,'Retirement Calculator'!A:A,0),0),0)</f>
        <v>0</v>
      </c>
      <c r="K1448" s="455">
        <f t="shared" ca="1" si="108"/>
        <v>-716413.54036851169</v>
      </c>
      <c r="L1448" s="455">
        <f t="shared" ca="1" si="109"/>
        <v>-172655663.22881129</v>
      </c>
      <c r="M1448" s="471">
        <f t="shared" si="111"/>
        <v>0.05</v>
      </c>
      <c r="N1448" s="475">
        <f t="shared" si="112"/>
        <v>95117</v>
      </c>
    </row>
    <row r="1449" spans="7:14" ht="11.25" customHeight="1" x14ac:dyDescent="0.3">
      <c r="G1449" s="470"/>
      <c r="H1449" s="470">
        <v>1442</v>
      </c>
      <c r="I1449" s="455">
        <f t="shared" ca="1" si="110"/>
        <v>-172655663.22881129</v>
      </c>
      <c r="J1449" s="455">
        <f t="array" ref="J1449">IFERROR(INDEX('Retirement Calculator'!K:K,MATCH('Lorri 401b'!N1449,'Retirement Calculator'!A:A,0),0),0)</f>
        <v>0</v>
      </c>
      <c r="K1449" s="455">
        <f t="shared" ca="1" si="108"/>
        <v>-719398.59678671369</v>
      </c>
      <c r="L1449" s="455">
        <f t="shared" ca="1" si="109"/>
        <v>-173375061.825598</v>
      </c>
      <c r="M1449" s="471">
        <f t="shared" si="111"/>
        <v>0.05</v>
      </c>
      <c r="N1449" s="475">
        <f t="shared" si="112"/>
        <v>95147</v>
      </c>
    </row>
    <row r="1450" spans="7:14" ht="11.25" customHeight="1" x14ac:dyDescent="0.3">
      <c r="G1450" s="470"/>
      <c r="H1450" s="470">
        <v>1443</v>
      </c>
      <c r="I1450" s="455">
        <f t="shared" ca="1" si="110"/>
        <v>-173375061.825598</v>
      </c>
      <c r="J1450" s="455">
        <f t="array" ref="J1450">IFERROR(INDEX('Retirement Calculator'!K:K,MATCH('Lorri 401b'!N1450,'Retirement Calculator'!A:A,0),0),0)</f>
        <v>0</v>
      </c>
      <c r="K1450" s="455">
        <f t="shared" ca="1" si="108"/>
        <v>-722396.09093999164</v>
      </c>
      <c r="L1450" s="455">
        <f t="shared" ca="1" si="109"/>
        <v>-174097457.916538</v>
      </c>
      <c r="M1450" s="471">
        <f t="shared" si="111"/>
        <v>0.05</v>
      </c>
      <c r="N1450" s="475">
        <f t="shared" si="112"/>
        <v>95178</v>
      </c>
    </row>
    <row r="1451" spans="7:14" ht="11.25" customHeight="1" x14ac:dyDescent="0.3">
      <c r="G1451" s="470"/>
      <c r="H1451" s="470">
        <v>1444</v>
      </c>
      <c r="I1451" s="455">
        <f t="shared" ca="1" si="110"/>
        <v>-174097457.916538</v>
      </c>
      <c r="J1451" s="455">
        <f t="array" ref="J1451">IFERROR(INDEX('Retirement Calculator'!K:K,MATCH('Lorri 401b'!N1451,'Retirement Calculator'!A:A,0),0),0)</f>
        <v>0</v>
      </c>
      <c r="K1451" s="455">
        <f t="shared" ca="1" si="108"/>
        <v>-725406.07465224166</v>
      </c>
      <c r="L1451" s="455">
        <f t="shared" ca="1" si="109"/>
        <v>-174822863.99119025</v>
      </c>
      <c r="M1451" s="471">
        <f t="shared" si="111"/>
        <v>0.05</v>
      </c>
      <c r="N1451" s="475">
        <f t="shared" si="112"/>
        <v>95209</v>
      </c>
    </row>
    <row r="1452" spans="7:14" ht="11.25" customHeight="1" x14ac:dyDescent="0.3">
      <c r="G1452" s="470"/>
      <c r="H1452" s="470">
        <v>1445</v>
      </c>
      <c r="I1452" s="455">
        <f t="shared" ca="1" si="110"/>
        <v>-174822863.99119025</v>
      </c>
      <c r="J1452" s="455">
        <f t="array" ref="J1452">IFERROR(INDEX('Retirement Calculator'!K:K,MATCH('Lorri 401b'!N1452,'Retirement Calculator'!A:A,0),0),0)</f>
        <v>0</v>
      </c>
      <c r="K1452" s="455">
        <f t="shared" ca="1" si="108"/>
        <v>-728428.59996329271</v>
      </c>
      <c r="L1452" s="455">
        <f t="shared" ca="1" si="109"/>
        <v>-175551292.59115356</v>
      </c>
      <c r="M1452" s="471">
        <f t="shared" si="111"/>
        <v>0.05</v>
      </c>
      <c r="N1452" s="475">
        <f t="shared" si="112"/>
        <v>95239</v>
      </c>
    </row>
    <row r="1453" spans="7:14" ht="11.25" customHeight="1" x14ac:dyDescent="0.3">
      <c r="G1453" s="470"/>
      <c r="H1453" s="470">
        <v>1446</v>
      </c>
      <c r="I1453" s="455">
        <f t="shared" ca="1" si="110"/>
        <v>-175551292.59115356</v>
      </c>
      <c r="J1453" s="455">
        <f t="array" ref="J1453">IFERROR(INDEX('Retirement Calculator'!K:K,MATCH('Lorri 401b'!N1453,'Retirement Calculator'!A:A,0),0),0)</f>
        <v>0</v>
      </c>
      <c r="K1453" s="455">
        <f t="shared" ca="1" si="108"/>
        <v>-731463.7191298065</v>
      </c>
      <c r="L1453" s="455">
        <f t="shared" ca="1" si="109"/>
        <v>-176282756.31028336</v>
      </c>
      <c r="M1453" s="471">
        <f t="shared" si="111"/>
        <v>0.05</v>
      </c>
      <c r="N1453" s="475">
        <f t="shared" si="112"/>
        <v>95270</v>
      </c>
    </row>
    <row r="1454" spans="7:14" ht="11.25" customHeight="1" x14ac:dyDescent="0.3">
      <c r="G1454" s="470"/>
      <c r="H1454" s="470">
        <v>1447</v>
      </c>
      <c r="I1454" s="455">
        <f t="shared" ca="1" si="110"/>
        <v>-176282756.31028336</v>
      </c>
      <c r="J1454" s="455">
        <f t="array" ref="J1454">IFERROR(INDEX('Retirement Calculator'!K:K,MATCH('Lorri 401b'!N1454,'Retirement Calculator'!A:A,0),0),0)</f>
        <v>0</v>
      </c>
      <c r="K1454" s="455">
        <f t="shared" ca="1" si="108"/>
        <v>-734511.48462618073</v>
      </c>
      <c r="L1454" s="455">
        <f t="shared" ca="1" si="109"/>
        <v>-177017267.79490954</v>
      </c>
      <c r="M1454" s="471">
        <f t="shared" si="111"/>
        <v>0.05</v>
      </c>
      <c r="N1454" s="475">
        <f t="shared" si="112"/>
        <v>95300</v>
      </c>
    </row>
    <row r="1455" spans="7:14" ht="11.25" customHeight="1" x14ac:dyDescent="0.3">
      <c r="G1455" s="470"/>
      <c r="H1455" s="470">
        <v>1448</v>
      </c>
      <c r="I1455" s="455">
        <f t="shared" ca="1" si="110"/>
        <v>-177017267.79490954</v>
      </c>
      <c r="J1455" s="455">
        <f t="array" ref="J1455">IFERROR(INDEX('Retirement Calculator'!K:K,MATCH('Lorri 401b'!N1455,'Retirement Calculator'!A:A,0),0),0)</f>
        <v>0</v>
      </c>
      <c r="K1455" s="455">
        <f t="shared" ca="1" si="108"/>
        <v>-737571.94914545643</v>
      </c>
      <c r="L1455" s="455">
        <f t="shared" ca="1" si="109"/>
        <v>-177754839.744055</v>
      </c>
      <c r="M1455" s="471">
        <f t="shared" si="111"/>
        <v>0.05</v>
      </c>
      <c r="N1455" s="475">
        <f t="shared" si="112"/>
        <v>95331</v>
      </c>
    </row>
    <row r="1456" spans="7:14" ht="11.25" customHeight="1" x14ac:dyDescent="0.3">
      <c r="G1456" s="470"/>
      <c r="H1456" s="470">
        <v>1449</v>
      </c>
      <c r="I1456" s="455">
        <f t="shared" ca="1" si="110"/>
        <v>-177754839.744055</v>
      </c>
      <c r="J1456" s="455">
        <f t="array" ref="J1456">IFERROR(INDEX('Retirement Calculator'!K:K,MATCH('Lorri 401b'!N1456,'Retirement Calculator'!A:A,0),0),0)</f>
        <v>0</v>
      </c>
      <c r="K1456" s="455">
        <f t="shared" ca="1" si="108"/>
        <v>-740645.16560022917</v>
      </c>
      <c r="L1456" s="455">
        <f t="shared" ca="1" si="109"/>
        <v>-178495484.90965524</v>
      </c>
      <c r="M1456" s="471">
        <f t="shared" si="111"/>
        <v>0.05</v>
      </c>
      <c r="N1456" s="475">
        <f t="shared" si="112"/>
        <v>95362</v>
      </c>
    </row>
    <row r="1457" spans="7:14" ht="11.25" customHeight="1" x14ac:dyDescent="0.3">
      <c r="G1457" s="470"/>
      <c r="H1457" s="470">
        <v>1450</v>
      </c>
      <c r="I1457" s="455">
        <f t="shared" ca="1" si="110"/>
        <v>-178495484.90965524</v>
      </c>
      <c r="J1457" s="455">
        <f t="array" ref="J1457">IFERROR(INDEX('Retirement Calculator'!K:K,MATCH('Lorri 401b'!N1457,'Retirement Calculator'!A:A,0),0),0)</f>
        <v>0</v>
      </c>
      <c r="K1457" s="455">
        <f t="shared" ca="1" si="108"/>
        <v>-743731.18712356349</v>
      </c>
      <c r="L1457" s="455">
        <f t="shared" ca="1" si="109"/>
        <v>-179239216.09677881</v>
      </c>
      <c r="M1457" s="471">
        <f t="shared" si="111"/>
        <v>0.05</v>
      </c>
      <c r="N1457" s="475">
        <f t="shared" si="112"/>
        <v>95390</v>
      </c>
    </row>
    <row r="1458" spans="7:14" ht="11.25" customHeight="1" x14ac:dyDescent="0.3">
      <c r="G1458" s="470"/>
      <c r="H1458" s="470">
        <v>1451</v>
      </c>
      <c r="I1458" s="455">
        <f t="shared" ca="1" si="110"/>
        <v>-179239216.09677881</v>
      </c>
      <c r="J1458" s="455">
        <f t="array" ref="J1458">IFERROR(INDEX('Retirement Calculator'!K:K,MATCH('Lorri 401b'!N1458,'Retirement Calculator'!A:A,0),0),0)</f>
        <v>0</v>
      </c>
      <c r="K1458" s="455">
        <f t="shared" ca="1" si="108"/>
        <v>-746830.06706991175</v>
      </c>
      <c r="L1458" s="455">
        <f t="shared" ca="1" si="109"/>
        <v>-179986046.16384873</v>
      </c>
      <c r="M1458" s="471">
        <f t="shared" si="111"/>
        <v>0.05</v>
      </c>
      <c r="N1458" s="475">
        <f t="shared" si="112"/>
        <v>95421</v>
      </c>
    </row>
    <row r="1459" spans="7:14" ht="11.25" customHeight="1" x14ac:dyDescent="0.3">
      <c r="G1459" s="470"/>
      <c r="H1459" s="470">
        <v>1452</v>
      </c>
      <c r="I1459" s="455">
        <f t="shared" ca="1" si="110"/>
        <v>-179986046.16384873</v>
      </c>
      <c r="J1459" s="455">
        <f t="array" ref="J1459">IFERROR(INDEX('Retirement Calculator'!K:K,MATCH('Lorri 401b'!N1459,'Retirement Calculator'!A:A,0),0),0)</f>
        <v>0</v>
      </c>
      <c r="K1459" s="455">
        <f t="shared" ca="1" si="108"/>
        <v>-749941.85901603638</v>
      </c>
      <c r="L1459" s="455">
        <f t="shared" ca="1" si="109"/>
        <v>-180735988.02286476</v>
      </c>
      <c r="M1459" s="471">
        <f t="shared" si="111"/>
        <v>0.05</v>
      </c>
      <c r="N1459" s="475">
        <f t="shared" si="112"/>
        <v>95451</v>
      </c>
    </row>
    <row r="1460" spans="7:14" ht="11.25" customHeight="1" x14ac:dyDescent="0.3">
      <c r="G1460" s="470"/>
      <c r="H1460" s="470">
        <v>1453</v>
      </c>
      <c r="I1460" s="455">
        <f t="shared" ca="1" si="110"/>
        <v>-180735988.02286476</v>
      </c>
      <c r="J1460" s="455">
        <f t="array" ref="J1460">IFERROR(INDEX('Retirement Calculator'!K:K,MATCH('Lorri 401b'!N1460,'Retirement Calculator'!A:A,0),0),0)</f>
        <v>0</v>
      </c>
      <c r="K1460" s="455">
        <f t="shared" ca="1" si="108"/>
        <v>-753066.61676193646</v>
      </c>
      <c r="L1460" s="455">
        <f t="shared" ca="1" si="109"/>
        <v>-181489054.63962668</v>
      </c>
      <c r="M1460" s="471">
        <f t="shared" si="111"/>
        <v>0.05</v>
      </c>
      <c r="N1460" s="475">
        <f t="shared" si="112"/>
        <v>95482</v>
      </c>
    </row>
    <row r="1461" spans="7:14" ht="11.25" customHeight="1" x14ac:dyDescent="0.3">
      <c r="G1461" s="470"/>
      <c r="H1461" s="470">
        <v>1454</v>
      </c>
      <c r="I1461" s="455">
        <f t="shared" ca="1" si="110"/>
        <v>-181489054.63962668</v>
      </c>
      <c r="J1461" s="455">
        <f t="array" ref="J1461">IFERROR(INDEX('Retirement Calculator'!K:K,MATCH('Lorri 401b'!N1461,'Retirement Calculator'!A:A,0),0),0)</f>
        <v>0</v>
      </c>
      <c r="K1461" s="455">
        <f t="shared" ca="1" si="108"/>
        <v>-756204.39433177782</v>
      </c>
      <c r="L1461" s="455">
        <f t="shared" ca="1" si="109"/>
        <v>-182245259.03395846</v>
      </c>
      <c r="M1461" s="471">
        <f t="shared" si="111"/>
        <v>0.05</v>
      </c>
      <c r="N1461" s="475">
        <f t="shared" si="112"/>
        <v>95512</v>
      </c>
    </row>
    <row r="1462" spans="7:14" ht="11.25" customHeight="1" x14ac:dyDescent="0.3">
      <c r="G1462" s="470"/>
      <c r="H1462" s="470">
        <v>1455</v>
      </c>
      <c r="I1462" s="455">
        <f t="shared" ca="1" si="110"/>
        <v>-182245259.03395846</v>
      </c>
      <c r="J1462" s="455">
        <f t="array" ref="J1462">IFERROR(INDEX('Retirement Calculator'!K:K,MATCH('Lorri 401b'!N1462,'Retirement Calculator'!A:A,0),0),0)</f>
        <v>0</v>
      </c>
      <c r="K1462" s="455">
        <f t="shared" ca="1" si="108"/>
        <v>-759355.24597482698</v>
      </c>
      <c r="L1462" s="455">
        <f t="shared" ca="1" si="109"/>
        <v>-183004614.2799333</v>
      </c>
      <c r="M1462" s="471">
        <f t="shared" si="111"/>
        <v>0.05</v>
      </c>
      <c r="N1462" s="475">
        <f t="shared" si="112"/>
        <v>95543</v>
      </c>
    </row>
    <row r="1463" spans="7:14" ht="11.25" customHeight="1" x14ac:dyDescent="0.3">
      <c r="G1463" s="470"/>
      <c r="H1463" s="470">
        <v>1456</v>
      </c>
      <c r="I1463" s="455">
        <f t="shared" ca="1" si="110"/>
        <v>-183004614.2799333</v>
      </c>
      <c r="J1463" s="455">
        <f t="array" ref="J1463">IFERROR(INDEX('Retirement Calculator'!K:K,MATCH('Lorri 401b'!N1463,'Retirement Calculator'!A:A,0),0),0)</f>
        <v>0</v>
      </c>
      <c r="K1463" s="455">
        <f t="shared" ca="1" si="108"/>
        <v>-762519.22616638872</v>
      </c>
      <c r="L1463" s="455">
        <f t="shared" ca="1" si="109"/>
        <v>-183767133.5060997</v>
      </c>
      <c r="M1463" s="471">
        <f t="shared" si="111"/>
        <v>0.05</v>
      </c>
      <c r="N1463" s="475">
        <f t="shared" si="112"/>
        <v>95574</v>
      </c>
    </row>
    <row r="1464" spans="7:14" ht="11.25" customHeight="1" x14ac:dyDescent="0.3">
      <c r="G1464" s="470"/>
      <c r="H1464" s="470">
        <v>1457</v>
      </c>
      <c r="I1464" s="455">
        <f t="shared" ca="1" si="110"/>
        <v>-183767133.5060997</v>
      </c>
      <c r="J1464" s="455">
        <f t="array" ref="J1464">IFERROR(INDEX('Retirement Calculator'!K:K,MATCH('Lorri 401b'!N1464,'Retirement Calculator'!A:A,0),0),0)</f>
        <v>0</v>
      </c>
      <c r="K1464" s="455">
        <f t="shared" ca="1" si="108"/>
        <v>-765696.38960874872</v>
      </c>
      <c r="L1464" s="455">
        <f t="shared" ca="1" si="109"/>
        <v>-184532829.89570844</v>
      </c>
      <c r="M1464" s="471">
        <f t="shared" si="111"/>
        <v>0.05</v>
      </c>
      <c r="N1464" s="475">
        <f t="shared" si="112"/>
        <v>95604</v>
      </c>
    </row>
    <row r="1465" spans="7:14" ht="11.25" customHeight="1" x14ac:dyDescent="0.3">
      <c r="G1465" s="470"/>
      <c r="H1465" s="470">
        <v>1458</v>
      </c>
      <c r="I1465" s="455">
        <f t="shared" ca="1" si="110"/>
        <v>-184532829.89570844</v>
      </c>
      <c r="J1465" s="455">
        <f t="array" ref="J1465">IFERROR(INDEX('Retirement Calculator'!K:K,MATCH('Lorri 401b'!N1465,'Retirement Calculator'!A:A,0),0),0)</f>
        <v>0</v>
      </c>
      <c r="K1465" s="455">
        <f t="shared" ca="1" si="108"/>
        <v>-768886.7912321185</v>
      </c>
      <c r="L1465" s="455">
        <f t="shared" ca="1" si="109"/>
        <v>-185301716.68694055</v>
      </c>
      <c r="M1465" s="471">
        <f t="shared" si="111"/>
        <v>0.05</v>
      </c>
      <c r="N1465" s="475">
        <f t="shared" si="112"/>
        <v>95635</v>
      </c>
    </row>
    <row r="1466" spans="7:14" ht="11.25" customHeight="1" x14ac:dyDescent="0.3">
      <c r="G1466" s="470"/>
      <c r="H1466" s="470">
        <v>1459</v>
      </c>
      <c r="I1466" s="455">
        <f t="shared" ca="1" si="110"/>
        <v>-185301716.68694055</v>
      </c>
      <c r="J1466" s="455">
        <f t="array" ref="J1466">IFERROR(INDEX('Retirement Calculator'!K:K,MATCH('Lorri 401b'!N1466,'Retirement Calculator'!A:A,0),0),0)</f>
        <v>0</v>
      </c>
      <c r="K1466" s="455">
        <f t="shared" ca="1" si="108"/>
        <v>-772090.48619558557</v>
      </c>
      <c r="L1466" s="455">
        <f t="shared" ca="1" si="109"/>
        <v>-186073807.17313614</v>
      </c>
      <c r="M1466" s="471">
        <f t="shared" si="111"/>
        <v>0.05</v>
      </c>
      <c r="N1466" s="475">
        <f t="shared" si="112"/>
        <v>95665</v>
      </c>
    </row>
    <row r="1467" spans="7:14" ht="11.25" customHeight="1" x14ac:dyDescent="0.3">
      <c r="G1467" s="470"/>
      <c r="H1467" s="470">
        <v>1460</v>
      </c>
      <c r="I1467" s="455">
        <f t="shared" ca="1" si="110"/>
        <v>-186073807.17313614</v>
      </c>
      <c r="J1467" s="455">
        <f t="array" ref="J1467">IFERROR(INDEX('Retirement Calculator'!K:K,MATCH('Lorri 401b'!N1467,'Retirement Calculator'!A:A,0),0),0)</f>
        <v>0</v>
      </c>
      <c r="K1467" s="455">
        <f t="shared" ca="1" si="108"/>
        <v>-775307.52988806728</v>
      </c>
      <c r="L1467" s="455">
        <f t="shared" ca="1" si="109"/>
        <v>-186849114.70302421</v>
      </c>
      <c r="M1467" s="471">
        <f t="shared" si="111"/>
        <v>0.05</v>
      </c>
      <c r="N1467" s="475">
        <f t="shared" si="112"/>
        <v>95696</v>
      </c>
    </row>
    <row r="1468" spans="7:14" ht="11.25" customHeight="1" x14ac:dyDescent="0.3">
      <c r="G1468" s="470"/>
      <c r="H1468" s="470">
        <v>1461</v>
      </c>
      <c r="I1468" s="455">
        <f t="shared" ca="1" si="110"/>
        <v>-186849114.70302421</v>
      </c>
      <c r="J1468" s="455">
        <f t="array" ref="J1468">IFERROR(INDEX('Retirement Calculator'!K:K,MATCH('Lorri 401b'!N1468,'Retirement Calculator'!A:A,0),0),0)</f>
        <v>0</v>
      </c>
      <c r="K1468" s="455">
        <f t="shared" ca="1" si="108"/>
        <v>-778537.97792926757</v>
      </c>
      <c r="L1468" s="455">
        <f t="shared" ca="1" si="109"/>
        <v>-187627652.68095347</v>
      </c>
      <c r="M1468" s="471">
        <f t="shared" si="111"/>
        <v>0.05</v>
      </c>
      <c r="N1468" s="475">
        <f t="shared" si="112"/>
        <v>95727</v>
      </c>
    </row>
    <row r="1469" spans="7:14" ht="11.25" customHeight="1" x14ac:dyDescent="0.3">
      <c r="G1469" s="470"/>
      <c r="H1469" s="470">
        <v>1462</v>
      </c>
      <c r="I1469" s="455">
        <f t="shared" ca="1" si="110"/>
        <v>-187627652.68095347</v>
      </c>
      <c r="J1469" s="455">
        <f t="array" ref="J1469">IFERROR(INDEX('Retirement Calculator'!K:K,MATCH('Lorri 401b'!N1469,'Retirement Calculator'!A:A,0),0),0)</f>
        <v>0</v>
      </c>
      <c r="K1469" s="455">
        <f t="shared" ca="1" si="108"/>
        <v>-781781.88617063942</v>
      </c>
      <c r="L1469" s="455">
        <f t="shared" ca="1" si="109"/>
        <v>-188409434.5671241</v>
      </c>
      <c r="M1469" s="471">
        <f t="shared" si="111"/>
        <v>0.05</v>
      </c>
      <c r="N1469" s="475">
        <f t="shared" si="112"/>
        <v>95755</v>
      </c>
    </row>
    <row r="1470" spans="7:14" ht="11.25" customHeight="1" x14ac:dyDescent="0.3">
      <c r="G1470" s="470"/>
      <c r="H1470" s="470">
        <v>1463</v>
      </c>
      <c r="I1470" s="455">
        <f t="shared" ca="1" si="110"/>
        <v>-188409434.5671241</v>
      </c>
      <c r="J1470" s="455">
        <f t="array" ref="J1470">IFERROR(INDEX('Retirement Calculator'!K:K,MATCH('Lorri 401b'!N1470,'Retirement Calculator'!A:A,0),0),0)</f>
        <v>0</v>
      </c>
      <c r="K1470" s="455">
        <f t="shared" ca="1" si="108"/>
        <v>-785039.31069635041</v>
      </c>
      <c r="L1470" s="455">
        <f t="shared" ca="1" si="109"/>
        <v>-189194473.87782046</v>
      </c>
      <c r="M1470" s="471">
        <f t="shared" si="111"/>
        <v>0.05</v>
      </c>
      <c r="N1470" s="475">
        <f t="shared" si="112"/>
        <v>95786</v>
      </c>
    </row>
    <row r="1471" spans="7:14" ht="11.25" customHeight="1" x14ac:dyDescent="0.3">
      <c r="G1471" s="470"/>
      <c r="H1471" s="470">
        <v>1464</v>
      </c>
      <c r="I1471" s="455">
        <f t="shared" ca="1" si="110"/>
        <v>-189194473.87782046</v>
      </c>
      <c r="J1471" s="455">
        <f t="array" ref="J1471">IFERROR(INDEX('Retirement Calculator'!K:K,MATCH('Lorri 401b'!N1471,'Retirement Calculator'!A:A,0),0),0)</f>
        <v>0</v>
      </c>
      <c r="K1471" s="455">
        <f t="shared" ca="1" si="108"/>
        <v>-788310.30782425194</v>
      </c>
      <c r="L1471" s="455">
        <f t="shared" ca="1" si="109"/>
        <v>-189982784.18564472</v>
      </c>
      <c r="M1471" s="471">
        <f t="shared" si="111"/>
        <v>0.05</v>
      </c>
      <c r="N1471" s="475">
        <f t="shared" si="112"/>
        <v>95816</v>
      </c>
    </row>
    <row r="1472" spans="7:14" ht="11.25" customHeight="1" x14ac:dyDescent="0.3">
      <c r="G1472" s="470"/>
      <c r="H1472" s="470">
        <v>1465</v>
      </c>
      <c r="I1472" s="455">
        <f t="shared" ca="1" si="110"/>
        <v>-189982784.18564472</v>
      </c>
      <c r="J1472" s="455">
        <f t="array" ref="J1472">IFERROR(INDEX('Retirement Calculator'!K:K,MATCH('Lorri 401b'!N1472,'Retirement Calculator'!A:A,0),0),0)</f>
        <v>0</v>
      </c>
      <c r="K1472" s="455">
        <f t="shared" ca="1" si="108"/>
        <v>-791594.93410685298</v>
      </c>
      <c r="L1472" s="455">
        <f t="shared" ca="1" si="109"/>
        <v>-190774379.11975157</v>
      </c>
      <c r="M1472" s="471">
        <f t="shared" si="111"/>
        <v>0.05</v>
      </c>
      <c r="N1472" s="475">
        <f t="shared" si="112"/>
        <v>95847</v>
      </c>
    </row>
    <row r="1473" spans="7:14" ht="11.25" customHeight="1" x14ac:dyDescent="0.3">
      <c r="G1473" s="470"/>
      <c r="H1473" s="470">
        <v>1466</v>
      </c>
      <c r="I1473" s="455">
        <f t="shared" ca="1" si="110"/>
        <v>-190774379.11975157</v>
      </c>
      <c r="J1473" s="455">
        <f t="array" ref="J1473">IFERROR(INDEX('Retirement Calculator'!K:K,MATCH('Lorri 401b'!N1473,'Retirement Calculator'!A:A,0),0),0)</f>
        <v>0</v>
      </c>
      <c r="K1473" s="455">
        <f t="shared" ca="1" si="108"/>
        <v>-794893.24633229827</v>
      </c>
      <c r="L1473" s="455">
        <f t="shared" ca="1" si="109"/>
        <v>-191569272.36608386</v>
      </c>
      <c r="M1473" s="471">
        <f t="shared" si="111"/>
        <v>0.05</v>
      </c>
      <c r="N1473" s="475">
        <f t="shared" si="112"/>
        <v>95877</v>
      </c>
    </row>
    <row r="1474" spans="7:14" ht="11.25" customHeight="1" x14ac:dyDescent="0.3">
      <c r="G1474" s="470"/>
      <c r="H1474" s="470">
        <v>1467</v>
      </c>
      <c r="I1474" s="455">
        <f t="shared" ca="1" si="110"/>
        <v>-191569272.36608386</v>
      </c>
      <c r="J1474" s="455">
        <f t="array" ref="J1474">IFERROR(INDEX('Retirement Calculator'!K:K,MATCH('Lorri 401b'!N1474,'Retirement Calculator'!A:A,0),0),0)</f>
        <v>0</v>
      </c>
      <c r="K1474" s="455">
        <f t="shared" ca="1" si="108"/>
        <v>-798205.30152534938</v>
      </c>
      <c r="L1474" s="455">
        <f t="shared" ca="1" si="109"/>
        <v>-192367477.66760921</v>
      </c>
      <c r="M1474" s="471">
        <f t="shared" si="111"/>
        <v>0.05</v>
      </c>
      <c r="N1474" s="475">
        <f t="shared" si="112"/>
        <v>95908</v>
      </c>
    </row>
    <row r="1475" spans="7:14" ht="11.25" customHeight="1" x14ac:dyDescent="0.3">
      <c r="G1475" s="470"/>
      <c r="H1475" s="470">
        <v>1468</v>
      </c>
      <c r="I1475" s="455">
        <f t="shared" ca="1" si="110"/>
        <v>-192367477.66760921</v>
      </c>
      <c r="J1475" s="455">
        <f t="array" ref="J1475">IFERROR(INDEX('Retirement Calculator'!K:K,MATCH('Lorri 401b'!N1475,'Retirement Calculator'!A:A,0),0),0)</f>
        <v>0</v>
      </c>
      <c r="K1475" s="455">
        <f t="shared" ca="1" si="108"/>
        <v>-801531.15694837167</v>
      </c>
      <c r="L1475" s="455">
        <f t="shared" ca="1" si="109"/>
        <v>-193169008.82455757</v>
      </c>
      <c r="M1475" s="471">
        <f t="shared" si="111"/>
        <v>0.05</v>
      </c>
      <c r="N1475" s="475">
        <f t="shared" si="112"/>
        <v>95939</v>
      </c>
    </row>
    <row r="1476" spans="7:14" ht="11.25" customHeight="1" x14ac:dyDescent="0.3">
      <c r="G1476" s="470"/>
      <c r="H1476" s="470">
        <v>1469</v>
      </c>
      <c r="I1476" s="455">
        <f t="shared" ca="1" si="110"/>
        <v>-193169008.82455757</v>
      </c>
      <c r="J1476" s="455">
        <f t="array" ref="J1476">IFERROR(INDEX('Retirement Calculator'!K:K,MATCH('Lorri 401b'!N1476,'Retirement Calculator'!A:A,0),0),0)</f>
        <v>0</v>
      </c>
      <c r="K1476" s="455">
        <f t="shared" ca="1" si="108"/>
        <v>-804870.87010232324</v>
      </c>
      <c r="L1476" s="455">
        <f t="shared" ca="1" si="109"/>
        <v>-193973879.69465989</v>
      </c>
      <c r="M1476" s="471">
        <f t="shared" si="111"/>
        <v>0.05</v>
      </c>
      <c r="N1476" s="475">
        <f t="shared" si="112"/>
        <v>95969</v>
      </c>
    </row>
    <row r="1477" spans="7:14" ht="11.25" customHeight="1" x14ac:dyDescent="0.3">
      <c r="G1477" s="470"/>
      <c r="H1477" s="470">
        <v>1470</v>
      </c>
      <c r="I1477" s="455">
        <f t="shared" ca="1" si="110"/>
        <v>-193973879.69465989</v>
      </c>
      <c r="J1477" s="455">
        <f t="array" ref="J1477">IFERROR(INDEX('Retirement Calculator'!K:K,MATCH('Lorri 401b'!N1477,'Retirement Calculator'!A:A,0),0),0)</f>
        <v>0</v>
      </c>
      <c r="K1477" s="455">
        <f t="shared" ca="1" si="108"/>
        <v>-808224.49872774957</v>
      </c>
      <c r="L1477" s="455">
        <f t="shared" ca="1" si="109"/>
        <v>-194782104.19338763</v>
      </c>
      <c r="M1477" s="471">
        <f t="shared" si="111"/>
        <v>0.05</v>
      </c>
      <c r="N1477" s="475">
        <f t="shared" si="112"/>
        <v>96000</v>
      </c>
    </row>
    <row r="1478" spans="7:14" ht="11.25" customHeight="1" x14ac:dyDescent="0.3">
      <c r="G1478" s="470"/>
      <c r="H1478" s="470">
        <v>1471</v>
      </c>
      <c r="I1478" s="455">
        <f t="shared" ca="1" si="110"/>
        <v>-194782104.19338763</v>
      </c>
      <c r="J1478" s="455">
        <f t="array" ref="J1478">IFERROR(INDEX('Retirement Calculator'!K:K,MATCH('Lorri 401b'!N1478,'Retirement Calculator'!A:A,0),0),0)</f>
        <v>0</v>
      </c>
      <c r="K1478" s="455">
        <f t="shared" ca="1" si="108"/>
        <v>-811592.10080578178</v>
      </c>
      <c r="L1478" s="455">
        <f t="shared" ca="1" si="109"/>
        <v>-195593696.29419342</v>
      </c>
      <c r="M1478" s="471">
        <f t="shared" si="111"/>
        <v>0.05</v>
      </c>
      <c r="N1478" s="475">
        <f t="shared" si="112"/>
        <v>96030</v>
      </c>
    </row>
    <row r="1479" spans="7:14" ht="11.25" customHeight="1" x14ac:dyDescent="0.3">
      <c r="G1479" s="470"/>
      <c r="H1479" s="470">
        <v>1472</v>
      </c>
      <c r="I1479" s="455">
        <f t="shared" ca="1" si="110"/>
        <v>-195593696.29419342</v>
      </c>
      <c r="J1479" s="455">
        <f t="array" ref="J1479">IFERROR(INDEX('Retirement Calculator'!K:K,MATCH('Lorri 401b'!N1479,'Retirement Calculator'!A:A,0),0),0)</f>
        <v>0</v>
      </c>
      <c r="K1479" s="455">
        <f t="shared" ca="1" si="108"/>
        <v>-814973.73455913924</v>
      </c>
      <c r="L1479" s="455">
        <f t="shared" ca="1" si="109"/>
        <v>-196408670.02875257</v>
      </c>
      <c r="M1479" s="471">
        <f t="shared" si="111"/>
        <v>0.05</v>
      </c>
      <c r="N1479" s="475">
        <f t="shared" si="112"/>
        <v>96061</v>
      </c>
    </row>
    <row r="1480" spans="7:14" ht="11.25" customHeight="1" x14ac:dyDescent="0.3">
      <c r="G1480" s="470"/>
      <c r="H1480" s="470">
        <v>1473</v>
      </c>
      <c r="I1480" s="455">
        <f t="shared" ca="1" si="110"/>
        <v>-196408670.02875257</v>
      </c>
      <c r="J1480" s="455">
        <f t="array" ref="J1480">IFERROR(INDEX('Retirement Calculator'!K:K,MATCH('Lorri 401b'!N1480,'Retirement Calculator'!A:A,0),0),0)</f>
        <v>0</v>
      </c>
      <c r="K1480" s="455">
        <f t="shared" ca="1" si="108"/>
        <v>-818369.45845313568</v>
      </c>
      <c r="L1480" s="455">
        <f t="shared" ca="1" si="109"/>
        <v>-197227039.48720571</v>
      </c>
      <c r="M1480" s="471">
        <f t="shared" si="111"/>
        <v>0.05</v>
      </c>
      <c r="N1480" s="475">
        <f t="shared" si="112"/>
        <v>96092</v>
      </c>
    </row>
    <row r="1481" spans="7:14" ht="11.25" customHeight="1" x14ac:dyDescent="0.3">
      <c r="G1481" s="470"/>
      <c r="H1481" s="470">
        <v>1474</v>
      </c>
      <c r="I1481" s="455">
        <f t="shared" ca="1" si="110"/>
        <v>-197227039.48720571</v>
      </c>
      <c r="J1481" s="455">
        <f t="array" ref="J1481">IFERROR(INDEX('Retirement Calculator'!K:K,MATCH('Lorri 401b'!N1481,'Retirement Calculator'!A:A,0),0),0)</f>
        <v>0</v>
      </c>
      <c r="K1481" s="455">
        <f t="shared" ca="1" si="108"/>
        <v>-821779.33119669044</v>
      </c>
      <c r="L1481" s="455">
        <f t="shared" ca="1" si="109"/>
        <v>-198048818.81840241</v>
      </c>
      <c r="M1481" s="471">
        <f t="shared" si="111"/>
        <v>0.05</v>
      </c>
      <c r="N1481" s="475">
        <f t="shared" si="112"/>
        <v>96120</v>
      </c>
    </row>
    <row r="1482" spans="7:14" ht="11.25" customHeight="1" x14ac:dyDescent="0.3">
      <c r="G1482" s="470"/>
      <c r="H1482" s="470">
        <v>1475</v>
      </c>
      <c r="I1482" s="455">
        <f t="shared" ca="1" si="110"/>
        <v>-198048818.81840241</v>
      </c>
      <c r="J1482" s="455">
        <f t="array" ref="J1482">IFERROR(INDEX('Retirement Calculator'!K:K,MATCH('Lorri 401b'!N1482,'Retirement Calculator'!A:A,0),0),0)</f>
        <v>0</v>
      </c>
      <c r="K1482" s="455">
        <f t="shared" ca="1" si="108"/>
        <v>-825203.41174334334</v>
      </c>
      <c r="L1482" s="455">
        <f t="shared" ca="1" si="109"/>
        <v>-198874022.23014575</v>
      </c>
      <c r="M1482" s="471">
        <f t="shared" si="111"/>
        <v>0.05</v>
      </c>
      <c r="N1482" s="475">
        <f t="shared" si="112"/>
        <v>96151</v>
      </c>
    </row>
    <row r="1483" spans="7:14" ht="11.25" customHeight="1" x14ac:dyDescent="0.3">
      <c r="G1483" s="470"/>
      <c r="H1483" s="470">
        <v>1476</v>
      </c>
      <c r="I1483" s="455">
        <f t="shared" ca="1" si="110"/>
        <v>-198874022.23014575</v>
      </c>
      <c r="J1483" s="455">
        <f t="array" ref="J1483">IFERROR(INDEX('Retirement Calculator'!K:K,MATCH('Lorri 401b'!N1483,'Retirement Calculator'!A:A,0),0),0)</f>
        <v>0</v>
      </c>
      <c r="K1483" s="455">
        <f t="shared" ca="1" si="108"/>
        <v>-828641.75929227402</v>
      </c>
      <c r="L1483" s="455">
        <f t="shared" ca="1" si="109"/>
        <v>-199702663.98943803</v>
      </c>
      <c r="M1483" s="471">
        <f t="shared" si="111"/>
        <v>0.05</v>
      </c>
      <c r="N1483" s="475">
        <f t="shared" si="112"/>
        <v>96181</v>
      </c>
    </row>
    <row r="1484" spans="7:14" ht="11.25" customHeight="1" x14ac:dyDescent="0.3">
      <c r="G1484" s="470"/>
      <c r="H1484" s="470">
        <v>1477</v>
      </c>
      <c r="I1484" s="455">
        <f t="shared" ca="1" si="110"/>
        <v>-199702663.98943803</v>
      </c>
      <c r="J1484" s="455">
        <f t="array" ref="J1484">IFERROR(INDEX('Retirement Calculator'!K:K,MATCH('Lorri 401b'!N1484,'Retirement Calculator'!A:A,0),0),0)</f>
        <v>0</v>
      </c>
      <c r="K1484" s="455">
        <f t="shared" ca="1" si="108"/>
        <v>-832094.4332893251</v>
      </c>
      <c r="L1484" s="455">
        <f t="shared" ca="1" si="109"/>
        <v>-200534758.42272735</v>
      </c>
      <c r="M1484" s="471">
        <f t="shared" si="111"/>
        <v>0.05</v>
      </c>
      <c r="N1484" s="475">
        <f t="shared" si="112"/>
        <v>96212</v>
      </c>
    </row>
    <row r="1485" spans="7:14" ht="11.25" customHeight="1" x14ac:dyDescent="0.3">
      <c r="G1485" s="470"/>
      <c r="H1485" s="470">
        <v>1478</v>
      </c>
      <c r="I1485" s="455">
        <f t="shared" ca="1" si="110"/>
        <v>-200534758.42272735</v>
      </c>
      <c r="J1485" s="455">
        <f t="array" ref="J1485">IFERROR(INDEX('Retirement Calculator'!K:K,MATCH('Lorri 401b'!N1485,'Retirement Calculator'!A:A,0),0),0)</f>
        <v>0</v>
      </c>
      <c r="K1485" s="455">
        <f t="shared" ca="1" si="108"/>
        <v>-835561.49342803063</v>
      </c>
      <c r="L1485" s="455">
        <f t="shared" ca="1" si="109"/>
        <v>-201370319.91615537</v>
      </c>
      <c r="M1485" s="471">
        <f t="shared" si="111"/>
        <v>0.05</v>
      </c>
      <c r="N1485" s="475">
        <f t="shared" si="112"/>
        <v>96242</v>
      </c>
    </row>
    <row r="1486" spans="7:14" ht="11.25" customHeight="1" x14ac:dyDescent="0.3">
      <c r="G1486" s="470"/>
      <c r="H1486" s="470">
        <v>1479</v>
      </c>
      <c r="I1486" s="455">
        <f t="shared" ca="1" si="110"/>
        <v>-201370319.91615537</v>
      </c>
      <c r="J1486" s="455">
        <f t="array" ref="J1486">IFERROR(INDEX('Retirement Calculator'!K:K,MATCH('Lorri 401b'!N1486,'Retirement Calculator'!A:A,0),0),0)</f>
        <v>0</v>
      </c>
      <c r="K1486" s="455">
        <f t="shared" ca="1" si="108"/>
        <v>-839042.9996506474</v>
      </c>
      <c r="L1486" s="455">
        <f t="shared" ca="1" si="109"/>
        <v>-202209362.91580603</v>
      </c>
      <c r="M1486" s="471">
        <f t="shared" si="111"/>
        <v>0.05</v>
      </c>
      <c r="N1486" s="475">
        <f t="shared" si="112"/>
        <v>96273</v>
      </c>
    </row>
    <row r="1487" spans="7:14" ht="11.25" customHeight="1" x14ac:dyDescent="0.3">
      <c r="G1487" s="470"/>
      <c r="H1487" s="470">
        <v>1480</v>
      </c>
      <c r="I1487" s="455">
        <f t="shared" ca="1" si="110"/>
        <v>-202209362.91580603</v>
      </c>
      <c r="J1487" s="455">
        <f t="array" ref="J1487">IFERROR(INDEX('Retirement Calculator'!K:K,MATCH('Lorri 401b'!N1487,'Retirement Calculator'!A:A,0),0),0)</f>
        <v>0</v>
      </c>
      <c r="K1487" s="455">
        <f t="shared" ca="1" si="108"/>
        <v>-842539.01214919181</v>
      </c>
      <c r="L1487" s="455">
        <f t="shared" ca="1" si="109"/>
        <v>-203051901.92795521</v>
      </c>
      <c r="M1487" s="471">
        <f t="shared" si="111"/>
        <v>0.05</v>
      </c>
      <c r="N1487" s="475">
        <f t="shared" si="112"/>
        <v>96304</v>
      </c>
    </row>
    <row r="1488" spans="7:14" ht="11.25" customHeight="1" x14ac:dyDescent="0.3">
      <c r="G1488" s="470"/>
      <c r="H1488" s="470">
        <v>1481</v>
      </c>
      <c r="I1488" s="455">
        <f t="shared" ca="1" si="110"/>
        <v>-203051901.92795521</v>
      </c>
      <c r="J1488" s="455">
        <f t="array" ref="J1488">IFERROR(INDEX('Retirement Calculator'!K:K,MATCH('Lorri 401b'!N1488,'Retirement Calculator'!A:A,0),0),0)</f>
        <v>0</v>
      </c>
      <c r="K1488" s="455">
        <f t="shared" ca="1" si="108"/>
        <v>-846049.59136647999</v>
      </c>
      <c r="L1488" s="455">
        <f t="shared" ca="1" si="109"/>
        <v>-203897951.51932168</v>
      </c>
      <c r="M1488" s="471">
        <f t="shared" si="111"/>
        <v>0.05</v>
      </c>
      <c r="N1488" s="475">
        <f t="shared" si="112"/>
        <v>96334</v>
      </c>
    </row>
    <row r="1489" spans="7:14" ht="11.25" customHeight="1" x14ac:dyDescent="0.3">
      <c r="G1489" s="470"/>
      <c r="H1489" s="470">
        <v>1482</v>
      </c>
      <c r="I1489" s="455">
        <f t="shared" ca="1" si="110"/>
        <v>-203897951.51932168</v>
      </c>
      <c r="J1489" s="455">
        <f t="array" ref="J1489">IFERROR(INDEX('Retirement Calculator'!K:K,MATCH('Lorri 401b'!N1489,'Retirement Calculator'!A:A,0),0),0)</f>
        <v>0</v>
      </c>
      <c r="K1489" s="455">
        <f t="shared" ca="1" si="108"/>
        <v>-849574.79799717362</v>
      </c>
      <c r="L1489" s="455">
        <f t="shared" ca="1" si="109"/>
        <v>-204747526.31731886</v>
      </c>
      <c r="M1489" s="471">
        <f t="shared" si="111"/>
        <v>0.05</v>
      </c>
      <c r="N1489" s="475">
        <f t="shared" si="112"/>
        <v>96365</v>
      </c>
    </row>
    <row r="1490" spans="7:14" ht="11.25" customHeight="1" x14ac:dyDescent="0.3">
      <c r="G1490" s="470"/>
      <c r="H1490" s="470">
        <v>1483</v>
      </c>
      <c r="I1490" s="455">
        <f t="shared" ca="1" si="110"/>
        <v>-204747526.31731886</v>
      </c>
      <c r="J1490" s="455">
        <f t="array" ref="J1490">IFERROR(INDEX('Retirement Calculator'!K:K,MATCH('Lorri 401b'!N1490,'Retirement Calculator'!A:A,0),0),0)</f>
        <v>0</v>
      </c>
      <c r="K1490" s="455">
        <f t="shared" ca="1" si="108"/>
        <v>-853114.69298882852</v>
      </c>
      <c r="L1490" s="455">
        <f t="shared" ca="1" si="109"/>
        <v>-205600641.0103077</v>
      </c>
      <c r="M1490" s="471">
        <f t="shared" si="111"/>
        <v>0.05</v>
      </c>
      <c r="N1490" s="475">
        <f t="shared" si="112"/>
        <v>96395</v>
      </c>
    </row>
    <row r="1491" spans="7:14" ht="11.25" customHeight="1" x14ac:dyDescent="0.3">
      <c r="G1491" s="470"/>
      <c r="H1491" s="470">
        <v>1484</v>
      </c>
      <c r="I1491" s="455">
        <f t="shared" ca="1" si="110"/>
        <v>-205600641.0103077</v>
      </c>
      <c r="J1491" s="455">
        <f t="array" ref="J1491">IFERROR(INDEX('Retirement Calculator'!K:K,MATCH('Lorri 401b'!N1491,'Retirement Calculator'!A:A,0),0),0)</f>
        <v>0</v>
      </c>
      <c r="K1491" s="455">
        <f t="shared" ca="1" si="108"/>
        <v>-856669.33754294878</v>
      </c>
      <c r="L1491" s="455">
        <f t="shared" ca="1" si="109"/>
        <v>-206457310.34785065</v>
      </c>
      <c r="M1491" s="471">
        <f t="shared" si="111"/>
        <v>0.05</v>
      </c>
      <c r="N1491" s="475">
        <f t="shared" si="112"/>
        <v>96426</v>
      </c>
    </row>
    <row r="1492" spans="7:14" ht="11.25" customHeight="1" x14ac:dyDescent="0.3">
      <c r="G1492" s="470"/>
      <c r="H1492" s="470">
        <v>1485</v>
      </c>
      <c r="I1492" s="455">
        <f t="shared" ca="1" si="110"/>
        <v>-206457310.34785065</v>
      </c>
      <c r="J1492" s="455">
        <f t="array" ref="J1492">IFERROR(INDEX('Retirement Calculator'!K:K,MATCH('Lorri 401b'!N1492,'Retirement Calculator'!A:A,0),0),0)</f>
        <v>0</v>
      </c>
      <c r="K1492" s="455">
        <f t="shared" ca="1" si="108"/>
        <v>-860238.79311604437</v>
      </c>
      <c r="L1492" s="455">
        <f t="shared" ca="1" si="109"/>
        <v>-207317549.14096668</v>
      </c>
      <c r="M1492" s="471">
        <f t="shared" si="111"/>
        <v>0.05</v>
      </c>
      <c r="N1492" s="475">
        <f t="shared" si="112"/>
        <v>96457</v>
      </c>
    </row>
    <row r="1493" spans="7:14" ht="11.25" customHeight="1" x14ac:dyDescent="0.3">
      <c r="G1493" s="470"/>
      <c r="H1493" s="470">
        <v>1486</v>
      </c>
      <c r="I1493" s="455">
        <f t="shared" ca="1" si="110"/>
        <v>-207317549.14096668</v>
      </c>
      <c r="J1493" s="455">
        <f t="array" ref="J1493">IFERROR(INDEX('Retirement Calculator'!K:K,MATCH('Lorri 401b'!N1493,'Retirement Calculator'!A:A,0),0),0)</f>
        <v>0</v>
      </c>
      <c r="K1493" s="455">
        <f t="shared" ca="1" si="108"/>
        <v>-863823.12142069452</v>
      </c>
      <c r="L1493" s="455">
        <f t="shared" ca="1" si="109"/>
        <v>-208181372.26238737</v>
      </c>
      <c r="M1493" s="471">
        <f t="shared" si="111"/>
        <v>0.05</v>
      </c>
      <c r="N1493" s="475">
        <f t="shared" si="112"/>
        <v>96486</v>
      </c>
    </row>
    <row r="1494" spans="7:14" ht="11.25" customHeight="1" x14ac:dyDescent="0.3">
      <c r="G1494" s="470"/>
      <c r="H1494" s="470">
        <v>1487</v>
      </c>
      <c r="I1494" s="455">
        <f t="shared" ca="1" si="110"/>
        <v>-208181372.26238737</v>
      </c>
      <c r="J1494" s="455">
        <f t="array" ref="J1494">IFERROR(INDEX('Retirement Calculator'!K:K,MATCH('Lorri 401b'!N1494,'Retirement Calculator'!A:A,0),0),0)</f>
        <v>0</v>
      </c>
      <c r="K1494" s="455">
        <f t="shared" ca="1" si="108"/>
        <v>-867422.38442661404</v>
      </c>
      <c r="L1494" s="455">
        <f t="shared" ca="1" si="109"/>
        <v>-209048794.64681399</v>
      </c>
      <c r="M1494" s="471">
        <f t="shared" si="111"/>
        <v>0.05</v>
      </c>
      <c r="N1494" s="475">
        <f t="shared" si="112"/>
        <v>96517</v>
      </c>
    </row>
    <row r="1495" spans="7:14" ht="11.25" customHeight="1" x14ac:dyDescent="0.3">
      <c r="G1495" s="470"/>
      <c r="H1495" s="470">
        <v>1488</v>
      </c>
      <c r="I1495" s="455">
        <f t="shared" ca="1" si="110"/>
        <v>-209048794.64681399</v>
      </c>
      <c r="J1495" s="455">
        <f t="array" ref="J1495">IFERROR(INDEX('Retirement Calculator'!K:K,MATCH('Lorri 401b'!N1495,'Retirement Calculator'!A:A,0),0),0)</f>
        <v>0</v>
      </c>
      <c r="K1495" s="455">
        <f t="shared" ca="1" si="108"/>
        <v>-871036.64436172496</v>
      </c>
      <c r="L1495" s="455">
        <f t="shared" ca="1" si="109"/>
        <v>-209919831.29117572</v>
      </c>
      <c r="M1495" s="471">
        <f t="shared" si="111"/>
        <v>0.05</v>
      </c>
      <c r="N1495" s="475">
        <f t="shared" si="112"/>
        <v>96547</v>
      </c>
    </row>
    <row r="1496" spans="7:14" ht="11.25" customHeight="1" x14ac:dyDescent="0.3">
      <c r="G1496" s="470"/>
      <c r="H1496" s="470">
        <v>1489</v>
      </c>
      <c r="I1496" s="455">
        <f t="shared" ca="1" si="110"/>
        <v>-209919831.29117572</v>
      </c>
      <c r="J1496" s="455">
        <f t="array" ref="J1496">IFERROR(INDEX('Retirement Calculator'!K:K,MATCH('Lorri 401b'!N1496,'Retirement Calculator'!A:A,0),0),0)</f>
        <v>0</v>
      </c>
      <c r="K1496" s="455">
        <f t="shared" ca="1" si="108"/>
        <v>-874665.9637132322</v>
      </c>
      <c r="L1496" s="455">
        <f t="shared" ca="1" si="109"/>
        <v>-210794497.25488895</v>
      </c>
      <c r="M1496" s="471">
        <f t="shared" si="111"/>
        <v>0.05</v>
      </c>
      <c r="N1496" s="475">
        <f t="shared" si="112"/>
        <v>96578</v>
      </c>
    </row>
    <row r="1497" spans="7:14" ht="11.25" customHeight="1" x14ac:dyDescent="0.3">
      <c r="G1497" s="470"/>
      <c r="H1497" s="470">
        <v>1490</v>
      </c>
      <c r="I1497" s="455">
        <f t="shared" ca="1" si="110"/>
        <v>-210794497.25488895</v>
      </c>
      <c r="J1497" s="455">
        <f t="array" ref="J1497">IFERROR(INDEX('Retirement Calculator'!K:K,MATCH('Lorri 401b'!N1497,'Retirement Calculator'!A:A,0),0),0)</f>
        <v>0</v>
      </c>
      <c r="K1497" s="455">
        <f t="shared" ca="1" si="108"/>
        <v>-878310.40522870398</v>
      </c>
      <c r="L1497" s="455">
        <f t="shared" ca="1" si="109"/>
        <v>-211672807.66011766</v>
      </c>
      <c r="M1497" s="471">
        <f t="shared" si="111"/>
        <v>0.05</v>
      </c>
      <c r="N1497" s="475">
        <f t="shared" si="112"/>
        <v>96608</v>
      </c>
    </row>
    <row r="1498" spans="7:14" ht="11.25" customHeight="1" x14ac:dyDescent="0.3">
      <c r="G1498" s="470"/>
      <c r="H1498" s="470">
        <v>1491</v>
      </c>
      <c r="I1498" s="455">
        <f t="shared" ca="1" si="110"/>
        <v>-211672807.66011766</v>
      </c>
      <c r="J1498" s="455">
        <f t="array" ref="J1498">IFERROR(INDEX('Retirement Calculator'!K:K,MATCH('Lorri 401b'!N1498,'Retirement Calculator'!A:A,0),0),0)</f>
        <v>0</v>
      </c>
      <c r="K1498" s="455">
        <f t="shared" ca="1" si="108"/>
        <v>-881970.03191715688</v>
      </c>
      <c r="L1498" s="455">
        <f t="shared" ca="1" si="109"/>
        <v>-212554777.69203481</v>
      </c>
      <c r="M1498" s="471">
        <f t="shared" si="111"/>
        <v>0.05</v>
      </c>
      <c r="N1498" s="475">
        <f t="shared" si="112"/>
        <v>96639</v>
      </c>
    </row>
    <row r="1499" spans="7:14" ht="11.25" customHeight="1" x14ac:dyDescent="0.3">
      <c r="G1499" s="470"/>
      <c r="H1499" s="470">
        <v>1492</v>
      </c>
      <c r="I1499" s="455">
        <f t="shared" ca="1" si="110"/>
        <v>-212554777.69203481</v>
      </c>
      <c r="J1499" s="455">
        <f t="array" ref="J1499">IFERROR(INDEX('Retirement Calculator'!K:K,MATCH('Lorri 401b'!N1499,'Retirement Calculator'!A:A,0),0),0)</f>
        <v>0</v>
      </c>
      <c r="K1499" s="455">
        <f t="shared" ca="1" si="108"/>
        <v>-885644.90705014521</v>
      </c>
      <c r="L1499" s="455">
        <f t="shared" ca="1" si="109"/>
        <v>-213440422.59908494</v>
      </c>
      <c r="M1499" s="471">
        <f t="shared" si="111"/>
        <v>0.05</v>
      </c>
      <c r="N1499" s="475">
        <f t="shared" si="112"/>
        <v>96670</v>
      </c>
    </row>
    <row r="1500" spans="7:14" ht="11.25" customHeight="1" x14ac:dyDescent="0.3">
      <c r="G1500" s="470"/>
      <c r="H1500" s="470">
        <v>1493</v>
      </c>
      <c r="I1500" s="455">
        <f t="shared" ca="1" si="110"/>
        <v>-213440422.59908494</v>
      </c>
      <c r="J1500" s="455">
        <f t="array" ref="J1500">IFERROR(INDEX('Retirement Calculator'!K:K,MATCH('Lorri 401b'!N1500,'Retirement Calculator'!A:A,0),0),0)</f>
        <v>0</v>
      </c>
      <c r="K1500" s="455">
        <f t="shared" ca="1" si="108"/>
        <v>-889335.0941628539</v>
      </c>
      <c r="L1500" s="455">
        <f t="shared" ca="1" si="109"/>
        <v>-214329757.6932478</v>
      </c>
      <c r="M1500" s="471">
        <f t="shared" si="111"/>
        <v>0.05</v>
      </c>
      <c r="N1500" s="475">
        <f t="shared" si="112"/>
        <v>96700</v>
      </c>
    </row>
    <row r="1501" spans="7:14" ht="11.25" customHeight="1" x14ac:dyDescent="0.3">
      <c r="G1501" s="470"/>
      <c r="H1501" s="470">
        <v>1494</v>
      </c>
      <c r="I1501" s="455">
        <f t="shared" ca="1" si="110"/>
        <v>-214329757.6932478</v>
      </c>
      <c r="J1501" s="455">
        <f t="array" ref="J1501">IFERROR(INDEX('Retirement Calculator'!K:K,MATCH('Lorri 401b'!N1501,'Retirement Calculator'!A:A,0),0),0)</f>
        <v>0</v>
      </c>
      <c r="K1501" s="455">
        <f t="shared" ca="1" si="108"/>
        <v>-893040.65705519915</v>
      </c>
      <c r="L1501" s="455">
        <f t="shared" ca="1" si="109"/>
        <v>-215222798.35030299</v>
      </c>
      <c r="M1501" s="471">
        <f t="shared" si="111"/>
        <v>0.05</v>
      </c>
      <c r="N1501" s="475">
        <f t="shared" si="112"/>
        <v>96731</v>
      </c>
    </row>
    <row r="1502" spans="7:14" ht="11.25" customHeight="1" x14ac:dyDescent="0.3">
      <c r="G1502" s="470"/>
      <c r="H1502" s="470">
        <v>1495</v>
      </c>
      <c r="I1502" s="455">
        <f t="shared" ca="1" si="110"/>
        <v>-215222798.35030299</v>
      </c>
      <c r="J1502" s="455">
        <f t="array" ref="J1502">IFERROR(INDEX('Retirement Calculator'!K:K,MATCH('Lorri 401b'!N1502,'Retirement Calculator'!A:A,0),0),0)</f>
        <v>0</v>
      </c>
      <c r="K1502" s="455">
        <f t="shared" ca="1" si="108"/>
        <v>-896761.65979292907</v>
      </c>
      <c r="L1502" s="455">
        <f t="shared" ca="1" si="109"/>
        <v>-216119560.01009592</v>
      </c>
      <c r="M1502" s="471">
        <f t="shared" si="111"/>
        <v>0.05</v>
      </c>
      <c r="N1502" s="475">
        <f t="shared" si="112"/>
        <v>96761</v>
      </c>
    </row>
    <row r="1503" spans="7:14" ht="11.25" customHeight="1" x14ac:dyDescent="0.3">
      <c r="G1503" s="470"/>
      <c r="H1503" s="470">
        <v>1496</v>
      </c>
      <c r="I1503" s="455">
        <f t="shared" ca="1" si="110"/>
        <v>-216119560.01009592</v>
      </c>
      <c r="J1503" s="455">
        <f t="array" ref="J1503">IFERROR(INDEX('Retirement Calculator'!K:K,MATCH('Lorri 401b'!N1503,'Retirement Calculator'!A:A,0),0),0)</f>
        <v>0</v>
      </c>
      <c r="K1503" s="455">
        <f t="shared" ca="1" si="108"/>
        <v>-900498.16670873296</v>
      </c>
      <c r="L1503" s="455">
        <f t="shared" ca="1" si="109"/>
        <v>-217020058.17680466</v>
      </c>
      <c r="M1503" s="471">
        <f t="shared" si="111"/>
        <v>0.05</v>
      </c>
      <c r="N1503" s="475">
        <f t="shared" si="112"/>
        <v>96792</v>
      </c>
    </row>
    <row r="1504" spans="7:14" ht="11.25" customHeight="1" x14ac:dyDescent="0.3">
      <c r="G1504" s="470"/>
      <c r="H1504" s="470">
        <v>1497</v>
      </c>
      <c r="I1504" s="455">
        <f t="shared" ca="1" si="110"/>
        <v>-217020058.17680466</v>
      </c>
      <c r="J1504" s="455">
        <f t="array" ref="J1504">IFERROR(INDEX('Retirement Calculator'!K:K,MATCH('Lorri 401b'!N1504,'Retirement Calculator'!A:A,0),0),0)</f>
        <v>0</v>
      </c>
      <c r="K1504" s="455">
        <f t="shared" ca="1" si="108"/>
        <v>-904250.24240335275</v>
      </c>
      <c r="L1504" s="455">
        <f t="shared" ca="1" si="109"/>
        <v>-217924308.41920802</v>
      </c>
      <c r="M1504" s="471">
        <f t="shared" si="111"/>
        <v>0.05</v>
      </c>
      <c r="N1504" s="475">
        <f t="shared" si="112"/>
        <v>96823</v>
      </c>
    </row>
    <row r="1505" spans="7:14" ht="11.25" customHeight="1" x14ac:dyDescent="0.3">
      <c r="G1505" s="470"/>
      <c r="H1505" s="470">
        <v>1498</v>
      </c>
      <c r="I1505" s="455">
        <f t="shared" ca="1" si="110"/>
        <v>-217924308.41920802</v>
      </c>
      <c r="J1505" s="455">
        <f t="array" ref="J1505">IFERROR(INDEX('Retirement Calculator'!K:K,MATCH('Lorri 401b'!N1505,'Retirement Calculator'!A:A,0),0),0)</f>
        <v>0</v>
      </c>
      <c r="K1505" s="455">
        <f t="shared" ca="1" si="108"/>
        <v>-908017.95174669998</v>
      </c>
      <c r="L1505" s="455">
        <f t="shared" ca="1" si="109"/>
        <v>-218832326.37095472</v>
      </c>
      <c r="M1505" s="471">
        <f t="shared" si="111"/>
        <v>0.05</v>
      </c>
      <c r="N1505" s="475">
        <f t="shared" si="112"/>
        <v>96851</v>
      </c>
    </row>
    <row r="1506" spans="7:14" ht="11.25" customHeight="1" x14ac:dyDescent="0.3">
      <c r="G1506" s="470"/>
      <c r="H1506" s="470">
        <v>1499</v>
      </c>
      <c r="I1506" s="455">
        <f t="shared" ca="1" si="110"/>
        <v>-218832326.37095472</v>
      </c>
      <c r="J1506" s="455">
        <f t="array" ref="J1506">IFERROR(INDEX('Retirement Calculator'!K:K,MATCH('Lorri 401b'!N1506,'Retirement Calculator'!A:A,0),0),0)</f>
        <v>0</v>
      </c>
      <c r="K1506" s="455">
        <f t="shared" ca="1" si="108"/>
        <v>-911801.35987897799</v>
      </c>
      <c r="L1506" s="455">
        <f t="shared" ca="1" si="109"/>
        <v>-219744127.73083371</v>
      </c>
      <c r="M1506" s="471">
        <f t="shared" si="111"/>
        <v>0.05</v>
      </c>
      <c r="N1506" s="475">
        <f t="shared" si="112"/>
        <v>96882</v>
      </c>
    </row>
    <row r="1507" spans="7:14" ht="11.25" customHeight="1" x14ac:dyDescent="0.3">
      <c r="G1507" s="470"/>
      <c r="H1507" s="470">
        <v>1500</v>
      </c>
      <c r="I1507" s="455">
        <f t="shared" ca="1" si="110"/>
        <v>-219744127.73083371</v>
      </c>
      <c r="J1507" s="455">
        <f t="array" ref="J1507">IFERROR(INDEX('Retirement Calculator'!K:K,MATCH('Lorri 401b'!N1507,'Retirement Calculator'!A:A,0),0),0)</f>
        <v>0</v>
      </c>
      <c r="K1507" s="455">
        <f t="shared" ca="1" si="108"/>
        <v>-915600.53221180709</v>
      </c>
      <c r="L1507" s="455">
        <f t="shared" ca="1" si="109"/>
        <v>-220659728.26304552</v>
      </c>
      <c r="M1507" s="471">
        <f t="shared" si="111"/>
        <v>0.05</v>
      </c>
      <c r="N1507" s="475">
        <f t="shared" si="112"/>
        <v>96912</v>
      </c>
    </row>
    <row r="1508" spans="7:14" ht="11.25" customHeight="1" x14ac:dyDescent="0.3">
      <c r="G1508" s="470"/>
      <c r="H1508" s="470">
        <v>1501</v>
      </c>
      <c r="I1508" s="455">
        <f t="shared" ca="1" si="110"/>
        <v>-220659728.26304552</v>
      </c>
      <c r="J1508" s="455">
        <f t="array" ref="J1508">IFERROR(INDEX('Retirement Calculator'!K:K,MATCH('Lorri 401b'!N1508,'Retirement Calculator'!A:A,0),0),0)</f>
        <v>0</v>
      </c>
      <c r="K1508" s="455">
        <f t="shared" ca="1" si="108"/>
        <v>-919415.53442935634</v>
      </c>
      <c r="L1508" s="455">
        <f t="shared" ca="1" si="109"/>
        <v>-221579143.79747486</v>
      </c>
      <c r="M1508" s="471">
        <f t="shared" si="111"/>
        <v>0.05</v>
      </c>
      <c r="N1508" s="475">
        <f t="shared" si="112"/>
        <v>96943</v>
      </c>
    </row>
    <row r="1509" spans="7:14" ht="11.25" customHeight="1" x14ac:dyDescent="0.3">
      <c r="G1509" s="470"/>
      <c r="H1509" s="470">
        <v>1502</v>
      </c>
      <c r="I1509" s="455">
        <f t="shared" ca="1" si="110"/>
        <v>-221579143.79747486</v>
      </c>
      <c r="J1509" s="455">
        <f t="array" ref="J1509">IFERROR(INDEX('Retirement Calculator'!K:K,MATCH('Lorri 401b'!N1509,'Retirement Calculator'!A:A,0),0),0)</f>
        <v>0</v>
      </c>
      <c r="K1509" s="455">
        <f t="shared" ca="1" si="108"/>
        <v>-923246.43248947861</v>
      </c>
      <c r="L1509" s="455">
        <f t="shared" ca="1" si="109"/>
        <v>-222502390.22996435</v>
      </c>
      <c r="M1509" s="471">
        <f t="shared" si="111"/>
        <v>0.05</v>
      </c>
      <c r="N1509" s="475">
        <f t="shared" si="112"/>
        <v>96973</v>
      </c>
    </row>
    <row r="1510" spans="7:14" ht="11.25" customHeight="1" x14ac:dyDescent="0.3">
      <c r="G1510" s="470"/>
      <c r="H1510" s="470">
        <v>1503</v>
      </c>
      <c r="I1510" s="455">
        <f t="shared" ca="1" si="110"/>
        <v>-222502390.22996435</v>
      </c>
      <c r="J1510" s="455">
        <f t="array" ref="J1510">IFERROR(INDEX('Retirement Calculator'!K:K,MATCH('Lorri 401b'!N1510,'Retirement Calculator'!A:A,0),0),0)</f>
        <v>0</v>
      </c>
      <c r="K1510" s="455">
        <f t="shared" ca="1" si="108"/>
        <v>-927093.29262485146</v>
      </c>
      <c r="L1510" s="455">
        <f t="shared" ca="1" si="109"/>
        <v>-223429483.52258921</v>
      </c>
      <c r="M1510" s="471">
        <f t="shared" si="111"/>
        <v>0.05</v>
      </c>
      <c r="N1510" s="475">
        <f t="shared" si="112"/>
        <v>97004</v>
      </c>
    </row>
    <row r="1511" spans="7:14" ht="11.25" customHeight="1" x14ac:dyDescent="0.3">
      <c r="G1511" s="470"/>
      <c r="H1511" s="470">
        <v>1504</v>
      </c>
      <c r="I1511" s="455">
        <f t="shared" ca="1" si="110"/>
        <v>-223429483.52258921</v>
      </c>
      <c r="J1511" s="455">
        <f t="array" ref="J1511">IFERROR(INDEX('Retirement Calculator'!K:K,MATCH('Lorri 401b'!N1511,'Retirement Calculator'!A:A,0),0),0)</f>
        <v>0</v>
      </c>
      <c r="K1511" s="455">
        <f t="shared" ca="1" si="108"/>
        <v>-930956.18134412158</v>
      </c>
      <c r="L1511" s="455">
        <f t="shared" ca="1" si="109"/>
        <v>-224360439.70393333</v>
      </c>
      <c r="M1511" s="471">
        <f t="shared" si="111"/>
        <v>0.05</v>
      </c>
      <c r="N1511" s="475">
        <f t="shared" si="112"/>
        <v>97035</v>
      </c>
    </row>
    <row r="1512" spans="7:14" ht="11.25" customHeight="1" x14ac:dyDescent="0.3">
      <c r="G1512" s="470"/>
      <c r="H1512" s="470">
        <v>1505</v>
      </c>
      <c r="I1512" s="455">
        <f t="shared" ca="1" si="110"/>
        <v>-224360439.70393333</v>
      </c>
      <c r="J1512" s="455">
        <f t="array" ref="J1512">IFERROR(INDEX('Retirement Calculator'!K:K,MATCH('Lorri 401b'!N1512,'Retirement Calculator'!A:A,0),0),0)</f>
        <v>0</v>
      </c>
      <c r="K1512" s="455">
        <f t="shared" ca="1" si="108"/>
        <v>-934835.16543305537</v>
      </c>
      <c r="L1512" s="455">
        <f t="shared" ca="1" si="109"/>
        <v>-225295274.86936638</v>
      </c>
      <c r="M1512" s="471">
        <f t="shared" si="111"/>
        <v>0.05</v>
      </c>
      <c r="N1512" s="475">
        <f t="shared" si="112"/>
        <v>97065</v>
      </c>
    </row>
    <row r="1513" spans="7:14" ht="11.25" customHeight="1" x14ac:dyDescent="0.3">
      <c r="G1513" s="470"/>
      <c r="H1513" s="470">
        <v>1506</v>
      </c>
      <c r="I1513" s="455">
        <f t="shared" ca="1" si="110"/>
        <v>-225295274.86936638</v>
      </c>
      <c r="J1513" s="455">
        <f t="array" ref="J1513">IFERROR(INDEX('Retirement Calculator'!K:K,MATCH('Lorri 401b'!N1513,'Retirement Calculator'!A:A,0),0),0)</f>
        <v>0</v>
      </c>
      <c r="K1513" s="455">
        <f t="shared" ca="1" si="108"/>
        <v>-938730.31195569318</v>
      </c>
      <c r="L1513" s="455">
        <f t="shared" ca="1" si="109"/>
        <v>-226234005.18132207</v>
      </c>
      <c r="M1513" s="471">
        <f t="shared" si="111"/>
        <v>0.05</v>
      </c>
      <c r="N1513" s="475">
        <f t="shared" si="112"/>
        <v>97096</v>
      </c>
    </row>
    <row r="1514" spans="7:14" ht="11.25" customHeight="1" x14ac:dyDescent="0.3">
      <c r="G1514" s="470"/>
      <c r="H1514" s="470">
        <v>1507</v>
      </c>
      <c r="I1514" s="455">
        <f t="shared" ca="1" si="110"/>
        <v>-226234005.18132207</v>
      </c>
      <c r="J1514" s="455">
        <f t="array" ref="J1514">IFERROR(INDEX('Retirement Calculator'!K:K,MATCH('Lorri 401b'!N1514,'Retirement Calculator'!A:A,0),0),0)</f>
        <v>0</v>
      </c>
      <c r="K1514" s="455">
        <f t="shared" ca="1" si="108"/>
        <v>-942641.68825550843</v>
      </c>
      <c r="L1514" s="455">
        <f t="shared" ca="1" si="109"/>
        <v>-227176646.86957759</v>
      </c>
      <c r="M1514" s="471">
        <f t="shared" si="111"/>
        <v>0.05</v>
      </c>
      <c r="N1514" s="475">
        <f t="shared" si="112"/>
        <v>97126</v>
      </c>
    </row>
    <row r="1515" spans="7:14" ht="11.25" customHeight="1" x14ac:dyDescent="0.3">
      <c r="G1515" s="470"/>
      <c r="H1515" s="470">
        <v>1508</v>
      </c>
      <c r="I1515" s="455">
        <f t="shared" ca="1" si="110"/>
        <v>-227176646.86957759</v>
      </c>
      <c r="J1515" s="455">
        <f t="array" ref="J1515">IFERROR(INDEX('Retirement Calculator'!K:K,MATCH('Lorri 401b'!N1515,'Retirement Calculator'!A:A,0),0),0)</f>
        <v>0</v>
      </c>
      <c r="K1515" s="455">
        <f t="shared" ca="1" si="108"/>
        <v>-946569.36195657321</v>
      </c>
      <c r="L1515" s="455">
        <f t="shared" ca="1" si="109"/>
        <v>-228123216.23153415</v>
      </c>
      <c r="M1515" s="471">
        <f t="shared" si="111"/>
        <v>0.05</v>
      </c>
      <c r="N1515" s="475">
        <f t="shared" si="112"/>
        <v>97157</v>
      </c>
    </row>
    <row r="1516" spans="7:14" ht="11.25" customHeight="1" x14ac:dyDescent="0.3">
      <c r="G1516" s="470"/>
      <c r="H1516" s="470">
        <v>1509</v>
      </c>
      <c r="I1516" s="455">
        <f t="shared" ca="1" si="110"/>
        <v>-228123216.23153415</v>
      </c>
      <c r="J1516" s="455">
        <f t="array" ref="J1516">IFERROR(INDEX('Retirement Calculator'!K:K,MATCH('Lorri 401b'!N1516,'Retirement Calculator'!A:A,0),0),0)</f>
        <v>0</v>
      </c>
      <c r="K1516" s="455">
        <f t="shared" ca="1" si="108"/>
        <v>-950513.40096472553</v>
      </c>
      <c r="L1516" s="455">
        <f t="shared" ca="1" si="109"/>
        <v>-229073729.63249889</v>
      </c>
      <c r="M1516" s="471">
        <f t="shared" si="111"/>
        <v>0.05</v>
      </c>
      <c r="N1516" s="475">
        <f t="shared" si="112"/>
        <v>97188</v>
      </c>
    </row>
    <row r="1517" spans="7:14" ht="11.25" customHeight="1" x14ac:dyDescent="0.3">
      <c r="G1517" s="470"/>
      <c r="H1517" s="470">
        <v>1510</v>
      </c>
      <c r="I1517" s="455">
        <f t="shared" ca="1" si="110"/>
        <v>-229073729.63249889</v>
      </c>
      <c r="J1517" s="455">
        <f t="array" ref="J1517">IFERROR(INDEX('Retirement Calculator'!K:K,MATCH('Lorri 401b'!N1517,'Retirement Calculator'!A:A,0),0),0)</f>
        <v>0</v>
      </c>
      <c r="K1517" s="455">
        <f t="shared" ca="1" si="108"/>
        <v>-954473.87346874538</v>
      </c>
      <c r="L1517" s="455">
        <f t="shared" ca="1" si="109"/>
        <v>-230028203.50596765</v>
      </c>
      <c r="M1517" s="471">
        <f t="shared" si="111"/>
        <v>0.05</v>
      </c>
      <c r="N1517" s="475">
        <f t="shared" si="112"/>
        <v>97216</v>
      </c>
    </row>
    <row r="1518" spans="7:14" ht="11.25" customHeight="1" x14ac:dyDescent="0.3">
      <c r="G1518" s="470"/>
      <c r="H1518" s="470">
        <v>1511</v>
      </c>
      <c r="I1518" s="455">
        <f t="shared" ca="1" si="110"/>
        <v>-230028203.50596765</v>
      </c>
      <c r="J1518" s="455">
        <f t="array" ref="J1518">IFERROR(INDEX('Retirement Calculator'!K:K,MATCH('Lorri 401b'!N1518,'Retirement Calculator'!A:A,0),0),0)</f>
        <v>0</v>
      </c>
      <c r="K1518" s="455">
        <f t="shared" ca="1" si="108"/>
        <v>-958450.8479415318</v>
      </c>
      <c r="L1518" s="455">
        <f t="shared" ca="1" si="109"/>
        <v>-230986654.35390916</v>
      </c>
      <c r="M1518" s="471">
        <f t="shared" si="111"/>
        <v>0.05</v>
      </c>
      <c r="N1518" s="475">
        <f t="shared" si="112"/>
        <v>97247</v>
      </c>
    </row>
    <row r="1519" spans="7:14" ht="11.25" customHeight="1" x14ac:dyDescent="0.3">
      <c r="G1519" s="470"/>
      <c r="H1519" s="470">
        <v>1512</v>
      </c>
      <c r="I1519" s="455">
        <f t="shared" ca="1" si="110"/>
        <v>-230986654.35390916</v>
      </c>
      <c r="J1519" s="455">
        <f t="array" ref="J1519">IFERROR(INDEX('Retirement Calculator'!K:K,MATCH('Lorri 401b'!N1519,'Retirement Calculator'!A:A,0),0),0)</f>
        <v>0</v>
      </c>
      <c r="K1519" s="455">
        <f t="shared" ca="1" si="108"/>
        <v>-962444.39314128819</v>
      </c>
      <c r="L1519" s="455">
        <f t="shared" ca="1" si="109"/>
        <v>-231949098.74705046</v>
      </c>
      <c r="M1519" s="471">
        <f t="shared" si="111"/>
        <v>0.05</v>
      </c>
      <c r="N1519" s="475">
        <f t="shared" si="112"/>
        <v>97277</v>
      </c>
    </row>
    <row r="1520" spans="7:14" ht="11.25" customHeight="1" x14ac:dyDescent="0.3">
      <c r="G1520" s="470"/>
      <c r="H1520" s="470">
        <v>1513</v>
      </c>
      <c r="I1520" s="455">
        <f t="shared" ca="1" si="110"/>
        <v>-231949098.74705046</v>
      </c>
      <c r="J1520" s="455">
        <f t="array" ref="J1520">IFERROR(INDEX('Retirement Calculator'!K:K,MATCH('Lorri 401b'!N1520,'Retirement Calculator'!A:A,0),0),0)</f>
        <v>0</v>
      </c>
      <c r="K1520" s="455">
        <f t="shared" ca="1" si="108"/>
        <v>-966454.57811271027</v>
      </c>
      <c r="L1520" s="455">
        <f t="shared" ca="1" si="109"/>
        <v>-232915553.32516319</v>
      </c>
      <c r="M1520" s="471">
        <f t="shared" si="111"/>
        <v>0.05</v>
      </c>
      <c r="N1520" s="475">
        <f t="shared" si="112"/>
        <v>97308</v>
      </c>
    </row>
    <row r="1521" spans="7:14" ht="11.25" customHeight="1" x14ac:dyDescent="0.3">
      <c r="G1521" s="470"/>
      <c r="H1521" s="470">
        <v>1514</v>
      </c>
      <c r="I1521" s="455">
        <f t="shared" ca="1" si="110"/>
        <v>-232915553.32516319</v>
      </c>
      <c r="J1521" s="455">
        <f t="array" ref="J1521">IFERROR(INDEX('Retirement Calculator'!K:K,MATCH('Lorri 401b'!N1521,'Retirement Calculator'!A:A,0),0),0)</f>
        <v>0</v>
      </c>
      <c r="K1521" s="455">
        <f t="shared" ca="1" si="108"/>
        <v>-970481.47218817996</v>
      </c>
      <c r="L1521" s="455">
        <f t="shared" ca="1" si="109"/>
        <v>-233886034.79735136</v>
      </c>
      <c r="M1521" s="471">
        <f t="shared" si="111"/>
        <v>0.05</v>
      </c>
      <c r="N1521" s="475">
        <f t="shared" si="112"/>
        <v>97338</v>
      </c>
    </row>
    <row r="1522" spans="7:14" ht="11.25" customHeight="1" x14ac:dyDescent="0.3">
      <c r="G1522" s="470"/>
      <c r="H1522" s="470">
        <v>1515</v>
      </c>
      <c r="I1522" s="455">
        <f t="shared" ca="1" si="110"/>
        <v>-233886034.79735136</v>
      </c>
      <c r="J1522" s="455">
        <f t="array" ref="J1522">IFERROR(INDEX('Retirement Calculator'!K:K,MATCH('Lorri 401b'!N1522,'Retirement Calculator'!A:A,0),0),0)</f>
        <v>0</v>
      </c>
      <c r="K1522" s="455">
        <f t="shared" ca="1" si="108"/>
        <v>-974525.14498896396</v>
      </c>
      <c r="L1522" s="455">
        <f t="shared" ca="1" si="109"/>
        <v>-234860559.94234031</v>
      </c>
      <c r="M1522" s="471">
        <f t="shared" si="111"/>
        <v>0.05</v>
      </c>
      <c r="N1522" s="475">
        <f t="shared" si="112"/>
        <v>97369</v>
      </c>
    </row>
    <row r="1523" spans="7:14" ht="11.25" customHeight="1" x14ac:dyDescent="0.3">
      <c r="G1523" s="470"/>
      <c r="H1523" s="470">
        <v>1516</v>
      </c>
      <c r="I1523" s="455">
        <f t="shared" ca="1" si="110"/>
        <v>-234860559.94234031</v>
      </c>
      <c r="J1523" s="455">
        <f t="array" ref="J1523">IFERROR(INDEX('Retirement Calculator'!K:K,MATCH('Lorri 401b'!N1523,'Retirement Calculator'!A:A,0),0),0)</f>
        <v>0</v>
      </c>
      <c r="K1523" s="455">
        <f t="shared" ca="1" si="108"/>
        <v>-978585.666426418</v>
      </c>
      <c r="L1523" s="455">
        <f t="shared" ca="1" si="109"/>
        <v>-235839145.60876673</v>
      </c>
      <c r="M1523" s="471">
        <f t="shared" si="111"/>
        <v>0.05</v>
      </c>
      <c r="N1523" s="475">
        <f t="shared" si="112"/>
        <v>97400</v>
      </c>
    </row>
    <row r="1524" spans="7:14" ht="11.25" customHeight="1" x14ac:dyDescent="0.3">
      <c r="G1524" s="470"/>
      <c r="H1524" s="470">
        <v>1517</v>
      </c>
      <c r="I1524" s="455">
        <f t="shared" ca="1" si="110"/>
        <v>-235839145.60876673</v>
      </c>
      <c r="J1524" s="455">
        <f t="array" ref="J1524">IFERROR(INDEX('Retirement Calculator'!K:K,MATCH('Lorri 401b'!N1524,'Retirement Calculator'!A:A,0),0),0)</f>
        <v>0</v>
      </c>
      <c r="K1524" s="455">
        <f t="shared" ca="1" si="108"/>
        <v>-982663.10670319467</v>
      </c>
      <c r="L1524" s="455">
        <f t="shared" ca="1" si="109"/>
        <v>-236821808.71546993</v>
      </c>
      <c r="M1524" s="471">
        <f t="shared" si="111"/>
        <v>0.05</v>
      </c>
      <c r="N1524" s="475">
        <f t="shared" si="112"/>
        <v>97430</v>
      </c>
    </row>
    <row r="1525" spans="7:14" ht="11.25" customHeight="1" x14ac:dyDescent="0.3">
      <c r="G1525" s="470"/>
      <c r="H1525" s="470">
        <v>1518</v>
      </c>
      <c r="I1525" s="455">
        <f t="shared" ca="1" si="110"/>
        <v>-236821808.71546993</v>
      </c>
      <c r="J1525" s="455">
        <f t="array" ref="J1525">IFERROR(INDEX('Retirement Calculator'!K:K,MATCH('Lorri 401b'!N1525,'Retirement Calculator'!A:A,0),0),0)</f>
        <v>0</v>
      </c>
      <c r="K1525" s="455">
        <f t="shared" ca="1" si="108"/>
        <v>-986757.536314458</v>
      </c>
      <c r="L1525" s="455">
        <f t="shared" ca="1" si="109"/>
        <v>-237808566.25178438</v>
      </c>
      <c r="M1525" s="471">
        <f t="shared" si="111"/>
        <v>0.05</v>
      </c>
      <c r="N1525" s="475">
        <f t="shared" si="112"/>
        <v>97461</v>
      </c>
    </row>
    <row r="1526" spans="7:14" ht="11.25" customHeight="1" x14ac:dyDescent="0.3">
      <c r="G1526" s="470"/>
      <c r="H1526" s="470">
        <v>1519</v>
      </c>
      <c r="I1526" s="455">
        <f t="shared" ca="1" si="110"/>
        <v>-237808566.25178438</v>
      </c>
      <c r="J1526" s="455">
        <f t="array" ref="J1526">IFERROR(INDEX('Retirement Calculator'!K:K,MATCH('Lorri 401b'!N1526,'Retirement Calculator'!A:A,0),0),0)</f>
        <v>0</v>
      </c>
      <c r="K1526" s="455">
        <f t="shared" ca="1" si="108"/>
        <v>-990869.02604910161</v>
      </c>
      <c r="L1526" s="455">
        <f t="shared" ca="1" si="109"/>
        <v>-238799435.27783349</v>
      </c>
      <c r="M1526" s="471">
        <f t="shared" si="111"/>
        <v>0.05</v>
      </c>
      <c r="N1526" s="475">
        <f t="shared" si="112"/>
        <v>97491</v>
      </c>
    </row>
    <row r="1527" spans="7:14" ht="11.25" customHeight="1" x14ac:dyDescent="0.3">
      <c r="G1527" s="470"/>
      <c r="H1527" s="470">
        <v>1520</v>
      </c>
      <c r="I1527" s="455">
        <f t="shared" ca="1" si="110"/>
        <v>-238799435.27783349</v>
      </c>
      <c r="J1527" s="455">
        <f t="array" ref="J1527">IFERROR(INDEX('Retirement Calculator'!K:K,MATCH('Lorri 401b'!N1527,'Retirement Calculator'!A:A,0),0),0)</f>
        <v>0</v>
      </c>
      <c r="K1527" s="455">
        <f t="shared" ca="1" si="108"/>
        <v>-994997.64699097292</v>
      </c>
      <c r="L1527" s="455">
        <f t="shared" ca="1" si="109"/>
        <v>-239794432.92482448</v>
      </c>
      <c r="M1527" s="471">
        <f t="shared" si="111"/>
        <v>0.05</v>
      </c>
      <c r="N1527" s="475">
        <f t="shared" si="112"/>
        <v>97522</v>
      </c>
    </row>
    <row r="1528" spans="7:14" ht="11.25" customHeight="1" x14ac:dyDescent="0.3">
      <c r="G1528" s="470"/>
      <c r="H1528" s="470">
        <v>1521</v>
      </c>
      <c r="I1528" s="455">
        <f t="shared" ca="1" si="110"/>
        <v>-239794432.92482448</v>
      </c>
      <c r="J1528" s="455">
        <f t="array" ref="J1528">IFERROR(INDEX('Retirement Calculator'!K:K,MATCH('Lorri 401b'!N1528,'Retirement Calculator'!A:A,0),0),0)</f>
        <v>0</v>
      </c>
      <c r="K1528" s="455">
        <f t="shared" ca="1" si="108"/>
        <v>-999143.47052010195</v>
      </c>
      <c r="L1528" s="455">
        <f t="shared" ca="1" si="109"/>
        <v>-240793576.39534459</v>
      </c>
      <c r="M1528" s="471">
        <f t="shared" si="111"/>
        <v>0.05</v>
      </c>
      <c r="N1528" s="475">
        <f t="shared" si="112"/>
        <v>97553</v>
      </c>
    </row>
    <row r="1529" spans="7:14" ht="11.25" customHeight="1" x14ac:dyDescent="0.3">
      <c r="G1529" s="470"/>
      <c r="H1529" s="470">
        <v>1522</v>
      </c>
      <c r="I1529" s="455">
        <f t="shared" ca="1" si="110"/>
        <v>-240793576.39534459</v>
      </c>
      <c r="J1529" s="455">
        <f t="array" ref="J1529">IFERROR(INDEX('Retirement Calculator'!K:K,MATCH('Lorri 401b'!N1529,'Retirement Calculator'!A:A,0),0),0)</f>
        <v>0</v>
      </c>
      <c r="K1529" s="455">
        <f t="shared" ca="1" si="108"/>
        <v>-1003306.5683139357</v>
      </c>
      <c r="L1529" s="455">
        <f t="shared" ca="1" si="109"/>
        <v>-241796882.96365851</v>
      </c>
      <c r="M1529" s="471">
        <f t="shared" si="111"/>
        <v>0.05</v>
      </c>
      <c r="N1529" s="475">
        <f t="shared" si="112"/>
        <v>97581</v>
      </c>
    </row>
    <row r="1530" spans="7:14" ht="11.25" customHeight="1" x14ac:dyDescent="0.3">
      <c r="G1530" s="470"/>
      <c r="H1530" s="470">
        <v>1523</v>
      </c>
      <c r="I1530" s="455">
        <f t="shared" ca="1" si="110"/>
        <v>-241796882.96365851</v>
      </c>
      <c r="J1530" s="455">
        <f t="array" ref="J1530">IFERROR(INDEX('Retirement Calculator'!K:K,MATCH('Lorri 401b'!N1530,'Retirement Calculator'!A:A,0),0),0)</f>
        <v>0</v>
      </c>
      <c r="K1530" s="455">
        <f t="shared" ca="1" si="108"/>
        <v>-1007487.012348577</v>
      </c>
      <c r="L1530" s="455">
        <f t="shared" ca="1" si="109"/>
        <v>-242804369.97600707</v>
      </c>
      <c r="M1530" s="471">
        <f t="shared" si="111"/>
        <v>0.05</v>
      </c>
      <c r="N1530" s="475">
        <f t="shared" si="112"/>
        <v>97612</v>
      </c>
    </row>
    <row r="1531" spans="7:14" ht="11.25" customHeight="1" x14ac:dyDescent="0.3">
      <c r="G1531" s="470"/>
      <c r="H1531" s="470">
        <v>1524</v>
      </c>
      <c r="I1531" s="455">
        <f t="shared" ca="1" si="110"/>
        <v>-242804369.97600707</v>
      </c>
      <c r="J1531" s="455">
        <f t="array" ref="J1531">IFERROR(INDEX('Retirement Calculator'!K:K,MATCH('Lorri 401b'!N1531,'Retirement Calculator'!A:A,0),0),0)</f>
        <v>0</v>
      </c>
      <c r="K1531" s="455">
        <f t="shared" ca="1" si="108"/>
        <v>-1011684.8749000295</v>
      </c>
      <c r="L1531" s="455">
        <f t="shared" ca="1" si="109"/>
        <v>-243816054.85090712</v>
      </c>
      <c r="M1531" s="471">
        <f t="shared" si="111"/>
        <v>0.05</v>
      </c>
      <c r="N1531" s="475">
        <f t="shared" si="112"/>
        <v>97642</v>
      </c>
    </row>
    <row r="1532" spans="7:14" ht="11.25" customHeight="1" x14ac:dyDescent="0.3">
      <c r="G1532" s="470"/>
      <c r="H1532" s="470">
        <v>1525</v>
      </c>
      <c r="I1532" s="455">
        <f t="shared" ca="1" si="110"/>
        <v>-243816054.85090712</v>
      </c>
      <c r="J1532" s="455">
        <f t="array" ref="J1532">IFERROR(INDEX('Retirement Calculator'!K:K,MATCH('Lorri 401b'!N1532,'Retirement Calculator'!A:A,0),0),0)</f>
        <v>0</v>
      </c>
      <c r="K1532" s="455">
        <f t="shared" ca="1" si="108"/>
        <v>-1015900.2285454463</v>
      </c>
      <c r="L1532" s="455">
        <f t="shared" ca="1" si="109"/>
        <v>-244831955.07945257</v>
      </c>
      <c r="M1532" s="471">
        <f t="shared" si="111"/>
        <v>0.05</v>
      </c>
      <c r="N1532" s="475">
        <f t="shared" si="112"/>
        <v>97673</v>
      </c>
    </row>
    <row r="1533" spans="7:14" ht="11.25" customHeight="1" x14ac:dyDescent="0.3">
      <c r="G1533" s="470"/>
      <c r="H1533" s="470">
        <v>1526</v>
      </c>
      <c r="I1533" s="455">
        <f t="shared" ca="1" si="110"/>
        <v>-244831955.07945257</v>
      </c>
      <c r="J1533" s="455">
        <f t="array" ref="J1533">IFERROR(INDEX('Retirement Calculator'!K:K,MATCH('Lorri 401b'!N1533,'Retirement Calculator'!A:A,0),0),0)</f>
        <v>0</v>
      </c>
      <c r="K1533" s="455">
        <f t="shared" ca="1" si="108"/>
        <v>-1020133.1461643857</v>
      </c>
      <c r="L1533" s="455">
        <f t="shared" ca="1" si="109"/>
        <v>-245852088.22561696</v>
      </c>
      <c r="M1533" s="471">
        <f t="shared" si="111"/>
        <v>0.05</v>
      </c>
      <c r="N1533" s="475">
        <f t="shared" si="112"/>
        <v>97703</v>
      </c>
    </row>
    <row r="1534" spans="7:14" ht="11.25" customHeight="1" x14ac:dyDescent="0.3">
      <c r="G1534" s="470"/>
      <c r="H1534" s="470">
        <v>1527</v>
      </c>
      <c r="I1534" s="455">
        <f t="shared" ca="1" si="110"/>
        <v>-245852088.22561696</v>
      </c>
      <c r="J1534" s="455">
        <f t="array" ref="J1534">IFERROR(INDEX('Retirement Calculator'!K:K,MATCH('Lorri 401b'!N1534,'Retirement Calculator'!A:A,0),0),0)</f>
        <v>0</v>
      </c>
      <c r="K1534" s="455">
        <f t="shared" ca="1" si="108"/>
        <v>-1024383.7009400707</v>
      </c>
      <c r="L1534" s="455">
        <f t="shared" ca="1" si="109"/>
        <v>-246876471.92655703</v>
      </c>
      <c r="M1534" s="471">
        <f t="shared" si="111"/>
        <v>0.05</v>
      </c>
      <c r="N1534" s="475">
        <f t="shared" si="112"/>
        <v>97734</v>
      </c>
    </row>
    <row r="1535" spans="7:14" ht="11.25" customHeight="1" x14ac:dyDescent="0.3">
      <c r="G1535" s="470"/>
      <c r="H1535" s="470">
        <v>1528</v>
      </c>
      <c r="I1535" s="455">
        <f t="shared" ca="1" si="110"/>
        <v>-246876471.92655703</v>
      </c>
      <c r="J1535" s="455">
        <f t="array" ref="J1535">IFERROR(INDEX('Retirement Calculator'!K:K,MATCH('Lorri 401b'!N1535,'Retirement Calculator'!A:A,0),0),0)</f>
        <v>0</v>
      </c>
      <c r="K1535" s="455">
        <f t="shared" ca="1" si="108"/>
        <v>-1028651.9663606543</v>
      </c>
      <c r="L1535" s="455">
        <f t="shared" ca="1" si="109"/>
        <v>-247905123.89291769</v>
      </c>
      <c r="M1535" s="471">
        <f t="shared" si="111"/>
        <v>0.05</v>
      </c>
      <c r="N1535" s="475">
        <f t="shared" si="112"/>
        <v>97765</v>
      </c>
    </row>
    <row r="1536" spans="7:14" ht="11.25" customHeight="1" x14ac:dyDescent="0.3">
      <c r="G1536" s="470"/>
      <c r="H1536" s="470">
        <v>1529</v>
      </c>
      <c r="I1536" s="455">
        <f t="shared" ca="1" si="110"/>
        <v>-247905123.89291769</v>
      </c>
      <c r="J1536" s="455">
        <f t="array" ref="J1536">IFERROR(INDEX('Retirement Calculator'!K:K,MATCH('Lorri 401b'!N1536,'Retirement Calculator'!A:A,0),0),0)</f>
        <v>0</v>
      </c>
      <c r="K1536" s="455">
        <f t="shared" ca="1" si="108"/>
        <v>-1032938.0162204904</v>
      </c>
      <c r="L1536" s="455">
        <f t="shared" ca="1" si="109"/>
        <v>-248938061.90913817</v>
      </c>
      <c r="M1536" s="471">
        <f t="shared" si="111"/>
        <v>0.05</v>
      </c>
      <c r="N1536" s="475">
        <f t="shared" si="112"/>
        <v>97795</v>
      </c>
    </row>
    <row r="1537" spans="7:14" ht="11.25" customHeight="1" x14ac:dyDescent="0.3">
      <c r="G1537" s="470"/>
      <c r="H1537" s="470">
        <v>1530</v>
      </c>
      <c r="I1537" s="455">
        <f t="shared" ca="1" si="110"/>
        <v>-248938061.90913817</v>
      </c>
      <c r="J1537" s="455">
        <f t="array" ref="J1537">IFERROR(INDEX('Retirement Calculator'!K:K,MATCH('Lorri 401b'!N1537,'Retirement Calculator'!A:A,0),0),0)</f>
        <v>0</v>
      </c>
      <c r="K1537" s="455">
        <f t="shared" ca="1" si="108"/>
        <v>-1037241.924621409</v>
      </c>
      <c r="L1537" s="455">
        <f t="shared" ca="1" si="109"/>
        <v>-249975303.83375958</v>
      </c>
      <c r="M1537" s="471">
        <f t="shared" si="111"/>
        <v>0.05</v>
      </c>
      <c r="N1537" s="475">
        <f t="shared" si="112"/>
        <v>97826</v>
      </c>
    </row>
    <row r="1538" spans="7:14" ht="11.25" customHeight="1" x14ac:dyDescent="0.3">
      <c r="G1538" s="470"/>
      <c r="H1538" s="470">
        <v>1531</v>
      </c>
      <c r="I1538" s="455">
        <f t="shared" ca="1" si="110"/>
        <v>-249975303.83375958</v>
      </c>
      <c r="J1538" s="455">
        <f t="array" ref="J1538">IFERROR(INDEX('Retirement Calculator'!K:K,MATCH('Lorri 401b'!N1538,'Retirement Calculator'!A:A,0),0),0)</f>
        <v>0</v>
      </c>
      <c r="K1538" s="455">
        <f t="shared" ref="K1538:K1792" ca="1" si="113">IPMT(M1538/12,1,12,-I1538+J1538,,0)</f>
        <v>-1041563.7659739984</v>
      </c>
      <c r="L1538" s="455">
        <f t="shared" ref="L1538:L1792" ca="1" si="114">I1538-J1538+K1538</f>
        <v>-251016867.59973356</v>
      </c>
      <c r="M1538" s="471">
        <f t="shared" si="111"/>
        <v>0.05</v>
      </c>
      <c r="N1538" s="475">
        <f t="shared" si="112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15">L1538</f>
        <v>-251016867.59973356</v>
      </c>
      <c r="J1539" s="455">
        <f t="array" ref="J1539">IFERROR(INDEX('Retirement Calculator'!K:K,MATCH('Lorri 401b'!N1539,'Retirement Calculator'!A:A,0),0),0)</f>
        <v>0</v>
      </c>
      <c r="K1539" s="455">
        <f t="shared" ca="1" si="113"/>
        <v>-1045903.6149988899</v>
      </c>
      <c r="L1539" s="455">
        <f t="shared" ca="1" si="114"/>
        <v>-252062771.21473244</v>
      </c>
      <c r="M1539" s="471">
        <f t="shared" ref="M1539:M1793" si="116">M1538</f>
        <v>0.05</v>
      </c>
      <c r="N1539" s="475">
        <f t="shared" ref="N1539:N1793" si="117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15"/>
        <v>-252062771.21473244</v>
      </c>
      <c r="J1540" s="455">
        <f t="array" ref="J1540">IFERROR(INDEX('Retirement Calculator'!K:K,MATCH('Lorri 401b'!N1540,'Retirement Calculator'!A:A,0),0),0)</f>
        <v>0</v>
      </c>
      <c r="K1540" s="455">
        <f t="shared" ca="1" si="113"/>
        <v>-1050261.546728052</v>
      </c>
      <c r="L1540" s="455">
        <f t="shared" ca="1" si="114"/>
        <v>-253113032.76146048</v>
      </c>
      <c r="M1540" s="471">
        <f t="shared" si="116"/>
        <v>0.05</v>
      </c>
      <c r="N1540" s="475">
        <f t="shared" si="117"/>
        <v>97918</v>
      </c>
    </row>
    <row r="1541" spans="7:14" ht="11.25" customHeight="1" x14ac:dyDescent="0.3">
      <c r="G1541" s="470"/>
      <c r="H1541" s="470">
        <v>1534</v>
      </c>
      <c r="I1541" s="455">
        <f t="shared" ca="1" si="115"/>
        <v>-253113032.76146048</v>
      </c>
      <c r="J1541" s="455">
        <f t="array" ref="J1541">IFERROR(INDEX('Retirement Calculator'!K:K,MATCH('Lorri 401b'!N1541,'Retirement Calculator'!A:A,0),0),0)</f>
        <v>0</v>
      </c>
      <c r="K1541" s="455">
        <f t="shared" ca="1" si="113"/>
        <v>-1054637.6365060853</v>
      </c>
      <c r="L1541" s="455">
        <f t="shared" ca="1" si="114"/>
        <v>-254167670.39796656</v>
      </c>
      <c r="M1541" s="471">
        <f t="shared" si="116"/>
        <v>0.05</v>
      </c>
      <c r="N1541" s="475">
        <f t="shared" si="117"/>
        <v>97947</v>
      </c>
    </row>
    <row r="1542" spans="7:14" ht="11.25" customHeight="1" x14ac:dyDescent="0.3">
      <c r="G1542" s="470"/>
      <c r="H1542" s="470">
        <v>1535</v>
      </c>
      <c r="I1542" s="455">
        <f t="shared" ca="1" si="115"/>
        <v>-254167670.39796656</v>
      </c>
      <c r="J1542" s="455">
        <f t="array" ref="J1542">IFERROR(INDEX('Retirement Calculator'!K:K,MATCH('Lorri 401b'!N1542,'Retirement Calculator'!A:A,0),0),0)</f>
        <v>0</v>
      </c>
      <c r="K1542" s="455">
        <f t="shared" ca="1" si="113"/>
        <v>-1059031.9599915273</v>
      </c>
      <c r="L1542" s="455">
        <f t="shared" ca="1" si="114"/>
        <v>-255226702.35795808</v>
      </c>
      <c r="M1542" s="471">
        <f t="shared" si="116"/>
        <v>0.05</v>
      </c>
      <c r="N1542" s="475">
        <f t="shared" si="117"/>
        <v>97978</v>
      </c>
    </row>
    <row r="1543" spans="7:14" ht="11.25" customHeight="1" x14ac:dyDescent="0.3">
      <c r="G1543" s="470"/>
      <c r="H1543" s="470">
        <v>1536</v>
      </c>
      <c r="I1543" s="455">
        <f t="shared" ca="1" si="115"/>
        <v>-255226702.35795808</v>
      </c>
      <c r="J1543" s="455">
        <f t="array" ref="J1543">IFERROR(INDEX('Retirement Calculator'!K:K,MATCH('Lorri 401b'!N1543,'Retirement Calculator'!A:A,0),0),0)</f>
        <v>0</v>
      </c>
      <c r="K1543" s="455">
        <f t="shared" ca="1" si="113"/>
        <v>-1063444.5931581587</v>
      </c>
      <c r="L1543" s="455">
        <f t="shared" ca="1" si="114"/>
        <v>-256290146.95111623</v>
      </c>
      <c r="M1543" s="471">
        <f t="shared" si="116"/>
        <v>0.05</v>
      </c>
      <c r="N1543" s="475">
        <f t="shared" si="117"/>
        <v>98008</v>
      </c>
    </row>
    <row r="1544" spans="7:14" ht="11.25" customHeight="1" x14ac:dyDescent="0.3">
      <c r="G1544" s="470"/>
      <c r="H1544" s="470">
        <v>1537</v>
      </c>
      <c r="I1544" s="455">
        <f t="shared" ca="1" si="115"/>
        <v>-256290146.95111623</v>
      </c>
      <c r="J1544" s="455">
        <f t="array" ref="J1544">IFERROR(INDEX('Retirement Calculator'!K:K,MATCH('Lorri 401b'!N1544,'Retirement Calculator'!A:A,0),0),0)</f>
        <v>0</v>
      </c>
      <c r="K1544" s="455">
        <f t="shared" ca="1" si="113"/>
        <v>-1067875.6122963175</v>
      </c>
      <c r="L1544" s="455">
        <f t="shared" ca="1" si="114"/>
        <v>-257358022.56341255</v>
      </c>
      <c r="M1544" s="471">
        <f t="shared" si="116"/>
        <v>0.05</v>
      </c>
      <c r="N1544" s="475">
        <f t="shared" si="117"/>
        <v>98039</v>
      </c>
    </row>
    <row r="1545" spans="7:14" ht="11.25" customHeight="1" x14ac:dyDescent="0.3">
      <c r="G1545" s="470"/>
      <c r="H1545" s="470">
        <v>1538</v>
      </c>
      <c r="I1545" s="455">
        <f t="shared" ca="1" si="115"/>
        <v>-257358022.56341255</v>
      </c>
      <c r="J1545" s="455">
        <f t="array" ref="J1545">IFERROR(INDEX('Retirement Calculator'!K:K,MATCH('Lorri 401b'!N1545,'Retirement Calculator'!A:A,0),0),0)</f>
        <v>0</v>
      </c>
      <c r="K1545" s="455">
        <f t="shared" ca="1" si="113"/>
        <v>-1072325.094014219</v>
      </c>
      <c r="L1545" s="455">
        <f t="shared" ca="1" si="114"/>
        <v>-258430347.65742677</v>
      </c>
      <c r="M1545" s="471">
        <f t="shared" si="116"/>
        <v>0.05</v>
      </c>
      <c r="N1545" s="475">
        <f t="shared" si="117"/>
        <v>98069</v>
      </c>
    </row>
    <row r="1546" spans="7:14" ht="11.25" customHeight="1" x14ac:dyDescent="0.3">
      <c r="G1546" s="470"/>
      <c r="H1546" s="470">
        <v>1539</v>
      </c>
      <c r="I1546" s="455">
        <f t="shared" ca="1" si="115"/>
        <v>-258430347.65742677</v>
      </c>
      <c r="J1546" s="455">
        <f t="array" ref="J1546">IFERROR(INDEX('Retirement Calculator'!K:K,MATCH('Lorri 401b'!N1546,'Retirement Calculator'!A:A,0),0),0)</f>
        <v>0</v>
      </c>
      <c r="K1546" s="455">
        <f t="shared" ca="1" si="113"/>
        <v>-1076793.1152392782</v>
      </c>
      <c r="L1546" s="455">
        <f t="shared" ca="1" si="114"/>
        <v>-259507140.77266607</v>
      </c>
      <c r="M1546" s="471">
        <f t="shared" si="116"/>
        <v>0.05</v>
      </c>
      <c r="N1546" s="475">
        <f t="shared" si="117"/>
        <v>98100</v>
      </c>
    </row>
    <row r="1547" spans="7:14" ht="11.25" customHeight="1" x14ac:dyDescent="0.3">
      <c r="G1547" s="470"/>
      <c r="H1547" s="470">
        <v>1540</v>
      </c>
      <c r="I1547" s="455">
        <f t="shared" ca="1" si="115"/>
        <v>-259507140.77266607</v>
      </c>
      <c r="J1547" s="455">
        <f t="array" ref="J1547">IFERROR(INDEX('Retirement Calculator'!K:K,MATCH('Lorri 401b'!N1547,'Retirement Calculator'!A:A,0),0),0)</f>
        <v>0</v>
      </c>
      <c r="K1547" s="455">
        <f t="shared" ca="1" si="113"/>
        <v>-1081279.753219442</v>
      </c>
      <c r="L1547" s="455">
        <f t="shared" ca="1" si="114"/>
        <v>-260588420.52588552</v>
      </c>
      <c r="M1547" s="471">
        <f t="shared" si="116"/>
        <v>0.05</v>
      </c>
      <c r="N1547" s="475">
        <f t="shared" si="117"/>
        <v>98131</v>
      </c>
    </row>
    <row r="1548" spans="7:14" ht="11.25" customHeight="1" x14ac:dyDescent="0.3">
      <c r="G1548" s="470"/>
      <c r="H1548" s="470">
        <v>1541</v>
      </c>
      <c r="I1548" s="455">
        <f t="shared" ca="1" si="115"/>
        <v>-260588420.52588552</v>
      </c>
      <c r="J1548" s="455">
        <f t="array" ref="J1548">IFERROR(INDEX('Retirement Calculator'!K:K,MATCH('Lorri 401b'!N1548,'Retirement Calculator'!A:A,0),0),0)</f>
        <v>0</v>
      </c>
      <c r="K1548" s="455">
        <f t="shared" ca="1" si="113"/>
        <v>-1085785.0855245229</v>
      </c>
      <c r="L1548" s="455">
        <f t="shared" ca="1" si="114"/>
        <v>-261674205.61141005</v>
      </c>
      <c r="M1548" s="471">
        <f t="shared" si="116"/>
        <v>0.05</v>
      </c>
      <c r="N1548" s="475">
        <f t="shared" si="117"/>
        <v>98161</v>
      </c>
    </row>
    <row r="1549" spans="7:14" ht="11.25" customHeight="1" x14ac:dyDescent="0.3">
      <c r="G1549" s="470"/>
      <c r="H1549" s="470">
        <v>1542</v>
      </c>
      <c r="I1549" s="455">
        <f t="shared" ca="1" si="115"/>
        <v>-261674205.61141005</v>
      </c>
      <c r="J1549" s="455">
        <f t="array" ref="J1549">IFERROR(INDEX('Retirement Calculator'!K:K,MATCH('Lorri 401b'!N1549,'Retirement Calculator'!A:A,0),0),0)</f>
        <v>0</v>
      </c>
      <c r="K1549" s="455">
        <f t="shared" ca="1" si="113"/>
        <v>-1090309.1900475416</v>
      </c>
      <c r="L1549" s="455">
        <f t="shared" ca="1" si="114"/>
        <v>-262764514.80145758</v>
      </c>
      <c r="M1549" s="471">
        <f t="shared" si="116"/>
        <v>0.05</v>
      </c>
      <c r="N1549" s="475">
        <f t="shared" si="117"/>
        <v>98192</v>
      </c>
    </row>
    <row r="1550" spans="7:14" ht="11.25" customHeight="1" x14ac:dyDescent="0.3">
      <c r="G1550" s="470"/>
      <c r="H1550" s="470">
        <v>1543</v>
      </c>
      <c r="I1550" s="455">
        <f t="shared" ca="1" si="115"/>
        <v>-262764514.80145758</v>
      </c>
      <c r="J1550" s="455">
        <f t="array" ref="J1550">IFERROR(INDEX('Retirement Calculator'!K:K,MATCH('Lorri 401b'!N1550,'Retirement Calculator'!A:A,0),0),0)</f>
        <v>0</v>
      </c>
      <c r="K1550" s="455">
        <f t="shared" ca="1" si="113"/>
        <v>-1094852.1450060732</v>
      </c>
      <c r="L1550" s="455">
        <f t="shared" ca="1" si="114"/>
        <v>-263859366.94646364</v>
      </c>
      <c r="M1550" s="471">
        <f t="shared" si="116"/>
        <v>0.05</v>
      </c>
      <c r="N1550" s="475">
        <f t="shared" si="117"/>
        <v>98222</v>
      </c>
    </row>
    <row r="1551" spans="7:14" ht="11.25" customHeight="1" x14ac:dyDescent="0.3">
      <c r="G1551" s="470"/>
      <c r="H1551" s="470">
        <v>1544</v>
      </c>
      <c r="I1551" s="455">
        <f t="shared" ca="1" si="115"/>
        <v>-263859366.94646364</v>
      </c>
      <c r="J1551" s="455">
        <f t="array" ref="J1551">IFERROR(INDEX('Retirement Calculator'!K:K,MATCH('Lorri 401b'!N1551,'Retirement Calculator'!A:A,0),0),0)</f>
        <v>0</v>
      </c>
      <c r="K1551" s="455">
        <f t="shared" ca="1" si="113"/>
        <v>-1099414.0289435987</v>
      </c>
      <c r="L1551" s="455">
        <f t="shared" ca="1" si="114"/>
        <v>-264958780.97540724</v>
      </c>
      <c r="M1551" s="471">
        <f t="shared" si="116"/>
        <v>0.05</v>
      </c>
      <c r="N1551" s="475">
        <f t="shared" si="117"/>
        <v>98253</v>
      </c>
    </row>
    <row r="1552" spans="7:14" ht="11.25" customHeight="1" x14ac:dyDescent="0.3">
      <c r="G1552" s="470"/>
      <c r="H1552" s="470">
        <v>1545</v>
      </c>
      <c r="I1552" s="455">
        <f t="shared" ca="1" si="115"/>
        <v>-264958780.97540724</v>
      </c>
      <c r="J1552" s="455">
        <f t="array" ref="J1552">IFERROR(INDEX('Retirement Calculator'!K:K,MATCH('Lorri 401b'!N1552,'Retirement Calculator'!A:A,0),0),0)</f>
        <v>0</v>
      </c>
      <c r="K1552" s="455">
        <f t="shared" ca="1" si="113"/>
        <v>-1103994.9207308635</v>
      </c>
      <c r="L1552" s="455">
        <f t="shared" ca="1" si="114"/>
        <v>-266062775.8961381</v>
      </c>
      <c r="M1552" s="471">
        <f t="shared" si="116"/>
        <v>0.05</v>
      </c>
      <c r="N1552" s="475">
        <f t="shared" si="117"/>
        <v>98284</v>
      </c>
    </row>
    <row r="1553" spans="7:14" ht="11.25" customHeight="1" x14ac:dyDescent="0.3">
      <c r="G1553" s="470"/>
      <c r="H1553" s="470">
        <v>1546</v>
      </c>
      <c r="I1553" s="455">
        <f t="shared" ca="1" si="115"/>
        <v>-266062775.8961381</v>
      </c>
      <c r="J1553" s="455">
        <f t="array" ref="J1553">IFERROR(INDEX('Retirement Calculator'!K:K,MATCH('Lorri 401b'!N1553,'Retirement Calculator'!A:A,0),0),0)</f>
        <v>0</v>
      </c>
      <c r="K1553" s="455">
        <f t="shared" ca="1" si="113"/>
        <v>-1108594.8995672422</v>
      </c>
      <c r="L1553" s="455">
        <f t="shared" ca="1" si="114"/>
        <v>-267171370.79570535</v>
      </c>
      <c r="M1553" s="471">
        <f t="shared" si="116"/>
        <v>0.05</v>
      </c>
      <c r="N1553" s="475">
        <f t="shared" si="117"/>
        <v>98312</v>
      </c>
    </row>
    <row r="1554" spans="7:14" ht="11.25" customHeight="1" x14ac:dyDescent="0.3">
      <c r="G1554" s="470"/>
      <c r="H1554" s="470">
        <v>1547</v>
      </c>
      <c r="I1554" s="455">
        <f t="shared" ca="1" si="115"/>
        <v>-267171370.79570535</v>
      </c>
      <c r="J1554" s="455">
        <f t="array" ref="J1554">IFERROR(INDEX('Retirement Calculator'!K:K,MATCH('Lorri 401b'!N1554,'Retirement Calculator'!A:A,0),0),0)</f>
        <v>0</v>
      </c>
      <c r="K1554" s="455">
        <f t="shared" ca="1" si="113"/>
        <v>-1113214.0449821055</v>
      </c>
      <c r="L1554" s="455">
        <f t="shared" ca="1" si="114"/>
        <v>-268284584.84068745</v>
      </c>
      <c r="M1554" s="471">
        <f t="shared" si="116"/>
        <v>0.05</v>
      </c>
      <c r="N1554" s="475">
        <f t="shared" si="117"/>
        <v>98343</v>
      </c>
    </row>
    <row r="1555" spans="7:14" ht="11.25" customHeight="1" x14ac:dyDescent="0.3">
      <c r="G1555" s="470"/>
      <c r="H1555" s="470">
        <v>1548</v>
      </c>
      <c r="I1555" s="455">
        <f t="shared" ca="1" si="115"/>
        <v>-268284584.84068745</v>
      </c>
      <c r="J1555" s="455">
        <f t="array" ref="J1555">IFERROR(INDEX('Retirement Calculator'!K:K,MATCH('Lorri 401b'!N1555,'Retirement Calculator'!A:A,0),0),0)</f>
        <v>0</v>
      </c>
      <c r="K1555" s="455">
        <f t="shared" ca="1" si="113"/>
        <v>-1117852.4368361977</v>
      </c>
      <c r="L1555" s="455">
        <f t="shared" ca="1" si="114"/>
        <v>-269402437.27752364</v>
      </c>
      <c r="M1555" s="471">
        <f t="shared" si="116"/>
        <v>0.05</v>
      </c>
      <c r="N1555" s="475">
        <f t="shared" si="117"/>
        <v>98373</v>
      </c>
    </row>
    <row r="1556" spans="7:14" ht="11.25" customHeight="1" x14ac:dyDescent="0.3">
      <c r="G1556" s="470"/>
      <c r="H1556" s="470">
        <v>1549</v>
      </c>
      <c r="I1556" s="455">
        <f t="shared" ca="1" si="115"/>
        <v>-269402437.27752364</v>
      </c>
      <c r="J1556" s="455">
        <f t="array" ref="J1556">IFERROR(INDEX('Retirement Calculator'!K:K,MATCH('Lorri 401b'!N1556,'Retirement Calculator'!A:A,0),0),0)</f>
        <v>0</v>
      </c>
      <c r="K1556" s="455">
        <f t="shared" ca="1" si="113"/>
        <v>-1122510.1553230151</v>
      </c>
      <c r="L1556" s="455">
        <f t="shared" ca="1" si="114"/>
        <v>-270524947.43284667</v>
      </c>
      <c r="M1556" s="471">
        <f t="shared" si="116"/>
        <v>0.05</v>
      </c>
      <c r="N1556" s="475">
        <f t="shared" si="117"/>
        <v>98404</v>
      </c>
    </row>
    <row r="1557" spans="7:14" ht="11.25" customHeight="1" x14ac:dyDescent="0.3">
      <c r="G1557" s="470"/>
      <c r="H1557" s="470">
        <v>1550</v>
      </c>
      <c r="I1557" s="455">
        <f t="shared" ca="1" si="115"/>
        <v>-270524947.43284667</v>
      </c>
      <c r="J1557" s="455">
        <f t="array" ref="J1557">IFERROR(INDEX('Retirement Calculator'!K:K,MATCH('Lorri 401b'!N1557,'Retirement Calculator'!A:A,0),0),0)</f>
        <v>0</v>
      </c>
      <c r="K1557" s="455">
        <f t="shared" ca="1" si="113"/>
        <v>-1127187.2809701944</v>
      </c>
      <c r="L1557" s="455">
        <f t="shared" ca="1" si="114"/>
        <v>-271652134.71381688</v>
      </c>
      <c r="M1557" s="471">
        <f t="shared" si="116"/>
        <v>0.05</v>
      </c>
      <c r="N1557" s="475">
        <f t="shared" si="117"/>
        <v>98434</v>
      </c>
    </row>
    <row r="1558" spans="7:14" ht="11.25" customHeight="1" x14ac:dyDescent="0.3">
      <c r="G1558" s="470"/>
      <c r="H1558" s="470">
        <v>1551</v>
      </c>
      <c r="I1558" s="455">
        <f t="shared" ca="1" si="115"/>
        <v>-271652134.71381688</v>
      </c>
      <c r="J1558" s="455">
        <f t="array" ref="J1558">IFERROR(INDEX('Retirement Calculator'!K:K,MATCH('Lorri 401b'!N1558,'Retirement Calculator'!A:A,0),0),0)</f>
        <v>0</v>
      </c>
      <c r="K1558" s="455">
        <f t="shared" ca="1" si="113"/>
        <v>-1131883.8946409037</v>
      </c>
      <c r="L1558" s="455">
        <f t="shared" ca="1" si="114"/>
        <v>-272784018.6084578</v>
      </c>
      <c r="M1558" s="471">
        <f t="shared" si="116"/>
        <v>0.05</v>
      </c>
      <c r="N1558" s="475">
        <f t="shared" si="117"/>
        <v>98465</v>
      </c>
    </row>
    <row r="1559" spans="7:14" ht="11.25" customHeight="1" x14ac:dyDescent="0.3">
      <c r="G1559" s="470"/>
      <c r="H1559" s="470">
        <v>1552</v>
      </c>
      <c r="I1559" s="455">
        <f t="shared" ca="1" si="115"/>
        <v>-272784018.6084578</v>
      </c>
      <c r="J1559" s="455">
        <f t="array" ref="J1559">IFERROR(INDEX('Retirement Calculator'!K:K,MATCH('Lorri 401b'!N1559,'Retirement Calculator'!A:A,0),0),0)</f>
        <v>0</v>
      </c>
      <c r="K1559" s="455">
        <f t="shared" ca="1" si="113"/>
        <v>-1136600.0775352409</v>
      </c>
      <c r="L1559" s="455">
        <f t="shared" ca="1" si="114"/>
        <v>-273920618.68599302</v>
      </c>
      <c r="M1559" s="471">
        <f t="shared" si="116"/>
        <v>0.05</v>
      </c>
      <c r="N1559" s="475">
        <f t="shared" si="117"/>
        <v>98496</v>
      </c>
    </row>
    <row r="1560" spans="7:14" ht="11.25" customHeight="1" x14ac:dyDescent="0.3">
      <c r="G1560" s="470"/>
      <c r="H1560" s="470">
        <v>1553</v>
      </c>
      <c r="I1560" s="455">
        <f t="shared" ca="1" si="115"/>
        <v>-273920618.68599302</v>
      </c>
      <c r="J1560" s="455">
        <f t="array" ref="J1560">IFERROR(INDEX('Retirement Calculator'!K:K,MATCH('Lorri 401b'!N1560,'Retirement Calculator'!A:A,0),0),0)</f>
        <v>0</v>
      </c>
      <c r="K1560" s="455">
        <f t="shared" ca="1" si="113"/>
        <v>-1141335.9111916376</v>
      </c>
      <c r="L1560" s="455">
        <f t="shared" ca="1" si="114"/>
        <v>-275061954.59718466</v>
      </c>
      <c r="M1560" s="471">
        <f t="shared" si="116"/>
        <v>0.05</v>
      </c>
      <c r="N1560" s="475">
        <f t="shared" si="117"/>
        <v>98526</v>
      </c>
    </row>
    <row r="1561" spans="7:14" ht="11.25" customHeight="1" x14ac:dyDescent="0.3">
      <c r="G1561" s="470"/>
      <c r="H1561" s="470">
        <v>1554</v>
      </c>
      <c r="I1561" s="455">
        <f t="shared" ca="1" si="115"/>
        <v>-275061954.59718466</v>
      </c>
      <c r="J1561" s="455">
        <f t="array" ref="J1561">IFERROR(INDEX('Retirement Calculator'!K:K,MATCH('Lorri 401b'!N1561,'Retirement Calculator'!A:A,0),0),0)</f>
        <v>0</v>
      </c>
      <c r="K1561" s="455">
        <f t="shared" ca="1" si="113"/>
        <v>-1146091.4774882693</v>
      </c>
      <c r="L1561" s="455">
        <f t="shared" ca="1" si="114"/>
        <v>-276208046.07467294</v>
      </c>
      <c r="M1561" s="471">
        <f t="shared" si="116"/>
        <v>0.05</v>
      </c>
      <c r="N1561" s="475">
        <f t="shared" si="117"/>
        <v>98557</v>
      </c>
    </row>
    <row r="1562" spans="7:14" ht="11.25" customHeight="1" x14ac:dyDescent="0.3">
      <c r="G1562" s="470"/>
      <c r="H1562" s="470">
        <v>1555</v>
      </c>
      <c r="I1562" s="455">
        <f t="shared" ca="1" si="115"/>
        <v>-276208046.07467294</v>
      </c>
      <c r="J1562" s="455">
        <f t="array" ref="J1562">IFERROR(INDEX('Retirement Calculator'!K:K,MATCH('Lorri 401b'!N1562,'Retirement Calculator'!A:A,0),0),0)</f>
        <v>0</v>
      </c>
      <c r="K1562" s="455">
        <f t="shared" ca="1" si="113"/>
        <v>-1150866.8586444706</v>
      </c>
      <c r="L1562" s="455">
        <f t="shared" ca="1" si="114"/>
        <v>-277358912.93331742</v>
      </c>
      <c r="M1562" s="471">
        <f t="shared" si="116"/>
        <v>0.05</v>
      </c>
      <c r="N1562" s="475">
        <f t="shared" si="117"/>
        <v>98587</v>
      </c>
    </row>
    <row r="1563" spans="7:14" ht="11.25" customHeight="1" x14ac:dyDescent="0.3">
      <c r="G1563" s="470"/>
      <c r="H1563" s="470">
        <v>1556</v>
      </c>
      <c r="I1563" s="455">
        <f t="shared" ca="1" si="115"/>
        <v>-277358912.93331742</v>
      </c>
      <c r="J1563" s="455">
        <f t="array" ref="J1563">IFERROR(INDEX('Retirement Calculator'!K:K,MATCH('Lorri 401b'!N1563,'Retirement Calculator'!A:A,0),0),0)</f>
        <v>0</v>
      </c>
      <c r="K1563" s="455">
        <f t="shared" ca="1" si="113"/>
        <v>-1155662.1372221559</v>
      </c>
      <c r="L1563" s="455">
        <f t="shared" ca="1" si="114"/>
        <v>-278514575.07053959</v>
      </c>
      <c r="M1563" s="471">
        <f t="shared" si="116"/>
        <v>0.05</v>
      </c>
      <c r="N1563" s="475">
        <f t="shared" si="117"/>
        <v>98618</v>
      </c>
    </row>
    <row r="1564" spans="7:14" ht="11.25" customHeight="1" x14ac:dyDescent="0.3">
      <c r="G1564" s="470"/>
      <c r="H1564" s="470">
        <v>1557</v>
      </c>
      <c r="I1564" s="455">
        <f t="shared" ca="1" si="115"/>
        <v>-278514575.07053959</v>
      </c>
      <c r="J1564" s="455">
        <f t="array" ref="J1564">IFERROR(INDEX('Retirement Calculator'!K:K,MATCH('Lorri 401b'!N1564,'Retirement Calculator'!A:A,0),0),0)</f>
        <v>0</v>
      </c>
      <c r="K1564" s="455">
        <f t="shared" ca="1" si="113"/>
        <v>-1160477.3961272482</v>
      </c>
      <c r="L1564" s="455">
        <f t="shared" ca="1" si="114"/>
        <v>-279675052.46666682</v>
      </c>
      <c r="M1564" s="471">
        <f t="shared" si="116"/>
        <v>0.05</v>
      </c>
      <c r="N1564" s="475">
        <f t="shared" si="117"/>
        <v>98649</v>
      </c>
    </row>
    <row r="1565" spans="7:14" ht="11.25" customHeight="1" x14ac:dyDescent="0.3">
      <c r="G1565" s="470"/>
      <c r="H1565" s="470">
        <v>1558</v>
      </c>
      <c r="I1565" s="455">
        <f t="shared" ca="1" si="115"/>
        <v>-279675052.46666682</v>
      </c>
      <c r="J1565" s="455">
        <f t="array" ref="J1565">IFERROR(INDEX('Retirement Calculator'!K:K,MATCH('Lorri 401b'!N1565,'Retirement Calculator'!A:A,0),0),0)</f>
        <v>0</v>
      </c>
      <c r="K1565" s="455">
        <f t="shared" ca="1" si="113"/>
        <v>-1165312.7186111116</v>
      </c>
      <c r="L1565" s="455">
        <f t="shared" ca="1" si="114"/>
        <v>-280840365.18527794</v>
      </c>
      <c r="M1565" s="471">
        <f t="shared" si="116"/>
        <v>0.05</v>
      </c>
      <c r="N1565" s="475">
        <f t="shared" si="117"/>
        <v>98677</v>
      </c>
    </row>
    <row r="1566" spans="7:14" ht="11.25" customHeight="1" x14ac:dyDescent="0.3">
      <c r="G1566" s="470"/>
      <c r="H1566" s="470">
        <v>1559</v>
      </c>
      <c r="I1566" s="455">
        <f t="shared" ca="1" si="115"/>
        <v>-280840365.18527794</v>
      </c>
      <c r="J1566" s="455">
        <f t="array" ref="J1566">IFERROR(INDEX('Retirement Calculator'!K:K,MATCH('Lorri 401b'!N1566,'Retirement Calculator'!A:A,0),0),0)</f>
        <v>0</v>
      </c>
      <c r="K1566" s="455">
        <f t="shared" ca="1" si="113"/>
        <v>-1170168.1882719914</v>
      </c>
      <c r="L1566" s="455">
        <f t="shared" ca="1" si="114"/>
        <v>-282010533.37354994</v>
      </c>
      <c r="M1566" s="471">
        <f t="shared" si="116"/>
        <v>0.05</v>
      </c>
      <c r="N1566" s="475">
        <f t="shared" si="117"/>
        <v>98708</v>
      </c>
    </row>
    <row r="1567" spans="7:14" ht="11.25" customHeight="1" x14ac:dyDescent="0.3">
      <c r="G1567" s="470"/>
      <c r="H1567" s="470">
        <v>1560</v>
      </c>
      <c r="I1567" s="455">
        <f t="shared" ca="1" si="115"/>
        <v>-282010533.37354994</v>
      </c>
      <c r="J1567" s="455">
        <f t="array" ref="J1567">IFERROR(INDEX('Retirement Calculator'!K:K,MATCH('Lorri 401b'!N1567,'Retirement Calculator'!A:A,0),0),0)</f>
        <v>0</v>
      </c>
      <c r="K1567" s="455">
        <f t="shared" ca="1" si="113"/>
        <v>-1175043.8890564581</v>
      </c>
      <c r="L1567" s="455">
        <f t="shared" ca="1" si="114"/>
        <v>-283185577.26260638</v>
      </c>
      <c r="M1567" s="471">
        <f t="shared" si="116"/>
        <v>0.05</v>
      </c>
      <c r="N1567" s="475">
        <f t="shared" si="117"/>
        <v>98738</v>
      </c>
    </row>
    <row r="1568" spans="7:14" ht="11.25" customHeight="1" x14ac:dyDescent="0.3">
      <c r="G1568" s="470"/>
      <c r="H1568" s="470">
        <v>1561</v>
      </c>
      <c r="I1568" s="455">
        <f t="shared" ca="1" si="115"/>
        <v>-283185577.26260638</v>
      </c>
      <c r="J1568" s="455">
        <f t="array" ref="J1568">IFERROR(INDEX('Retirement Calculator'!K:K,MATCH('Lorri 401b'!N1568,'Retirement Calculator'!A:A,0),0),0)</f>
        <v>0</v>
      </c>
      <c r="K1568" s="455">
        <f t="shared" ca="1" si="113"/>
        <v>-1179939.90526086</v>
      </c>
      <c r="L1568" s="455">
        <f t="shared" ca="1" si="114"/>
        <v>-284365517.16786724</v>
      </c>
      <c r="M1568" s="471">
        <f t="shared" si="116"/>
        <v>0.05</v>
      </c>
      <c r="N1568" s="475">
        <f t="shared" si="117"/>
        <v>98769</v>
      </c>
    </row>
    <row r="1569" spans="7:14" ht="11.25" customHeight="1" x14ac:dyDescent="0.3">
      <c r="G1569" s="470"/>
      <c r="H1569" s="470">
        <v>1562</v>
      </c>
      <c r="I1569" s="455">
        <f t="shared" ca="1" si="115"/>
        <v>-284365517.16786724</v>
      </c>
      <c r="J1569" s="455">
        <f t="array" ref="J1569">IFERROR(INDEX('Retirement Calculator'!K:K,MATCH('Lorri 401b'!N1569,'Retirement Calculator'!A:A,0),0),0)</f>
        <v>0</v>
      </c>
      <c r="K1569" s="455">
        <f t="shared" ca="1" si="113"/>
        <v>-1184856.3215327801</v>
      </c>
      <c r="L1569" s="455">
        <f t="shared" ca="1" si="114"/>
        <v>-285550373.48940003</v>
      </c>
      <c r="M1569" s="471">
        <f t="shared" si="116"/>
        <v>0.05</v>
      </c>
      <c r="N1569" s="475">
        <f t="shared" si="117"/>
        <v>98799</v>
      </c>
    </row>
    <row r="1570" spans="7:14" ht="11.25" customHeight="1" x14ac:dyDescent="0.3">
      <c r="G1570" s="470"/>
      <c r="H1570" s="470">
        <v>1563</v>
      </c>
      <c r="I1570" s="455">
        <f t="shared" ca="1" si="115"/>
        <v>-285550373.48940003</v>
      </c>
      <c r="J1570" s="455">
        <f t="array" ref="J1570">IFERROR(INDEX('Retirement Calculator'!K:K,MATCH('Lorri 401b'!N1570,'Retirement Calculator'!A:A,0),0),0)</f>
        <v>0</v>
      </c>
      <c r="K1570" s="455">
        <f t="shared" ca="1" si="113"/>
        <v>-1189793.2228725001</v>
      </c>
      <c r="L1570" s="455">
        <f t="shared" ca="1" si="114"/>
        <v>-286740166.71227252</v>
      </c>
      <c r="M1570" s="471">
        <f t="shared" si="116"/>
        <v>0.05</v>
      </c>
      <c r="N1570" s="475">
        <f t="shared" si="117"/>
        <v>98830</v>
      </c>
    </row>
    <row r="1571" spans="7:14" ht="11.25" customHeight="1" x14ac:dyDescent="0.3">
      <c r="G1571" s="470"/>
      <c r="H1571" s="470">
        <v>1564</v>
      </c>
      <c r="I1571" s="455">
        <f t="shared" ca="1" si="115"/>
        <v>-286740166.71227252</v>
      </c>
      <c r="J1571" s="455">
        <f t="array" ref="J1571">IFERROR(INDEX('Retirement Calculator'!K:K,MATCH('Lorri 401b'!N1571,'Retirement Calculator'!A:A,0),0),0)</f>
        <v>0</v>
      </c>
      <c r="K1571" s="455">
        <f t="shared" ca="1" si="113"/>
        <v>-1194750.6946344688</v>
      </c>
      <c r="L1571" s="455">
        <f t="shared" ca="1" si="114"/>
        <v>-287934917.40690702</v>
      </c>
      <c r="M1571" s="471">
        <f t="shared" si="116"/>
        <v>0.05</v>
      </c>
      <c r="N1571" s="475">
        <f t="shared" si="117"/>
        <v>98861</v>
      </c>
    </row>
    <row r="1572" spans="7:14" ht="11.25" customHeight="1" x14ac:dyDescent="0.3">
      <c r="G1572" s="470"/>
      <c r="H1572" s="470">
        <v>1565</v>
      </c>
      <c r="I1572" s="455">
        <f t="shared" ca="1" si="115"/>
        <v>-287934917.40690702</v>
      </c>
      <c r="J1572" s="455">
        <f t="array" ref="J1572">IFERROR(INDEX('Retirement Calculator'!K:K,MATCH('Lorri 401b'!N1572,'Retirement Calculator'!A:A,0),0),0)</f>
        <v>0</v>
      </c>
      <c r="K1572" s="455">
        <f t="shared" ca="1" si="113"/>
        <v>-1199728.8225287793</v>
      </c>
      <c r="L1572" s="455">
        <f t="shared" ca="1" si="114"/>
        <v>-289134646.2294358</v>
      </c>
      <c r="M1572" s="471">
        <f t="shared" si="116"/>
        <v>0.05</v>
      </c>
      <c r="N1572" s="475">
        <f t="shared" si="117"/>
        <v>98891</v>
      </c>
    </row>
    <row r="1573" spans="7:14" ht="11.25" customHeight="1" x14ac:dyDescent="0.3">
      <c r="G1573" s="470"/>
      <c r="H1573" s="470">
        <v>1566</v>
      </c>
      <c r="I1573" s="455">
        <f t="shared" ca="1" si="115"/>
        <v>-289134646.2294358</v>
      </c>
      <c r="J1573" s="455">
        <f t="array" ref="J1573">IFERROR(INDEX('Retirement Calculator'!K:K,MATCH('Lorri 401b'!N1573,'Retirement Calculator'!A:A,0),0),0)</f>
        <v>0</v>
      </c>
      <c r="K1573" s="455">
        <f t="shared" ca="1" si="113"/>
        <v>-1204727.6926226493</v>
      </c>
      <c r="L1573" s="455">
        <f t="shared" ca="1" si="114"/>
        <v>-290339373.92205846</v>
      </c>
      <c r="M1573" s="471">
        <f t="shared" si="116"/>
        <v>0.05</v>
      </c>
      <c r="N1573" s="475">
        <f t="shared" si="117"/>
        <v>98922</v>
      </c>
    </row>
    <row r="1574" spans="7:14" ht="11.25" customHeight="1" x14ac:dyDescent="0.3">
      <c r="G1574" s="470"/>
      <c r="H1574" s="470">
        <v>1567</v>
      </c>
      <c r="I1574" s="455">
        <f t="shared" ca="1" si="115"/>
        <v>-290339373.92205846</v>
      </c>
      <c r="J1574" s="455">
        <f t="array" ref="J1574">IFERROR(INDEX('Retirement Calculator'!K:K,MATCH('Lorri 401b'!N1574,'Retirement Calculator'!A:A,0),0),0)</f>
        <v>0</v>
      </c>
      <c r="K1574" s="455">
        <f t="shared" ca="1" si="113"/>
        <v>-1209747.3913419102</v>
      </c>
      <c r="L1574" s="455">
        <f t="shared" ca="1" si="114"/>
        <v>-291549121.31340039</v>
      </c>
      <c r="M1574" s="471">
        <f t="shared" si="116"/>
        <v>0.05</v>
      </c>
      <c r="N1574" s="475">
        <f t="shared" si="117"/>
        <v>98952</v>
      </c>
    </row>
    <row r="1575" spans="7:14" ht="11.25" customHeight="1" x14ac:dyDescent="0.3">
      <c r="G1575" s="470"/>
      <c r="H1575" s="470">
        <v>1568</v>
      </c>
      <c r="I1575" s="455">
        <f t="shared" ca="1" si="115"/>
        <v>-291549121.31340039</v>
      </c>
      <c r="J1575" s="455">
        <f t="array" ref="J1575">IFERROR(INDEX('Retirement Calculator'!K:K,MATCH('Lorri 401b'!N1575,'Retirement Calculator'!A:A,0),0),0)</f>
        <v>0</v>
      </c>
      <c r="K1575" s="455">
        <f t="shared" ca="1" si="113"/>
        <v>-1214788.0054725015</v>
      </c>
      <c r="L1575" s="455">
        <f t="shared" ca="1" si="114"/>
        <v>-292763909.31887287</v>
      </c>
      <c r="M1575" s="471">
        <f t="shared" si="116"/>
        <v>0.05</v>
      </c>
      <c r="N1575" s="475">
        <f t="shared" si="117"/>
        <v>98983</v>
      </c>
    </row>
    <row r="1576" spans="7:14" ht="11.25" customHeight="1" x14ac:dyDescent="0.3">
      <c r="G1576" s="470"/>
      <c r="H1576" s="470">
        <v>1569</v>
      </c>
      <c r="I1576" s="455">
        <f t="shared" ca="1" si="115"/>
        <v>-292763909.31887287</v>
      </c>
      <c r="J1576" s="455">
        <f t="array" ref="J1576">IFERROR(INDEX('Retirement Calculator'!K:K,MATCH('Lorri 401b'!N1576,'Retirement Calculator'!A:A,0),0),0)</f>
        <v>0</v>
      </c>
      <c r="K1576" s="455">
        <f t="shared" ca="1" si="113"/>
        <v>-1219849.6221619702</v>
      </c>
      <c r="L1576" s="455">
        <f t="shared" ca="1" si="114"/>
        <v>-293983758.94103485</v>
      </c>
      <c r="M1576" s="471">
        <f t="shared" si="116"/>
        <v>0.05</v>
      </c>
      <c r="N1576" s="475">
        <f t="shared" si="117"/>
        <v>99014</v>
      </c>
    </row>
    <row r="1577" spans="7:14" ht="11.25" customHeight="1" x14ac:dyDescent="0.3">
      <c r="G1577" s="470"/>
      <c r="H1577" s="470">
        <v>1570</v>
      </c>
      <c r="I1577" s="455">
        <f t="shared" ca="1" si="115"/>
        <v>-293983758.94103485</v>
      </c>
      <c r="J1577" s="455">
        <f t="array" ref="J1577">IFERROR(INDEX('Retirement Calculator'!K:K,MATCH('Lorri 401b'!N1577,'Retirement Calculator'!A:A,0),0),0)</f>
        <v>0</v>
      </c>
      <c r="K1577" s="455">
        <f t="shared" ca="1" si="113"/>
        <v>-1224932.3289209786</v>
      </c>
      <c r="L1577" s="455">
        <f t="shared" ca="1" si="114"/>
        <v>-295208691.26995581</v>
      </c>
      <c r="M1577" s="471">
        <f t="shared" si="116"/>
        <v>0.05</v>
      </c>
      <c r="N1577" s="475">
        <f t="shared" si="117"/>
        <v>99042</v>
      </c>
    </row>
    <row r="1578" spans="7:14" ht="11.25" customHeight="1" x14ac:dyDescent="0.3">
      <c r="G1578" s="470"/>
      <c r="H1578" s="470">
        <v>1571</v>
      </c>
      <c r="I1578" s="455">
        <f t="shared" ca="1" si="115"/>
        <v>-295208691.26995581</v>
      </c>
      <c r="J1578" s="455">
        <f t="array" ref="J1578">IFERROR(INDEX('Retirement Calculator'!K:K,MATCH('Lorri 401b'!N1578,'Retirement Calculator'!A:A,0),0),0)</f>
        <v>0</v>
      </c>
      <c r="K1578" s="455">
        <f t="shared" ca="1" si="113"/>
        <v>-1230036.2136248159</v>
      </c>
      <c r="L1578" s="455">
        <f t="shared" ca="1" si="114"/>
        <v>-296438727.48358065</v>
      </c>
      <c r="M1578" s="471">
        <f t="shared" si="116"/>
        <v>0.05</v>
      </c>
      <c r="N1578" s="475">
        <f t="shared" si="117"/>
        <v>99073</v>
      </c>
    </row>
    <row r="1579" spans="7:14" ht="11.25" customHeight="1" x14ac:dyDescent="0.3">
      <c r="G1579" s="470"/>
      <c r="H1579" s="470">
        <v>1572</v>
      </c>
      <c r="I1579" s="455">
        <f t="shared" ca="1" si="115"/>
        <v>-296438727.48358065</v>
      </c>
      <c r="J1579" s="455">
        <f t="array" ref="J1579">IFERROR(INDEX('Retirement Calculator'!K:K,MATCH('Lorri 401b'!N1579,'Retirement Calculator'!A:A,0),0),0)</f>
        <v>0</v>
      </c>
      <c r="K1579" s="455">
        <f t="shared" ca="1" si="113"/>
        <v>-1235161.3645149195</v>
      </c>
      <c r="L1579" s="455">
        <f t="shared" ca="1" si="114"/>
        <v>-297673888.8480956</v>
      </c>
      <c r="M1579" s="471">
        <f t="shared" si="116"/>
        <v>0.05</v>
      </c>
      <c r="N1579" s="475">
        <f t="shared" si="117"/>
        <v>99103</v>
      </c>
    </row>
    <row r="1580" spans="7:14" ht="11.25" customHeight="1" x14ac:dyDescent="0.3">
      <c r="G1580" s="470"/>
      <c r="H1580" s="470">
        <v>1573</v>
      </c>
      <c r="I1580" s="455">
        <f t="shared" ca="1" si="115"/>
        <v>-297673888.8480956</v>
      </c>
      <c r="J1580" s="455">
        <f t="array" ref="J1580">IFERROR(INDEX('Retirement Calculator'!K:K,MATCH('Lorri 401b'!N1580,'Retirement Calculator'!A:A,0),0),0)</f>
        <v>0</v>
      </c>
      <c r="K1580" s="455">
        <f t="shared" ca="1" si="113"/>
        <v>-1240307.8702003984</v>
      </c>
      <c r="L1580" s="455">
        <f t="shared" ca="1" si="114"/>
        <v>-298914196.71829599</v>
      </c>
      <c r="M1580" s="471">
        <f t="shared" si="116"/>
        <v>0.05</v>
      </c>
      <c r="N1580" s="475">
        <f t="shared" si="117"/>
        <v>99134</v>
      </c>
    </row>
    <row r="1581" spans="7:14" ht="11.25" customHeight="1" x14ac:dyDescent="0.3">
      <c r="G1581" s="470"/>
      <c r="H1581" s="470">
        <v>1574</v>
      </c>
      <c r="I1581" s="455">
        <f t="shared" ca="1" si="115"/>
        <v>-298914196.71829599</v>
      </c>
      <c r="J1581" s="455">
        <f t="array" ref="J1581">IFERROR(INDEX('Retirement Calculator'!K:K,MATCH('Lorri 401b'!N1581,'Retirement Calculator'!A:A,0),0),0)</f>
        <v>0</v>
      </c>
      <c r="K1581" s="455">
        <f t="shared" ca="1" si="113"/>
        <v>-1245475.8196595665</v>
      </c>
      <c r="L1581" s="455">
        <f t="shared" ca="1" si="114"/>
        <v>-300159672.53795558</v>
      </c>
      <c r="M1581" s="471">
        <f t="shared" si="116"/>
        <v>0.05</v>
      </c>
      <c r="N1581" s="475">
        <f t="shared" si="117"/>
        <v>99164</v>
      </c>
    </row>
    <row r="1582" spans="7:14" ht="11.25" customHeight="1" x14ac:dyDescent="0.3">
      <c r="G1582" s="470"/>
      <c r="H1582" s="470">
        <v>1575</v>
      </c>
      <c r="I1582" s="455">
        <f t="shared" ca="1" si="115"/>
        <v>-300159672.53795558</v>
      </c>
      <c r="J1582" s="455">
        <f t="array" ref="J1582">IFERROR(INDEX('Retirement Calculator'!K:K,MATCH('Lorri 401b'!N1582,'Retirement Calculator'!A:A,0),0),0)</f>
        <v>0</v>
      </c>
      <c r="K1582" s="455">
        <f t="shared" ca="1" si="113"/>
        <v>-1250665.3022414816</v>
      </c>
      <c r="L1582" s="455">
        <f t="shared" ca="1" si="114"/>
        <v>-301410337.84019709</v>
      </c>
      <c r="M1582" s="471">
        <f t="shared" si="116"/>
        <v>0.05</v>
      </c>
      <c r="N1582" s="475">
        <f t="shared" si="117"/>
        <v>99195</v>
      </c>
    </row>
    <row r="1583" spans="7:14" ht="11.25" customHeight="1" x14ac:dyDescent="0.3">
      <c r="G1583" s="470"/>
      <c r="H1583" s="470">
        <v>1576</v>
      </c>
      <c r="I1583" s="455">
        <f t="shared" ca="1" si="115"/>
        <v>-301410337.84019709</v>
      </c>
      <c r="J1583" s="455">
        <f t="array" ref="J1583">IFERROR(INDEX('Retirement Calculator'!K:K,MATCH('Lorri 401b'!N1583,'Retirement Calculator'!A:A,0),0),0)</f>
        <v>0</v>
      </c>
      <c r="K1583" s="455">
        <f t="shared" ca="1" si="113"/>
        <v>-1255876.4076674879</v>
      </c>
      <c r="L1583" s="455">
        <f t="shared" ca="1" si="114"/>
        <v>-302666214.2478646</v>
      </c>
      <c r="M1583" s="471">
        <f t="shared" si="116"/>
        <v>0.05</v>
      </c>
      <c r="N1583" s="475">
        <f t="shared" si="117"/>
        <v>99226</v>
      </c>
    </row>
    <row r="1584" spans="7:14" ht="11.25" customHeight="1" x14ac:dyDescent="0.3">
      <c r="G1584" s="470"/>
      <c r="H1584" s="470">
        <v>1577</v>
      </c>
      <c r="I1584" s="455">
        <f t="shared" ca="1" si="115"/>
        <v>-302666214.2478646</v>
      </c>
      <c r="J1584" s="455">
        <f t="array" ref="J1584">IFERROR(INDEX('Retirement Calculator'!K:K,MATCH('Lorri 401b'!N1584,'Retirement Calculator'!A:A,0),0),0)</f>
        <v>0</v>
      </c>
      <c r="K1584" s="455">
        <f t="shared" ca="1" si="113"/>
        <v>-1261109.2260327691</v>
      </c>
      <c r="L1584" s="455">
        <f t="shared" ca="1" si="114"/>
        <v>-303927323.4738974</v>
      </c>
      <c r="M1584" s="471">
        <f t="shared" si="116"/>
        <v>0.05</v>
      </c>
      <c r="N1584" s="475">
        <f t="shared" si="117"/>
        <v>99256</v>
      </c>
    </row>
    <row r="1585" spans="7:14" ht="11.25" customHeight="1" x14ac:dyDescent="0.3">
      <c r="G1585" s="470"/>
      <c r="H1585" s="470">
        <v>1578</v>
      </c>
      <c r="I1585" s="455">
        <f t="shared" ca="1" si="115"/>
        <v>-303927323.4738974</v>
      </c>
      <c r="J1585" s="455">
        <f t="array" ref="J1585">IFERROR(INDEX('Retirement Calculator'!K:K,MATCH('Lorri 401b'!N1585,'Retirement Calculator'!A:A,0),0),0)</f>
        <v>0</v>
      </c>
      <c r="K1585" s="455">
        <f t="shared" ca="1" si="113"/>
        <v>-1266363.8478079059</v>
      </c>
      <c r="L1585" s="455">
        <f t="shared" ca="1" si="114"/>
        <v>-305193687.32170528</v>
      </c>
      <c r="M1585" s="471">
        <f t="shared" si="116"/>
        <v>0.05</v>
      </c>
      <c r="N1585" s="475">
        <f t="shared" si="117"/>
        <v>99287</v>
      </c>
    </row>
    <row r="1586" spans="7:14" ht="11.25" customHeight="1" x14ac:dyDescent="0.3">
      <c r="G1586" s="470"/>
      <c r="H1586" s="470">
        <v>1579</v>
      </c>
      <c r="I1586" s="455">
        <f t="shared" ca="1" si="115"/>
        <v>-305193687.32170528</v>
      </c>
      <c r="J1586" s="455">
        <f t="array" ref="J1586">IFERROR(INDEX('Retirement Calculator'!K:K,MATCH('Lorri 401b'!N1586,'Retirement Calculator'!A:A,0),0),0)</f>
        <v>0</v>
      </c>
      <c r="K1586" s="455">
        <f t="shared" ca="1" si="113"/>
        <v>-1271640.3638404387</v>
      </c>
      <c r="L1586" s="455">
        <f t="shared" ca="1" si="114"/>
        <v>-306465327.68554574</v>
      </c>
      <c r="M1586" s="471">
        <f t="shared" si="116"/>
        <v>0.05</v>
      </c>
      <c r="N1586" s="475">
        <f t="shared" si="117"/>
        <v>99317</v>
      </c>
    </row>
    <row r="1587" spans="7:14" ht="11.25" customHeight="1" x14ac:dyDescent="0.3">
      <c r="G1587" s="470"/>
      <c r="H1587" s="470">
        <v>1580</v>
      </c>
      <c r="I1587" s="455">
        <f t="shared" ca="1" si="115"/>
        <v>-306465327.68554574</v>
      </c>
      <c r="J1587" s="455">
        <f t="array" ref="J1587">IFERROR(INDEX('Retirement Calculator'!K:K,MATCH('Lorri 401b'!N1587,'Retirement Calculator'!A:A,0),0),0)</f>
        <v>0</v>
      </c>
      <c r="K1587" s="455">
        <f t="shared" ca="1" si="113"/>
        <v>-1276938.8653564407</v>
      </c>
      <c r="L1587" s="455">
        <f t="shared" ca="1" si="114"/>
        <v>-307742266.55090219</v>
      </c>
      <c r="M1587" s="471">
        <f t="shared" si="116"/>
        <v>0.05</v>
      </c>
      <c r="N1587" s="475">
        <f t="shared" si="117"/>
        <v>99348</v>
      </c>
    </row>
    <row r="1588" spans="7:14" ht="11.25" customHeight="1" x14ac:dyDescent="0.3">
      <c r="G1588" s="470"/>
      <c r="H1588" s="470">
        <v>1581</v>
      </c>
      <c r="I1588" s="455">
        <f t="shared" ca="1" si="115"/>
        <v>-307742266.55090219</v>
      </c>
      <c r="J1588" s="455">
        <f t="array" ref="J1588">IFERROR(INDEX('Retirement Calculator'!K:K,MATCH('Lorri 401b'!N1588,'Retirement Calculator'!A:A,0),0),0)</f>
        <v>0</v>
      </c>
      <c r="K1588" s="455">
        <f t="shared" ca="1" si="113"/>
        <v>-1282259.4439620925</v>
      </c>
      <c r="L1588" s="455">
        <f t="shared" ca="1" si="114"/>
        <v>-309024525.99486428</v>
      </c>
      <c r="M1588" s="471">
        <f t="shared" si="116"/>
        <v>0.05</v>
      </c>
      <c r="N1588" s="475">
        <f t="shared" si="117"/>
        <v>99379</v>
      </c>
    </row>
    <row r="1589" spans="7:14" ht="11.25" customHeight="1" x14ac:dyDescent="0.3">
      <c r="G1589" s="470"/>
      <c r="H1589" s="470">
        <v>1582</v>
      </c>
      <c r="I1589" s="455">
        <f t="shared" ca="1" si="115"/>
        <v>-309024525.99486428</v>
      </c>
      <c r="J1589" s="455">
        <f t="array" ref="J1589">IFERROR(INDEX('Retirement Calculator'!K:K,MATCH('Lorri 401b'!N1589,'Retirement Calculator'!A:A,0),0),0)</f>
        <v>0</v>
      </c>
      <c r="K1589" s="455">
        <f t="shared" ca="1" si="113"/>
        <v>-1287602.1916452679</v>
      </c>
      <c r="L1589" s="455">
        <f t="shared" ca="1" si="114"/>
        <v>-310312128.18650955</v>
      </c>
      <c r="M1589" s="471">
        <f t="shared" si="116"/>
        <v>0.05</v>
      </c>
      <c r="N1589" s="475">
        <f t="shared" si="117"/>
        <v>99408</v>
      </c>
    </row>
    <row r="1590" spans="7:14" ht="11.25" customHeight="1" x14ac:dyDescent="0.3">
      <c r="G1590" s="470"/>
      <c r="H1590" s="470">
        <v>1583</v>
      </c>
      <c r="I1590" s="455">
        <f t="shared" ca="1" si="115"/>
        <v>-310312128.18650955</v>
      </c>
      <c r="J1590" s="455">
        <f t="array" ref="J1590">IFERROR(INDEX('Retirement Calculator'!K:K,MATCH('Lorri 401b'!N1590,'Retirement Calculator'!A:A,0),0),0)</f>
        <v>0</v>
      </c>
      <c r="K1590" s="455">
        <f t="shared" ca="1" si="113"/>
        <v>-1292967.2007771232</v>
      </c>
      <c r="L1590" s="455">
        <f t="shared" ca="1" si="114"/>
        <v>-311605095.38728666</v>
      </c>
      <c r="M1590" s="471">
        <f t="shared" si="116"/>
        <v>0.05</v>
      </c>
      <c r="N1590" s="475">
        <f t="shared" si="117"/>
        <v>99439</v>
      </c>
    </row>
    <row r="1591" spans="7:14" ht="11.25" customHeight="1" x14ac:dyDescent="0.3">
      <c r="G1591" s="470"/>
      <c r="H1591" s="470">
        <v>1584</v>
      </c>
      <c r="I1591" s="455">
        <f t="shared" ca="1" si="115"/>
        <v>-311605095.38728666</v>
      </c>
      <c r="J1591" s="455">
        <f t="array" ref="J1591">IFERROR(INDEX('Retirement Calculator'!K:K,MATCH('Lorri 401b'!N1591,'Retirement Calculator'!A:A,0),0),0)</f>
        <v>0</v>
      </c>
      <c r="K1591" s="455">
        <f t="shared" ca="1" si="113"/>
        <v>-1298354.5641136945</v>
      </c>
      <c r="L1591" s="455">
        <f t="shared" ca="1" si="114"/>
        <v>-312903449.95140034</v>
      </c>
      <c r="M1591" s="471">
        <f t="shared" si="116"/>
        <v>0.05</v>
      </c>
      <c r="N1591" s="475">
        <f t="shared" si="117"/>
        <v>99469</v>
      </c>
    </row>
    <row r="1592" spans="7:14" ht="11.25" customHeight="1" x14ac:dyDescent="0.3">
      <c r="G1592" s="470"/>
      <c r="H1592" s="470">
        <v>1585</v>
      </c>
      <c r="I1592" s="455">
        <f t="shared" ca="1" si="115"/>
        <v>-312903449.95140034</v>
      </c>
      <c r="J1592" s="455">
        <f t="array" ref="J1592">IFERROR(INDEX('Retirement Calculator'!K:K,MATCH('Lorri 401b'!N1592,'Retirement Calculator'!A:A,0),0),0)</f>
        <v>0</v>
      </c>
      <c r="K1592" s="455">
        <f t="shared" ca="1" si="113"/>
        <v>-1303764.3747975014</v>
      </c>
      <c r="L1592" s="455">
        <f t="shared" ca="1" si="114"/>
        <v>-314207214.32619786</v>
      </c>
      <c r="M1592" s="471">
        <f t="shared" si="116"/>
        <v>0.05</v>
      </c>
      <c r="N1592" s="475">
        <f t="shared" si="117"/>
        <v>99500</v>
      </c>
    </row>
    <row r="1593" spans="7:14" ht="11.25" customHeight="1" x14ac:dyDescent="0.3">
      <c r="G1593" s="470"/>
      <c r="H1593" s="470">
        <v>1586</v>
      </c>
      <c r="I1593" s="455">
        <f t="shared" ca="1" si="115"/>
        <v>-314207214.32619786</v>
      </c>
      <c r="J1593" s="455">
        <f t="array" ref="J1593">IFERROR(INDEX('Retirement Calculator'!K:K,MATCH('Lorri 401b'!N1593,'Retirement Calculator'!A:A,0),0),0)</f>
        <v>0</v>
      </c>
      <c r="K1593" s="455">
        <f t="shared" ca="1" si="113"/>
        <v>-1309196.7263591578</v>
      </c>
      <c r="L1593" s="455">
        <f t="shared" ca="1" si="114"/>
        <v>-315516411.05255699</v>
      </c>
      <c r="M1593" s="471">
        <f t="shared" si="116"/>
        <v>0.05</v>
      </c>
      <c r="N1593" s="475">
        <f t="shared" si="117"/>
        <v>99530</v>
      </c>
    </row>
    <row r="1594" spans="7:14" ht="11.25" customHeight="1" x14ac:dyDescent="0.3">
      <c r="G1594" s="470"/>
      <c r="H1594" s="470">
        <v>1587</v>
      </c>
      <c r="I1594" s="455">
        <f t="shared" ca="1" si="115"/>
        <v>-315516411.05255699</v>
      </c>
      <c r="J1594" s="455">
        <f t="array" ref="J1594">IFERROR(INDEX('Retirement Calculator'!K:K,MATCH('Lorri 401b'!N1594,'Retirement Calculator'!A:A,0),0),0)</f>
        <v>0</v>
      </c>
      <c r="K1594" s="455">
        <f t="shared" ca="1" si="113"/>
        <v>-1314651.7127189874</v>
      </c>
      <c r="L1594" s="455">
        <f t="shared" ca="1" si="114"/>
        <v>-316831062.76527596</v>
      </c>
      <c r="M1594" s="471">
        <f t="shared" si="116"/>
        <v>0.05</v>
      </c>
      <c r="N1594" s="475">
        <f t="shared" si="117"/>
        <v>99561</v>
      </c>
    </row>
    <row r="1595" spans="7:14" ht="11.25" customHeight="1" x14ac:dyDescent="0.3">
      <c r="G1595" s="470"/>
      <c r="H1595" s="470">
        <v>1588</v>
      </c>
      <c r="I1595" s="455">
        <f t="shared" ca="1" si="115"/>
        <v>-316831062.76527596</v>
      </c>
      <c r="J1595" s="455">
        <f t="array" ref="J1595">IFERROR(INDEX('Retirement Calculator'!K:K,MATCH('Lorri 401b'!N1595,'Retirement Calculator'!A:A,0),0),0)</f>
        <v>0</v>
      </c>
      <c r="K1595" s="455">
        <f t="shared" ca="1" si="113"/>
        <v>-1320129.4281886497</v>
      </c>
      <c r="L1595" s="455">
        <f t="shared" ca="1" si="114"/>
        <v>-318151192.19346458</v>
      </c>
      <c r="M1595" s="471">
        <f t="shared" si="116"/>
        <v>0.05</v>
      </c>
      <c r="N1595" s="475">
        <f t="shared" si="117"/>
        <v>99592</v>
      </c>
    </row>
    <row r="1596" spans="7:14" ht="11.25" customHeight="1" x14ac:dyDescent="0.3">
      <c r="G1596" s="470"/>
      <c r="H1596" s="470">
        <v>1589</v>
      </c>
      <c r="I1596" s="455">
        <f t="shared" ca="1" si="115"/>
        <v>-318151192.19346458</v>
      </c>
      <c r="J1596" s="455">
        <f t="array" ref="J1596">IFERROR(INDEX('Retirement Calculator'!K:K,MATCH('Lorri 401b'!N1596,'Retirement Calculator'!A:A,0),0),0)</f>
        <v>0</v>
      </c>
      <c r="K1596" s="455">
        <f t="shared" ca="1" si="113"/>
        <v>-1325629.9674727691</v>
      </c>
      <c r="L1596" s="455">
        <f t="shared" ca="1" si="114"/>
        <v>-319476822.16093737</v>
      </c>
      <c r="M1596" s="471">
        <f t="shared" si="116"/>
        <v>0.05</v>
      </c>
      <c r="N1596" s="475">
        <f t="shared" si="117"/>
        <v>99622</v>
      </c>
    </row>
    <row r="1597" spans="7:14" ht="11.25" customHeight="1" x14ac:dyDescent="0.3">
      <c r="G1597" s="470"/>
      <c r="H1597" s="470">
        <v>1590</v>
      </c>
      <c r="I1597" s="455">
        <f t="shared" ca="1" si="115"/>
        <v>-319476822.16093737</v>
      </c>
      <c r="J1597" s="455">
        <f t="array" ref="J1597">IFERROR(INDEX('Retirement Calculator'!K:K,MATCH('Lorri 401b'!N1597,'Retirement Calculator'!A:A,0),0),0)</f>
        <v>0</v>
      </c>
      <c r="K1597" s="455">
        <f t="shared" ca="1" si="113"/>
        <v>-1331153.4256705723</v>
      </c>
      <c r="L1597" s="455">
        <f t="shared" ca="1" si="114"/>
        <v>-320807975.58660793</v>
      </c>
      <c r="M1597" s="471">
        <f t="shared" si="116"/>
        <v>0.05</v>
      </c>
      <c r="N1597" s="475">
        <f t="shared" si="117"/>
        <v>99653</v>
      </c>
    </row>
    <row r="1598" spans="7:14" ht="11.25" customHeight="1" x14ac:dyDescent="0.3">
      <c r="G1598" s="470"/>
      <c r="H1598" s="470">
        <v>1591</v>
      </c>
      <c r="I1598" s="455">
        <f t="shared" ca="1" si="115"/>
        <v>-320807975.58660793</v>
      </c>
      <c r="J1598" s="455">
        <f t="array" ref="J1598">IFERROR(INDEX('Retirement Calculator'!K:K,MATCH('Lorri 401b'!N1598,'Retirement Calculator'!A:A,0),0),0)</f>
        <v>0</v>
      </c>
      <c r="K1598" s="455">
        <f t="shared" ca="1" si="113"/>
        <v>-1336699.898277533</v>
      </c>
      <c r="L1598" s="455">
        <f t="shared" ca="1" si="114"/>
        <v>-322144675.48488545</v>
      </c>
      <c r="M1598" s="471">
        <f t="shared" si="116"/>
        <v>0.05</v>
      </c>
      <c r="N1598" s="475">
        <f t="shared" si="117"/>
        <v>99683</v>
      </c>
    </row>
    <row r="1599" spans="7:14" ht="11.25" customHeight="1" x14ac:dyDescent="0.3">
      <c r="G1599" s="470"/>
      <c r="H1599" s="470">
        <v>1592</v>
      </c>
      <c r="I1599" s="455">
        <f t="shared" ca="1" si="115"/>
        <v>-322144675.48488545</v>
      </c>
      <c r="J1599" s="455">
        <f t="array" ref="J1599">IFERROR(INDEX('Retirement Calculator'!K:K,MATCH('Lorri 401b'!N1599,'Retirement Calculator'!A:A,0),0),0)</f>
        <v>0</v>
      </c>
      <c r="K1599" s="455">
        <f t="shared" ca="1" si="113"/>
        <v>-1342269.4811870228</v>
      </c>
      <c r="L1599" s="455">
        <f t="shared" ca="1" si="114"/>
        <v>-323486944.9660725</v>
      </c>
      <c r="M1599" s="471">
        <f t="shared" si="116"/>
        <v>0.05</v>
      </c>
      <c r="N1599" s="475">
        <f t="shared" si="117"/>
        <v>99714</v>
      </c>
    </row>
    <row r="1600" spans="7:14" ht="11.25" customHeight="1" x14ac:dyDescent="0.3">
      <c r="G1600" s="470"/>
      <c r="H1600" s="470">
        <v>1593</v>
      </c>
      <c r="I1600" s="455">
        <f t="shared" ca="1" si="115"/>
        <v>-323486944.9660725</v>
      </c>
      <c r="J1600" s="455">
        <f t="array" ref="J1600">IFERROR(INDEX('Retirement Calculator'!K:K,MATCH('Lorri 401b'!N1600,'Retirement Calculator'!A:A,0),0),0)</f>
        <v>0</v>
      </c>
      <c r="K1600" s="455">
        <f t="shared" ca="1" si="113"/>
        <v>-1347862.2706919687</v>
      </c>
      <c r="L1600" s="455">
        <f t="shared" ca="1" si="114"/>
        <v>-324834807.23676449</v>
      </c>
      <c r="M1600" s="471">
        <f t="shared" si="116"/>
        <v>0.05</v>
      </c>
      <c r="N1600" s="475">
        <f t="shared" si="117"/>
        <v>99745</v>
      </c>
    </row>
    <row r="1601" spans="7:14" ht="11.25" customHeight="1" x14ac:dyDescent="0.3">
      <c r="G1601" s="470"/>
      <c r="H1601" s="470">
        <v>1594</v>
      </c>
      <c r="I1601" s="455">
        <f t="shared" ca="1" si="115"/>
        <v>-324834807.23676449</v>
      </c>
      <c r="J1601" s="455">
        <f t="array" ref="J1601">IFERROR(INDEX('Retirement Calculator'!K:K,MATCH('Lorri 401b'!N1601,'Retirement Calculator'!A:A,0),0),0)</f>
        <v>0</v>
      </c>
      <c r="K1601" s="455">
        <f t="shared" ca="1" si="113"/>
        <v>-1353478.3634865186</v>
      </c>
      <c r="L1601" s="455">
        <f t="shared" ca="1" si="114"/>
        <v>-326188285.60025102</v>
      </c>
      <c r="M1601" s="471">
        <f t="shared" si="116"/>
        <v>0.05</v>
      </c>
      <c r="N1601" s="475">
        <f t="shared" si="117"/>
        <v>99773</v>
      </c>
    </row>
    <row r="1602" spans="7:14" ht="11.25" customHeight="1" x14ac:dyDescent="0.3">
      <c r="G1602" s="470"/>
      <c r="H1602" s="470">
        <v>1595</v>
      </c>
      <c r="I1602" s="455">
        <f t="shared" ca="1" si="115"/>
        <v>-326188285.60025102</v>
      </c>
      <c r="J1602" s="455">
        <f t="array" ref="J1602">IFERROR(INDEX('Retirement Calculator'!K:K,MATCH('Lorri 401b'!N1602,'Retirement Calculator'!A:A,0),0),0)</f>
        <v>0</v>
      </c>
      <c r="K1602" s="455">
        <f t="shared" ca="1" si="113"/>
        <v>-1359117.8566677126</v>
      </c>
      <c r="L1602" s="455">
        <f t="shared" ca="1" si="114"/>
        <v>-327547403.45691872</v>
      </c>
      <c r="M1602" s="471">
        <f t="shared" si="116"/>
        <v>0.05</v>
      </c>
      <c r="N1602" s="475">
        <f t="shared" si="117"/>
        <v>99804</v>
      </c>
    </row>
    <row r="1603" spans="7:14" ht="11.25" customHeight="1" x14ac:dyDescent="0.3">
      <c r="G1603" s="470"/>
      <c r="H1603" s="470">
        <v>1596</v>
      </c>
      <c r="I1603" s="455">
        <f t="shared" ca="1" si="115"/>
        <v>-327547403.45691872</v>
      </c>
      <c r="J1603" s="455">
        <f t="array" ref="J1603">IFERROR(INDEX('Retirement Calculator'!K:K,MATCH('Lorri 401b'!N1603,'Retirement Calculator'!A:A,0),0),0)</f>
        <v>0</v>
      </c>
      <c r="K1603" s="455">
        <f t="shared" ca="1" si="113"/>
        <v>-1364780.8477371612</v>
      </c>
      <c r="L1603" s="455">
        <f t="shared" ca="1" si="114"/>
        <v>-328912184.30465585</v>
      </c>
      <c r="M1603" s="471">
        <f t="shared" si="116"/>
        <v>0.05</v>
      </c>
      <c r="N1603" s="475">
        <f t="shared" si="117"/>
        <v>99834</v>
      </c>
    </row>
    <row r="1604" spans="7:14" ht="11.25" customHeight="1" x14ac:dyDescent="0.3">
      <c r="G1604" s="470"/>
      <c r="H1604" s="470">
        <v>1597</v>
      </c>
      <c r="I1604" s="455">
        <f t="shared" ca="1" si="115"/>
        <v>-328912184.30465585</v>
      </c>
      <c r="J1604" s="455">
        <f t="array" ref="J1604">IFERROR(INDEX('Retirement Calculator'!K:K,MATCH('Lorri 401b'!N1604,'Retirement Calculator'!A:A,0),0),0)</f>
        <v>0</v>
      </c>
      <c r="K1604" s="455">
        <f t="shared" ca="1" si="113"/>
        <v>-1370467.4346027328</v>
      </c>
      <c r="L1604" s="455">
        <f t="shared" ca="1" si="114"/>
        <v>-330282651.73925859</v>
      </c>
      <c r="M1604" s="471">
        <f t="shared" si="116"/>
        <v>0.05</v>
      </c>
      <c r="N1604" s="475">
        <f t="shared" si="117"/>
        <v>99865</v>
      </c>
    </row>
    <row r="1605" spans="7:14" ht="11.25" customHeight="1" x14ac:dyDescent="0.3">
      <c r="G1605" s="470"/>
      <c r="H1605" s="470">
        <v>1598</v>
      </c>
      <c r="I1605" s="455">
        <f t="shared" ca="1" si="115"/>
        <v>-330282651.73925859</v>
      </c>
      <c r="J1605" s="455">
        <f t="array" ref="J1605">IFERROR(INDEX('Retirement Calculator'!K:K,MATCH('Lorri 401b'!N1605,'Retirement Calculator'!A:A,0),0),0)</f>
        <v>0</v>
      </c>
      <c r="K1605" s="455">
        <f t="shared" ca="1" si="113"/>
        <v>-1376177.7155802441</v>
      </c>
      <c r="L1605" s="455">
        <f t="shared" ca="1" si="114"/>
        <v>-331658829.45483881</v>
      </c>
      <c r="M1605" s="471">
        <f t="shared" si="116"/>
        <v>0.05</v>
      </c>
      <c r="N1605" s="475">
        <f t="shared" si="117"/>
        <v>99895</v>
      </c>
    </row>
    <row r="1606" spans="7:14" ht="11.25" customHeight="1" x14ac:dyDescent="0.3">
      <c r="G1606" s="470"/>
      <c r="H1606" s="470">
        <v>1599</v>
      </c>
      <c r="I1606" s="455">
        <f t="shared" ca="1" si="115"/>
        <v>-331658829.45483881</v>
      </c>
      <c r="J1606" s="455">
        <f t="array" ref="J1606">IFERROR(INDEX('Retirement Calculator'!K:K,MATCH('Lorri 401b'!N1606,'Retirement Calculator'!A:A,0),0),0)</f>
        <v>0</v>
      </c>
      <c r="K1606" s="455">
        <f t="shared" ca="1" si="113"/>
        <v>-1381911.7893951617</v>
      </c>
      <c r="L1606" s="455">
        <f t="shared" ca="1" si="114"/>
        <v>-333040741.24423397</v>
      </c>
      <c r="M1606" s="471">
        <f t="shared" si="116"/>
        <v>0.05</v>
      </c>
      <c r="N1606" s="475">
        <f t="shared" si="117"/>
        <v>99926</v>
      </c>
    </row>
    <row r="1607" spans="7:14" ht="11.25" customHeight="1" x14ac:dyDescent="0.3">
      <c r="G1607" s="470"/>
      <c r="H1607" s="470">
        <v>1600</v>
      </c>
      <c r="I1607" s="455">
        <f t="shared" ca="1" si="115"/>
        <v>-333040741.24423397</v>
      </c>
      <c r="J1607" s="455">
        <f t="array" ref="J1607">IFERROR(INDEX('Retirement Calculator'!K:K,MATCH('Lorri 401b'!N1607,'Retirement Calculator'!A:A,0),0),0)</f>
        <v>0</v>
      </c>
      <c r="K1607" s="455">
        <f t="shared" ca="1" si="113"/>
        <v>-1387669.7551843082</v>
      </c>
      <c r="L1607" s="455">
        <f t="shared" ca="1" si="114"/>
        <v>-334428410.99941826</v>
      </c>
      <c r="M1607" s="471">
        <f t="shared" si="116"/>
        <v>0.05</v>
      </c>
      <c r="N1607" s="475">
        <f t="shared" si="117"/>
        <v>99957</v>
      </c>
    </row>
    <row r="1608" spans="7:14" ht="11.25" customHeight="1" x14ac:dyDescent="0.3">
      <c r="G1608" s="470"/>
      <c r="H1608" s="470">
        <v>1601</v>
      </c>
      <c r="I1608" s="455">
        <f t="shared" ca="1" si="115"/>
        <v>-334428410.99941826</v>
      </c>
      <c r="J1608" s="455">
        <f t="array" ref="J1608">IFERROR(INDEX('Retirement Calculator'!K:K,MATCH('Lorri 401b'!N1608,'Retirement Calculator'!A:A,0),0),0)</f>
        <v>0</v>
      </c>
      <c r="K1608" s="455">
        <f t="shared" ca="1" si="113"/>
        <v>-1393451.7124975761</v>
      </c>
      <c r="L1608" s="455">
        <f t="shared" ca="1" si="114"/>
        <v>-335821862.71191585</v>
      </c>
      <c r="M1608" s="471">
        <f t="shared" si="116"/>
        <v>0.05</v>
      </c>
      <c r="N1608" s="475">
        <f t="shared" si="117"/>
        <v>99987</v>
      </c>
    </row>
    <row r="1609" spans="7:14" ht="11.25" customHeight="1" x14ac:dyDescent="0.3">
      <c r="G1609" s="470"/>
      <c r="H1609" s="470">
        <v>1602</v>
      </c>
      <c r="I1609" s="455">
        <f t="shared" ca="1" si="115"/>
        <v>-335821862.71191585</v>
      </c>
      <c r="J1609" s="455">
        <f t="array" ref="J1609">IFERROR(INDEX('Retirement Calculator'!K:K,MATCH('Lorri 401b'!N1609,'Retirement Calculator'!A:A,0),0),0)</f>
        <v>0</v>
      </c>
      <c r="K1609" s="455">
        <f t="shared" ca="1" si="113"/>
        <v>-1399257.7612996493</v>
      </c>
      <c r="L1609" s="455">
        <f t="shared" ca="1" si="114"/>
        <v>-337221120.47321552</v>
      </c>
      <c r="M1609" s="471">
        <f t="shared" si="116"/>
        <v>0.05</v>
      </c>
      <c r="N1609" s="475">
        <f t="shared" si="117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15"/>
        <v>-337221120.47321552</v>
      </c>
      <c r="J1610" s="455">
        <f t="array" ref="J1610">IFERROR(INDEX('Retirement Calculator'!K:K,MATCH('Lorri 401b'!N1610,'Retirement Calculator'!A:A,0),0),0)</f>
        <v>0</v>
      </c>
      <c r="K1610" s="455">
        <f t="shared" ca="1" si="113"/>
        <v>-1405088.0019717314</v>
      </c>
      <c r="L1610" s="455">
        <f t="shared" ca="1" si="114"/>
        <v>-338626208.47518724</v>
      </c>
      <c r="M1610" s="471">
        <f t="shared" si="116"/>
        <v>0.05</v>
      </c>
      <c r="N1610" s="475">
        <f t="shared" si="117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15"/>
        <v>-338626208.47518724</v>
      </c>
      <c r="J1611" s="455">
        <f t="array" ref="J1611">IFERROR(INDEX('Retirement Calculator'!K:K,MATCH('Lorri 401b'!N1611,'Retirement Calculator'!A:A,0),0),0)</f>
        <v>0</v>
      </c>
      <c r="K1611" s="455">
        <f t="shared" ca="1" si="113"/>
        <v>-1410942.5353132801</v>
      </c>
      <c r="L1611" s="455">
        <f t="shared" ca="1" si="114"/>
        <v>-340037151.01050055</v>
      </c>
      <c r="M1611" s="471">
        <f t="shared" si="116"/>
        <v>0.05</v>
      </c>
      <c r="N1611" s="475">
        <f t="shared" si="117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15"/>
        <v>-340037151.01050055</v>
      </c>
      <c r="J1612" s="455">
        <f t="array" ref="J1612">IFERROR(INDEX('Retirement Calculator'!K:K,MATCH('Lorri 401b'!N1612,'Retirement Calculator'!A:A,0),0),0)</f>
        <v>0</v>
      </c>
      <c r="K1612" s="455">
        <f t="shared" ca="1" si="113"/>
        <v>-1416821.4625437523</v>
      </c>
      <c r="L1612" s="455">
        <f t="shared" ca="1" si="114"/>
        <v>-341453972.47304428</v>
      </c>
      <c r="M1612" s="471">
        <f t="shared" si="116"/>
        <v>0.05</v>
      </c>
      <c r="N1612" s="475">
        <f t="shared" si="117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15"/>
        <v>-341453972.47304428</v>
      </c>
      <c r="J1613" s="455">
        <f t="array" ref="J1613">IFERROR(INDEX('Retirement Calculator'!K:K,MATCH('Lorri 401b'!N1613,'Retirement Calculator'!A:A,0),0),0)</f>
        <v>0</v>
      </c>
      <c r="K1613" s="455">
        <f t="shared" ca="1" si="113"/>
        <v>-1422724.8853043511</v>
      </c>
      <c r="L1613" s="455">
        <f t="shared" ca="1" si="114"/>
        <v>-342876697.35834861</v>
      </c>
      <c r="M1613" s="471">
        <f t="shared" si="116"/>
        <v>0.05</v>
      </c>
      <c r="N1613" s="475">
        <f t="shared" si="117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15"/>
        <v>-342876697.35834861</v>
      </c>
      <c r="J1614" s="455">
        <f t="array" ref="J1614">IFERROR(INDEX('Retirement Calculator'!K:K,MATCH('Lorri 401b'!N1614,'Retirement Calculator'!A:A,0),0),0)</f>
        <v>0</v>
      </c>
      <c r="K1614" s="455">
        <f t="shared" ca="1" si="113"/>
        <v>-1428652.905659786</v>
      </c>
      <c r="L1614" s="455">
        <f t="shared" ca="1" si="114"/>
        <v>-344305350.2640084</v>
      </c>
      <c r="M1614" s="471">
        <f t="shared" si="116"/>
        <v>0.05</v>
      </c>
      <c r="N1614" s="475">
        <f t="shared" si="117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15"/>
        <v>-344305350.2640084</v>
      </c>
      <c r="J1615" s="455">
        <f t="array" ref="J1615">IFERROR(INDEX('Retirement Calculator'!K:K,MATCH('Lorri 401b'!N1615,'Retirement Calculator'!A:A,0),0),0)</f>
        <v>0</v>
      </c>
      <c r="K1615" s="455">
        <f t="shared" ca="1" si="113"/>
        <v>-1434605.6261000349</v>
      </c>
      <c r="L1615" s="455">
        <f t="shared" ca="1" si="114"/>
        <v>-345739955.89010847</v>
      </c>
      <c r="M1615" s="471">
        <f t="shared" si="116"/>
        <v>0.05</v>
      </c>
      <c r="N1615" s="475">
        <f t="shared" si="117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15"/>
        <v>-345739955.89010847</v>
      </c>
      <c r="J1616" s="455">
        <f t="array" ref="J1616">IFERROR(INDEX('Retirement Calculator'!K:K,MATCH('Lorri 401b'!N1616,'Retirement Calculator'!A:A,0),0),0)</f>
        <v>0</v>
      </c>
      <c r="K1616" s="455">
        <f t="shared" ca="1" si="113"/>
        <v>-1440583.1495421187</v>
      </c>
      <c r="L1616" s="455">
        <f t="shared" ca="1" si="114"/>
        <v>-347180539.03965056</v>
      </c>
      <c r="M1616" s="471">
        <f t="shared" si="116"/>
        <v>0.05</v>
      </c>
      <c r="N1616" s="475">
        <f t="shared" si="117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15"/>
        <v>-347180539.03965056</v>
      </c>
      <c r="J1617" s="455">
        <f t="array" ref="J1617">IFERROR(INDEX('Retirement Calculator'!K:K,MATCH('Lorri 401b'!N1617,'Retirement Calculator'!A:A,0),0),0)</f>
        <v>0</v>
      </c>
      <c r="K1617" s="455">
        <f t="shared" ca="1" si="113"/>
        <v>-1446585.5793318774</v>
      </c>
      <c r="L1617" s="455">
        <f t="shared" ca="1" si="114"/>
        <v>-348627124.61898243</v>
      </c>
      <c r="M1617" s="471">
        <f t="shared" si="116"/>
        <v>0.05</v>
      </c>
      <c r="N1617" s="475">
        <f t="shared" si="117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15"/>
        <v>-348627124.61898243</v>
      </c>
      <c r="J1618" s="455">
        <f t="array" ref="J1618">IFERROR(INDEX('Retirement Calculator'!K:K,MATCH('Lorri 401b'!N1618,'Retirement Calculator'!A:A,0),0),0)</f>
        <v>0</v>
      </c>
      <c r="K1618" s="455">
        <f t="shared" ca="1" si="113"/>
        <v>-1452613.01924576</v>
      </c>
      <c r="L1618" s="455">
        <f t="shared" ca="1" si="114"/>
        <v>-350079737.63822818</v>
      </c>
      <c r="M1618" s="471">
        <f t="shared" si="116"/>
        <v>0.05</v>
      </c>
      <c r="N1618" s="475">
        <f t="shared" si="117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15"/>
        <v>-350079737.63822818</v>
      </c>
      <c r="J1619" s="455">
        <f t="array" ref="J1619">IFERROR(INDEX('Retirement Calculator'!K:K,MATCH('Lorri 401b'!N1619,'Retirement Calculator'!A:A,0),0),0)</f>
        <v>0</v>
      </c>
      <c r="K1619" s="455">
        <f t="shared" ca="1" si="113"/>
        <v>-1458665.5734926173</v>
      </c>
      <c r="L1619" s="455">
        <f t="shared" ca="1" si="114"/>
        <v>-351538403.21172082</v>
      </c>
      <c r="M1619" s="471">
        <f t="shared" si="116"/>
        <v>0.05</v>
      </c>
      <c r="N1619" s="475">
        <f t="shared" si="117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15"/>
        <v>-351538403.21172082</v>
      </c>
      <c r="J1620" s="455">
        <f t="array" ref="J1620">IFERROR(INDEX('Retirement Calculator'!K:K,MATCH('Lorri 401b'!N1620,'Retirement Calculator'!A:A,0),0),0)</f>
        <v>0</v>
      </c>
      <c r="K1620" s="455">
        <f t="shared" ca="1" si="113"/>
        <v>-1464743.3467155034</v>
      </c>
      <c r="L1620" s="455">
        <f t="shared" ca="1" si="114"/>
        <v>-353003146.55843633</v>
      </c>
      <c r="M1620" s="471">
        <f t="shared" si="116"/>
        <v>0.05</v>
      </c>
      <c r="N1620" s="475">
        <f t="shared" si="117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15"/>
        <v>-353003146.55843633</v>
      </c>
      <c r="J1621" s="455">
        <f t="array" ref="J1621">IFERROR(INDEX('Retirement Calculator'!K:K,MATCH('Lorri 401b'!N1621,'Retirement Calculator'!A:A,0),0),0)</f>
        <v>0</v>
      </c>
      <c r="K1621" s="455">
        <f t="shared" ca="1" si="113"/>
        <v>-1470846.4439934846</v>
      </c>
      <c r="L1621" s="455">
        <f t="shared" ca="1" si="114"/>
        <v>-354473993.00242984</v>
      </c>
      <c r="M1621" s="471">
        <f t="shared" si="116"/>
        <v>0.05</v>
      </c>
      <c r="N1621" s="475">
        <f t="shared" si="117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15"/>
        <v>-354473993.00242984</v>
      </c>
      <c r="J1622" s="455">
        <f t="array" ref="J1622">IFERROR(INDEX('Retirement Calculator'!K:K,MATCH('Lorri 401b'!N1622,'Retirement Calculator'!A:A,0),0),0)</f>
        <v>0</v>
      </c>
      <c r="K1622" s="455">
        <f t="shared" ca="1" si="113"/>
        <v>-1476974.9708434576</v>
      </c>
      <c r="L1622" s="455">
        <f t="shared" ca="1" si="114"/>
        <v>-355950967.97327328</v>
      </c>
      <c r="M1622" s="471">
        <f t="shared" si="116"/>
        <v>0.05</v>
      </c>
      <c r="N1622" s="475">
        <f t="shared" si="117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15"/>
        <v>-355950967.97327328</v>
      </c>
      <c r="J1623" s="455">
        <f t="array" ref="J1623">IFERROR(INDEX('Retirement Calculator'!K:K,MATCH('Lorri 401b'!N1623,'Retirement Calculator'!A:A,0),0),0)</f>
        <v>0</v>
      </c>
      <c r="K1623" s="455">
        <f t="shared" ca="1" si="113"/>
        <v>-1483129.0332219719</v>
      </c>
      <c r="L1623" s="455">
        <f t="shared" ca="1" si="114"/>
        <v>-357434097.00649524</v>
      </c>
      <c r="M1623" s="471">
        <f t="shared" si="116"/>
        <v>0.05</v>
      </c>
      <c r="N1623" s="475">
        <f t="shared" si="117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15"/>
        <v>-357434097.00649524</v>
      </c>
      <c r="J1624" s="455">
        <f t="array" ref="J1624">IFERROR(INDEX('Retirement Calculator'!K:K,MATCH('Lorri 401b'!N1624,'Retirement Calculator'!A:A,0),0),0)</f>
        <v>0</v>
      </c>
      <c r="K1624" s="455">
        <f t="shared" ca="1" si="113"/>
        <v>-1489308.7375270636</v>
      </c>
      <c r="L1624" s="455">
        <f t="shared" ca="1" si="114"/>
        <v>-358923405.74402231</v>
      </c>
      <c r="M1624" s="471">
        <f t="shared" si="116"/>
        <v>0.05</v>
      </c>
      <c r="N1624" s="475">
        <f t="shared" si="117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15"/>
        <v>-358923405.74402231</v>
      </c>
      <c r="J1625" s="455">
        <f t="array" ref="J1625">IFERROR(INDEX('Retirement Calculator'!K:K,MATCH('Lorri 401b'!N1625,'Retirement Calculator'!A:A,0),0),0)</f>
        <v>0</v>
      </c>
      <c r="K1625" s="455">
        <f t="shared" ca="1" si="113"/>
        <v>-1495514.190600093</v>
      </c>
      <c r="L1625" s="455">
        <f t="shared" ca="1" si="114"/>
        <v>-360418919.93462241</v>
      </c>
      <c r="M1625" s="471">
        <f t="shared" si="116"/>
        <v>0.05</v>
      </c>
      <c r="N1625" s="475">
        <f t="shared" si="117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15"/>
        <v>-360418919.93462241</v>
      </c>
      <c r="J1626" s="455">
        <f t="array" ref="J1626">IFERROR(INDEX('Retirement Calculator'!K:K,MATCH('Lorri 401b'!N1626,'Retirement Calculator'!A:A,0),0),0)</f>
        <v>0</v>
      </c>
      <c r="K1626" s="455">
        <f t="shared" ca="1" si="113"/>
        <v>-1501745.4997275933</v>
      </c>
      <c r="L1626" s="455">
        <f t="shared" ca="1" si="114"/>
        <v>-361920665.43435001</v>
      </c>
      <c r="M1626" s="471">
        <f t="shared" si="116"/>
        <v>0.05</v>
      </c>
      <c r="N1626" s="475">
        <f t="shared" si="117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15"/>
        <v>-361920665.43435001</v>
      </c>
      <c r="J1627" s="455">
        <f t="array" ref="J1627">IFERROR(INDEX('Retirement Calculator'!K:K,MATCH('Lorri 401b'!N1627,'Retirement Calculator'!A:A,0),0),0)</f>
        <v>0</v>
      </c>
      <c r="K1627" s="455">
        <f t="shared" ca="1" si="113"/>
        <v>-1508002.7726431252</v>
      </c>
      <c r="L1627" s="455">
        <f t="shared" ca="1" si="114"/>
        <v>-363428668.20699316</v>
      </c>
      <c r="M1627" s="471">
        <f t="shared" si="116"/>
        <v>0.05</v>
      </c>
      <c r="N1627" s="475">
        <f t="shared" si="117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15"/>
        <v>-363428668.20699316</v>
      </c>
      <c r="J1628" s="455">
        <f t="array" ref="J1628">IFERROR(INDEX('Retirement Calculator'!K:K,MATCH('Lorri 401b'!N1628,'Retirement Calculator'!A:A,0),0),0)</f>
        <v>0</v>
      </c>
      <c r="K1628" s="455">
        <f t="shared" ca="1" si="113"/>
        <v>-1514286.1175291382</v>
      </c>
      <c r="L1628" s="455">
        <f t="shared" ca="1" si="114"/>
        <v>-364942954.32452232</v>
      </c>
      <c r="M1628" s="471">
        <f t="shared" si="116"/>
        <v>0.05</v>
      </c>
      <c r="N1628" s="475">
        <f t="shared" si="117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15"/>
        <v>-364942954.32452232</v>
      </c>
      <c r="J1629" s="455">
        <f t="array" ref="J1629">IFERROR(INDEX('Retirement Calculator'!K:K,MATCH('Lorri 401b'!N1629,'Retirement Calculator'!A:A,0),0),0)</f>
        <v>0</v>
      </c>
      <c r="K1629" s="455">
        <f t="shared" ca="1" si="113"/>
        <v>-1520595.6430188429</v>
      </c>
      <c r="L1629" s="455">
        <f t="shared" ca="1" si="114"/>
        <v>-366463549.96754116</v>
      </c>
      <c r="M1629" s="471">
        <f t="shared" si="116"/>
        <v>0.05</v>
      </c>
      <c r="N1629" s="475">
        <f t="shared" si="117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15"/>
        <v>-366463549.96754116</v>
      </c>
      <c r="J1630" s="455">
        <f t="array" ref="J1630">IFERROR(INDEX('Retirement Calculator'!K:K,MATCH('Lorri 401b'!N1630,'Retirement Calculator'!A:A,0),0),0)</f>
        <v>0</v>
      </c>
      <c r="K1630" s="455">
        <f t="shared" ca="1" si="113"/>
        <v>-1526931.4581980882</v>
      </c>
      <c r="L1630" s="455">
        <f t="shared" ca="1" si="114"/>
        <v>-367990481.42573923</v>
      </c>
      <c r="M1630" s="471">
        <f t="shared" si="116"/>
        <v>0.05</v>
      </c>
      <c r="N1630" s="475">
        <f t="shared" si="117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15"/>
        <v>-367990481.42573923</v>
      </c>
      <c r="J1631" s="455">
        <f t="array" ref="J1631">IFERROR(INDEX('Retirement Calculator'!K:K,MATCH('Lorri 401b'!N1631,'Retirement Calculator'!A:A,0),0),0)</f>
        <v>0</v>
      </c>
      <c r="K1631" s="455">
        <f t="shared" ca="1" si="113"/>
        <v>-1533293.6726072468</v>
      </c>
      <c r="L1631" s="455">
        <f t="shared" ca="1" si="114"/>
        <v>-369523775.09834647</v>
      </c>
      <c r="M1631" s="471">
        <f t="shared" si="116"/>
        <v>0.05</v>
      </c>
      <c r="N1631" s="475">
        <f t="shared" si="117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15"/>
        <v>-369523775.09834647</v>
      </c>
      <c r="J1632" s="455">
        <f t="array" ref="J1632">IFERROR(INDEX('Retirement Calculator'!K:K,MATCH('Lorri 401b'!N1632,'Retirement Calculator'!A:A,0),0),0)</f>
        <v>0</v>
      </c>
      <c r="K1632" s="455">
        <f t="shared" ca="1" si="113"/>
        <v>-1539682.3962431103</v>
      </c>
      <c r="L1632" s="455">
        <f t="shared" ca="1" si="114"/>
        <v>-371063457.49458957</v>
      </c>
      <c r="M1632" s="471">
        <f t="shared" si="116"/>
        <v>0.05</v>
      </c>
      <c r="N1632" s="475">
        <f t="shared" si="117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15"/>
        <v>-371063457.49458957</v>
      </c>
      <c r="J1633" s="455">
        <f t="array" ref="J1633">IFERROR(INDEX('Retirement Calculator'!K:K,MATCH('Lorri 401b'!N1633,'Retirement Calculator'!A:A,0),0),0)</f>
        <v>0</v>
      </c>
      <c r="K1633" s="455">
        <f t="shared" ca="1" si="113"/>
        <v>-1546097.7395607899</v>
      </c>
      <c r="L1633" s="455">
        <f t="shared" ca="1" si="114"/>
        <v>-372609555.23415035</v>
      </c>
      <c r="M1633" s="471">
        <f t="shared" si="116"/>
        <v>0.05</v>
      </c>
      <c r="N1633" s="475">
        <f t="shared" si="117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15"/>
        <v>-372609555.23415035</v>
      </c>
      <c r="J1634" s="455">
        <f t="array" ref="J1634">IFERROR(INDEX('Retirement Calculator'!K:K,MATCH('Lorri 401b'!N1634,'Retirement Calculator'!A:A,0),0),0)</f>
        <v>0</v>
      </c>
      <c r="K1634" s="455">
        <f t="shared" ca="1" si="113"/>
        <v>-1552539.8134756265</v>
      </c>
      <c r="L1634" s="455">
        <f t="shared" ca="1" si="114"/>
        <v>-374162095.04762596</v>
      </c>
      <c r="M1634" s="471">
        <f t="shared" si="116"/>
        <v>0.05</v>
      </c>
      <c r="N1634" s="475">
        <f t="shared" si="117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15"/>
        <v>-374162095.04762596</v>
      </c>
      <c r="J1635" s="455">
        <f t="array" ref="J1635">IFERROR(INDEX('Retirement Calculator'!K:K,MATCH('Lorri 401b'!N1635,'Retirement Calculator'!A:A,0),0),0)</f>
        <v>0</v>
      </c>
      <c r="K1635" s="455">
        <f t="shared" ca="1" si="113"/>
        <v>-1559008.7293651081</v>
      </c>
      <c r="L1635" s="455">
        <f t="shared" ca="1" si="114"/>
        <v>-375721103.77699107</v>
      </c>
      <c r="M1635" s="471">
        <f t="shared" si="116"/>
        <v>0.05</v>
      </c>
      <c r="N1635" s="475">
        <f t="shared" si="117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15"/>
        <v>-375721103.77699107</v>
      </c>
      <c r="J1636" s="455">
        <f t="array" ref="J1636">IFERROR(INDEX('Retirement Calculator'!K:K,MATCH('Lorri 401b'!N1636,'Retirement Calculator'!A:A,0),0),0)</f>
        <v>0</v>
      </c>
      <c r="K1636" s="455">
        <f t="shared" ca="1" si="113"/>
        <v>-1565504.599070796</v>
      </c>
      <c r="L1636" s="455">
        <f t="shared" ca="1" si="114"/>
        <v>-377286608.37606186</v>
      </c>
      <c r="M1636" s="471">
        <f t="shared" si="116"/>
        <v>0.05</v>
      </c>
      <c r="N1636" s="475">
        <f t="shared" si="117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15"/>
        <v>-377286608.37606186</v>
      </c>
      <c r="J1637" s="455">
        <f t="array" ref="J1637">IFERROR(INDEX('Retirement Calculator'!K:K,MATCH('Lorri 401b'!N1637,'Retirement Calculator'!A:A,0),0),0)</f>
        <v>0</v>
      </c>
      <c r="K1637" s="455">
        <f t="shared" ca="1" si="113"/>
        <v>-1572027.5349002578</v>
      </c>
      <c r="L1637" s="455">
        <f t="shared" ca="1" si="114"/>
        <v>-378858635.9109621</v>
      </c>
      <c r="M1637" s="471">
        <f t="shared" si="116"/>
        <v>0.05</v>
      </c>
      <c r="N1637" s="475">
        <f t="shared" si="117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15"/>
        <v>-378858635.9109621</v>
      </c>
      <c r="J1638" s="455">
        <f t="array" ref="J1638">IFERROR(INDEX('Retirement Calculator'!K:K,MATCH('Lorri 401b'!N1638,'Retirement Calculator'!A:A,0),0),0)</f>
        <v>0</v>
      </c>
      <c r="K1638" s="455">
        <f t="shared" ca="1" si="113"/>
        <v>-1578577.6496290087</v>
      </c>
      <c r="L1638" s="455">
        <f t="shared" ca="1" si="114"/>
        <v>-380437213.5605911</v>
      </c>
      <c r="M1638" s="471">
        <f t="shared" si="116"/>
        <v>0.05</v>
      </c>
      <c r="N1638" s="475">
        <f t="shared" si="117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15"/>
        <v>-380437213.5605911</v>
      </c>
      <c r="J1639" s="455">
        <f t="array" ref="J1639">IFERROR(INDEX('Retirement Calculator'!K:K,MATCH('Lorri 401b'!N1639,'Retirement Calculator'!A:A,0),0),0)</f>
        <v>0</v>
      </c>
      <c r="K1639" s="455">
        <f t="shared" ca="1" si="113"/>
        <v>-1585155.0565024628</v>
      </c>
      <c r="L1639" s="455">
        <f t="shared" ca="1" si="114"/>
        <v>-382022368.61709356</v>
      </c>
      <c r="M1639" s="471">
        <f t="shared" si="116"/>
        <v>0.05</v>
      </c>
      <c r="N1639" s="475">
        <f t="shared" si="117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15"/>
        <v>-382022368.61709356</v>
      </c>
      <c r="J1640" s="455">
        <f t="array" ref="J1640">IFERROR(INDEX('Retirement Calculator'!K:K,MATCH('Lorri 401b'!N1640,'Retirement Calculator'!A:A,0),0),0)</f>
        <v>0</v>
      </c>
      <c r="K1640" s="455">
        <f t="shared" ca="1" si="113"/>
        <v>-1591759.8692378898</v>
      </c>
      <c r="L1640" s="455">
        <f t="shared" ca="1" si="114"/>
        <v>-383614128.48633146</v>
      </c>
      <c r="M1640" s="471">
        <f t="shared" si="116"/>
        <v>0.05</v>
      </c>
      <c r="N1640" s="475">
        <f t="shared" si="117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15"/>
        <v>-383614128.48633146</v>
      </c>
      <c r="J1641" s="455">
        <f t="array" ref="J1641">IFERROR(INDEX('Retirement Calculator'!K:K,MATCH('Lorri 401b'!N1641,'Retirement Calculator'!A:A,0),0),0)</f>
        <v>0</v>
      </c>
      <c r="K1641" s="455">
        <f t="shared" ca="1" si="113"/>
        <v>-1598392.2020263812</v>
      </c>
      <c r="L1641" s="455">
        <f t="shared" ca="1" si="114"/>
        <v>-385212520.68835783</v>
      </c>
      <c r="M1641" s="471">
        <f t="shared" si="116"/>
        <v>0.05</v>
      </c>
      <c r="N1641" s="475">
        <f t="shared" si="117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15"/>
        <v>-385212520.68835783</v>
      </c>
      <c r="J1642" s="455">
        <f t="array" ref="J1642">IFERROR(INDEX('Retirement Calculator'!K:K,MATCH('Lorri 401b'!N1642,'Retirement Calculator'!A:A,0),0),0)</f>
        <v>0</v>
      </c>
      <c r="K1642" s="455">
        <f t="shared" ca="1" si="113"/>
        <v>-1605052.1695348243</v>
      </c>
      <c r="L1642" s="455">
        <f t="shared" ca="1" si="114"/>
        <v>-386817572.85789263</v>
      </c>
      <c r="M1642" s="471">
        <f t="shared" si="116"/>
        <v>0.05</v>
      </c>
      <c r="N1642" s="475">
        <f t="shared" si="117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15"/>
        <v>-386817572.85789263</v>
      </c>
      <c r="J1643" s="455">
        <f t="array" ref="J1643">IFERROR(INDEX('Retirement Calculator'!K:K,MATCH('Lorri 401b'!N1643,'Retirement Calculator'!A:A,0),0),0)</f>
        <v>0</v>
      </c>
      <c r="K1643" s="455">
        <f t="shared" ca="1" si="113"/>
        <v>-1611739.886907886</v>
      </c>
      <c r="L1643" s="455">
        <f t="shared" ca="1" si="114"/>
        <v>-388429312.74480051</v>
      </c>
      <c r="M1643" s="471">
        <f t="shared" si="116"/>
        <v>0.05</v>
      </c>
      <c r="N1643" s="475">
        <f t="shared" si="117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15"/>
        <v>-388429312.74480051</v>
      </c>
      <c r="J1644" s="455">
        <f t="array" ref="J1644">IFERROR(INDEX('Retirement Calculator'!K:K,MATCH('Lorri 401b'!N1644,'Retirement Calculator'!A:A,0),0),0)</f>
        <v>0</v>
      </c>
      <c r="K1644" s="455">
        <f t="shared" ca="1" si="113"/>
        <v>-1618455.4697700022</v>
      </c>
      <c r="L1644" s="455">
        <f t="shared" ca="1" si="114"/>
        <v>-390047768.21457052</v>
      </c>
      <c r="M1644" s="471">
        <f t="shared" si="116"/>
        <v>0.05</v>
      </c>
      <c r="N1644" s="475">
        <f t="shared" si="117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15"/>
        <v>-390047768.21457052</v>
      </c>
      <c r="J1645" s="455">
        <f t="array" ref="J1645">IFERROR(INDEX('Retirement Calculator'!K:K,MATCH('Lorri 401b'!N1645,'Retirement Calculator'!A:A,0),0),0)</f>
        <v>0</v>
      </c>
      <c r="K1645" s="455">
        <f t="shared" ca="1" si="113"/>
        <v>-1625199.0342273773</v>
      </c>
      <c r="L1645" s="455">
        <f t="shared" ca="1" si="114"/>
        <v>-391672967.24879789</v>
      </c>
      <c r="M1645" s="471">
        <f t="shared" si="116"/>
        <v>0.05</v>
      </c>
      <c r="N1645" s="475">
        <f t="shared" si="117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15"/>
        <v>-391672967.24879789</v>
      </c>
      <c r="J1646" s="455">
        <f t="array" ref="J1646">IFERROR(INDEX('Retirement Calculator'!K:K,MATCH('Lorri 401b'!N1646,'Retirement Calculator'!A:A,0),0),0)</f>
        <v>0</v>
      </c>
      <c r="K1646" s="455">
        <f t="shared" ca="1" si="113"/>
        <v>-1631970.6968699913</v>
      </c>
      <c r="L1646" s="455">
        <f t="shared" ca="1" si="114"/>
        <v>-393304937.94566786</v>
      </c>
      <c r="M1646" s="471">
        <f t="shared" si="116"/>
        <v>0.05</v>
      </c>
      <c r="N1646" s="475">
        <f t="shared" si="117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15"/>
        <v>-393304937.94566786</v>
      </c>
      <c r="J1647" s="455">
        <f t="array" ref="J1647">IFERROR(INDEX('Retirement Calculator'!K:K,MATCH('Lorri 401b'!N1647,'Retirement Calculator'!A:A,0),0),0)</f>
        <v>0</v>
      </c>
      <c r="K1647" s="455">
        <f t="shared" ca="1" si="113"/>
        <v>-1638770.5747736162</v>
      </c>
      <c r="L1647" s="455">
        <f t="shared" ca="1" si="114"/>
        <v>-394943708.52044147</v>
      </c>
      <c r="M1647" s="471">
        <f t="shared" si="116"/>
        <v>0.05</v>
      </c>
      <c r="N1647" s="475">
        <f t="shared" si="117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15"/>
        <v>-394943708.52044147</v>
      </c>
      <c r="J1648" s="455">
        <f t="array" ref="J1648">IFERROR(INDEX('Retirement Calculator'!K:K,MATCH('Lorri 401b'!N1648,'Retirement Calculator'!A:A,0),0),0)</f>
        <v>0</v>
      </c>
      <c r="K1648" s="455">
        <f t="shared" ca="1" si="113"/>
        <v>-1645598.7855018394</v>
      </c>
      <c r="L1648" s="455">
        <f t="shared" ca="1" si="114"/>
        <v>-396589307.30594331</v>
      </c>
      <c r="M1648" s="471">
        <f t="shared" si="116"/>
        <v>0.05</v>
      </c>
      <c r="N1648" s="475">
        <f t="shared" si="117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15"/>
        <v>-396589307.30594331</v>
      </c>
      <c r="J1649" s="455">
        <f t="array" ref="J1649">IFERROR(INDEX('Retirement Calculator'!K:K,MATCH('Lorri 401b'!N1649,'Retirement Calculator'!A:A,0),0),0)</f>
        <v>0</v>
      </c>
      <c r="K1649" s="455">
        <f t="shared" ca="1" si="113"/>
        <v>-1652455.4471080971</v>
      </c>
      <c r="L1649" s="455">
        <f t="shared" ca="1" si="114"/>
        <v>-398241762.7530514</v>
      </c>
      <c r="M1649" s="471">
        <f t="shared" si="116"/>
        <v>0.05</v>
      </c>
      <c r="N1649" s="475">
        <f t="shared" si="117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15"/>
        <v>-398241762.7530514</v>
      </c>
      <c r="J1650" s="455">
        <f t="array" ref="J1650">IFERROR(INDEX('Retirement Calculator'!K:K,MATCH('Lorri 401b'!N1650,'Retirement Calculator'!A:A,0),0),0)</f>
        <v>0</v>
      </c>
      <c r="K1650" s="455">
        <f t="shared" ca="1" si="113"/>
        <v>-1659340.678137714</v>
      </c>
      <c r="L1650" s="455">
        <f t="shared" ca="1" si="114"/>
        <v>-399901103.43118912</v>
      </c>
      <c r="M1650" s="471">
        <f t="shared" si="116"/>
        <v>0.05</v>
      </c>
      <c r="N1650" s="475">
        <f t="shared" si="117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15"/>
        <v>-399901103.43118912</v>
      </c>
      <c r="J1651" s="455">
        <f t="array" ref="J1651">IFERROR(INDEX('Retirement Calculator'!K:K,MATCH('Lorri 401b'!N1651,'Retirement Calculator'!A:A,0),0),0)</f>
        <v>0</v>
      </c>
      <c r="K1651" s="455">
        <f t="shared" ca="1" si="113"/>
        <v>-1666254.5976299546</v>
      </c>
      <c r="L1651" s="455">
        <f t="shared" ca="1" si="114"/>
        <v>-401567358.02881908</v>
      </c>
      <c r="M1651" s="471">
        <f t="shared" si="116"/>
        <v>0.05</v>
      </c>
      <c r="N1651" s="475">
        <f t="shared" si="117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15"/>
        <v>-401567358.02881908</v>
      </c>
      <c r="J1652" s="455">
        <f t="array" ref="J1652">IFERROR(INDEX('Retirement Calculator'!K:K,MATCH('Lorri 401b'!N1652,'Retirement Calculator'!A:A,0),0),0)</f>
        <v>0</v>
      </c>
      <c r="K1652" s="455">
        <f t="shared" ca="1" si="113"/>
        <v>-1673197.3251200796</v>
      </c>
      <c r="L1652" s="455">
        <f t="shared" ca="1" si="114"/>
        <v>-403240555.35393918</v>
      </c>
      <c r="M1652" s="471">
        <f t="shared" si="116"/>
        <v>0.05</v>
      </c>
      <c r="N1652" s="475">
        <f t="shared" si="117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15"/>
        <v>-403240555.35393918</v>
      </c>
      <c r="J1653" s="455">
        <f t="array" ref="J1653">IFERROR(INDEX('Retirement Calculator'!K:K,MATCH('Lorri 401b'!N1653,'Retirement Calculator'!A:A,0),0),0)</f>
        <v>0</v>
      </c>
      <c r="K1653" s="455">
        <f t="shared" ca="1" si="113"/>
        <v>-1680168.9806414132</v>
      </c>
      <c r="L1653" s="455">
        <f t="shared" ca="1" si="114"/>
        <v>-404920724.3345806</v>
      </c>
      <c r="M1653" s="471">
        <f t="shared" si="116"/>
        <v>0.05</v>
      </c>
      <c r="N1653" s="475">
        <f t="shared" si="117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15"/>
        <v>-404920724.3345806</v>
      </c>
      <c r="J1654" s="455">
        <f t="array" ref="J1654">IFERROR(INDEX('Retirement Calculator'!K:K,MATCH('Lorri 401b'!N1654,'Retirement Calculator'!A:A,0),0),0)</f>
        <v>0</v>
      </c>
      <c r="K1654" s="455">
        <f t="shared" ca="1" si="113"/>
        <v>-1687169.6847274192</v>
      </c>
      <c r="L1654" s="455">
        <f t="shared" ca="1" si="114"/>
        <v>-406607894.01930803</v>
      </c>
      <c r="M1654" s="471">
        <f t="shared" si="116"/>
        <v>0.05</v>
      </c>
      <c r="N1654" s="475">
        <f t="shared" si="117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15"/>
        <v>-406607894.01930803</v>
      </c>
      <c r="J1655" s="455">
        <f t="array" ref="J1655">IFERROR(INDEX('Retirement Calculator'!K:K,MATCH('Lorri 401b'!N1655,'Retirement Calculator'!A:A,0),0),0)</f>
        <v>0</v>
      </c>
      <c r="K1655" s="455">
        <f t="shared" ca="1" si="113"/>
        <v>-1694199.5584137833</v>
      </c>
      <c r="L1655" s="455">
        <f t="shared" ca="1" si="114"/>
        <v>-408302093.57772183</v>
      </c>
      <c r="M1655" s="471">
        <f t="shared" si="116"/>
        <v>0.05</v>
      </c>
      <c r="N1655" s="475">
        <f t="shared" si="117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15"/>
        <v>-408302093.57772183</v>
      </c>
      <c r="J1656" s="455">
        <f t="array" ref="J1656">IFERROR(INDEX('Retirement Calculator'!K:K,MATCH('Lorri 401b'!N1656,'Retirement Calculator'!A:A,0),0),0)</f>
        <v>0</v>
      </c>
      <c r="K1656" s="455">
        <f t="shared" ca="1" si="113"/>
        <v>-1701258.7232405075</v>
      </c>
      <c r="L1656" s="455">
        <f t="shared" ca="1" si="114"/>
        <v>-410003352.30096233</v>
      </c>
      <c r="M1656" s="471">
        <f t="shared" si="116"/>
        <v>0.05</v>
      </c>
      <c r="N1656" s="475">
        <f t="shared" si="117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15"/>
        <v>-410003352.30096233</v>
      </c>
      <c r="J1657" s="455">
        <f t="array" ref="J1657">IFERROR(INDEX('Retirement Calculator'!K:K,MATCH('Lorri 401b'!N1657,'Retirement Calculator'!A:A,0),0),0)</f>
        <v>0</v>
      </c>
      <c r="K1657" s="455">
        <f t="shared" ca="1" si="113"/>
        <v>-1708347.3012540096</v>
      </c>
      <c r="L1657" s="455">
        <f t="shared" ca="1" si="114"/>
        <v>-411711699.60221636</v>
      </c>
      <c r="M1657" s="471">
        <f t="shared" si="116"/>
        <v>0.05</v>
      </c>
      <c r="N1657" s="475">
        <f t="shared" si="117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15"/>
        <v>-411711699.60221636</v>
      </c>
      <c r="J1658" s="455">
        <f t="array" ref="J1658">IFERROR(INDEX('Retirement Calculator'!K:K,MATCH('Lorri 401b'!N1658,'Retirement Calculator'!A:A,0),0),0)</f>
        <v>0</v>
      </c>
      <c r="K1658" s="455">
        <f t="shared" ca="1" si="113"/>
        <v>-1715465.4150092348</v>
      </c>
      <c r="L1658" s="455">
        <f t="shared" ca="1" si="114"/>
        <v>-413427165.01722562</v>
      </c>
      <c r="M1658" s="471">
        <f t="shared" si="116"/>
        <v>0.05</v>
      </c>
      <c r="N1658" s="475">
        <f t="shared" si="117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15"/>
        <v>-413427165.01722562</v>
      </c>
      <c r="J1659" s="455">
        <f t="array" ref="J1659">IFERROR(INDEX('Retirement Calculator'!K:K,MATCH('Lorri 401b'!N1659,'Retirement Calculator'!A:A,0),0),0)</f>
        <v>0</v>
      </c>
      <c r="K1659" s="455">
        <f t="shared" ca="1" si="113"/>
        <v>-1722613.1875717733</v>
      </c>
      <c r="L1659" s="455">
        <f t="shared" ca="1" si="114"/>
        <v>-415149778.20479739</v>
      </c>
      <c r="M1659" s="471">
        <f t="shared" si="116"/>
        <v>0.05</v>
      </c>
      <c r="N1659" s="475">
        <f t="shared" si="117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15"/>
        <v>-415149778.20479739</v>
      </c>
      <c r="J1660" s="455">
        <f t="array" ref="J1660">IFERROR(INDEX('Retirement Calculator'!K:K,MATCH('Lorri 401b'!N1660,'Retirement Calculator'!A:A,0),0),0)</f>
        <v>0</v>
      </c>
      <c r="K1660" s="455">
        <f t="shared" ca="1" si="113"/>
        <v>-1729790.7425199891</v>
      </c>
      <c r="L1660" s="455">
        <f t="shared" ca="1" si="114"/>
        <v>-416879568.94731736</v>
      </c>
      <c r="M1660" s="471">
        <f t="shared" si="116"/>
        <v>0.05</v>
      </c>
      <c r="N1660" s="475">
        <f t="shared" si="117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15"/>
        <v>-416879568.94731736</v>
      </c>
      <c r="J1661" s="455">
        <f t="array" ref="J1661">IFERROR(INDEX('Retirement Calculator'!K:K,MATCH('Lorri 401b'!N1661,'Retirement Calculator'!A:A,0),0),0)</f>
        <v>0</v>
      </c>
      <c r="K1661" s="455">
        <f t="shared" ca="1" si="113"/>
        <v>-1736998.2039471557</v>
      </c>
      <c r="L1661" s="455">
        <f t="shared" ca="1" si="114"/>
        <v>-418616567.15126449</v>
      </c>
      <c r="M1661" s="471">
        <f t="shared" si="116"/>
        <v>0.05</v>
      </c>
      <c r="N1661" s="475">
        <f t="shared" si="117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15"/>
        <v>-418616567.15126449</v>
      </c>
      <c r="J1662" s="455">
        <f t="array" ref="J1662">IFERROR(INDEX('Retirement Calculator'!K:K,MATCH('Lorri 401b'!N1662,'Retirement Calculator'!A:A,0),0),0)</f>
        <v>0</v>
      </c>
      <c r="K1662" s="455">
        <f t="shared" ca="1" si="113"/>
        <v>-1744235.6964636017</v>
      </c>
      <c r="L1662" s="455">
        <f t="shared" ca="1" si="114"/>
        <v>-420360802.84772807</v>
      </c>
      <c r="M1662" s="471">
        <f t="shared" si="116"/>
        <v>0.05</v>
      </c>
      <c r="N1662" s="475">
        <f t="shared" si="117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15"/>
        <v>-420360802.84772807</v>
      </c>
      <c r="J1663" s="455">
        <f t="array" ref="J1663">IFERROR(INDEX('Retirement Calculator'!K:K,MATCH('Lorri 401b'!N1663,'Retirement Calculator'!A:A,0),0),0)</f>
        <v>0</v>
      </c>
      <c r="K1663" s="455">
        <f t="shared" ca="1" si="113"/>
        <v>-1751503.3451988667</v>
      </c>
      <c r="L1663" s="455">
        <f t="shared" ca="1" si="114"/>
        <v>-422112306.19292694</v>
      </c>
      <c r="M1663" s="471">
        <f t="shared" si="116"/>
        <v>0.05</v>
      </c>
      <c r="N1663" s="475">
        <f t="shared" si="117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15"/>
        <v>-422112306.19292694</v>
      </c>
      <c r="J1664" s="455">
        <f t="array" ref="J1664">IFERROR(INDEX('Retirement Calculator'!K:K,MATCH('Lorri 401b'!N1664,'Retirement Calculator'!A:A,0),0),0)</f>
        <v>0</v>
      </c>
      <c r="K1664" s="455">
        <f t="shared" ca="1" si="113"/>
        <v>-1758801.2758038624</v>
      </c>
      <c r="L1664" s="455">
        <f t="shared" ca="1" si="114"/>
        <v>-423871107.46873081</v>
      </c>
      <c r="M1664" s="471">
        <f t="shared" si="116"/>
        <v>0.05</v>
      </c>
      <c r="N1664" s="475">
        <f t="shared" si="117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15"/>
        <v>-423871107.46873081</v>
      </c>
      <c r="J1665" s="455">
        <f t="array" ref="J1665">IFERROR(INDEX('Retirement Calculator'!K:K,MATCH('Lorri 401b'!N1665,'Retirement Calculator'!A:A,0),0),0)</f>
        <v>0</v>
      </c>
      <c r="K1665" s="455">
        <f t="shared" ca="1" si="113"/>
        <v>-1766129.614453045</v>
      </c>
      <c r="L1665" s="455">
        <f t="shared" ca="1" si="114"/>
        <v>-425637237.08318383</v>
      </c>
      <c r="M1665" s="471">
        <f t="shared" si="116"/>
        <v>0.05</v>
      </c>
      <c r="N1665" s="475">
        <f t="shared" si="117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15"/>
        <v>-425637237.08318383</v>
      </c>
      <c r="J1666" s="455">
        <f t="array" ref="J1666">IFERROR(INDEX('Retirement Calculator'!K:K,MATCH('Lorri 401b'!N1666,'Retirement Calculator'!A:A,0),0),0)</f>
        <v>0</v>
      </c>
      <c r="K1666" s="455">
        <f t="shared" ca="1" si="113"/>
        <v>-1773488.4878465994</v>
      </c>
      <c r="L1666" s="455">
        <f t="shared" ca="1" si="114"/>
        <v>-427410725.57103044</v>
      </c>
      <c r="M1666" s="471">
        <f t="shared" si="116"/>
        <v>0.05</v>
      </c>
      <c r="N1666" s="475">
        <f t="shared" si="117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15"/>
        <v>-427410725.57103044</v>
      </c>
      <c r="J1667" s="455">
        <f t="array" ref="J1667">IFERROR(INDEX('Retirement Calculator'!K:K,MATCH('Lorri 401b'!N1667,'Retirement Calculator'!A:A,0),0),0)</f>
        <v>0</v>
      </c>
      <c r="K1667" s="455">
        <f t="shared" ca="1" si="113"/>
        <v>-1780878.0232126266</v>
      </c>
      <c r="L1667" s="455">
        <f t="shared" ca="1" si="114"/>
        <v>-429191603.59424305</v>
      </c>
      <c r="M1667" s="471">
        <f t="shared" si="116"/>
        <v>0.05</v>
      </c>
      <c r="N1667" s="475">
        <f t="shared" si="117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15"/>
        <v>-429191603.59424305</v>
      </c>
      <c r="J1668" s="455">
        <f t="array" ref="J1668">IFERROR(INDEX('Retirement Calculator'!K:K,MATCH('Lorri 401b'!N1668,'Retirement Calculator'!A:A,0),0),0)</f>
        <v>0</v>
      </c>
      <c r="K1668" s="455">
        <f t="shared" ca="1" si="113"/>
        <v>-1788298.348309346</v>
      </c>
      <c r="L1668" s="455">
        <f t="shared" ca="1" si="114"/>
        <v>-430979901.94255239</v>
      </c>
      <c r="M1668" s="471">
        <f t="shared" si="116"/>
        <v>0.05</v>
      </c>
      <c r="N1668" s="475">
        <f t="shared" si="117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15"/>
        <v>-430979901.94255239</v>
      </c>
      <c r="J1669" s="455">
        <f t="array" ref="J1669">IFERROR(INDEX('Retirement Calculator'!K:K,MATCH('Lorri 401b'!N1669,'Retirement Calculator'!A:A,0),0),0)</f>
        <v>0</v>
      </c>
      <c r="K1669" s="455">
        <f t="shared" ca="1" si="113"/>
        <v>-1795749.5914273018</v>
      </c>
      <c r="L1669" s="455">
        <f t="shared" ca="1" si="114"/>
        <v>-432775651.53397971</v>
      </c>
      <c r="M1669" s="471">
        <f t="shared" si="116"/>
        <v>0.05</v>
      </c>
      <c r="N1669" s="475">
        <f t="shared" si="117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15"/>
        <v>-432775651.53397971</v>
      </c>
      <c r="J1670" s="455">
        <f t="array" ref="J1670">IFERROR(INDEX('Retirement Calculator'!K:K,MATCH('Lorri 401b'!N1670,'Retirement Calculator'!A:A,0),0),0)</f>
        <v>0</v>
      </c>
      <c r="K1670" s="455">
        <f t="shared" ca="1" si="113"/>
        <v>-1803231.8813915823</v>
      </c>
      <c r="L1670" s="455">
        <f t="shared" ca="1" si="114"/>
        <v>-434578883.4153713</v>
      </c>
      <c r="M1670" s="471">
        <f t="shared" si="116"/>
        <v>0.05</v>
      </c>
      <c r="N1670" s="475">
        <f t="shared" si="117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15"/>
        <v>-434578883.4153713</v>
      </c>
      <c r="J1671" s="455">
        <f t="array" ref="J1671">IFERROR(INDEX('Retirement Calculator'!K:K,MATCH('Lorri 401b'!N1671,'Retirement Calculator'!A:A,0),0),0)</f>
        <v>0</v>
      </c>
      <c r="K1671" s="455">
        <f t="shared" ca="1" si="113"/>
        <v>-1810745.3475640467</v>
      </c>
      <c r="L1671" s="455">
        <f t="shared" ca="1" si="114"/>
        <v>-436389628.76293534</v>
      </c>
      <c r="M1671" s="471">
        <f t="shared" si="116"/>
        <v>0.05</v>
      </c>
      <c r="N1671" s="475">
        <f t="shared" si="117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15"/>
        <v>-436389628.76293534</v>
      </c>
      <c r="J1672" s="455">
        <f t="array" ref="J1672">IFERROR(INDEX('Retirement Calculator'!K:K,MATCH('Lorri 401b'!N1672,'Retirement Calculator'!A:A,0),0),0)</f>
        <v>0</v>
      </c>
      <c r="K1672" s="455">
        <f t="shared" ca="1" si="113"/>
        <v>-1818290.1198455642</v>
      </c>
      <c r="L1672" s="455">
        <f t="shared" ca="1" si="114"/>
        <v>-438207918.88278091</v>
      </c>
      <c r="M1672" s="471">
        <f t="shared" si="116"/>
        <v>0.05</v>
      </c>
      <c r="N1672" s="475">
        <f t="shared" si="117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15"/>
        <v>-438207918.88278091</v>
      </c>
      <c r="J1673" s="455">
        <f t="array" ref="J1673">IFERROR(INDEX('Retirement Calculator'!K:K,MATCH('Lorri 401b'!N1673,'Retirement Calculator'!A:A,0),0),0)</f>
        <v>0</v>
      </c>
      <c r="K1673" s="455">
        <f t="shared" ca="1" si="113"/>
        <v>-1825866.3286782538</v>
      </c>
      <c r="L1673" s="455">
        <f t="shared" ca="1" si="114"/>
        <v>-440033785.21145916</v>
      </c>
      <c r="M1673" s="471">
        <f t="shared" si="116"/>
        <v>0.05</v>
      </c>
      <c r="N1673" s="475">
        <f t="shared" si="117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15"/>
        <v>-440033785.21145916</v>
      </c>
      <c r="J1674" s="455">
        <f t="array" ref="J1674">IFERROR(INDEX('Retirement Calculator'!K:K,MATCH('Lorri 401b'!N1674,'Retirement Calculator'!A:A,0),0),0)</f>
        <v>0</v>
      </c>
      <c r="K1674" s="455">
        <f t="shared" ca="1" si="113"/>
        <v>-1833474.1050477468</v>
      </c>
      <c r="L1674" s="455">
        <f t="shared" ca="1" si="114"/>
        <v>-441867259.31650692</v>
      </c>
      <c r="M1674" s="471">
        <f t="shared" si="116"/>
        <v>0.05</v>
      </c>
      <c r="N1674" s="475">
        <f t="shared" si="117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15"/>
        <v>-441867259.31650692</v>
      </c>
      <c r="J1675" s="455">
        <f t="array" ref="J1675">IFERROR(INDEX('Retirement Calculator'!K:K,MATCH('Lorri 401b'!N1675,'Retirement Calculator'!A:A,0),0),0)</f>
        <v>0</v>
      </c>
      <c r="K1675" s="455">
        <f t="shared" ca="1" si="113"/>
        <v>-1841113.5804854454</v>
      </c>
      <c r="L1675" s="455">
        <f t="shared" ca="1" si="114"/>
        <v>-443708372.89699239</v>
      </c>
      <c r="M1675" s="471">
        <f t="shared" si="116"/>
        <v>0.05</v>
      </c>
      <c r="N1675" s="475">
        <f t="shared" si="117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15"/>
        <v>-443708372.89699239</v>
      </c>
      <c r="J1676" s="455">
        <f t="array" ref="J1676">IFERROR(INDEX('Retirement Calculator'!K:K,MATCH('Lorri 401b'!N1676,'Retirement Calculator'!A:A,0),0),0)</f>
        <v>0</v>
      </c>
      <c r="K1676" s="455">
        <f t="shared" ca="1" si="113"/>
        <v>-1848784.8870708016</v>
      </c>
      <c r="L1676" s="455">
        <f t="shared" ca="1" si="114"/>
        <v>-445557157.78406316</v>
      </c>
      <c r="M1676" s="471">
        <f t="shared" si="116"/>
        <v>0.05</v>
      </c>
      <c r="N1676" s="475">
        <f t="shared" si="117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15"/>
        <v>-445557157.78406316</v>
      </c>
      <c r="J1677" s="455">
        <f t="array" ref="J1677">IFERROR(INDEX('Retirement Calculator'!K:K,MATCH('Lorri 401b'!N1677,'Retirement Calculator'!A:A,0),0),0)</f>
        <v>0</v>
      </c>
      <c r="K1677" s="455">
        <f t="shared" ca="1" si="113"/>
        <v>-1856488.1574335964</v>
      </c>
      <c r="L1677" s="455">
        <f t="shared" ca="1" si="114"/>
        <v>-447413645.94149673</v>
      </c>
      <c r="M1677" s="471">
        <f t="shared" si="116"/>
        <v>0.05</v>
      </c>
      <c r="N1677" s="475">
        <f t="shared" si="117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15"/>
        <v>-447413645.94149673</v>
      </c>
      <c r="J1678" s="455">
        <f t="array" ref="J1678">IFERROR(INDEX('Retirement Calculator'!K:K,MATCH('Lorri 401b'!N1678,'Retirement Calculator'!A:A,0),0),0)</f>
        <v>0</v>
      </c>
      <c r="K1678" s="455">
        <f t="shared" ca="1" si="113"/>
        <v>-1864223.5247562362</v>
      </c>
      <c r="L1678" s="455">
        <f t="shared" ca="1" si="114"/>
        <v>-449277869.46625298</v>
      </c>
      <c r="M1678" s="471">
        <f t="shared" si="116"/>
        <v>0.05</v>
      </c>
      <c r="N1678" s="475">
        <f t="shared" si="117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15"/>
        <v>-449277869.46625298</v>
      </c>
      <c r="J1679" s="455">
        <f t="array" ref="J1679">IFERROR(INDEX('Retirement Calculator'!K:K,MATCH('Lorri 401b'!N1679,'Retirement Calculator'!A:A,0),0),0)</f>
        <v>0</v>
      </c>
      <c r="K1679" s="455">
        <f t="shared" ca="1" si="113"/>
        <v>-1871991.1227760541</v>
      </c>
      <c r="L1679" s="455">
        <f t="shared" ca="1" si="114"/>
        <v>-451149860.58902901</v>
      </c>
      <c r="M1679" s="471">
        <f t="shared" si="116"/>
        <v>0.05</v>
      </c>
      <c r="N1679" s="475">
        <f t="shared" si="117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15"/>
        <v>-451149860.58902901</v>
      </c>
      <c r="J1680" s="455">
        <f t="array" ref="J1680">IFERROR(INDEX('Retirement Calculator'!K:K,MATCH('Lorri 401b'!N1680,'Retirement Calculator'!A:A,0),0),0)</f>
        <v>0</v>
      </c>
      <c r="K1680" s="455">
        <f t="shared" ca="1" si="113"/>
        <v>-1879791.0857876209</v>
      </c>
      <c r="L1680" s="455">
        <f t="shared" ca="1" si="114"/>
        <v>-453029651.67481661</v>
      </c>
      <c r="M1680" s="471">
        <f t="shared" si="116"/>
        <v>0.05</v>
      </c>
      <c r="N1680" s="475">
        <f t="shared" si="117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15"/>
        <v>-453029651.67481661</v>
      </c>
      <c r="J1681" s="455">
        <f t="array" ref="J1681">IFERROR(INDEX('Retirement Calculator'!K:K,MATCH('Lorri 401b'!N1681,'Retirement Calculator'!A:A,0),0),0)</f>
        <v>0</v>
      </c>
      <c r="K1681" s="455">
        <f t="shared" ca="1" si="113"/>
        <v>-1887623.5486450694</v>
      </c>
      <c r="L1681" s="455">
        <f t="shared" ca="1" si="114"/>
        <v>-454917275.22346169</v>
      </c>
      <c r="M1681" s="471">
        <f t="shared" si="116"/>
        <v>0.05</v>
      </c>
      <c r="N1681" s="475">
        <f t="shared" si="117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15"/>
        <v>-454917275.22346169</v>
      </c>
      <c r="J1682" s="455">
        <f t="array" ref="J1682">IFERROR(INDEX('Retirement Calculator'!K:K,MATCH('Lorri 401b'!N1682,'Retirement Calculator'!A:A,0),0),0)</f>
        <v>0</v>
      </c>
      <c r="K1682" s="455">
        <f t="shared" ca="1" si="113"/>
        <v>-1895488.6467644239</v>
      </c>
      <c r="L1682" s="455">
        <f t="shared" ca="1" si="114"/>
        <v>-456812763.87022609</v>
      </c>
      <c r="M1682" s="471">
        <f t="shared" si="116"/>
        <v>0.05</v>
      </c>
      <c r="N1682" s="475">
        <f t="shared" si="117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15"/>
        <v>-456812763.87022609</v>
      </c>
      <c r="J1683" s="455">
        <f t="array" ref="J1683">IFERROR(INDEX('Retirement Calculator'!K:K,MATCH('Lorri 401b'!N1683,'Retirement Calculator'!A:A,0),0),0)</f>
        <v>0</v>
      </c>
      <c r="K1683" s="455">
        <f t="shared" ca="1" si="113"/>
        <v>-1903386.5161259419</v>
      </c>
      <c r="L1683" s="455">
        <f t="shared" ca="1" si="114"/>
        <v>-458716150.386352</v>
      </c>
      <c r="M1683" s="471">
        <f t="shared" si="116"/>
        <v>0.05</v>
      </c>
      <c r="N1683" s="475">
        <f t="shared" si="117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15"/>
        <v>-458716150.386352</v>
      </c>
      <c r="J1684" s="455">
        <f t="array" ref="J1684">IFERROR(INDEX('Retirement Calculator'!K:K,MATCH('Lorri 401b'!N1684,'Retirement Calculator'!A:A,0),0),0)</f>
        <v>0</v>
      </c>
      <c r="K1684" s="455">
        <f t="shared" ca="1" si="113"/>
        <v>-1911317.2932764664</v>
      </c>
      <c r="L1684" s="455">
        <f t="shared" ca="1" si="114"/>
        <v>-460627467.67962849</v>
      </c>
      <c r="M1684" s="471">
        <f t="shared" si="116"/>
        <v>0.05</v>
      </c>
      <c r="N1684" s="475">
        <f t="shared" si="117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15"/>
        <v>-460627467.67962849</v>
      </c>
      <c r="J1685" s="455">
        <f t="array" ref="J1685">IFERROR(INDEX('Retirement Calculator'!K:K,MATCH('Lorri 401b'!N1685,'Retirement Calculator'!A:A,0),0),0)</f>
        <v>0</v>
      </c>
      <c r="K1685" s="455">
        <f t="shared" ca="1" si="113"/>
        <v>-1919281.1153317853</v>
      </c>
      <c r="L1685" s="455">
        <f t="shared" ca="1" si="114"/>
        <v>-462546748.79496026</v>
      </c>
      <c r="M1685" s="471">
        <f t="shared" si="116"/>
        <v>0.05</v>
      </c>
      <c r="N1685" s="475">
        <f t="shared" si="117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15"/>
        <v>-462546748.79496026</v>
      </c>
      <c r="J1686" s="455">
        <f t="array" ref="J1686">IFERROR(INDEX('Retirement Calculator'!K:K,MATCH('Lorri 401b'!N1686,'Retirement Calculator'!A:A,0),0),0)</f>
        <v>0</v>
      </c>
      <c r="K1686" s="455">
        <f t="shared" ca="1" si="113"/>
        <v>-1927278.1199790011</v>
      </c>
      <c r="L1686" s="455">
        <f t="shared" ca="1" si="114"/>
        <v>-464474026.91493928</v>
      </c>
      <c r="M1686" s="471">
        <f t="shared" si="116"/>
        <v>0.05</v>
      </c>
      <c r="N1686" s="475">
        <f t="shared" si="117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15"/>
        <v>-464474026.91493928</v>
      </c>
      <c r="J1687" s="455">
        <f t="array" ref="J1687">IFERROR(INDEX('Retirement Calculator'!K:K,MATCH('Lorri 401b'!N1687,'Retirement Calculator'!A:A,0),0),0)</f>
        <v>0</v>
      </c>
      <c r="K1687" s="455">
        <f t="shared" ca="1" si="113"/>
        <v>-1935308.4454789136</v>
      </c>
      <c r="L1687" s="455">
        <f t="shared" ca="1" si="114"/>
        <v>-466409335.3604182</v>
      </c>
      <c r="M1687" s="471">
        <f t="shared" si="116"/>
        <v>0.05</v>
      </c>
      <c r="N1687" s="475">
        <f t="shared" si="117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15"/>
        <v>-466409335.3604182</v>
      </c>
      <c r="J1688" s="455">
        <f t="array" ref="J1688">IFERROR(INDEX('Retirement Calculator'!K:K,MATCH('Lorri 401b'!N1688,'Retirement Calculator'!A:A,0),0),0)</f>
        <v>0</v>
      </c>
      <c r="K1688" s="455">
        <f t="shared" ca="1" si="113"/>
        <v>-1943372.230668409</v>
      </c>
      <c r="L1688" s="455">
        <f t="shared" ca="1" si="114"/>
        <v>-468352707.59108663</v>
      </c>
      <c r="M1688" s="471">
        <f t="shared" si="116"/>
        <v>0.05</v>
      </c>
      <c r="N1688" s="475">
        <f t="shared" si="117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15"/>
        <v>-468352707.59108663</v>
      </c>
      <c r="J1689" s="455">
        <f t="array" ref="J1689">IFERROR(INDEX('Retirement Calculator'!K:K,MATCH('Lorri 401b'!N1689,'Retirement Calculator'!A:A,0),0),0)</f>
        <v>0</v>
      </c>
      <c r="K1689" s="455">
        <f t="shared" ca="1" si="113"/>
        <v>-1951469.6149628609</v>
      </c>
      <c r="L1689" s="455">
        <f t="shared" ca="1" si="114"/>
        <v>-470304177.2060495</v>
      </c>
      <c r="M1689" s="471">
        <f t="shared" si="116"/>
        <v>0.05</v>
      </c>
      <c r="N1689" s="475">
        <f t="shared" si="117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15"/>
        <v>-470304177.2060495</v>
      </c>
      <c r="J1690" s="455">
        <f t="array" ref="J1690">IFERROR(INDEX('Retirement Calculator'!K:K,MATCH('Lorri 401b'!N1690,'Retirement Calculator'!A:A,0),0),0)</f>
        <v>0</v>
      </c>
      <c r="K1690" s="455">
        <f t="shared" ca="1" si="113"/>
        <v>-1959600.7383585395</v>
      </c>
      <c r="L1690" s="455">
        <f t="shared" ca="1" si="114"/>
        <v>-472263777.94440806</v>
      </c>
      <c r="M1690" s="471">
        <f t="shared" si="116"/>
        <v>0.05</v>
      </c>
      <c r="N1690" s="475">
        <f t="shared" si="117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15"/>
        <v>-472263777.94440806</v>
      </c>
      <c r="J1691" s="455">
        <f t="array" ref="J1691">IFERROR(INDEX('Retirement Calculator'!K:K,MATCH('Lorri 401b'!N1691,'Retirement Calculator'!A:A,0),0),0)</f>
        <v>0</v>
      </c>
      <c r="K1691" s="455">
        <f t="shared" ca="1" si="113"/>
        <v>-1967765.7414350335</v>
      </c>
      <c r="L1691" s="455">
        <f t="shared" ca="1" si="114"/>
        <v>-474231543.68584311</v>
      </c>
      <c r="M1691" s="471">
        <f t="shared" si="116"/>
        <v>0.05</v>
      </c>
      <c r="N1691" s="475">
        <f t="shared" si="117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15"/>
        <v>-474231543.68584311</v>
      </c>
      <c r="J1692" s="455">
        <f t="array" ref="J1692">IFERROR(INDEX('Retirement Calculator'!K:K,MATCH('Lorri 401b'!N1692,'Retirement Calculator'!A:A,0),0),0)</f>
        <v>0</v>
      </c>
      <c r="K1692" s="455">
        <f t="shared" ca="1" si="113"/>
        <v>-1975964.7653576797</v>
      </c>
      <c r="L1692" s="455">
        <f t="shared" ca="1" si="114"/>
        <v>-476207508.45120078</v>
      </c>
      <c r="M1692" s="471">
        <f t="shared" si="116"/>
        <v>0.05</v>
      </c>
      <c r="N1692" s="475">
        <f t="shared" si="117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15"/>
        <v>-476207508.45120078</v>
      </c>
      <c r="J1693" s="455">
        <f t="array" ref="J1693">IFERROR(INDEX('Retirement Calculator'!K:K,MATCH('Lorri 401b'!N1693,'Retirement Calculator'!A:A,0),0),0)</f>
        <v>0</v>
      </c>
      <c r="K1693" s="455">
        <f t="shared" ca="1" si="113"/>
        <v>-1984197.9518800031</v>
      </c>
      <c r="L1693" s="455">
        <f t="shared" ca="1" si="114"/>
        <v>-478191706.40308076</v>
      </c>
      <c r="M1693" s="471">
        <f t="shared" si="116"/>
        <v>0.05</v>
      </c>
      <c r="N1693" s="475">
        <f t="shared" si="117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15"/>
        <v>-478191706.40308076</v>
      </c>
      <c r="J1694" s="455">
        <f t="array" ref="J1694">IFERROR(INDEX('Retirement Calculator'!K:K,MATCH('Lorri 401b'!N1694,'Retirement Calculator'!A:A,0),0),0)</f>
        <v>0</v>
      </c>
      <c r="K1694" s="455">
        <f t="shared" ca="1" si="113"/>
        <v>-1992465.4433461698</v>
      </c>
      <c r="L1694" s="455">
        <f t="shared" ca="1" si="114"/>
        <v>-480184171.8464269</v>
      </c>
      <c r="M1694" s="471">
        <f t="shared" si="116"/>
        <v>0.05</v>
      </c>
      <c r="N1694" s="475">
        <f t="shared" si="117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15"/>
        <v>-480184171.8464269</v>
      </c>
      <c r="J1695" s="455">
        <f t="array" ref="J1695">IFERROR(INDEX('Retirement Calculator'!K:K,MATCH('Lorri 401b'!N1695,'Retirement Calculator'!A:A,0),0),0)</f>
        <v>0</v>
      </c>
      <c r="K1695" s="455">
        <f t="shared" ca="1" si="113"/>
        <v>-2000767.3826934451</v>
      </c>
      <c r="L1695" s="455">
        <f t="shared" ca="1" si="114"/>
        <v>-482184939.22912037</v>
      </c>
      <c r="M1695" s="471">
        <f t="shared" si="116"/>
        <v>0.05</v>
      </c>
      <c r="N1695" s="475">
        <f t="shared" si="117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15"/>
        <v>-482184939.22912037</v>
      </c>
      <c r="J1696" s="455">
        <f t="array" ref="J1696">IFERROR(INDEX('Retirement Calculator'!K:K,MATCH('Lorri 401b'!N1696,'Retirement Calculator'!A:A,0),0),0)</f>
        <v>0</v>
      </c>
      <c r="K1696" s="455">
        <f t="shared" ca="1" si="113"/>
        <v>-2009103.9134546681</v>
      </c>
      <c r="L1696" s="455">
        <f t="shared" ca="1" si="114"/>
        <v>-484194043.14257503</v>
      </c>
      <c r="M1696" s="471">
        <f t="shared" si="116"/>
        <v>0.05</v>
      </c>
      <c r="N1696" s="475">
        <f t="shared" si="117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15"/>
        <v>-484194043.14257503</v>
      </c>
      <c r="J1697" s="455">
        <f t="array" ref="J1697">IFERROR(INDEX('Retirement Calculator'!K:K,MATCH('Lorri 401b'!N1697,'Retirement Calculator'!A:A,0),0),0)</f>
        <v>0</v>
      </c>
      <c r="K1697" s="455">
        <f t="shared" ca="1" si="113"/>
        <v>-2017475.1797607292</v>
      </c>
      <c r="L1697" s="455">
        <f t="shared" ca="1" si="114"/>
        <v>-486211518.32233578</v>
      </c>
      <c r="M1697" s="471">
        <f t="shared" si="116"/>
        <v>0.05</v>
      </c>
      <c r="N1697" s="475">
        <f t="shared" si="117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15"/>
        <v>-486211518.32233578</v>
      </c>
      <c r="J1698" s="455">
        <f t="array" ref="J1698">IFERROR(INDEX('Retirement Calculator'!K:K,MATCH('Lorri 401b'!N1698,'Retirement Calculator'!A:A,0),0),0)</f>
        <v>0</v>
      </c>
      <c r="K1698" s="455">
        <f t="shared" ca="1" si="113"/>
        <v>-2025881.3263430654</v>
      </c>
      <c r="L1698" s="455">
        <f t="shared" ca="1" si="114"/>
        <v>-488237399.64867884</v>
      </c>
      <c r="M1698" s="471">
        <f t="shared" si="116"/>
        <v>0.05</v>
      </c>
      <c r="N1698" s="475">
        <f t="shared" si="117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15"/>
        <v>-488237399.64867884</v>
      </c>
      <c r="J1699" s="455">
        <f t="array" ref="J1699">IFERROR(INDEX('Retirement Calculator'!K:K,MATCH('Lorri 401b'!N1699,'Retirement Calculator'!A:A,0),0),0)</f>
        <v>0</v>
      </c>
      <c r="K1699" s="455">
        <f t="shared" ca="1" si="113"/>
        <v>-2034322.4985361618</v>
      </c>
      <c r="L1699" s="455">
        <f t="shared" ca="1" si="114"/>
        <v>-490271722.14721501</v>
      </c>
      <c r="M1699" s="471">
        <f t="shared" si="116"/>
        <v>0.05</v>
      </c>
      <c r="N1699" s="475">
        <f t="shared" si="117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15"/>
        <v>-490271722.14721501</v>
      </c>
      <c r="J1700" s="455">
        <f t="array" ref="J1700">IFERROR(INDEX('Retirement Calculator'!K:K,MATCH('Lorri 401b'!N1700,'Retirement Calculator'!A:A,0),0),0)</f>
        <v>0</v>
      </c>
      <c r="K1700" s="455">
        <f t="shared" ca="1" si="113"/>
        <v>-2042798.8422800628</v>
      </c>
      <c r="L1700" s="455">
        <f t="shared" ca="1" si="114"/>
        <v>-492314520.9894951</v>
      </c>
      <c r="M1700" s="471">
        <f t="shared" si="116"/>
        <v>0.05</v>
      </c>
      <c r="N1700" s="475">
        <f t="shared" si="117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15"/>
        <v>-492314520.9894951</v>
      </c>
      <c r="J1701" s="455">
        <f t="array" ref="J1701">IFERROR(INDEX('Retirement Calculator'!K:K,MATCH('Lorri 401b'!N1701,'Retirement Calculator'!A:A,0),0),0)</f>
        <v>0</v>
      </c>
      <c r="K1701" s="455">
        <f t="shared" ca="1" si="113"/>
        <v>-2051310.5041228961</v>
      </c>
      <c r="L1701" s="455">
        <f t="shared" ca="1" si="114"/>
        <v>-494365831.49361801</v>
      </c>
      <c r="M1701" s="471">
        <f t="shared" si="116"/>
        <v>0.05</v>
      </c>
      <c r="N1701" s="475">
        <f t="shared" si="117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15"/>
        <v>-494365831.49361801</v>
      </c>
      <c r="J1702" s="455">
        <f t="array" ref="J1702">IFERROR(INDEX('Retirement Calculator'!K:K,MATCH('Lorri 401b'!N1702,'Retirement Calculator'!A:A,0),0),0)</f>
        <v>0</v>
      </c>
      <c r="K1702" s="455">
        <f t="shared" ca="1" si="113"/>
        <v>-2059857.6312234083</v>
      </c>
      <c r="L1702" s="455">
        <f t="shared" ca="1" si="114"/>
        <v>-496425689.12484139</v>
      </c>
      <c r="M1702" s="471">
        <f t="shared" si="116"/>
        <v>0.05</v>
      </c>
      <c r="N1702" s="475">
        <f t="shared" si="117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15"/>
        <v>-496425689.12484139</v>
      </c>
      <c r="J1703" s="455">
        <f t="array" ref="J1703">IFERROR(INDEX('Retirement Calculator'!K:K,MATCH('Lorri 401b'!N1703,'Retirement Calculator'!A:A,0),0),0)</f>
        <v>0</v>
      </c>
      <c r="K1703" s="455">
        <f t="shared" ca="1" si="113"/>
        <v>-2068440.3713535059</v>
      </c>
      <c r="L1703" s="455">
        <f t="shared" ca="1" si="114"/>
        <v>-498494129.4961949</v>
      </c>
      <c r="M1703" s="471">
        <f t="shared" si="116"/>
        <v>0.05</v>
      </c>
      <c r="N1703" s="475">
        <f t="shared" si="117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15"/>
        <v>-498494129.4961949</v>
      </c>
      <c r="J1704" s="455">
        <f t="array" ref="J1704">IFERROR(INDEX('Retirement Calculator'!K:K,MATCH('Lorri 401b'!N1704,'Retirement Calculator'!A:A,0),0),0)</f>
        <v>0</v>
      </c>
      <c r="K1704" s="455">
        <f t="shared" ca="1" si="113"/>
        <v>-2077058.872900812</v>
      </c>
      <c r="L1704" s="455">
        <f t="shared" ca="1" si="114"/>
        <v>-500571188.36909568</v>
      </c>
      <c r="M1704" s="471">
        <f t="shared" si="116"/>
        <v>0.05</v>
      </c>
      <c r="N1704" s="475">
        <f t="shared" si="117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15"/>
        <v>-500571188.36909568</v>
      </c>
      <c r="J1705" s="455">
        <f t="array" ref="J1705">IFERROR(INDEX('Retirement Calculator'!K:K,MATCH('Lorri 401b'!N1705,'Retirement Calculator'!A:A,0),0),0)</f>
        <v>0</v>
      </c>
      <c r="K1705" s="455">
        <f t="shared" ca="1" si="113"/>
        <v>-2085713.2848712322</v>
      </c>
      <c r="L1705" s="455">
        <f t="shared" ca="1" si="114"/>
        <v>-502656901.6539669</v>
      </c>
      <c r="M1705" s="471">
        <f t="shared" si="116"/>
        <v>0.05</v>
      </c>
      <c r="N1705" s="475">
        <f t="shared" si="117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15"/>
        <v>-502656901.6539669</v>
      </c>
      <c r="J1706" s="455">
        <f t="array" ref="J1706">IFERROR(INDEX('Retirement Calculator'!K:K,MATCH('Lorri 401b'!N1706,'Retirement Calculator'!A:A,0),0),0)</f>
        <v>0</v>
      </c>
      <c r="K1706" s="455">
        <f t="shared" ca="1" si="113"/>
        <v>-2094403.7568915288</v>
      </c>
      <c r="L1706" s="455">
        <f t="shared" ca="1" si="114"/>
        <v>-504751305.41085845</v>
      </c>
      <c r="M1706" s="471">
        <f t="shared" si="116"/>
        <v>0.05</v>
      </c>
      <c r="N1706" s="475">
        <f t="shared" si="117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15"/>
        <v>-504751305.41085845</v>
      </c>
      <c r="J1707" s="455">
        <f t="array" ref="J1707">IFERROR(INDEX('Retirement Calculator'!K:K,MATCH('Lorri 401b'!N1707,'Retirement Calculator'!A:A,0),0),0)</f>
        <v>0</v>
      </c>
      <c r="K1707" s="455">
        <f t="shared" ca="1" si="113"/>
        <v>-2103130.4392119101</v>
      </c>
      <c r="L1707" s="455">
        <f t="shared" ca="1" si="114"/>
        <v>-506854435.85007036</v>
      </c>
      <c r="M1707" s="471">
        <f t="shared" si="116"/>
        <v>0.05</v>
      </c>
      <c r="N1707" s="475">
        <f t="shared" si="117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15"/>
        <v>-506854435.85007036</v>
      </c>
      <c r="J1708" s="455">
        <f t="array" ref="J1708">IFERROR(INDEX('Retirement Calculator'!K:K,MATCH('Lorri 401b'!N1708,'Retirement Calculator'!A:A,0),0),0)</f>
        <v>0</v>
      </c>
      <c r="K1708" s="455">
        <f t="shared" ca="1" si="113"/>
        <v>-2111893.4827086264</v>
      </c>
      <c r="L1708" s="455">
        <f t="shared" ca="1" si="114"/>
        <v>-508966329.33277899</v>
      </c>
      <c r="M1708" s="471">
        <f t="shared" si="116"/>
        <v>0.05</v>
      </c>
      <c r="N1708" s="475">
        <f t="shared" si="117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15"/>
        <v>-508966329.33277899</v>
      </c>
      <c r="J1709" s="455">
        <f t="array" ref="J1709">IFERROR(INDEX('Retirement Calculator'!K:K,MATCH('Lorri 401b'!N1709,'Retirement Calculator'!A:A,0),0),0)</f>
        <v>0</v>
      </c>
      <c r="K1709" s="455">
        <f t="shared" ca="1" si="113"/>
        <v>-2120693.0388865792</v>
      </c>
      <c r="L1709" s="455">
        <f t="shared" ca="1" si="114"/>
        <v>-511087022.3716656</v>
      </c>
      <c r="M1709" s="471">
        <f t="shared" si="116"/>
        <v>0.05</v>
      </c>
      <c r="N1709" s="475">
        <f t="shared" si="117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15"/>
        <v>-511087022.3716656</v>
      </c>
      <c r="J1710" s="455">
        <f t="array" ref="J1710">IFERROR(INDEX('Retirement Calculator'!K:K,MATCH('Lorri 401b'!N1710,'Retirement Calculator'!A:A,0),0),0)</f>
        <v>0</v>
      </c>
      <c r="K1710" s="455">
        <f t="shared" ca="1" si="113"/>
        <v>-2129529.2598819402</v>
      </c>
      <c r="L1710" s="455">
        <f t="shared" ca="1" si="114"/>
        <v>-513216551.63154751</v>
      </c>
      <c r="M1710" s="471">
        <f t="shared" si="116"/>
        <v>0.05</v>
      </c>
      <c r="N1710" s="475">
        <f t="shared" si="117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15"/>
        <v>-513216551.63154751</v>
      </c>
      <c r="J1711" s="455">
        <f t="array" ref="J1711">IFERROR(INDEX('Retirement Calculator'!K:K,MATCH('Lorri 401b'!N1711,'Retirement Calculator'!A:A,0),0),0)</f>
        <v>0</v>
      </c>
      <c r="K1711" s="455">
        <f t="shared" ca="1" si="113"/>
        <v>-2138402.2984647811</v>
      </c>
      <c r="L1711" s="455">
        <f t="shared" ca="1" si="114"/>
        <v>-515354953.93001229</v>
      </c>
      <c r="M1711" s="471">
        <f t="shared" si="116"/>
        <v>0.05</v>
      </c>
      <c r="N1711" s="475">
        <f t="shared" si="117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15"/>
        <v>-515354953.93001229</v>
      </c>
      <c r="J1712" s="455">
        <f t="array" ref="J1712">IFERROR(INDEX('Retirement Calculator'!K:K,MATCH('Lorri 401b'!N1712,'Retirement Calculator'!A:A,0),0),0)</f>
        <v>0</v>
      </c>
      <c r="K1712" s="455">
        <f t="shared" ca="1" si="113"/>
        <v>-2147312.3080417179</v>
      </c>
      <c r="L1712" s="455">
        <f t="shared" ca="1" si="114"/>
        <v>-517502266.23805398</v>
      </c>
      <c r="M1712" s="471">
        <f t="shared" si="116"/>
        <v>0.05</v>
      </c>
      <c r="N1712" s="475">
        <f t="shared" si="117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15"/>
        <v>-517502266.23805398</v>
      </c>
      <c r="J1713" s="455">
        <f t="array" ref="J1713">IFERROR(INDEX('Retirement Calculator'!K:K,MATCH('Lorri 401b'!N1713,'Retirement Calculator'!A:A,0),0),0)</f>
        <v>0</v>
      </c>
      <c r="K1713" s="455">
        <f t="shared" ca="1" si="113"/>
        <v>-2156259.442658558</v>
      </c>
      <c r="L1713" s="455">
        <f t="shared" ca="1" si="114"/>
        <v>-519658525.68071252</v>
      </c>
      <c r="M1713" s="471">
        <f t="shared" si="116"/>
        <v>0.05</v>
      </c>
      <c r="N1713" s="475">
        <f t="shared" si="117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15"/>
        <v>-519658525.68071252</v>
      </c>
      <c r="J1714" s="455">
        <f t="array" ref="J1714">IFERROR(INDEX('Retirement Calculator'!K:K,MATCH('Lorri 401b'!N1714,'Retirement Calculator'!A:A,0),0),0)</f>
        <v>0</v>
      </c>
      <c r="K1714" s="455">
        <f t="shared" ca="1" si="113"/>
        <v>-2165243.8570029684</v>
      </c>
      <c r="L1714" s="455">
        <f t="shared" ca="1" si="114"/>
        <v>-521823769.53771549</v>
      </c>
      <c r="M1714" s="471">
        <f t="shared" si="116"/>
        <v>0.05</v>
      </c>
      <c r="N1714" s="475">
        <f t="shared" si="117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15"/>
        <v>-521823769.53771549</v>
      </c>
      <c r="J1715" s="455">
        <f t="array" ref="J1715">IFERROR(INDEX('Retirement Calculator'!K:K,MATCH('Lorri 401b'!N1715,'Retirement Calculator'!A:A,0),0),0)</f>
        <v>0</v>
      </c>
      <c r="K1715" s="455">
        <f t="shared" ca="1" si="113"/>
        <v>-2174265.7064071479</v>
      </c>
      <c r="L1715" s="455">
        <f t="shared" ca="1" si="114"/>
        <v>-523998035.24412262</v>
      </c>
      <c r="M1715" s="471">
        <f t="shared" si="116"/>
        <v>0.05</v>
      </c>
      <c r="N1715" s="475">
        <f t="shared" si="117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15"/>
        <v>-523998035.24412262</v>
      </c>
      <c r="J1716" s="455">
        <f t="array" ref="J1716">IFERROR(INDEX('Retirement Calculator'!K:K,MATCH('Lorri 401b'!N1716,'Retirement Calculator'!A:A,0),0),0)</f>
        <v>0</v>
      </c>
      <c r="K1716" s="455">
        <f t="shared" ca="1" si="113"/>
        <v>-2183325.1468505105</v>
      </c>
      <c r="L1716" s="455">
        <f t="shared" ca="1" si="114"/>
        <v>-526181360.39097315</v>
      </c>
      <c r="M1716" s="471">
        <f t="shared" si="116"/>
        <v>0.05</v>
      </c>
      <c r="N1716" s="475">
        <f t="shared" si="117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15"/>
        <v>-526181360.39097315</v>
      </c>
      <c r="J1717" s="455">
        <f t="array" ref="J1717">IFERROR(INDEX('Retirement Calculator'!K:K,MATCH('Lorri 401b'!N1717,'Retirement Calculator'!A:A,0),0),0)</f>
        <v>0</v>
      </c>
      <c r="K1717" s="455">
        <f t="shared" ca="1" si="113"/>
        <v>-2192422.334962388</v>
      </c>
      <c r="L1717" s="455">
        <f t="shared" ca="1" si="114"/>
        <v>-528373782.72593552</v>
      </c>
      <c r="M1717" s="471">
        <f t="shared" si="116"/>
        <v>0.05</v>
      </c>
      <c r="N1717" s="475">
        <f t="shared" si="117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15"/>
        <v>-528373782.72593552</v>
      </c>
      <c r="J1718" s="455">
        <f t="array" ref="J1718">IFERROR(INDEX('Retirement Calculator'!K:K,MATCH('Lorri 401b'!N1718,'Retirement Calculator'!A:A,0),0),0)</f>
        <v>0</v>
      </c>
      <c r="K1718" s="455">
        <f t="shared" ca="1" si="113"/>
        <v>-2201557.4280247311</v>
      </c>
      <c r="L1718" s="455">
        <f t="shared" ca="1" si="114"/>
        <v>-530575340.15396023</v>
      </c>
      <c r="M1718" s="471">
        <f t="shared" si="116"/>
        <v>0.05</v>
      </c>
      <c r="N1718" s="475">
        <f t="shared" si="117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15"/>
        <v>-530575340.15396023</v>
      </c>
      <c r="J1719" s="455">
        <f t="array" ref="J1719">IFERROR(INDEX('Retirement Calculator'!K:K,MATCH('Lorri 401b'!N1719,'Retirement Calculator'!A:A,0),0),0)</f>
        <v>0</v>
      </c>
      <c r="K1719" s="455">
        <f t="shared" ca="1" si="113"/>
        <v>-2210730.5839748345</v>
      </c>
      <c r="L1719" s="455">
        <f t="shared" ca="1" si="114"/>
        <v>-532786070.73793507</v>
      </c>
      <c r="M1719" s="471">
        <f t="shared" si="116"/>
        <v>0.05</v>
      </c>
      <c r="N1719" s="475">
        <f t="shared" si="117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15"/>
        <v>-532786070.73793507</v>
      </c>
      <c r="J1720" s="455">
        <f t="array" ref="J1720">IFERROR(INDEX('Retirement Calculator'!K:K,MATCH('Lorri 401b'!N1720,'Retirement Calculator'!A:A,0),0),0)</f>
        <v>0</v>
      </c>
      <c r="K1720" s="455">
        <f t="shared" ca="1" si="113"/>
        <v>-2219941.9614080628</v>
      </c>
      <c r="L1720" s="455">
        <f t="shared" ca="1" si="114"/>
        <v>-535006012.69934314</v>
      </c>
      <c r="M1720" s="471">
        <f t="shared" si="116"/>
        <v>0.05</v>
      </c>
      <c r="N1720" s="475">
        <f t="shared" si="117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15"/>
        <v>-535006012.69934314</v>
      </c>
      <c r="J1721" s="455">
        <f t="array" ref="J1721">IFERROR(INDEX('Retirement Calculator'!K:K,MATCH('Lorri 401b'!N1721,'Retirement Calculator'!A:A,0),0),0)</f>
        <v>0</v>
      </c>
      <c r="K1721" s="455">
        <f t="shared" ca="1" si="113"/>
        <v>-2229191.7195805963</v>
      </c>
      <c r="L1721" s="455">
        <f t="shared" ca="1" si="114"/>
        <v>-537235204.41892374</v>
      </c>
      <c r="M1721" s="471">
        <f t="shared" si="116"/>
        <v>0.05</v>
      </c>
      <c r="N1721" s="475">
        <f t="shared" si="117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15"/>
        <v>-537235204.41892374</v>
      </c>
      <c r="J1722" s="455">
        <f t="array" ref="J1722">IFERROR(INDEX('Retirement Calculator'!K:K,MATCH('Lorri 401b'!N1722,'Retirement Calculator'!A:A,0),0),0)</f>
        <v>0</v>
      </c>
      <c r="K1722" s="455">
        <f t="shared" ca="1" si="113"/>
        <v>-2238480.0184121821</v>
      </c>
      <c r="L1722" s="455">
        <f t="shared" ca="1" si="114"/>
        <v>-539473684.43733597</v>
      </c>
      <c r="M1722" s="471">
        <f t="shared" si="116"/>
        <v>0.05</v>
      </c>
      <c r="N1722" s="475">
        <f t="shared" si="117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15"/>
        <v>-539473684.43733597</v>
      </c>
      <c r="J1723" s="455">
        <f t="array" ref="J1723">IFERROR(INDEX('Retirement Calculator'!K:K,MATCH('Lorri 401b'!N1723,'Retirement Calculator'!A:A,0),0),0)</f>
        <v>0</v>
      </c>
      <c r="K1723" s="455">
        <f t="shared" ca="1" si="113"/>
        <v>-2247807.0184888998</v>
      </c>
      <c r="L1723" s="455">
        <f t="shared" ca="1" si="114"/>
        <v>-541721491.45582485</v>
      </c>
      <c r="M1723" s="471">
        <f t="shared" si="116"/>
        <v>0.05</v>
      </c>
      <c r="N1723" s="475">
        <f t="shared" si="117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15"/>
        <v>-541721491.45582485</v>
      </c>
      <c r="J1724" s="455">
        <f t="array" ref="J1724">IFERROR(INDEX('Retirement Calculator'!K:K,MATCH('Lorri 401b'!N1724,'Retirement Calculator'!A:A,0),0),0)</f>
        <v>0</v>
      </c>
      <c r="K1724" s="455">
        <f t="shared" ca="1" si="113"/>
        <v>-2257172.8810659368</v>
      </c>
      <c r="L1724" s="455">
        <f t="shared" ca="1" si="114"/>
        <v>-543978664.33689082</v>
      </c>
      <c r="M1724" s="471">
        <f t="shared" si="116"/>
        <v>0.05</v>
      </c>
      <c r="N1724" s="475">
        <f t="shared" si="117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15"/>
        <v>-543978664.33689082</v>
      </c>
      <c r="J1725" s="455">
        <f t="array" ref="J1725">IFERROR(INDEX('Retirement Calculator'!K:K,MATCH('Lorri 401b'!N1725,'Retirement Calculator'!A:A,0),0),0)</f>
        <v>0</v>
      </c>
      <c r="K1725" s="455">
        <f t="shared" ca="1" si="113"/>
        <v>-2266577.7680703783</v>
      </c>
      <c r="L1725" s="455">
        <f t="shared" ca="1" si="114"/>
        <v>-546245242.10496116</v>
      </c>
      <c r="M1725" s="471">
        <f t="shared" si="116"/>
        <v>0.05</v>
      </c>
      <c r="N1725" s="475">
        <f t="shared" si="117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15"/>
        <v>-546245242.10496116</v>
      </c>
      <c r="J1726" s="455">
        <f t="array" ref="J1726">IFERROR(INDEX('Retirement Calculator'!K:K,MATCH('Lorri 401b'!N1726,'Retirement Calculator'!A:A,0),0),0)</f>
        <v>0</v>
      </c>
      <c r="K1726" s="455">
        <f t="shared" ca="1" si="113"/>
        <v>-2276021.8421040047</v>
      </c>
      <c r="L1726" s="455">
        <f t="shared" ca="1" si="114"/>
        <v>-548521263.94706511</v>
      </c>
      <c r="M1726" s="471">
        <f t="shared" si="116"/>
        <v>0.05</v>
      </c>
      <c r="N1726" s="475">
        <f t="shared" si="117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15"/>
        <v>-548521263.94706511</v>
      </c>
      <c r="J1727" s="455">
        <f t="array" ref="J1727">IFERROR(INDEX('Retirement Calculator'!K:K,MATCH('Lorri 401b'!N1727,'Retirement Calculator'!A:A,0),0),0)</f>
        <v>0</v>
      </c>
      <c r="K1727" s="455">
        <f t="shared" ca="1" si="113"/>
        <v>-2285505.2664461047</v>
      </c>
      <c r="L1727" s="455">
        <f t="shared" ca="1" si="114"/>
        <v>-550806769.21351123</v>
      </c>
      <c r="M1727" s="471">
        <f t="shared" si="116"/>
        <v>0.05</v>
      </c>
      <c r="N1727" s="475">
        <f t="shared" si="117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15"/>
        <v>-550806769.21351123</v>
      </c>
      <c r="J1728" s="455">
        <f t="array" ref="J1728">IFERROR(INDEX('Retirement Calculator'!K:K,MATCH('Lorri 401b'!N1728,'Retirement Calculator'!A:A,0),0),0)</f>
        <v>0</v>
      </c>
      <c r="K1728" s="455">
        <f t="shared" ca="1" si="113"/>
        <v>-2295028.2050562967</v>
      </c>
      <c r="L1728" s="455">
        <f t="shared" ca="1" si="114"/>
        <v>-553101797.41856754</v>
      </c>
      <c r="M1728" s="471">
        <f t="shared" si="116"/>
        <v>0.05</v>
      </c>
      <c r="N1728" s="475">
        <f t="shared" si="117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15"/>
        <v>-553101797.41856754</v>
      </c>
      <c r="J1729" s="455">
        <f t="array" ref="J1729">IFERROR(INDEX('Retirement Calculator'!K:K,MATCH('Lorri 401b'!N1729,'Retirement Calculator'!A:A,0),0),0)</f>
        <v>0</v>
      </c>
      <c r="K1729" s="455">
        <f t="shared" ca="1" si="113"/>
        <v>-2304590.8225773647</v>
      </c>
      <c r="L1729" s="455">
        <f t="shared" ca="1" si="114"/>
        <v>-555406388.2411449</v>
      </c>
      <c r="M1729" s="471">
        <f t="shared" si="116"/>
        <v>0.05</v>
      </c>
      <c r="N1729" s="475">
        <f t="shared" si="117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15"/>
        <v>-555406388.2411449</v>
      </c>
      <c r="J1730" s="455">
        <f t="array" ref="J1730">IFERROR(INDEX('Retirement Calculator'!K:K,MATCH('Lorri 401b'!N1730,'Retirement Calculator'!A:A,0),0),0)</f>
        <v>0</v>
      </c>
      <c r="K1730" s="455">
        <f t="shared" ca="1" si="113"/>
        <v>-2314193.2843381036</v>
      </c>
      <c r="L1730" s="455">
        <f t="shared" ca="1" si="114"/>
        <v>-557720581.52548301</v>
      </c>
      <c r="M1730" s="471">
        <f t="shared" si="116"/>
        <v>0.05</v>
      </c>
      <c r="N1730" s="475">
        <f t="shared" si="117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15"/>
        <v>-557720581.52548301</v>
      </c>
      <c r="J1731" s="455">
        <f t="array" ref="J1731">IFERROR(INDEX('Retirement Calculator'!K:K,MATCH('Lorri 401b'!N1731,'Retirement Calculator'!A:A,0),0),0)</f>
        <v>0</v>
      </c>
      <c r="K1731" s="455">
        <f t="shared" ca="1" si="113"/>
        <v>-2323835.7563561792</v>
      </c>
      <c r="L1731" s="455">
        <f t="shared" ca="1" si="114"/>
        <v>-560044417.28183913</v>
      </c>
      <c r="M1731" s="471">
        <f t="shared" si="116"/>
        <v>0.05</v>
      </c>
      <c r="N1731" s="475">
        <f t="shared" si="117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15"/>
        <v>-560044417.28183913</v>
      </c>
      <c r="J1732" s="455">
        <f t="array" ref="J1732">IFERROR(INDEX('Retirement Calculator'!K:K,MATCH('Lorri 401b'!N1732,'Retirement Calculator'!A:A,0),0),0)</f>
        <v>0</v>
      </c>
      <c r="K1732" s="455">
        <f t="shared" ca="1" si="113"/>
        <v>-2333518.4053409966</v>
      </c>
      <c r="L1732" s="455">
        <f t="shared" ca="1" si="114"/>
        <v>-562377935.68718016</v>
      </c>
      <c r="M1732" s="471">
        <f t="shared" si="116"/>
        <v>0.05</v>
      </c>
      <c r="N1732" s="475">
        <f t="shared" si="117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15"/>
        <v>-562377935.68718016</v>
      </c>
      <c r="J1733" s="455">
        <f t="array" ref="J1733">IFERROR(INDEX('Retirement Calculator'!K:K,MATCH('Lorri 401b'!N1733,'Retirement Calculator'!A:A,0),0),0)</f>
        <v>0</v>
      </c>
      <c r="K1733" s="455">
        <f t="shared" ca="1" si="113"/>
        <v>-2343241.3986965842</v>
      </c>
      <c r="L1733" s="455">
        <f t="shared" ca="1" si="114"/>
        <v>-564721177.0858767</v>
      </c>
      <c r="M1733" s="471">
        <f t="shared" si="116"/>
        <v>0.05</v>
      </c>
      <c r="N1733" s="475">
        <f t="shared" si="117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15"/>
        <v>-564721177.0858767</v>
      </c>
      <c r="J1734" s="455">
        <f t="array" ref="J1734">IFERROR(INDEX('Retirement Calculator'!K:K,MATCH('Lorri 401b'!N1734,'Retirement Calculator'!A:A,0),0),0)</f>
        <v>0</v>
      </c>
      <c r="K1734" s="455">
        <f t="shared" ca="1" si="113"/>
        <v>-2353004.904524486</v>
      </c>
      <c r="L1734" s="455">
        <f t="shared" ca="1" si="114"/>
        <v>-567074181.99040115</v>
      </c>
      <c r="M1734" s="471">
        <f t="shared" si="116"/>
        <v>0.05</v>
      </c>
      <c r="N1734" s="475">
        <f t="shared" si="117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15"/>
        <v>-567074181.99040115</v>
      </c>
      <c r="J1735" s="455">
        <f t="array" ref="J1735">IFERROR(INDEX('Retirement Calculator'!K:K,MATCH('Lorri 401b'!N1735,'Retirement Calculator'!A:A,0),0),0)</f>
        <v>0</v>
      </c>
      <c r="K1735" s="455">
        <f t="shared" ca="1" si="113"/>
        <v>-2362809.0916266716</v>
      </c>
      <c r="L1735" s="455">
        <f t="shared" ca="1" si="114"/>
        <v>-569436991.08202779</v>
      </c>
      <c r="M1735" s="471">
        <f t="shared" si="116"/>
        <v>0.05</v>
      </c>
      <c r="N1735" s="475">
        <f t="shared" si="117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15"/>
        <v>-569436991.08202779</v>
      </c>
      <c r="J1736" s="455">
        <f t="array" ref="J1736">IFERROR(INDEX('Retirement Calculator'!K:K,MATCH('Lorri 401b'!N1736,'Retirement Calculator'!A:A,0),0),0)</f>
        <v>0</v>
      </c>
      <c r="K1736" s="455">
        <f t="shared" ca="1" si="113"/>
        <v>-2372654.1295084492</v>
      </c>
      <c r="L1736" s="455">
        <f t="shared" ca="1" si="114"/>
        <v>-571809645.21153629</v>
      </c>
      <c r="M1736" s="471">
        <f t="shared" si="116"/>
        <v>0.05</v>
      </c>
      <c r="N1736" s="475">
        <f t="shared" si="117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15"/>
        <v>-571809645.21153629</v>
      </c>
      <c r="J1737" s="455">
        <f t="array" ref="J1737">IFERROR(INDEX('Retirement Calculator'!K:K,MATCH('Lorri 401b'!N1737,'Retirement Calculator'!A:A,0),0),0)</f>
        <v>0</v>
      </c>
      <c r="K1737" s="455">
        <f t="shared" ca="1" si="113"/>
        <v>-2382540.1883814014</v>
      </c>
      <c r="L1737" s="455">
        <f t="shared" ca="1" si="114"/>
        <v>-574192185.39991772</v>
      </c>
      <c r="M1737" s="471">
        <f t="shared" si="116"/>
        <v>0.05</v>
      </c>
      <c r="N1737" s="475">
        <f t="shared" si="117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15"/>
        <v>-574192185.39991772</v>
      </c>
      <c r="J1738" s="455">
        <f t="array" ref="J1738">IFERROR(INDEX('Retirement Calculator'!K:K,MATCH('Lorri 401b'!N1738,'Retirement Calculator'!A:A,0),0),0)</f>
        <v>0</v>
      </c>
      <c r="K1738" s="455">
        <f t="shared" ca="1" si="113"/>
        <v>-2392467.4391663237</v>
      </c>
      <c r="L1738" s="455">
        <f t="shared" ca="1" si="114"/>
        <v>-576584652.83908403</v>
      </c>
      <c r="M1738" s="471">
        <f t="shared" si="116"/>
        <v>0.05</v>
      </c>
      <c r="N1738" s="475">
        <f t="shared" si="117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15"/>
        <v>-576584652.83908403</v>
      </c>
      <c r="J1739" s="455">
        <f t="array" ref="J1739">IFERROR(INDEX('Retirement Calculator'!K:K,MATCH('Lorri 401b'!N1739,'Retirement Calculator'!A:A,0),0),0)</f>
        <v>0</v>
      </c>
      <c r="K1739" s="455">
        <f t="shared" ca="1" si="113"/>
        <v>-2402436.0534961834</v>
      </c>
      <c r="L1739" s="455">
        <f t="shared" ca="1" si="114"/>
        <v>-578987088.89258027</v>
      </c>
      <c r="M1739" s="471">
        <f t="shared" si="116"/>
        <v>0.05</v>
      </c>
      <c r="N1739" s="475">
        <f t="shared" si="117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15"/>
        <v>-578987088.89258027</v>
      </c>
      <c r="J1740" s="455">
        <f t="array" ref="J1740">IFERROR(INDEX('Retirement Calculator'!K:K,MATCH('Lorri 401b'!N1740,'Retirement Calculator'!A:A,0),0),0)</f>
        <v>0</v>
      </c>
      <c r="K1740" s="455">
        <f t="shared" ca="1" si="113"/>
        <v>-2412446.2037190846</v>
      </c>
      <c r="L1740" s="455">
        <f t="shared" ca="1" si="114"/>
        <v>-581399535.09629941</v>
      </c>
      <c r="M1740" s="471">
        <f t="shared" si="116"/>
        <v>0.05</v>
      </c>
      <c r="N1740" s="475">
        <f t="shared" si="117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15"/>
        <v>-581399535.09629941</v>
      </c>
      <c r="J1741" s="455">
        <f t="array" ref="J1741">IFERROR(INDEX('Retirement Calculator'!K:K,MATCH('Lorri 401b'!N1741,'Retirement Calculator'!A:A,0),0),0)</f>
        <v>0</v>
      </c>
      <c r="K1741" s="455">
        <f t="shared" ca="1" si="113"/>
        <v>-2422498.0629012473</v>
      </c>
      <c r="L1741" s="455">
        <f t="shared" ca="1" si="114"/>
        <v>-583822033.15920067</v>
      </c>
      <c r="M1741" s="471">
        <f t="shared" si="116"/>
        <v>0.05</v>
      </c>
      <c r="N1741" s="475">
        <f t="shared" si="117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15"/>
        <v>-583822033.15920067</v>
      </c>
      <c r="J1742" s="455">
        <f t="array" ref="J1742">IFERROR(INDEX('Retirement Calculator'!K:K,MATCH('Lorri 401b'!N1742,'Retirement Calculator'!A:A,0),0),0)</f>
        <v>0</v>
      </c>
      <c r="K1742" s="455">
        <f t="shared" ca="1" si="113"/>
        <v>-2432591.8048300026</v>
      </c>
      <c r="L1742" s="455">
        <f t="shared" ca="1" si="114"/>
        <v>-586254624.96403062</v>
      </c>
      <c r="M1742" s="471">
        <f t="shared" si="116"/>
        <v>0.05</v>
      </c>
      <c r="N1742" s="475">
        <f t="shared" si="117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15"/>
        <v>-586254624.96403062</v>
      </c>
      <c r="J1743" s="455">
        <f t="array" ref="J1743">IFERROR(INDEX('Retirement Calculator'!K:K,MATCH('Lorri 401b'!N1743,'Retirement Calculator'!A:A,0),0),0)</f>
        <v>0</v>
      </c>
      <c r="K1743" s="455">
        <f t="shared" ca="1" si="113"/>
        <v>-2442727.6040167944</v>
      </c>
      <c r="L1743" s="455">
        <f t="shared" ca="1" si="114"/>
        <v>-588697352.5680474</v>
      </c>
      <c r="M1743" s="471">
        <f t="shared" si="116"/>
        <v>0.05</v>
      </c>
      <c r="N1743" s="475">
        <f t="shared" si="117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15"/>
        <v>-588697352.5680474</v>
      </c>
      <c r="J1744" s="455">
        <f t="array" ref="J1744">IFERROR(INDEX('Retirement Calculator'!K:K,MATCH('Lorri 401b'!N1744,'Retirement Calculator'!A:A,0),0),0)</f>
        <v>0</v>
      </c>
      <c r="K1744" s="455">
        <f t="shared" ca="1" si="113"/>
        <v>-2452905.6357001974</v>
      </c>
      <c r="L1744" s="455">
        <f t="shared" ca="1" si="114"/>
        <v>-591150258.20374763</v>
      </c>
      <c r="M1744" s="471">
        <f t="shared" si="116"/>
        <v>0.05</v>
      </c>
      <c r="N1744" s="475">
        <f t="shared" si="117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15"/>
        <v>-591150258.20374763</v>
      </c>
      <c r="J1745" s="455">
        <f t="array" ref="J1745">IFERROR(INDEX('Retirement Calculator'!K:K,MATCH('Lorri 401b'!N1745,'Retirement Calculator'!A:A,0),0),0)</f>
        <v>0</v>
      </c>
      <c r="K1745" s="455">
        <f t="shared" ca="1" si="113"/>
        <v>-2463126.0758489482</v>
      </c>
      <c r="L1745" s="455">
        <f t="shared" ca="1" si="114"/>
        <v>-593613384.27959657</v>
      </c>
      <c r="M1745" s="471">
        <f t="shared" si="116"/>
        <v>0.05</v>
      </c>
      <c r="N1745" s="475">
        <f t="shared" si="117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15"/>
        <v>-593613384.27959657</v>
      </c>
      <c r="J1746" s="455">
        <f t="array" ref="J1746">IFERROR(INDEX('Retirement Calculator'!K:K,MATCH('Lorri 401b'!N1746,'Retirement Calculator'!A:A,0),0),0)</f>
        <v>0</v>
      </c>
      <c r="K1746" s="455">
        <f t="shared" ca="1" si="113"/>
        <v>-2473389.1011649854</v>
      </c>
      <c r="L1746" s="455">
        <f t="shared" ca="1" si="114"/>
        <v>-596086773.3807615</v>
      </c>
      <c r="M1746" s="471">
        <f t="shared" si="116"/>
        <v>0.05</v>
      </c>
      <c r="N1746" s="475">
        <f t="shared" si="117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15"/>
        <v>-596086773.3807615</v>
      </c>
      <c r="J1747" s="455">
        <f t="array" ref="J1747">IFERROR(INDEX('Retirement Calculator'!K:K,MATCH('Lorri 401b'!N1747,'Retirement Calculator'!A:A,0),0),0)</f>
        <v>0</v>
      </c>
      <c r="K1747" s="455">
        <f t="shared" ca="1" si="113"/>
        <v>-2483694.8890865063</v>
      </c>
      <c r="L1747" s="455">
        <f t="shared" ca="1" si="114"/>
        <v>-598570468.26984799</v>
      </c>
      <c r="M1747" s="471">
        <f t="shared" si="116"/>
        <v>0.05</v>
      </c>
      <c r="N1747" s="475">
        <f t="shared" si="117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15"/>
        <v>-598570468.26984799</v>
      </c>
      <c r="J1748" s="455">
        <f t="array" ref="J1748">IFERROR(INDEX('Retirement Calculator'!K:K,MATCH('Lorri 401b'!N1748,'Retirement Calculator'!A:A,0),0),0)</f>
        <v>0</v>
      </c>
      <c r="K1748" s="455">
        <f t="shared" ca="1" si="113"/>
        <v>-2494043.6177910333</v>
      </c>
      <c r="L1748" s="455">
        <f t="shared" ca="1" si="114"/>
        <v>-601064511.88763905</v>
      </c>
      <c r="M1748" s="471">
        <f t="shared" si="116"/>
        <v>0.05</v>
      </c>
      <c r="N1748" s="475">
        <f t="shared" si="117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15"/>
        <v>-601064511.88763905</v>
      </c>
      <c r="J1749" s="455">
        <f t="array" ref="J1749">IFERROR(INDEX('Retirement Calculator'!K:K,MATCH('Lorri 401b'!N1749,'Retirement Calculator'!A:A,0),0),0)</f>
        <v>0</v>
      </c>
      <c r="K1749" s="455">
        <f t="shared" ca="1" si="113"/>
        <v>-2504435.4661984961</v>
      </c>
      <c r="L1749" s="455">
        <f t="shared" ca="1" si="114"/>
        <v>-603568947.35383749</v>
      </c>
      <c r="M1749" s="471">
        <f t="shared" si="116"/>
        <v>0.05</v>
      </c>
      <c r="N1749" s="475">
        <f t="shared" si="117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15"/>
        <v>-603568947.35383749</v>
      </c>
      <c r="J1750" s="455">
        <f t="array" ref="J1750">IFERROR(INDEX('Retirement Calculator'!K:K,MATCH('Lorri 401b'!N1750,'Retirement Calculator'!A:A,0),0),0)</f>
        <v>0</v>
      </c>
      <c r="K1750" s="455">
        <f t="shared" ca="1" si="113"/>
        <v>-2514870.613974323</v>
      </c>
      <c r="L1750" s="455">
        <f t="shared" ca="1" si="114"/>
        <v>-606083817.96781182</v>
      </c>
      <c r="M1750" s="471">
        <f t="shared" si="116"/>
        <v>0.05</v>
      </c>
      <c r="N1750" s="475">
        <f t="shared" si="117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15"/>
        <v>-606083817.96781182</v>
      </c>
      <c r="J1751" s="455">
        <f t="array" ref="J1751">IFERROR(INDEX('Retirement Calculator'!K:K,MATCH('Lorri 401b'!N1751,'Retirement Calculator'!A:A,0),0),0)</f>
        <v>0</v>
      </c>
      <c r="K1751" s="455">
        <f t="shared" ca="1" si="113"/>
        <v>-2525349.2415325493</v>
      </c>
      <c r="L1751" s="455">
        <f t="shared" ca="1" si="114"/>
        <v>-608609167.20934439</v>
      </c>
      <c r="M1751" s="471">
        <f t="shared" si="116"/>
        <v>0.05</v>
      </c>
      <c r="N1751" s="475">
        <f t="shared" si="117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15"/>
        <v>-608609167.20934439</v>
      </c>
      <c r="J1752" s="455">
        <f t="array" ref="J1752">IFERROR(INDEX('Retirement Calculator'!K:K,MATCH('Lorri 401b'!N1752,'Retirement Calculator'!A:A,0),0),0)</f>
        <v>0</v>
      </c>
      <c r="K1752" s="455">
        <f t="shared" ca="1" si="113"/>
        <v>-2535871.5300389351</v>
      </c>
      <c r="L1752" s="455">
        <f t="shared" ca="1" si="114"/>
        <v>-611145038.73938334</v>
      </c>
      <c r="M1752" s="471">
        <f t="shared" si="116"/>
        <v>0.05</v>
      </c>
      <c r="N1752" s="475">
        <f t="shared" si="117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15"/>
        <v>-611145038.73938334</v>
      </c>
      <c r="J1753" s="455">
        <f t="array" ref="J1753">IFERROR(INDEX('Retirement Calculator'!K:K,MATCH('Lorri 401b'!N1753,'Retirement Calculator'!A:A,0),0),0)</f>
        <v>0</v>
      </c>
      <c r="K1753" s="455">
        <f t="shared" ca="1" si="113"/>
        <v>-2546437.6614140971</v>
      </c>
      <c r="L1753" s="455">
        <f t="shared" ca="1" si="114"/>
        <v>-613691476.40079749</v>
      </c>
      <c r="M1753" s="471">
        <f t="shared" si="116"/>
        <v>0.05</v>
      </c>
      <c r="N1753" s="475">
        <f t="shared" si="117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15"/>
        <v>-613691476.40079749</v>
      </c>
      <c r="J1754" s="455">
        <f t="array" ref="J1754">IFERROR(INDEX('Retirement Calculator'!K:K,MATCH('Lorri 401b'!N1754,'Retirement Calculator'!A:A,0),0),0)</f>
        <v>0</v>
      </c>
      <c r="K1754" s="455">
        <f t="shared" ca="1" si="113"/>
        <v>-2557047.8183366563</v>
      </c>
      <c r="L1754" s="455">
        <f t="shared" ca="1" si="114"/>
        <v>-616248524.21913409</v>
      </c>
      <c r="M1754" s="471">
        <f t="shared" si="116"/>
        <v>0.05</v>
      </c>
      <c r="N1754" s="475">
        <f t="shared" si="117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15"/>
        <v>-616248524.21913409</v>
      </c>
      <c r="J1755" s="455">
        <f t="array" ref="J1755">IFERROR(INDEX('Retirement Calculator'!K:K,MATCH('Lorri 401b'!N1755,'Retirement Calculator'!A:A,0),0),0)</f>
        <v>0</v>
      </c>
      <c r="K1755" s="455">
        <f t="shared" ca="1" si="113"/>
        <v>-2567702.184246392</v>
      </c>
      <c r="L1755" s="455">
        <f t="shared" ca="1" si="114"/>
        <v>-618816226.40338051</v>
      </c>
      <c r="M1755" s="471">
        <f t="shared" si="116"/>
        <v>0.05</v>
      </c>
      <c r="N1755" s="475">
        <f t="shared" si="117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15"/>
        <v>-618816226.40338051</v>
      </c>
      <c r="J1756" s="455">
        <f t="array" ref="J1756">IFERROR(INDEX('Retirement Calculator'!K:K,MATCH('Lorri 401b'!N1756,'Retirement Calculator'!A:A,0),0),0)</f>
        <v>0</v>
      </c>
      <c r="K1756" s="455">
        <f t="shared" ca="1" si="113"/>
        <v>-2578400.9433474187</v>
      </c>
      <c r="L1756" s="455">
        <f t="shared" ca="1" si="114"/>
        <v>-621394627.34672797</v>
      </c>
      <c r="M1756" s="471">
        <f t="shared" si="116"/>
        <v>0.05</v>
      </c>
      <c r="N1756" s="475">
        <f t="shared" si="117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15"/>
        <v>-621394627.34672797</v>
      </c>
      <c r="J1757" s="455">
        <f t="array" ref="J1757">IFERROR(INDEX('Retirement Calculator'!K:K,MATCH('Lorri 401b'!N1757,'Retirement Calculator'!A:A,0),0),0)</f>
        <v>0</v>
      </c>
      <c r="K1757" s="455">
        <f t="shared" ca="1" si="113"/>
        <v>-2589144.2806113665</v>
      </c>
      <c r="L1757" s="455">
        <f t="shared" ca="1" si="114"/>
        <v>-623983771.62733936</v>
      </c>
      <c r="M1757" s="471">
        <f t="shared" si="116"/>
        <v>0.05</v>
      </c>
      <c r="N1757" s="475">
        <f t="shared" si="117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15"/>
        <v>-623983771.62733936</v>
      </c>
      <c r="J1758" s="455">
        <f t="array" ref="J1758">IFERROR(INDEX('Retirement Calculator'!K:K,MATCH('Lorri 401b'!N1758,'Retirement Calculator'!A:A,0),0),0)</f>
        <v>0</v>
      </c>
      <c r="K1758" s="455">
        <f t="shared" ca="1" si="113"/>
        <v>-2599932.3817805806</v>
      </c>
      <c r="L1758" s="455">
        <f t="shared" ca="1" si="114"/>
        <v>-626583704.00911999</v>
      </c>
      <c r="M1758" s="471">
        <f t="shared" si="116"/>
        <v>0.05</v>
      </c>
      <c r="N1758" s="475">
        <f t="shared" si="117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15"/>
        <v>-626583704.00911999</v>
      </c>
      <c r="J1759" s="455">
        <f t="array" ref="J1759">IFERROR(INDEX('Retirement Calculator'!K:K,MATCH('Lorri 401b'!N1759,'Retirement Calculator'!A:A,0),0),0)</f>
        <v>0</v>
      </c>
      <c r="K1759" s="455">
        <f t="shared" ca="1" si="113"/>
        <v>-2610765.4333713334</v>
      </c>
      <c r="L1759" s="455">
        <f t="shared" ca="1" si="114"/>
        <v>-629194469.44249129</v>
      </c>
      <c r="M1759" s="471">
        <f t="shared" si="116"/>
        <v>0.05</v>
      </c>
      <c r="N1759" s="475">
        <f t="shared" si="117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15"/>
        <v>-629194469.44249129</v>
      </c>
      <c r="J1760" s="455">
        <f t="array" ref="J1760">IFERROR(INDEX('Retirement Calculator'!K:K,MATCH('Lorri 401b'!N1760,'Retirement Calculator'!A:A,0),0),0)</f>
        <v>0</v>
      </c>
      <c r="K1760" s="455">
        <f t="shared" ca="1" si="113"/>
        <v>-2621643.6226770468</v>
      </c>
      <c r="L1760" s="455">
        <f t="shared" ca="1" si="114"/>
        <v>-631816113.06516838</v>
      </c>
      <c r="M1760" s="471">
        <f t="shared" si="116"/>
        <v>0.05</v>
      </c>
      <c r="N1760" s="475">
        <f t="shared" si="117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15"/>
        <v>-631816113.06516838</v>
      </c>
      <c r="J1761" s="455">
        <f t="array" ref="J1761">IFERROR(INDEX('Retirement Calculator'!K:K,MATCH('Lorri 401b'!N1761,'Retirement Calculator'!A:A,0),0),0)</f>
        <v>0</v>
      </c>
      <c r="K1761" s="455">
        <f t="shared" ca="1" si="113"/>
        <v>-2632567.1377715347</v>
      </c>
      <c r="L1761" s="455">
        <f t="shared" ca="1" si="114"/>
        <v>-634448680.20293987</v>
      </c>
      <c r="M1761" s="471">
        <f t="shared" si="116"/>
        <v>0.05</v>
      </c>
      <c r="N1761" s="475">
        <f t="shared" si="117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15"/>
        <v>-634448680.20293987</v>
      </c>
      <c r="J1762" s="455">
        <f t="array" ref="J1762">IFERROR(INDEX('Retirement Calculator'!K:K,MATCH('Lorri 401b'!N1762,'Retirement Calculator'!A:A,0),0),0)</f>
        <v>0</v>
      </c>
      <c r="K1762" s="455">
        <f t="shared" ca="1" si="113"/>
        <v>-2643536.1675122492</v>
      </c>
      <c r="L1762" s="455">
        <f t="shared" ca="1" si="114"/>
        <v>-637092216.37045217</v>
      </c>
      <c r="M1762" s="471">
        <f t="shared" si="116"/>
        <v>0.05</v>
      </c>
      <c r="N1762" s="475">
        <f t="shared" si="117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15"/>
        <v>-637092216.37045217</v>
      </c>
      <c r="J1763" s="455">
        <f t="array" ref="J1763">IFERROR(INDEX('Retirement Calculator'!K:K,MATCH('Lorri 401b'!N1763,'Retirement Calculator'!A:A,0),0),0)</f>
        <v>0</v>
      </c>
      <c r="K1763" s="455">
        <f t="shared" ca="1" si="113"/>
        <v>-2654550.9015435507</v>
      </c>
      <c r="L1763" s="455">
        <f t="shared" ca="1" si="114"/>
        <v>-639746767.27199566</v>
      </c>
      <c r="M1763" s="471">
        <f t="shared" si="116"/>
        <v>0.05</v>
      </c>
      <c r="N1763" s="475">
        <f t="shared" si="117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15"/>
        <v>-639746767.27199566</v>
      </c>
      <c r="J1764" s="455">
        <f t="array" ref="J1764">IFERROR(INDEX('Retirement Calculator'!K:K,MATCH('Lorri 401b'!N1764,'Retirement Calculator'!A:A,0),0),0)</f>
        <v>0</v>
      </c>
      <c r="K1764" s="455">
        <f t="shared" ca="1" si="113"/>
        <v>-2665611.5302999821</v>
      </c>
      <c r="L1764" s="455">
        <f t="shared" ca="1" si="114"/>
        <v>-642412378.80229568</v>
      </c>
      <c r="M1764" s="471">
        <f t="shared" si="116"/>
        <v>0.05</v>
      </c>
      <c r="N1764" s="475">
        <f t="shared" si="117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15"/>
        <v>-642412378.80229568</v>
      </c>
      <c r="J1765" s="455">
        <f t="array" ref="J1765">IFERROR(INDEX('Retirement Calculator'!K:K,MATCH('Lorri 401b'!N1765,'Retirement Calculator'!A:A,0),0),0)</f>
        <v>0</v>
      </c>
      <c r="K1765" s="455">
        <f t="shared" ca="1" si="113"/>
        <v>-2676718.2450095653</v>
      </c>
      <c r="L1765" s="455">
        <f t="shared" ca="1" si="114"/>
        <v>-645089097.04730523</v>
      </c>
      <c r="M1765" s="471">
        <f t="shared" si="116"/>
        <v>0.05</v>
      </c>
      <c r="N1765" s="475">
        <f t="shared" si="117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15"/>
        <v>-645089097.04730523</v>
      </c>
      <c r="J1766" s="455">
        <f t="array" ref="J1766">IFERROR(INDEX('Retirement Calculator'!K:K,MATCH('Lorri 401b'!N1766,'Retirement Calculator'!A:A,0),0),0)</f>
        <v>0</v>
      </c>
      <c r="K1766" s="455">
        <f t="shared" ca="1" si="113"/>
        <v>-2687871.2376971049</v>
      </c>
      <c r="L1766" s="455">
        <f t="shared" ca="1" si="114"/>
        <v>-647776968.28500235</v>
      </c>
      <c r="M1766" s="471">
        <f t="shared" si="116"/>
        <v>0.05</v>
      </c>
      <c r="N1766" s="475">
        <f t="shared" si="117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15"/>
        <v>-647776968.28500235</v>
      </c>
      <c r="J1767" s="455">
        <f t="array" ref="J1767">IFERROR(INDEX('Retirement Calculator'!K:K,MATCH('Lorri 401b'!N1767,'Retirement Calculator'!A:A,0),0),0)</f>
        <v>0</v>
      </c>
      <c r="K1767" s="455">
        <f t="shared" ca="1" si="113"/>
        <v>-2699070.7011875096</v>
      </c>
      <c r="L1767" s="455">
        <f t="shared" ca="1" si="114"/>
        <v>-650476038.98618984</v>
      </c>
      <c r="M1767" s="471">
        <f t="shared" si="116"/>
        <v>0.05</v>
      </c>
      <c r="N1767" s="475">
        <f t="shared" si="117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15"/>
        <v>-650476038.98618984</v>
      </c>
      <c r="J1768" s="455">
        <f t="array" ref="J1768">IFERROR(INDEX('Retirement Calculator'!K:K,MATCH('Lorri 401b'!N1768,'Retirement Calculator'!A:A,0),0),0)</f>
        <v>0</v>
      </c>
      <c r="K1768" s="455">
        <f t="shared" ca="1" si="113"/>
        <v>-2710316.8291091244</v>
      </c>
      <c r="L1768" s="455">
        <f t="shared" ca="1" si="114"/>
        <v>-653186355.81529891</v>
      </c>
      <c r="M1768" s="471">
        <f t="shared" si="116"/>
        <v>0.05</v>
      </c>
      <c r="N1768" s="475">
        <f t="shared" si="117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15"/>
        <v>-653186355.81529891</v>
      </c>
      <c r="J1769" s="455">
        <f t="array" ref="J1769">IFERROR(INDEX('Retirement Calculator'!K:K,MATCH('Lorri 401b'!N1769,'Retirement Calculator'!A:A,0),0),0)</f>
        <v>0</v>
      </c>
      <c r="K1769" s="455">
        <f t="shared" ca="1" si="113"/>
        <v>-2721609.8158970787</v>
      </c>
      <c r="L1769" s="455">
        <f t="shared" ca="1" si="114"/>
        <v>-655907965.63119602</v>
      </c>
      <c r="M1769" s="471">
        <f t="shared" si="116"/>
        <v>0.05</v>
      </c>
      <c r="N1769" s="475">
        <f t="shared" si="117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15"/>
        <v>-655907965.63119602</v>
      </c>
      <c r="J1770" s="455">
        <f t="array" ref="J1770">IFERROR(INDEX('Retirement Calculator'!K:K,MATCH('Lorri 401b'!N1770,'Retirement Calculator'!A:A,0),0),0)</f>
        <v>0</v>
      </c>
      <c r="K1770" s="455">
        <f t="shared" ca="1" si="113"/>
        <v>-2732949.8567966502</v>
      </c>
      <c r="L1770" s="455">
        <f t="shared" ca="1" si="114"/>
        <v>-658640915.48799264</v>
      </c>
      <c r="M1770" s="471">
        <f t="shared" si="116"/>
        <v>0.05</v>
      </c>
      <c r="N1770" s="475">
        <f t="shared" si="117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15"/>
        <v>-658640915.48799264</v>
      </c>
      <c r="J1771" s="455">
        <f t="array" ref="J1771">IFERROR(INDEX('Retirement Calculator'!K:K,MATCH('Lorri 401b'!N1771,'Retirement Calculator'!A:A,0),0),0)</f>
        <v>0</v>
      </c>
      <c r="K1771" s="455">
        <f t="shared" ca="1" si="113"/>
        <v>-2744337.147866636</v>
      </c>
      <c r="L1771" s="455">
        <f t="shared" ca="1" si="114"/>
        <v>-661385252.63585925</v>
      </c>
      <c r="M1771" s="471">
        <f t="shared" si="116"/>
        <v>0.05</v>
      </c>
      <c r="N1771" s="475">
        <f t="shared" si="117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15"/>
        <v>-661385252.63585925</v>
      </c>
      <c r="J1772" s="455">
        <f t="array" ref="J1772">IFERROR(INDEX('Retirement Calculator'!K:K,MATCH('Lorri 401b'!N1772,'Retirement Calculator'!A:A,0),0),0)</f>
        <v>0</v>
      </c>
      <c r="K1772" s="455">
        <f t="shared" ca="1" si="113"/>
        <v>-2755771.8859827467</v>
      </c>
      <c r="L1772" s="455">
        <f t="shared" ca="1" si="114"/>
        <v>-664141024.521842</v>
      </c>
      <c r="M1772" s="471">
        <f t="shared" si="116"/>
        <v>0.05</v>
      </c>
      <c r="N1772" s="475">
        <f t="shared" si="117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15"/>
        <v>-664141024.521842</v>
      </c>
      <c r="J1773" s="455">
        <f t="array" ref="J1773">IFERROR(INDEX('Retirement Calculator'!K:K,MATCH('Lorri 401b'!N1773,'Retirement Calculator'!A:A,0),0),0)</f>
        <v>0</v>
      </c>
      <c r="K1773" s="455">
        <f t="shared" ca="1" si="113"/>
        <v>-2767254.2688410082</v>
      </c>
      <c r="L1773" s="455">
        <f t="shared" ca="1" si="114"/>
        <v>-666908278.79068303</v>
      </c>
      <c r="M1773" s="471">
        <f t="shared" si="116"/>
        <v>0.05</v>
      </c>
      <c r="N1773" s="475">
        <f t="shared" si="117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15"/>
        <v>-666908278.79068303</v>
      </c>
      <c r="J1774" s="455">
        <f t="array" ref="J1774">IFERROR(INDEX('Retirement Calculator'!K:K,MATCH('Lorri 401b'!N1774,'Retirement Calculator'!A:A,0),0),0)</f>
        <v>0</v>
      </c>
      <c r="K1774" s="455">
        <f t="shared" ca="1" si="113"/>
        <v>-2778784.4949611793</v>
      </c>
      <c r="L1774" s="455">
        <f t="shared" ca="1" si="114"/>
        <v>-669687063.28564417</v>
      </c>
      <c r="M1774" s="471">
        <f t="shared" si="116"/>
        <v>0.05</v>
      </c>
      <c r="N1774" s="475">
        <f t="shared" si="117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15"/>
        <v>-669687063.28564417</v>
      </c>
      <c r="J1775" s="455">
        <f t="array" ref="J1775">IFERROR(INDEX('Retirement Calculator'!K:K,MATCH('Lorri 401b'!N1775,'Retirement Calculator'!A:A,0),0),0)</f>
        <v>0</v>
      </c>
      <c r="K1775" s="455">
        <f t="shared" ca="1" si="113"/>
        <v>-2790362.7636901839</v>
      </c>
      <c r="L1775" s="455">
        <f t="shared" ca="1" si="114"/>
        <v>-672477426.04933441</v>
      </c>
      <c r="M1775" s="471">
        <f t="shared" si="116"/>
        <v>0.05</v>
      </c>
      <c r="N1775" s="475">
        <f t="shared" si="117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15"/>
        <v>-672477426.04933441</v>
      </c>
      <c r="J1776" s="455">
        <f t="array" ref="J1776">IFERROR(INDEX('Retirement Calculator'!K:K,MATCH('Lorri 401b'!N1776,'Retirement Calculator'!A:A,0),0),0)</f>
        <v>0</v>
      </c>
      <c r="K1776" s="455">
        <f t="shared" ca="1" si="113"/>
        <v>-2801989.27520556</v>
      </c>
      <c r="L1776" s="455">
        <f t="shared" ca="1" si="114"/>
        <v>-675279415.32454002</v>
      </c>
      <c r="M1776" s="471">
        <f t="shared" si="116"/>
        <v>0.05</v>
      </c>
      <c r="N1776" s="475">
        <f t="shared" si="117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15"/>
        <v>-675279415.32454002</v>
      </c>
      <c r="J1777" s="455">
        <f t="array" ref="J1777">IFERROR(INDEX('Retirement Calculator'!K:K,MATCH('Lorri 401b'!N1777,'Retirement Calculator'!A:A,0),0),0)</f>
        <v>0</v>
      </c>
      <c r="K1777" s="455">
        <f t="shared" ca="1" si="113"/>
        <v>-2813664.2305189166</v>
      </c>
      <c r="L1777" s="455">
        <f t="shared" ca="1" si="114"/>
        <v>-678093079.55505896</v>
      </c>
      <c r="M1777" s="471">
        <f t="shared" si="116"/>
        <v>0.05</v>
      </c>
      <c r="N1777" s="475">
        <f t="shared" si="117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15"/>
        <v>-678093079.55505896</v>
      </c>
      <c r="J1778" s="455">
        <f t="array" ref="J1778">IFERROR(INDEX('Retirement Calculator'!K:K,MATCH('Lorri 401b'!N1778,'Retirement Calculator'!A:A,0),0),0)</f>
        <v>0</v>
      </c>
      <c r="K1778" s="455">
        <f t="shared" ca="1" si="113"/>
        <v>-2825387.8314794125</v>
      </c>
      <c r="L1778" s="455">
        <f t="shared" ca="1" si="114"/>
        <v>-680918467.38653839</v>
      </c>
      <c r="M1778" s="471">
        <f t="shared" si="116"/>
        <v>0.05</v>
      </c>
      <c r="N1778" s="475">
        <f t="shared" si="117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15"/>
        <v>-680918467.38653839</v>
      </c>
      <c r="J1779" s="455">
        <f t="array" ref="J1779">IFERROR(INDEX('Retirement Calculator'!K:K,MATCH('Lorri 401b'!N1779,'Retirement Calculator'!A:A,0),0),0)</f>
        <v>0</v>
      </c>
      <c r="K1779" s="455">
        <f t="shared" ca="1" si="113"/>
        <v>-2837160.2807772434</v>
      </c>
      <c r="L1779" s="455">
        <f t="shared" ca="1" si="114"/>
        <v>-683755627.6673156</v>
      </c>
      <c r="M1779" s="471">
        <f t="shared" si="116"/>
        <v>0.05</v>
      </c>
      <c r="N1779" s="475">
        <f t="shared" si="117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15"/>
        <v>-683755627.6673156</v>
      </c>
      <c r="J1780" s="455">
        <f t="array" ref="J1780">IFERROR(INDEX('Retirement Calculator'!K:K,MATCH('Lorri 401b'!N1780,'Retirement Calculator'!A:A,0),0),0)</f>
        <v>0</v>
      </c>
      <c r="K1780" s="455">
        <f t="shared" ca="1" si="113"/>
        <v>-2848981.7819471485</v>
      </c>
      <c r="L1780" s="455">
        <f t="shared" ca="1" si="114"/>
        <v>-686604609.44926274</v>
      </c>
      <c r="M1780" s="471">
        <f t="shared" si="116"/>
        <v>0.05</v>
      </c>
      <c r="N1780" s="475">
        <f t="shared" si="117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15"/>
        <v>-686604609.44926274</v>
      </c>
      <c r="J1781" s="455">
        <f t="array" ref="J1781">IFERROR(INDEX('Retirement Calculator'!K:K,MATCH('Lorri 401b'!N1781,'Retirement Calculator'!A:A,0),0),0)</f>
        <v>0</v>
      </c>
      <c r="K1781" s="455">
        <f t="shared" ca="1" si="113"/>
        <v>-2860852.5393719282</v>
      </c>
      <c r="L1781" s="455">
        <f t="shared" ca="1" si="114"/>
        <v>-689465461.98863471</v>
      </c>
      <c r="M1781" s="471">
        <f t="shared" si="116"/>
        <v>0.05</v>
      </c>
      <c r="N1781" s="475">
        <f t="shared" si="117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15"/>
        <v>-689465461.98863471</v>
      </c>
      <c r="J1782" s="455">
        <f t="array" ref="J1782">IFERROR(INDEX('Retirement Calculator'!K:K,MATCH('Lorri 401b'!N1782,'Retirement Calculator'!A:A,0),0),0)</f>
        <v>0</v>
      </c>
      <c r="K1782" s="455">
        <f t="shared" ca="1" si="113"/>
        <v>-2872772.7582859779</v>
      </c>
      <c r="L1782" s="455">
        <f t="shared" ca="1" si="114"/>
        <v>-692338234.7469207</v>
      </c>
      <c r="M1782" s="471">
        <f t="shared" si="116"/>
        <v>0.05</v>
      </c>
      <c r="N1782" s="475">
        <f t="shared" si="117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15"/>
        <v>-692338234.7469207</v>
      </c>
      <c r="J1783" s="455">
        <f t="array" ref="J1783">IFERROR(INDEX('Retirement Calculator'!K:K,MATCH('Lorri 401b'!N1783,'Retirement Calculator'!A:A,0),0),0)</f>
        <v>0</v>
      </c>
      <c r="K1783" s="455">
        <f t="shared" ca="1" si="113"/>
        <v>-2884742.6447788361</v>
      </c>
      <c r="L1783" s="455">
        <f t="shared" ca="1" si="114"/>
        <v>-695222977.39169955</v>
      </c>
      <c r="M1783" s="471">
        <f t="shared" si="116"/>
        <v>0.05</v>
      </c>
      <c r="N1783" s="475">
        <f t="shared" si="117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15"/>
        <v>-695222977.39169955</v>
      </c>
      <c r="J1784" s="455">
        <f t="array" ref="J1784">IFERROR(INDEX('Retirement Calculator'!K:K,MATCH('Lorri 401b'!N1784,'Retirement Calculator'!A:A,0),0),0)</f>
        <v>0</v>
      </c>
      <c r="K1784" s="455">
        <f t="shared" ca="1" si="113"/>
        <v>-2896762.4057987481</v>
      </c>
      <c r="L1784" s="455">
        <f t="shared" ca="1" si="114"/>
        <v>-698119739.79749835</v>
      </c>
      <c r="M1784" s="471">
        <f t="shared" si="116"/>
        <v>0.05</v>
      </c>
      <c r="N1784" s="475">
        <f t="shared" si="117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15"/>
        <v>-698119739.79749835</v>
      </c>
      <c r="J1785" s="455">
        <f t="array" ref="J1785">IFERROR(INDEX('Retirement Calculator'!K:K,MATCH('Lorri 401b'!N1785,'Retirement Calculator'!A:A,0),0),0)</f>
        <v>0</v>
      </c>
      <c r="K1785" s="455">
        <f t="shared" ca="1" si="113"/>
        <v>-2908832.2491562432</v>
      </c>
      <c r="L1785" s="455">
        <f t="shared" ca="1" si="114"/>
        <v>-701028572.04665458</v>
      </c>
      <c r="M1785" s="471">
        <f t="shared" si="116"/>
        <v>0.05</v>
      </c>
      <c r="N1785" s="475">
        <f t="shared" si="117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15"/>
        <v>-701028572.04665458</v>
      </c>
      <c r="J1786" s="455">
        <f t="array" ref="J1786">IFERROR(INDEX('Retirement Calculator'!K:K,MATCH('Lorri 401b'!N1786,'Retirement Calculator'!A:A,0),0),0)</f>
        <v>0</v>
      </c>
      <c r="K1786" s="455">
        <f t="shared" ca="1" si="113"/>
        <v>-2920952.3835277273</v>
      </c>
      <c r="L1786" s="455">
        <f t="shared" ca="1" si="114"/>
        <v>-703949524.43018234</v>
      </c>
      <c r="M1786" s="471">
        <f t="shared" si="116"/>
        <v>0.05</v>
      </c>
      <c r="N1786" s="475">
        <f t="shared" si="117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15"/>
        <v>-703949524.43018234</v>
      </c>
      <c r="J1787" s="455">
        <f t="array" ref="J1787">IFERROR(INDEX('Retirement Calculator'!K:K,MATCH('Lorri 401b'!N1787,'Retirement Calculator'!A:A,0),0),0)</f>
        <v>0</v>
      </c>
      <c r="K1787" s="455">
        <f t="shared" ca="1" si="113"/>
        <v>-2933123.0184590928</v>
      </c>
      <c r="L1787" s="455">
        <f t="shared" ca="1" si="114"/>
        <v>-706882647.44864142</v>
      </c>
      <c r="M1787" s="471">
        <f t="shared" si="116"/>
        <v>0.05</v>
      </c>
      <c r="N1787" s="475">
        <f t="shared" si="117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15"/>
        <v>-706882647.44864142</v>
      </c>
      <c r="J1788" s="455">
        <f t="array" ref="J1788">IFERROR(INDEX('Retirement Calculator'!K:K,MATCH('Lorri 401b'!N1788,'Retirement Calculator'!A:A,0),0),0)</f>
        <v>0</v>
      </c>
      <c r="K1788" s="455">
        <f t="shared" ca="1" si="113"/>
        <v>-2945344.3643693393</v>
      </c>
      <c r="L1788" s="455">
        <f t="shared" ca="1" si="114"/>
        <v>-709827991.81301081</v>
      </c>
      <c r="M1788" s="471">
        <f t="shared" si="116"/>
        <v>0.05</v>
      </c>
      <c r="N1788" s="475">
        <f t="shared" si="117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15"/>
        <v>-709827991.81301081</v>
      </c>
      <c r="J1789" s="455">
        <f t="array" ref="J1789">IFERROR(INDEX('Retirement Calculator'!K:K,MATCH('Lorri 401b'!N1789,'Retirement Calculator'!A:A,0),0),0)</f>
        <v>0</v>
      </c>
      <c r="K1789" s="455">
        <f t="shared" ca="1" si="113"/>
        <v>-2957616.6325542117</v>
      </c>
      <c r="L1789" s="455">
        <f t="shared" ca="1" si="114"/>
        <v>-712785608.44556499</v>
      </c>
      <c r="M1789" s="471">
        <f t="shared" si="116"/>
        <v>0.05</v>
      </c>
      <c r="N1789" s="475">
        <f t="shared" si="117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15"/>
        <v>-712785608.44556499</v>
      </c>
      <c r="J1790" s="455">
        <f t="array" ref="J1790">IFERROR(INDEX('Retirement Calculator'!K:K,MATCH('Lorri 401b'!N1790,'Retirement Calculator'!A:A,0),0),0)</f>
        <v>0</v>
      </c>
      <c r="K1790" s="455">
        <f t="shared" ca="1" si="113"/>
        <v>-2969940.035189854</v>
      </c>
      <c r="L1790" s="455">
        <f t="shared" ca="1" si="114"/>
        <v>-715755548.48075485</v>
      </c>
      <c r="M1790" s="471">
        <f t="shared" si="116"/>
        <v>0.05</v>
      </c>
      <c r="N1790" s="475">
        <f t="shared" si="117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15"/>
        <v>-715755548.48075485</v>
      </c>
      <c r="J1791" s="455">
        <f t="array" ref="J1791">IFERROR(INDEX('Retirement Calculator'!K:K,MATCH('Lorri 401b'!N1791,'Retirement Calculator'!A:A,0),0),0)</f>
        <v>0</v>
      </c>
      <c r="K1791" s="455">
        <f t="shared" ca="1" si="113"/>
        <v>-2982314.7853364786</v>
      </c>
      <c r="L1791" s="455">
        <f t="shared" ca="1" si="114"/>
        <v>-718737863.26609135</v>
      </c>
      <c r="M1791" s="471">
        <f t="shared" si="116"/>
        <v>0.05</v>
      </c>
      <c r="N1791" s="475">
        <f t="shared" si="117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15"/>
        <v>-718737863.26609135</v>
      </c>
      <c r="J1792" s="455">
        <f t="array" ref="J1792">IFERROR(INDEX('Retirement Calculator'!K:K,MATCH('Lorri 401b'!N1792,'Retirement Calculator'!A:A,0),0),0)</f>
        <v>0</v>
      </c>
      <c r="K1792" s="455">
        <f t="shared" ca="1" si="113"/>
        <v>-2994741.0969420471</v>
      </c>
      <c r="L1792" s="455">
        <f t="shared" ca="1" si="114"/>
        <v>-721732604.36303341</v>
      </c>
      <c r="M1792" s="471">
        <f t="shared" si="116"/>
        <v>0.05</v>
      </c>
      <c r="N1792" s="475">
        <f t="shared" si="117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15"/>
        <v>-721732604.36303341</v>
      </c>
      <c r="J1793" s="455">
        <f t="array" ref="J1793">IFERROR(INDEX('Retirement Calculator'!K:K,MATCH('Lorri 401b'!N1793,'Retirement Calculator'!A:A,0),0),0)</f>
        <v>0</v>
      </c>
      <c r="K1793" s="455">
        <f t="shared" ref="K1793:K2047" ca="1" si="118">IPMT(M1793/12,1,12,-I1793+J1793,,0)</f>
        <v>-3007219.1848459723</v>
      </c>
      <c r="L1793" s="455">
        <f t="shared" ref="L1793:L2047" ca="1" si="119">I1793-J1793+K1793</f>
        <v>-724739823.54787934</v>
      </c>
      <c r="M1793" s="471">
        <f t="shared" si="116"/>
        <v>0.05</v>
      </c>
      <c r="N1793" s="475">
        <f t="shared" si="117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20">L1793</f>
        <v>-724739823.54787934</v>
      </c>
      <c r="J1794" s="455">
        <f t="array" ref="J1794">IFERROR(INDEX('Retirement Calculator'!K:K,MATCH('Lorri 401b'!N1794,'Retirement Calculator'!A:A,0),0),0)</f>
        <v>0</v>
      </c>
      <c r="K1794" s="455">
        <f t="shared" ca="1" si="118"/>
        <v>-3019749.2647828306</v>
      </c>
      <c r="L1794" s="455">
        <f t="shared" ca="1" si="119"/>
        <v>-727759572.81266212</v>
      </c>
      <c r="M1794" s="471">
        <f t="shared" ref="M1794:M2048" si="121">M1793</f>
        <v>0.05</v>
      </c>
      <c r="N1794" s="475">
        <f t="shared" ref="N1794:N2048" si="122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20"/>
        <v>-727759572.81266212</v>
      </c>
      <c r="J1795" s="455">
        <f t="array" ref="J1795">IFERROR(INDEX('Retirement Calculator'!K:K,MATCH('Lorri 401b'!N1795,'Retirement Calculator'!A:A,0),0),0)</f>
        <v>0</v>
      </c>
      <c r="K1795" s="455">
        <f t="shared" ca="1" si="118"/>
        <v>-3032331.5533860922</v>
      </c>
      <c r="L1795" s="455">
        <f t="shared" ca="1" si="119"/>
        <v>-730791904.36604822</v>
      </c>
      <c r="M1795" s="471">
        <f t="shared" si="121"/>
        <v>0.05</v>
      </c>
      <c r="N1795" s="475">
        <f t="shared" si="122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20"/>
        <v>-730791904.36604822</v>
      </c>
      <c r="J1796" s="455">
        <f t="array" ref="J1796">IFERROR(INDEX('Retirement Calculator'!K:K,MATCH('Lorri 401b'!N1796,'Retirement Calculator'!A:A,0),0),0)</f>
        <v>0</v>
      </c>
      <c r="K1796" s="455">
        <f t="shared" ca="1" si="118"/>
        <v>-3044966.2681918675</v>
      </c>
      <c r="L1796" s="455">
        <f t="shared" ca="1" si="119"/>
        <v>-733836870.63424003</v>
      </c>
      <c r="M1796" s="471">
        <f t="shared" si="121"/>
        <v>0.05</v>
      </c>
      <c r="N1796" s="475">
        <f t="shared" si="122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20"/>
        <v>-733836870.63424003</v>
      </c>
      <c r="J1797" s="455">
        <f t="array" ref="J1797">IFERROR(INDEX('Retirement Calculator'!K:K,MATCH('Lorri 401b'!N1797,'Retirement Calculator'!A:A,0),0),0)</f>
        <v>0</v>
      </c>
      <c r="K1797" s="455">
        <f t="shared" ca="1" si="118"/>
        <v>-3057653.6276426669</v>
      </c>
      <c r="L1797" s="455">
        <f t="shared" ca="1" si="119"/>
        <v>-736894524.26188266</v>
      </c>
      <c r="M1797" s="471">
        <f t="shared" si="121"/>
        <v>0.05</v>
      </c>
      <c r="N1797" s="475">
        <f t="shared" si="122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20"/>
        <v>-736894524.26188266</v>
      </c>
      <c r="J1798" s="455">
        <f t="array" ref="J1798">IFERROR(INDEX('Retirement Calculator'!K:K,MATCH('Lorri 401b'!N1798,'Retirement Calculator'!A:A,0),0),0)</f>
        <v>0</v>
      </c>
      <c r="K1798" s="455">
        <f t="shared" ca="1" si="118"/>
        <v>-3070393.8510911777</v>
      </c>
      <c r="L1798" s="455">
        <f t="shared" ca="1" si="119"/>
        <v>-739964918.11297381</v>
      </c>
      <c r="M1798" s="471">
        <f t="shared" si="121"/>
        <v>0.05</v>
      </c>
      <c r="N1798" s="475">
        <f t="shared" si="122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20"/>
        <v>-739964918.11297381</v>
      </c>
      <c r="J1799" s="455">
        <f t="array" ref="J1799">IFERROR(INDEX('Retirement Calculator'!K:K,MATCH('Lorri 401b'!N1799,'Retirement Calculator'!A:A,0),0),0)</f>
        <v>0</v>
      </c>
      <c r="K1799" s="455">
        <f t="shared" ca="1" si="118"/>
        <v>-3083187.1588040576</v>
      </c>
      <c r="L1799" s="455">
        <f t="shared" ca="1" si="119"/>
        <v>-743048105.27177787</v>
      </c>
      <c r="M1799" s="471">
        <f t="shared" si="121"/>
        <v>0.05</v>
      </c>
      <c r="N1799" s="475">
        <f t="shared" si="122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20"/>
        <v>-743048105.27177787</v>
      </c>
      <c r="J1800" s="455">
        <f t="array" ref="J1800">IFERROR(INDEX('Retirement Calculator'!K:K,MATCH('Lorri 401b'!N1800,'Retirement Calculator'!A:A,0),0),0)</f>
        <v>0</v>
      </c>
      <c r="K1800" s="455">
        <f t="shared" ca="1" si="118"/>
        <v>-3096033.7719657412</v>
      </c>
      <c r="L1800" s="455">
        <f t="shared" ca="1" si="119"/>
        <v>-746144139.04374361</v>
      </c>
      <c r="M1800" s="471">
        <f t="shared" si="121"/>
        <v>0.05</v>
      </c>
      <c r="N1800" s="475">
        <f t="shared" si="122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20"/>
        <v>-746144139.04374361</v>
      </c>
      <c r="J1801" s="455">
        <f t="array" ref="J1801">IFERROR(INDEX('Retirement Calculator'!K:K,MATCH('Lorri 401b'!N1801,'Retirement Calculator'!A:A,0),0),0)</f>
        <v>0</v>
      </c>
      <c r="K1801" s="455">
        <f t="shared" ca="1" si="118"/>
        <v>-3108933.912682265</v>
      </c>
      <c r="L1801" s="455">
        <f t="shared" ca="1" si="119"/>
        <v>-749253072.95642591</v>
      </c>
      <c r="M1801" s="471">
        <f t="shared" si="121"/>
        <v>0.05</v>
      </c>
      <c r="N1801" s="475">
        <f t="shared" si="122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20"/>
        <v>-749253072.95642591</v>
      </c>
      <c r="J1802" s="455">
        <f t="array" ref="J1802">IFERROR(INDEX('Retirement Calculator'!K:K,MATCH('Lorri 401b'!N1802,'Retirement Calculator'!A:A,0),0),0)</f>
        <v>0</v>
      </c>
      <c r="K1802" s="455">
        <f t="shared" ca="1" si="118"/>
        <v>-3121887.8039851077</v>
      </c>
      <c r="L1802" s="455">
        <f t="shared" ca="1" si="119"/>
        <v>-752374960.76041102</v>
      </c>
      <c r="M1802" s="471">
        <f t="shared" si="121"/>
        <v>0.05</v>
      </c>
      <c r="N1802" s="475">
        <f t="shared" si="122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20"/>
        <v>-752374960.76041102</v>
      </c>
      <c r="J1803" s="455">
        <f t="array" ref="J1803">IFERROR(INDEX('Retirement Calculator'!K:K,MATCH('Lorri 401b'!N1803,'Retirement Calculator'!A:A,0),0),0)</f>
        <v>0</v>
      </c>
      <c r="K1803" s="455">
        <f t="shared" ca="1" si="118"/>
        <v>-3134895.6698350459</v>
      </c>
      <c r="L1803" s="455">
        <f t="shared" ca="1" si="119"/>
        <v>-755509856.43024611</v>
      </c>
      <c r="M1803" s="471">
        <f t="shared" si="121"/>
        <v>0.05</v>
      </c>
      <c r="N1803" s="475">
        <f t="shared" si="122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20"/>
        <v>-755509856.43024611</v>
      </c>
      <c r="J1804" s="455">
        <f t="array" ref="J1804">IFERROR(INDEX('Retirement Calculator'!K:K,MATCH('Lorri 401b'!N1804,'Retirement Calculator'!A:A,0),0),0)</f>
        <v>0</v>
      </c>
      <c r="K1804" s="455">
        <f t="shared" ca="1" si="118"/>
        <v>-3147957.7351260255</v>
      </c>
      <c r="L1804" s="455">
        <f t="shared" ca="1" si="119"/>
        <v>-758657814.16537213</v>
      </c>
      <c r="M1804" s="471">
        <f t="shared" si="121"/>
        <v>0.05</v>
      </c>
      <c r="N1804" s="475">
        <f t="shared" si="122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20"/>
        <v>-758657814.16537213</v>
      </c>
      <c r="J1805" s="455">
        <f t="array" ref="J1805">IFERROR(INDEX('Retirement Calculator'!K:K,MATCH('Lorri 401b'!N1805,'Retirement Calculator'!A:A,0),0),0)</f>
        <v>0</v>
      </c>
      <c r="K1805" s="455">
        <f t="shared" ca="1" si="118"/>
        <v>-3161074.2256890507</v>
      </c>
      <c r="L1805" s="455">
        <f t="shared" ca="1" si="119"/>
        <v>-761818888.39106119</v>
      </c>
      <c r="M1805" s="471">
        <f t="shared" si="121"/>
        <v>0.05</v>
      </c>
      <c r="N1805" s="475">
        <f t="shared" si="122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20"/>
        <v>-761818888.39106119</v>
      </c>
      <c r="J1806" s="455">
        <f t="array" ref="J1806">IFERROR(INDEX('Retirement Calculator'!K:K,MATCH('Lorri 401b'!N1806,'Retirement Calculator'!A:A,0),0),0)</f>
        <v>0</v>
      </c>
      <c r="K1806" s="455">
        <f t="shared" ca="1" si="118"/>
        <v>-3174245.3682960882</v>
      </c>
      <c r="L1806" s="455">
        <f t="shared" ca="1" si="119"/>
        <v>-764993133.75935733</v>
      </c>
      <c r="M1806" s="471">
        <f t="shared" si="121"/>
        <v>0.05</v>
      </c>
      <c r="N1806" s="475">
        <f t="shared" si="122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20"/>
        <v>-764993133.75935733</v>
      </c>
      <c r="J1807" s="455">
        <f t="array" ref="J1807">IFERROR(INDEX('Retirement Calculator'!K:K,MATCH('Lorri 401b'!N1807,'Retirement Calculator'!A:A,0),0),0)</f>
        <v>0</v>
      </c>
      <c r="K1807" s="455">
        <f t="shared" ca="1" si="118"/>
        <v>-3187471.3906639889</v>
      </c>
      <c r="L1807" s="455">
        <f t="shared" ca="1" si="119"/>
        <v>-768180605.15002131</v>
      </c>
      <c r="M1807" s="471">
        <f t="shared" si="121"/>
        <v>0.05</v>
      </c>
      <c r="N1807" s="475">
        <f t="shared" si="122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20"/>
        <v>-768180605.15002131</v>
      </c>
      <c r="J1808" s="455">
        <f t="array" ref="J1808">IFERROR(INDEX('Retirement Calculator'!K:K,MATCH('Lorri 401b'!N1808,'Retirement Calculator'!A:A,0),0),0)</f>
        <v>0</v>
      </c>
      <c r="K1808" s="455">
        <f t="shared" ca="1" si="118"/>
        <v>-3200752.5214584223</v>
      </c>
      <c r="L1808" s="455">
        <f t="shared" ca="1" si="119"/>
        <v>-771381357.6714797</v>
      </c>
      <c r="M1808" s="471">
        <f t="shared" si="121"/>
        <v>0.05</v>
      </c>
      <c r="N1808" s="475">
        <f t="shared" si="122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20"/>
        <v>-771381357.6714797</v>
      </c>
      <c r="J1809" s="455">
        <f t="array" ref="J1809">IFERROR(INDEX('Retirement Calculator'!K:K,MATCH('Lorri 401b'!N1809,'Retirement Calculator'!A:A,0),0),0)</f>
        <v>0</v>
      </c>
      <c r="K1809" s="455">
        <f t="shared" ca="1" si="118"/>
        <v>-3214088.9902978321</v>
      </c>
      <c r="L1809" s="455">
        <f t="shared" ca="1" si="119"/>
        <v>-774595446.6617775</v>
      </c>
      <c r="M1809" s="471">
        <f t="shared" si="121"/>
        <v>0.05</v>
      </c>
      <c r="N1809" s="475">
        <f t="shared" si="122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20"/>
        <v>-774595446.6617775</v>
      </c>
      <c r="J1810" s="455">
        <f t="array" ref="J1810">IFERROR(INDEX('Retirement Calculator'!K:K,MATCH('Lorri 401b'!N1810,'Retirement Calculator'!A:A,0),0),0)</f>
        <v>0</v>
      </c>
      <c r="K1810" s="455">
        <f t="shared" ca="1" si="118"/>
        <v>-3227481.0277574062</v>
      </c>
      <c r="L1810" s="455">
        <f t="shared" ca="1" si="119"/>
        <v>-777822927.6895349</v>
      </c>
      <c r="M1810" s="471">
        <f t="shared" si="121"/>
        <v>0.05</v>
      </c>
      <c r="N1810" s="475">
        <f t="shared" si="122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20"/>
        <v>-777822927.6895349</v>
      </c>
      <c r="J1811" s="455">
        <f t="array" ref="J1811">IFERROR(INDEX('Retirement Calculator'!K:K,MATCH('Lorri 401b'!N1811,'Retirement Calculator'!A:A,0),0),0)</f>
        <v>0</v>
      </c>
      <c r="K1811" s="455">
        <f t="shared" ca="1" si="118"/>
        <v>-3240928.865373062</v>
      </c>
      <c r="L1811" s="455">
        <f t="shared" ca="1" si="119"/>
        <v>-781063856.55490792</v>
      </c>
      <c r="M1811" s="471">
        <f t="shared" si="121"/>
        <v>0.05</v>
      </c>
      <c r="N1811" s="475">
        <f t="shared" si="122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20"/>
        <v>-781063856.55490792</v>
      </c>
      <c r="J1812" s="455">
        <f t="array" ref="J1812">IFERROR(INDEX('Retirement Calculator'!K:K,MATCH('Lorri 401b'!N1812,'Retirement Calculator'!A:A,0),0),0)</f>
        <v>0</v>
      </c>
      <c r="K1812" s="455">
        <f t="shared" ca="1" si="118"/>
        <v>-3254432.7356454497</v>
      </c>
      <c r="L1812" s="455">
        <f t="shared" ca="1" si="119"/>
        <v>-784318289.29055333</v>
      </c>
      <c r="M1812" s="471">
        <f t="shared" si="121"/>
        <v>0.05</v>
      </c>
      <c r="N1812" s="475">
        <f t="shared" si="122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20"/>
        <v>-784318289.29055333</v>
      </c>
      <c r="J1813" s="455">
        <f t="array" ref="J1813">IFERROR(INDEX('Retirement Calculator'!K:K,MATCH('Lorri 401b'!N1813,'Retirement Calculator'!A:A,0),0),0)</f>
        <v>0</v>
      </c>
      <c r="K1813" s="455">
        <f t="shared" ca="1" si="118"/>
        <v>-3267992.8720439724</v>
      </c>
      <c r="L1813" s="455">
        <f t="shared" ca="1" si="119"/>
        <v>-787586282.1625973</v>
      </c>
      <c r="M1813" s="471">
        <f t="shared" si="121"/>
        <v>0.05</v>
      </c>
      <c r="N1813" s="475">
        <f t="shared" si="122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20"/>
        <v>-787586282.1625973</v>
      </c>
      <c r="J1814" s="455">
        <f t="array" ref="J1814">IFERROR(INDEX('Retirement Calculator'!K:K,MATCH('Lorri 401b'!N1814,'Retirement Calculator'!A:A,0),0),0)</f>
        <v>0</v>
      </c>
      <c r="K1814" s="455">
        <f t="shared" ca="1" si="118"/>
        <v>-3281609.509010822</v>
      </c>
      <c r="L1814" s="455">
        <f t="shared" ca="1" si="119"/>
        <v>-790867891.67160809</v>
      </c>
      <c r="M1814" s="471">
        <f t="shared" si="121"/>
        <v>0.05</v>
      </c>
      <c r="N1814" s="475">
        <f t="shared" si="122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20"/>
        <v>-790867891.67160809</v>
      </c>
      <c r="J1815" s="455">
        <f t="array" ref="J1815">IFERROR(INDEX('Retirement Calculator'!K:K,MATCH('Lorri 401b'!N1815,'Retirement Calculator'!A:A,0),0),0)</f>
        <v>0</v>
      </c>
      <c r="K1815" s="455">
        <f t="shared" ca="1" si="118"/>
        <v>-3295282.8819650337</v>
      </c>
      <c r="L1815" s="455">
        <f t="shared" ca="1" si="119"/>
        <v>-794163174.55357313</v>
      </c>
      <c r="M1815" s="471">
        <f t="shared" si="121"/>
        <v>0.05</v>
      </c>
      <c r="N1815" s="475">
        <f t="shared" si="122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20"/>
        <v>-794163174.55357313</v>
      </c>
      <c r="J1816" s="455">
        <f t="array" ref="J1816">IFERROR(INDEX('Retirement Calculator'!K:K,MATCH('Lorri 401b'!N1816,'Retirement Calculator'!A:A,0),0),0)</f>
        <v>0</v>
      </c>
      <c r="K1816" s="455">
        <f t="shared" ca="1" si="118"/>
        <v>-3309013.2273065546</v>
      </c>
      <c r="L1816" s="455">
        <f t="shared" ca="1" si="119"/>
        <v>-797472187.78087974</v>
      </c>
      <c r="M1816" s="471">
        <f t="shared" si="121"/>
        <v>0.05</v>
      </c>
      <c r="N1816" s="475">
        <f t="shared" si="122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20"/>
        <v>-797472187.78087974</v>
      </c>
      <c r="J1817" s="455">
        <f t="array" ref="J1817">IFERROR(INDEX('Retirement Calculator'!K:K,MATCH('Lorri 401b'!N1817,'Retirement Calculator'!A:A,0),0),0)</f>
        <v>0</v>
      </c>
      <c r="K1817" s="455">
        <f t="shared" ca="1" si="118"/>
        <v>-3322800.7824203321</v>
      </c>
      <c r="L1817" s="455">
        <f t="shared" ca="1" si="119"/>
        <v>-800794988.56330001</v>
      </c>
      <c r="M1817" s="471">
        <f t="shared" si="121"/>
        <v>0.05</v>
      </c>
      <c r="N1817" s="475">
        <f t="shared" si="122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20"/>
        <v>-800794988.56330001</v>
      </c>
      <c r="J1818" s="455">
        <f t="array" ref="J1818">IFERROR(INDEX('Retirement Calculator'!K:K,MATCH('Lorri 401b'!N1818,'Retirement Calculator'!A:A,0),0),0)</f>
        <v>0</v>
      </c>
      <c r="K1818" s="455">
        <f t="shared" ca="1" si="118"/>
        <v>-3336645.7856804165</v>
      </c>
      <c r="L1818" s="455">
        <f t="shared" ca="1" si="119"/>
        <v>-804131634.34898043</v>
      </c>
      <c r="M1818" s="471">
        <f t="shared" si="121"/>
        <v>0.05</v>
      </c>
      <c r="N1818" s="475">
        <f t="shared" si="122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20"/>
        <v>-804131634.34898043</v>
      </c>
      <c r="J1819" s="455">
        <f t="array" ref="J1819">IFERROR(INDEX('Retirement Calculator'!K:K,MATCH('Lorri 401b'!N1819,'Retirement Calculator'!A:A,0),0),0)</f>
        <v>0</v>
      </c>
      <c r="K1819" s="455">
        <f t="shared" ca="1" si="118"/>
        <v>-3350548.4764540852</v>
      </c>
      <c r="L1819" s="455">
        <f t="shared" ca="1" si="119"/>
        <v>-807482182.82543457</v>
      </c>
      <c r="M1819" s="471">
        <f t="shared" si="121"/>
        <v>0.05</v>
      </c>
      <c r="N1819" s="475">
        <f t="shared" si="122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20"/>
        <v>-807482182.82543457</v>
      </c>
      <c r="J1820" s="455">
        <f t="array" ref="J1820">IFERROR(INDEX('Retirement Calculator'!K:K,MATCH('Lorri 401b'!N1820,'Retirement Calculator'!A:A,0),0),0)</f>
        <v>0</v>
      </c>
      <c r="K1820" s="455">
        <f t="shared" ca="1" si="118"/>
        <v>-3364509.0951059773</v>
      </c>
      <c r="L1820" s="455">
        <f t="shared" ca="1" si="119"/>
        <v>-810846691.92054057</v>
      </c>
      <c r="M1820" s="471">
        <f t="shared" si="121"/>
        <v>0.05</v>
      </c>
      <c r="N1820" s="475">
        <f t="shared" si="122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20"/>
        <v>-810846691.92054057</v>
      </c>
      <c r="J1821" s="455">
        <f t="array" ref="J1821">IFERROR(INDEX('Retirement Calculator'!K:K,MATCH('Lorri 401b'!N1821,'Retirement Calculator'!A:A,0),0),0)</f>
        <v>0</v>
      </c>
      <c r="K1821" s="455">
        <f t="shared" ca="1" si="118"/>
        <v>-3378527.8830022523</v>
      </c>
      <c r="L1821" s="455">
        <f t="shared" ca="1" si="119"/>
        <v>-814225219.80354285</v>
      </c>
      <c r="M1821" s="471">
        <f t="shared" si="121"/>
        <v>0.05</v>
      </c>
      <c r="N1821" s="475">
        <f t="shared" si="122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20"/>
        <v>-814225219.80354285</v>
      </c>
      <c r="J1822" s="455">
        <f t="array" ref="J1822">IFERROR(INDEX('Retirement Calculator'!K:K,MATCH('Lorri 401b'!N1822,'Retirement Calculator'!A:A,0),0),0)</f>
        <v>0</v>
      </c>
      <c r="K1822" s="455">
        <f t="shared" ca="1" si="118"/>
        <v>-3392605.0825147619</v>
      </c>
      <c r="L1822" s="455">
        <f t="shared" ca="1" si="119"/>
        <v>-817617824.88605762</v>
      </c>
      <c r="M1822" s="471">
        <f t="shared" si="121"/>
        <v>0.05</v>
      </c>
      <c r="N1822" s="475">
        <f t="shared" si="122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20"/>
        <v>-817617824.88605762</v>
      </c>
      <c r="J1823" s="455">
        <f t="array" ref="J1823">IFERROR(INDEX('Retirement Calculator'!K:K,MATCH('Lorri 401b'!N1823,'Retirement Calculator'!A:A,0),0),0)</f>
        <v>0</v>
      </c>
      <c r="K1823" s="455">
        <f t="shared" ca="1" si="118"/>
        <v>-3406740.9370252402</v>
      </c>
      <c r="L1823" s="455">
        <f t="shared" ca="1" si="119"/>
        <v>-821024565.8230828</v>
      </c>
      <c r="M1823" s="471">
        <f t="shared" si="121"/>
        <v>0.05</v>
      </c>
      <c r="N1823" s="475">
        <f t="shared" si="122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20"/>
        <v>-821024565.8230828</v>
      </c>
      <c r="J1824" s="455">
        <f t="array" ref="J1824">IFERROR(INDEX('Retirement Calculator'!K:K,MATCH('Lorri 401b'!N1824,'Retirement Calculator'!A:A,0),0),0)</f>
        <v>0</v>
      </c>
      <c r="K1824" s="455">
        <f t="shared" ca="1" si="118"/>
        <v>-3420935.6909295116</v>
      </c>
      <c r="L1824" s="455">
        <f t="shared" ca="1" si="119"/>
        <v>-824445501.51401234</v>
      </c>
      <c r="M1824" s="471">
        <f t="shared" si="121"/>
        <v>0.05</v>
      </c>
      <c r="N1824" s="475">
        <f t="shared" si="122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20"/>
        <v>-824445501.51401234</v>
      </c>
      <c r="J1825" s="455">
        <f t="array" ref="J1825">IFERROR(INDEX('Retirement Calculator'!K:K,MATCH('Lorri 401b'!N1825,'Retirement Calculator'!A:A,0),0),0)</f>
        <v>0</v>
      </c>
      <c r="K1825" s="455">
        <f t="shared" ca="1" si="118"/>
        <v>-3435189.5896417182</v>
      </c>
      <c r="L1825" s="455">
        <f t="shared" ca="1" si="119"/>
        <v>-827880691.10365403</v>
      </c>
      <c r="M1825" s="471">
        <f t="shared" si="121"/>
        <v>0.05</v>
      </c>
      <c r="N1825" s="475">
        <f t="shared" si="122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20"/>
        <v>-827880691.10365403</v>
      </c>
      <c r="J1826" s="455">
        <f t="array" ref="J1826">IFERROR(INDEX('Retirement Calculator'!K:K,MATCH('Lorri 401b'!N1826,'Retirement Calculator'!A:A,0),0),0)</f>
        <v>0</v>
      </c>
      <c r="K1826" s="455">
        <f t="shared" ca="1" si="118"/>
        <v>-3449502.8795985584</v>
      </c>
      <c r="L1826" s="455">
        <f t="shared" ca="1" si="119"/>
        <v>-831330193.98325264</v>
      </c>
      <c r="M1826" s="471">
        <f t="shared" si="121"/>
        <v>0.05</v>
      </c>
      <c r="N1826" s="475">
        <f t="shared" si="122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20"/>
        <v>-831330193.98325264</v>
      </c>
      <c r="J1827" s="455">
        <f t="array" ref="J1827">IFERROR(INDEX('Retirement Calculator'!K:K,MATCH('Lorri 401b'!N1827,'Retirement Calculator'!A:A,0),0),0)</f>
        <v>0</v>
      </c>
      <c r="K1827" s="455">
        <f t="shared" ca="1" si="118"/>
        <v>-3463875.8082635528</v>
      </c>
      <c r="L1827" s="455">
        <f t="shared" ca="1" si="119"/>
        <v>-834794069.79151618</v>
      </c>
      <c r="M1827" s="471">
        <f t="shared" si="121"/>
        <v>0.05</v>
      </c>
      <c r="N1827" s="475">
        <f t="shared" si="122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20"/>
        <v>-834794069.79151618</v>
      </c>
      <c r="J1828" s="455">
        <f t="array" ref="J1828">IFERROR(INDEX('Retirement Calculator'!K:K,MATCH('Lorri 401b'!N1828,'Retirement Calculator'!A:A,0),0),0)</f>
        <v>0</v>
      </c>
      <c r="K1828" s="455">
        <f t="shared" ca="1" si="118"/>
        <v>-3478308.6241313173</v>
      </c>
      <c r="L1828" s="455">
        <f t="shared" ca="1" si="119"/>
        <v>-838272378.41564751</v>
      </c>
      <c r="M1828" s="471">
        <f t="shared" si="121"/>
        <v>0.05</v>
      </c>
      <c r="N1828" s="475">
        <f t="shared" si="122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20"/>
        <v>-838272378.41564751</v>
      </c>
      <c r="J1829" s="455">
        <f t="array" ref="J1829">IFERROR(INDEX('Retirement Calculator'!K:K,MATCH('Lorri 401b'!N1829,'Retirement Calculator'!A:A,0),0),0)</f>
        <v>0</v>
      </c>
      <c r="K1829" s="455">
        <f t="shared" ca="1" si="118"/>
        <v>-3492801.5767318644</v>
      </c>
      <c r="L1829" s="455">
        <f t="shared" ca="1" si="119"/>
        <v>-841765179.99237943</v>
      </c>
      <c r="M1829" s="471">
        <f t="shared" si="121"/>
        <v>0.05</v>
      </c>
      <c r="N1829" s="475">
        <f t="shared" si="122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20"/>
        <v>-841765179.99237943</v>
      </c>
      <c r="J1830" s="455">
        <f t="array" ref="J1830">IFERROR(INDEX('Retirement Calculator'!K:K,MATCH('Lorri 401b'!N1830,'Retirement Calculator'!A:A,0),0),0)</f>
        <v>0</v>
      </c>
      <c r="K1830" s="455">
        <f t="shared" ca="1" si="118"/>
        <v>-3507354.9166349149</v>
      </c>
      <c r="L1830" s="455">
        <f t="shared" ca="1" si="119"/>
        <v>-845272534.90901434</v>
      </c>
      <c r="M1830" s="471">
        <f t="shared" si="121"/>
        <v>0.05</v>
      </c>
      <c r="N1830" s="475">
        <f t="shared" si="122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20"/>
        <v>-845272534.90901434</v>
      </c>
      <c r="J1831" s="455">
        <f t="array" ref="J1831">IFERROR(INDEX('Retirement Calculator'!K:K,MATCH('Lorri 401b'!N1831,'Retirement Calculator'!A:A,0),0),0)</f>
        <v>0</v>
      </c>
      <c r="K1831" s="455">
        <f t="shared" ca="1" si="118"/>
        <v>-3521968.8954542261</v>
      </c>
      <c r="L1831" s="455">
        <f t="shared" ca="1" si="119"/>
        <v>-848794503.80446851</v>
      </c>
      <c r="M1831" s="471">
        <f t="shared" si="121"/>
        <v>0.05</v>
      </c>
      <c r="N1831" s="475">
        <f t="shared" si="122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20"/>
        <v>-848794503.80446851</v>
      </c>
      <c r="J1832" s="455">
        <f t="array" ref="J1832">IFERROR(INDEX('Retirement Calculator'!K:K,MATCH('Lorri 401b'!N1832,'Retirement Calculator'!A:A,0),0),0)</f>
        <v>0</v>
      </c>
      <c r="K1832" s="455">
        <f t="shared" ca="1" si="118"/>
        <v>-3536643.7658519521</v>
      </c>
      <c r="L1832" s="455">
        <f t="shared" ca="1" si="119"/>
        <v>-852331147.57032049</v>
      </c>
      <c r="M1832" s="471">
        <f t="shared" si="121"/>
        <v>0.05</v>
      </c>
      <c r="N1832" s="475">
        <f t="shared" si="122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20"/>
        <v>-852331147.57032049</v>
      </c>
      <c r="J1833" s="455">
        <f t="array" ref="J1833">IFERROR(INDEX('Retirement Calculator'!K:K,MATCH('Lorri 401b'!N1833,'Retirement Calculator'!A:A,0),0),0)</f>
        <v>0</v>
      </c>
      <c r="K1833" s="455">
        <f t="shared" ca="1" si="118"/>
        <v>-3551379.781543002</v>
      </c>
      <c r="L1833" s="455">
        <f t="shared" ca="1" si="119"/>
        <v>-855882527.3518635</v>
      </c>
      <c r="M1833" s="471">
        <f t="shared" si="121"/>
        <v>0.05</v>
      </c>
      <c r="N1833" s="475">
        <f t="shared" si="122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20"/>
        <v>-855882527.3518635</v>
      </c>
      <c r="J1834" s="455">
        <f t="array" ref="J1834">IFERROR(INDEX('Retirement Calculator'!K:K,MATCH('Lorri 401b'!N1834,'Retirement Calculator'!A:A,0),0),0)</f>
        <v>0</v>
      </c>
      <c r="K1834" s="455">
        <f t="shared" ca="1" si="118"/>
        <v>-3566177.1972994311</v>
      </c>
      <c r="L1834" s="455">
        <f t="shared" ca="1" si="119"/>
        <v>-859448704.54916298</v>
      </c>
      <c r="M1834" s="471">
        <f t="shared" si="121"/>
        <v>0.05</v>
      </c>
      <c r="N1834" s="475">
        <f t="shared" si="122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20"/>
        <v>-859448704.54916298</v>
      </c>
      <c r="J1835" s="455">
        <f t="array" ref="J1835">IFERROR(INDEX('Retirement Calculator'!K:K,MATCH('Lorri 401b'!N1835,'Retirement Calculator'!A:A,0),0),0)</f>
        <v>0</v>
      </c>
      <c r="K1835" s="455">
        <f t="shared" ca="1" si="118"/>
        <v>-3581036.2689548451</v>
      </c>
      <c r="L1835" s="455">
        <f t="shared" ca="1" si="119"/>
        <v>-863029740.81811786</v>
      </c>
      <c r="M1835" s="471">
        <f t="shared" si="121"/>
        <v>0.05</v>
      </c>
      <c r="N1835" s="475">
        <f t="shared" si="122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20"/>
        <v>-863029740.81811786</v>
      </c>
      <c r="J1836" s="455">
        <f t="array" ref="J1836">IFERROR(INDEX('Retirement Calculator'!K:K,MATCH('Lorri 401b'!N1836,'Retirement Calculator'!A:A,0),0),0)</f>
        <v>0</v>
      </c>
      <c r="K1836" s="455">
        <f t="shared" ca="1" si="118"/>
        <v>-3595957.2534088246</v>
      </c>
      <c r="L1836" s="455">
        <f t="shared" ca="1" si="119"/>
        <v>-866625698.07152665</v>
      </c>
      <c r="M1836" s="471">
        <f t="shared" si="121"/>
        <v>0.05</v>
      </c>
      <c r="N1836" s="475">
        <f t="shared" si="122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20"/>
        <v>-866625698.07152665</v>
      </c>
      <c r="J1837" s="455">
        <f t="array" ref="J1837">IFERROR(INDEX('Retirement Calculator'!K:K,MATCH('Lorri 401b'!N1837,'Retirement Calculator'!A:A,0),0),0)</f>
        <v>0</v>
      </c>
      <c r="K1837" s="455">
        <f t="shared" ca="1" si="118"/>
        <v>-3610940.4086313611</v>
      </c>
      <c r="L1837" s="455">
        <f t="shared" ca="1" si="119"/>
        <v>-870236638.48015797</v>
      </c>
      <c r="M1837" s="471">
        <f t="shared" si="121"/>
        <v>0.05</v>
      </c>
      <c r="N1837" s="475">
        <f t="shared" si="122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20"/>
        <v>-870236638.48015797</v>
      </c>
      <c r="J1838" s="455">
        <f t="array" ref="J1838">IFERROR(INDEX('Retirement Calculator'!K:K,MATCH('Lorri 401b'!N1838,'Retirement Calculator'!A:A,0),0),0)</f>
        <v>0</v>
      </c>
      <c r="K1838" s="455">
        <f t="shared" ca="1" si="118"/>
        <v>-3625985.993667325</v>
      </c>
      <c r="L1838" s="455">
        <f t="shared" ca="1" si="119"/>
        <v>-873862624.47382534</v>
      </c>
      <c r="M1838" s="471">
        <f t="shared" si="121"/>
        <v>0.05</v>
      </c>
      <c r="N1838" s="475">
        <f t="shared" si="122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20"/>
        <v>-873862624.47382534</v>
      </c>
      <c r="J1839" s="455">
        <f t="array" ref="J1839">IFERROR(INDEX('Retirement Calculator'!K:K,MATCH('Lorri 401b'!N1839,'Retirement Calculator'!A:A,0),0),0)</f>
        <v>0</v>
      </c>
      <c r="K1839" s="455">
        <f t="shared" ca="1" si="118"/>
        <v>-3641094.2686409387</v>
      </c>
      <c r="L1839" s="455">
        <f t="shared" ca="1" si="119"/>
        <v>-877503718.74246633</v>
      </c>
      <c r="M1839" s="471">
        <f t="shared" si="121"/>
        <v>0.05</v>
      </c>
      <c r="N1839" s="475">
        <f t="shared" si="122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20"/>
        <v>-877503718.74246633</v>
      </c>
      <c r="J1840" s="455">
        <f t="array" ref="J1840">IFERROR(INDEX('Retirement Calculator'!K:K,MATCH('Lorri 401b'!N1840,'Retirement Calculator'!A:A,0),0),0)</f>
        <v>0</v>
      </c>
      <c r="K1840" s="455">
        <f t="shared" ca="1" si="118"/>
        <v>-3656265.4947602763</v>
      </c>
      <c r="L1840" s="455">
        <f t="shared" ca="1" si="119"/>
        <v>-881159984.23722661</v>
      </c>
      <c r="M1840" s="471">
        <f t="shared" si="121"/>
        <v>0.05</v>
      </c>
      <c r="N1840" s="475">
        <f t="shared" si="122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20"/>
        <v>-881159984.23722661</v>
      </c>
      <c r="J1841" s="455">
        <f t="array" ref="J1841">IFERROR(INDEX('Retirement Calculator'!K:K,MATCH('Lorri 401b'!N1841,'Retirement Calculator'!A:A,0),0),0)</f>
        <v>0</v>
      </c>
      <c r="K1841" s="455">
        <f t="shared" ca="1" si="118"/>
        <v>-3671499.934321777</v>
      </c>
      <c r="L1841" s="455">
        <f t="shared" ca="1" si="119"/>
        <v>-884831484.17154837</v>
      </c>
      <c r="M1841" s="471">
        <f t="shared" si="121"/>
        <v>0.05</v>
      </c>
      <c r="N1841" s="475">
        <f t="shared" si="122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20"/>
        <v>-884831484.17154837</v>
      </c>
      <c r="J1842" s="455">
        <f t="array" ref="J1842">IFERROR(INDEX('Retirement Calculator'!K:K,MATCH('Lorri 401b'!N1842,'Retirement Calculator'!A:A,0),0),0)</f>
        <v>0</v>
      </c>
      <c r="K1842" s="455">
        <f t="shared" ca="1" si="118"/>
        <v>-3686797.8507147841</v>
      </c>
      <c r="L1842" s="455">
        <f t="shared" ca="1" si="119"/>
        <v>-888518282.02226317</v>
      </c>
      <c r="M1842" s="471">
        <f t="shared" si="121"/>
        <v>0.05</v>
      </c>
      <c r="N1842" s="475">
        <f t="shared" si="122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20"/>
        <v>-888518282.02226317</v>
      </c>
      <c r="J1843" s="455">
        <f t="array" ref="J1843">IFERROR(INDEX('Retirement Calculator'!K:K,MATCH('Lorri 401b'!N1843,'Retirement Calculator'!A:A,0),0),0)</f>
        <v>0</v>
      </c>
      <c r="K1843" s="455">
        <f t="shared" ca="1" si="118"/>
        <v>-3702159.5084260963</v>
      </c>
      <c r="L1843" s="455">
        <f t="shared" ca="1" si="119"/>
        <v>-892220441.53068924</v>
      </c>
      <c r="M1843" s="471">
        <f t="shared" si="121"/>
        <v>0.05</v>
      </c>
      <c r="N1843" s="475">
        <f t="shared" si="122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20"/>
        <v>-892220441.53068924</v>
      </c>
      <c r="J1844" s="455">
        <f t="array" ref="J1844">IFERROR(INDEX('Retirement Calculator'!K:K,MATCH('Lorri 401b'!N1844,'Retirement Calculator'!A:A,0),0),0)</f>
        <v>0</v>
      </c>
      <c r="K1844" s="455">
        <f t="shared" ca="1" si="118"/>
        <v>-3717585.1730445391</v>
      </c>
      <c r="L1844" s="455">
        <f t="shared" ca="1" si="119"/>
        <v>-895938026.7037338</v>
      </c>
      <c r="M1844" s="471">
        <f t="shared" si="121"/>
        <v>0.05</v>
      </c>
      <c r="N1844" s="475">
        <f t="shared" si="122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20"/>
        <v>-895938026.7037338</v>
      </c>
      <c r="J1845" s="455">
        <f t="array" ref="J1845">IFERROR(INDEX('Retirement Calculator'!K:K,MATCH('Lorri 401b'!N1845,'Retirement Calculator'!A:A,0),0),0)</f>
        <v>0</v>
      </c>
      <c r="K1845" s="455">
        <f t="shared" ca="1" si="118"/>
        <v>-3733075.1112655574</v>
      </c>
      <c r="L1845" s="455">
        <f t="shared" ca="1" si="119"/>
        <v>-899671101.81499934</v>
      </c>
      <c r="M1845" s="471">
        <f t="shared" si="121"/>
        <v>0.05</v>
      </c>
      <c r="N1845" s="475">
        <f t="shared" si="122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20"/>
        <v>-899671101.81499934</v>
      </c>
      <c r="J1846" s="455">
        <f t="array" ref="J1846">IFERROR(INDEX('Retirement Calculator'!K:K,MATCH('Lorri 401b'!N1846,'Retirement Calculator'!A:A,0),0),0)</f>
        <v>0</v>
      </c>
      <c r="K1846" s="455">
        <f t="shared" ca="1" si="118"/>
        <v>-3748629.5908958302</v>
      </c>
      <c r="L1846" s="455">
        <f t="shared" ca="1" si="119"/>
        <v>-903419731.40589511</v>
      </c>
      <c r="M1846" s="471">
        <f t="shared" si="121"/>
        <v>0.05</v>
      </c>
      <c r="N1846" s="475">
        <f t="shared" si="122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20"/>
        <v>-903419731.40589511</v>
      </c>
      <c r="J1847" s="455">
        <f t="array" ref="J1847">IFERROR(INDEX('Retirement Calculator'!K:K,MATCH('Lorri 401b'!N1847,'Retirement Calculator'!A:A,0),0),0)</f>
        <v>0</v>
      </c>
      <c r="K1847" s="455">
        <f t="shared" ca="1" si="118"/>
        <v>-3764248.8808578961</v>
      </c>
      <c r="L1847" s="455">
        <f t="shared" ca="1" si="119"/>
        <v>-907183980.28675306</v>
      </c>
      <c r="M1847" s="471">
        <f t="shared" si="121"/>
        <v>0.05</v>
      </c>
      <c r="N1847" s="475">
        <f t="shared" si="122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20"/>
        <v>-907183980.28675306</v>
      </c>
      <c r="J1848" s="455">
        <f t="array" ref="J1848">IFERROR(INDEX('Retirement Calculator'!K:K,MATCH('Lorri 401b'!N1848,'Retirement Calculator'!A:A,0),0),0)</f>
        <v>0</v>
      </c>
      <c r="K1848" s="455">
        <f t="shared" ca="1" si="118"/>
        <v>-3779933.2511948044</v>
      </c>
      <c r="L1848" s="455">
        <f t="shared" ca="1" si="119"/>
        <v>-910963913.53794789</v>
      </c>
      <c r="M1848" s="471">
        <f t="shared" si="121"/>
        <v>0.05</v>
      </c>
      <c r="N1848" s="475">
        <f t="shared" si="122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20"/>
        <v>-910963913.53794789</v>
      </c>
      <c r="J1849" s="455">
        <f t="array" ref="J1849">IFERROR(INDEX('Retirement Calculator'!K:K,MATCH('Lorri 401b'!N1849,'Retirement Calculator'!A:A,0),0),0)</f>
        <v>0</v>
      </c>
      <c r="K1849" s="455">
        <f t="shared" ca="1" si="118"/>
        <v>-3795682.9730747822</v>
      </c>
      <c r="L1849" s="455">
        <f t="shared" ca="1" si="119"/>
        <v>-914759596.51102269</v>
      </c>
      <c r="M1849" s="471">
        <f t="shared" si="121"/>
        <v>0.05</v>
      </c>
      <c r="N1849" s="475">
        <f t="shared" si="122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20"/>
        <v>-914759596.51102269</v>
      </c>
      <c r="J1850" s="455">
        <f t="array" ref="J1850">IFERROR(INDEX('Retirement Calculator'!K:K,MATCH('Lorri 401b'!N1850,'Retirement Calculator'!A:A,0),0),0)</f>
        <v>0</v>
      </c>
      <c r="K1850" s="455">
        <f t="shared" ca="1" si="118"/>
        <v>-3811498.3187959278</v>
      </c>
      <c r="L1850" s="455">
        <f t="shared" ca="1" si="119"/>
        <v>-918571094.82981861</v>
      </c>
      <c r="M1850" s="471">
        <f t="shared" si="121"/>
        <v>0.05</v>
      </c>
      <c r="N1850" s="475">
        <f t="shared" si="122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20"/>
        <v>-918571094.82981861</v>
      </c>
      <c r="J1851" s="455">
        <f t="array" ref="J1851">IFERROR(INDEX('Retirement Calculator'!K:K,MATCH('Lorri 401b'!N1851,'Retirement Calculator'!A:A,0),0),0)</f>
        <v>0</v>
      </c>
      <c r="K1851" s="455">
        <f t="shared" ca="1" si="118"/>
        <v>-3827379.561790911</v>
      </c>
      <c r="L1851" s="455">
        <f t="shared" ca="1" si="119"/>
        <v>-922398474.39160955</v>
      </c>
      <c r="M1851" s="471">
        <f t="shared" si="121"/>
        <v>0.05</v>
      </c>
      <c r="N1851" s="475">
        <f t="shared" si="122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20"/>
        <v>-922398474.39160955</v>
      </c>
      <c r="J1852" s="455">
        <f t="array" ref="J1852">IFERROR(INDEX('Retirement Calculator'!K:K,MATCH('Lorri 401b'!N1852,'Retirement Calculator'!A:A,0),0),0)</f>
        <v>0</v>
      </c>
      <c r="K1852" s="455">
        <f t="shared" ca="1" si="118"/>
        <v>-3843326.9766317066</v>
      </c>
      <c r="L1852" s="455">
        <f t="shared" ca="1" si="119"/>
        <v>-926241801.36824131</v>
      </c>
      <c r="M1852" s="471">
        <f t="shared" si="121"/>
        <v>0.05</v>
      </c>
      <c r="N1852" s="475">
        <f t="shared" si="122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20"/>
        <v>-926241801.36824131</v>
      </c>
      <c r="J1853" s="455">
        <f t="array" ref="J1853">IFERROR(INDEX('Retirement Calculator'!K:K,MATCH('Lorri 401b'!N1853,'Retirement Calculator'!A:A,0),0),0)</f>
        <v>0</v>
      </c>
      <c r="K1853" s="455">
        <f t="shared" ca="1" si="118"/>
        <v>-3859340.8390343389</v>
      </c>
      <c r="L1853" s="455">
        <f t="shared" ca="1" si="119"/>
        <v>-930101142.20727563</v>
      </c>
      <c r="M1853" s="471">
        <f t="shared" si="121"/>
        <v>0.05</v>
      </c>
      <c r="N1853" s="475">
        <f t="shared" si="122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20"/>
        <v>-930101142.20727563</v>
      </c>
      <c r="J1854" s="455">
        <f t="array" ref="J1854">IFERROR(INDEX('Retirement Calculator'!K:K,MATCH('Lorri 401b'!N1854,'Retirement Calculator'!A:A,0),0),0)</f>
        <v>0</v>
      </c>
      <c r="K1854" s="455">
        <f t="shared" ca="1" si="118"/>
        <v>-3875421.4258636483</v>
      </c>
      <c r="L1854" s="455">
        <f t="shared" ca="1" si="119"/>
        <v>-933976563.63313925</v>
      </c>
      <c r="M1854" s="471">
        <f t="shared" si="121"/>
        <v>0.05</v>
      </c>
      <c r="N1854" s="475">
        <f t="shared" si="122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20"/>
        <v>-933976563.63313925</v>
      </c>
      <c r="J1855" s="455">
        <f t="array" ref="J1855">IFERROR(INDEX('Retirement Calculator'!K:K,MATCH('Lorri 401b'!N1855,'Retirement Calculator'!A:A,0),0),0)</f>
        <v>0</v>
      </c>
      <c r="K1855" s="455">
        <f t="shared" ca="1" si="118"/>
        <v>-3891569.0151380803</v>
      </c>
      <c r="L1855" s="455">
        <f t="shared" ca="1" si="119"/>
        <v>-937868132.64827728</v>
      </c>
      <c r="M1855" s="471">
        <f t="shared" si="121"/>
        <v>0.05</v>
      </c>
      <c r="N1855" s="475">
        <f t="shared" si="122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20"/>
        <v>-937868132.64827728</v>
      </c>
      <c r="J1856" s="455">
        <f t="array" ref="J1856">IFERROR(INDEX('Retirement Calculator'!K:K,MATCH('Lorri 401b'!N1856,'Retirement Calculator'!A:A,0),0),0)</f>
        <v>0</v>
      </c>
      <c r="K1856" s="455">
        <f t="shared" ca="1" si="118"/>
        <v>-3907783.8860344887</v>
      </c>
      <c r="L1856" s="455">
        <f t="shared" ca="1" si="119"/>
        <v>-941775916.53431177</v>
      </c>
      <c r="M1856" s="471">
        <f t="shared" si="121"/>
        <v>0.05</v>
      </c>
      <c r="N1856" s="475">
        <f t="shared" si="122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20"/>
        <v>-941775916.53431177</v>
      </c>
      <c r="J1857" s="455">
        <f t="array" ref="J1857">IFERROR(INDEX('Retirement Calculator'!K:K,MATCH('Lorri 401b'!N1857,'Retirement Calculator'!A:A,0),0),0)</f>
        <v>0</v>
      </c>
      <c r="K1857" s="455">
        <f t="shared" ca="1" si="118"/>
        <v>-3924066.3188929656</v>
      </c>
      <c r="L1857" s="455">
        <f t="shared" ca="1" si="119"/>
        <v>-945699982.85320473</v>
      </c>
      <c r="M1857" s="471">
        <f t="shared" si="121"/>
        <v>0.05</v>
      </c>
      <c r="N1857" s="475">
        <f t="shared" si="122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20"/>
        <v>-945699982.85320473</v>
      </c>
      <c r="J1858" s="455">
        <f t="array" ref="J1858">IFERROR(INDEX('Retirement Calculator'!K:K,MATCH('Lorri 401b'!N1858,'Retirement Calculator'!A:A,0),0),0)</f>
        <v>0</v>
      </c>
      <c r="K1858" s="455">
        <f t="shared" ca="1" si="118"/>
        <v>-3940416.5952216862</v>
      </c>
      <c r="L1858" s="455">
        <f t="shared" ca="1" si="119"/>
        <v>-949640399.44842637</v>
      </c>
      <c r="M1858" s="471">
        <f t="shared" si="121"/>
        <v>0.05</v>
      </c>
      <c r="N1858" s="475">
        <f t="shared" si="122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20"/>
        <v>-949640399.44842637</v>
      </c>
      <c r="J1859" s="455">
        <f t="array" ref="J1859">IFERROR(INDEX('Retirement Calculator'!K:K,MATCH('Lorri 401b'!N1859,'Retirement Calculator'!A:A,0),0),0)</f>
        <v>0</v>
      </c>
      <c r="K1859" s="455">
        <f t="shared" ca="1" si="118"/>
        <v>-3956834.9977017771</v>
      </c>
      <c r="L1859" s="455">
        <f t="shared" ca="1" si="119"/>
        <v>-953597234.44612813</v>
      </c>
      <c r="M1859" s="471">
        <f t="shared" si="121"/>
        <v>0.05</v>
      </c>
      <c r="N1859" s="475">
        <f t="shared" si="122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20"/>
        <v>-953597234.44612813</v>
      </c>
      <c r="J1860" s="455">
        <f t="array" ref="J1860">IFERROR(INDEX('Retirement Calculator'!K:K,MATCH('Lorri 401b'!N1860,'Retirement Calculator'!A:A,0),0),0)</f>
        <v>0</v>
      </c>
      <c r="K1860" s="455">
        <f t="shared" ca="1" si="118"/>
        <v>-3973321.8101922008</v>
      </c>
      <c r="L1860" s="455">
        <f t="shared" ca="1" si="119"/>
        <v>-957570556.25632036</v>
      </c>
      <c r="M1860" s="471">
        <f t="shared" si="121"/>
        <v>0.05</v>
      </c>
      <c r="N1860" s="475">
        <f t="shared" si="122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20"/>
        <v>-957570556.25632036</v>
      </c>
      <c r="J1861" s="455">
        <f t="array" ref="J1861">IFERROR(INDEX('Retirement Calculator'!K:K,MATCH('Lorri 401b'!N1861,'Retirement Calculator'!A:A,0),0),0)</f>
        <v>0</v>
      </c>
      <c r="K1861" s="455">
        <f t="shared" ca="1" si="118"/>
        <v>-3989877.317734668</v>
      </c>
      <c r="L1861" s="455">
        <f t="shared" ca="1" si="119"/>
        <v>-961560433.57405508</v>
      </c>
      <c r="M1861" s="471">
        <f t="shared" si="121"/>
        <v>0.05</v>
      </c>
      <c r="N1861" s="475">
        <f t="shared" si="122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20"/>
        <v>-961560433.57405508</v>
      </c>
      <c r="J1862" s="455">
        <f t="array" ref="J1862">IFERROR(INDEX('Retirement Calculator'!K:K,MATCH('Lorri 401b'!N1862,'Retirement Calculator'!A:A,0),0),0)</f>
        <v>0</v>
      </c>
      <c r="K1862" s="455">
        <f t="shared" ca="1" si="118"/>
        <v>-4006501.8065585629</v>
      </c>
      <c r="L1862" s="455">
        <f t="shared" ca="1" si="119"/>
        <v>-965566935.38061368</v>
      </c>
      <c r="M1862" s="471">
        <f t="shared" si="121"/>
        <v>0.05</v>
      </c>
      <c r="N1862" s="475">
        <f t="shared" si="122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20"/>
        <v>-965566935.38061368</v>
      </c>
      <c r="J1863" s="455">
        <f t="array" ref="J1863">IFERROR(INDEX('Retirement Calculator'!K:K,MATCH('Lorri 401b'!N1863,'Retirement Calculator'!A:A,0),0),0)</f>
        <v>0</v>
      </c>
      <c r="K1863" s="455">
        <f t="shared" ca="1" si="118"/>
        <v>-4023195.5640858901</v>
      </c>
      <c r="L1863" s="455">
        <f t="shared" ca="1" si="119"/>
        <v>-969590130.94469953</v>
      </c>
      <c r="M1863" s="471">
        <f t="shared" si="121"/>
        <v>0.05</v>
      </c>
      <c r="N1863" s="475">
        <f t="shared" si="122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20"/>
        <v>-969590130.94469953</v>
      </c>
      <c r="J1864" s="455">
        <f t="array" ref="J1864">IFERROR(INDEX('Retirement Calculator'!K:K,MATCH('Lorri 401b'!N1864,'Retirement Calculator'!A:A,0),0),0)</f>
        <v>0</v>
      </c>
      <c r="K1864" s="455">
        <f t="shared" ca="1" si="118"/>
        <v>-4039958.8789362479</v>
      </c>
      <c r="L1864" s="455">
        <f t="shared" ca="1" si="119"/>
        <v>-973630089.82363582</v>
      </c>
      <c r="M1864" s="471">
        <f t="shared" si="121"/>
        <v>0.05</v>
      </c>
      <c r="N1864" s="475">
        <f t="shared" si="122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20"/>
        <v>-973630089.82363582</v>
      </c>
      <c r="J1865" s="455">
        <f t="array" ref="J1865">IFERROR(INDEX('Retirement Calculator'!K:K,MATCH('Lorri 401b'!N1865,'Retirement Calculator'!A:A,0),0),0)</f>
        <v>0</v>
      </c>
      <c r="K1865" s="455">
        <f t="shared" ca="1" si="118"/>
        <v>-4056792.0409318157</v>
      </c>
      <c r="L1865" s="455">
        <f t="shared" ca="1" si="119"/>
        <v>-977686881.86456764</v>
      </c>
      <c r="M1865" s="471">
        <f t="shared" si="121"/>
        <v>0.05</v>
      </c>
      <c r="N1865" s="475">
        <f t="shared" si="122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20"/>
        <v>-977686881.86456764</v>
      </c>
      <c r="J1866" s="455">
        <f t="array" ref="J1866">IFERROR(INDEX('Retirement Calculator'!K:K,MATCH('Lorri 401b'!N1866,'Retirement Calculator'!A:A,0),0),0)</f>
        <v>0</v>
      </c>
      <c r="K1866" s="455">
        <f t="shared" ca="1" si="118"/>
        <v>-4073695.3411023649</v>
      </c>
      <c r="L1866" s="455">
        <f t="shared" ca="1" si="119"/>
        <v>-981760577.20567</v>
      </c>
      <c r="M1866" s="471">
        <f t="shared" si="121"/>
        <v>0.05</v>
      </c>
      <c r="N1866" s="475">
        <f t="shared" si="122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20"/>
        <v>-981760577.20567</v>
      </c>
      <c r="J1867" s="455">
        <f t="array" ref="J1867">IFERROR(INDEX('Retirement Calculator'!K:K,MATCH('Lorri 401b'!N1867,'Retirement Calculator'!A:A,0),0),0)</f>
        <v>0</v>
      </c>
      <c r="K1867" s="455">
        <f t="shared" ca="1" si="118"/>
        <v>-4090669.0716902916</v>
      </c>
      <c r="L1867" s="455">
        <f t="shared" ca="1" si="119"/>
        <v>-985851246.27736032</v>
      </c>
      <c r="M1867" s="471">
        <f t="shared" si="121"/>
        <v>0.05</v>
      </c>
      <c r="N1867" s="475">
        <f t="shared" si="122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20"/>
        <v>-985851246.27736032</v>
      </c>
      <c r="J1868" s="455">
        <f t="array" ref="J1868">IFERROR(INDEX('Retirement Calculator'!K:K,MATCH('Lorri 401b'!N1868,'Retirement Calculator'!A:A,0),0),0)</f>
        <v>0</v>
      </c>
      <c r="K1868" s="455">
        <f t="shared" ca="1" si="118"/>
        <v>-4107713.5261556683</v>
      </c>
      <c r="L1868" s="455">
        <f t="shared" ca="1" si="119"/>
        <v>-989958959.80351603</v>
      </c>
      <c r="M1868" s="471">
        <f t="shared" si="121"/>
        <v>0.05</v>
      </c>
      <c r="N1868" s="475">
        <f t="shared" si="122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20"/>
        <v>-989958959.80351603</v>
      </c>
      <c r="J1869" s="455">
        <f t="array" ref="J1869">IFERROR(INDEX('Retirement Calculator'!K:K,MATCH('Lorri 401b'!N1869,'Retirement Calculator'!A:A,0),0),0)</f>
        <v>0</v>
      </c>
      <c r="K1869" s="455">
        <f t="shared" ca="1" si="118"/>
        <v>-4124828.9991813162</v>
      </c>
      <c r="L1869" s="455">
        <f t="shared" ca="1" si="119"/>
        <v>-994083788.8026973</v>
      </c>
      <c r="M1869" s="471">
        <f t="shared" si="121"/>
        <v>0.05</v>
      </c>
      <c r="N1869" s="475">
        <f t="shared" si="122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20"/>
        <v>-994083788.8026973</v>
      </c>
      <c r="J1870" s="455">
        <f t="array" ref="J1870">IFERROR(INDEX('Retirement Calculator'!K:K,MATCH('Lorri 401b'!N1870,'Retirement Calculator'!A:A,0),0),0)</f>
        <v>0</v>
      </c>
      <c r="K1870" s="455">
        <f t="shared" ca="1" si="118"/>
        <v>-4142015.7866779054</v>
      </c>
      <c r="L1870" s="455">
        <f t="shared" ca="1" si="119"/>
        <v>-998225804.58937526</v>
      </c>
      <c r="M1870" s="471">
        <f t="shared" si="121"/>
        <v>0.05</v>
      </c>
      <c r="N1870" s="475">
        <f t="shared" si="122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20"/>
        <v>-998225804.58937526</v>
      </c>
      <c r="J1871" s="455">
        <f t="array" ref="J1871">IFERROR(INDEX('Retirement Calculator'!K:K,MATCH('Lorri 401b'!N1871,'Retirement Calculator'!A:A,0),0),0)</f>
        <v>0</v>
      </c>
      <c r="K1871" s="455">
        <f t="shared" ca="1" si="118"/>
        <v>-4159274.1857890636</v>
      </c>
      <c r="L1871" s="455">
        <f t="shared" ca="1" si="119"/>
        <v>-1002385078.7751644</v>
      </c>
      <c r="M1871" s="471">
        <f t="shared" si="121"/>
        <v>0.05</v>
      </c>
      <c r="N1871" s="475">
        <f t="shared" si="122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20"/>
        <v>-1002385078.7751644</v>
      </c>
      <c r="J1872" s="455">
        <f t="array" ref="J1872">IFERROR(INDEX('Retirement Calculator'!K:K,MATCH('Lorri 401b'!N1872,'Retirement Calculator'!A:A,0),0),0)</f>
        <v>0</v>
      </c>
      <c r="K1872" s="455">
        <f t="shared" ca="1" si="118"/>
        <v>-4176604.4948965185</v>
      </c>
      <c r="L1872" s="455">
        <f t="shared" ca="1" si="119"/>
        <v>-1006561683.2700609</v>
      </c>
      <c r="M1872" s="471">
        <f t="shared" si="121"/>
        <v>0.05</v>
      </c>
      <c r="N1872" s="475">
        <f t="shared" si="122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20"/>
        <v>-1006561683.2700609</v>
      </c>
      <c r="J1873" s="455">
        <f t="array" ref="J1873">IFERROR(INDEX('Retirement Calculator'!K:K,MATCH('Lorri 401b'!N1873,'Retirement Calculator'!A:A,0),0),0)</f>
        <v>0</v>
      </c>
      <c r="K1873" s="455">
        <f t="shared" ca="1" si="118"/>
        <v>-4194007.0136252535</v>
      </c>
      <c r="L1873" s="455">
        <f t="shared" ca="1" si="119"/>
        <v>-1010755690.2836862</v>
      </c>
      <c r="M1873" s="471">
        <f t="shared" si="121"/>
        <v>0.05</v>
      </c>
      <c r="N1873" s="475">
        <f t="shared" si="122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20"/>
        <v>-1010755690.2836862</v>
      </c>
      <c r="J1874" s="455">
        <f t="array" ref="J1874">IFERROR(INDEX('Retirement Calculator'!K:K,MATCH('Lorri 401b'!N1874,'Retirement Calculator'!A:A,0),0),0)</f>
        <v>0</v>
      </c>
      <c r="K1874" s="455">
        <f t="shared" ca="1" si="118"/>
        <v>-4211482.0428486932</v>
      </c>
      <c r="L1874" s="455">
        <f t="shared" ca="1" si="119"/>
        <v>-1014967172.3265349</v>
      </c>
      <c r="M1874" s="471">
        <f t="shared" si="121"/>
        <v>0.05</v>
      </c>
      <c r="N1874" s="475">
        <f t="shared" si="122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20"/>
        <v>-1014967172.3265349</v>
      </c>
      <c r="J1875" s="455">
        <f t="array" ref="J1875">IFERROR(INDEX('Retirement Calculator'!K:K,MATCH('Lorri 401b'!N1875,'Retirement Calculator'!A:A,0),0),0)</f>
        <v>0</v>
      </c>
      <c r="K1875" s="455">
        <f t="shared" ca="1" si="118"/>
        <v>-4229029.8846938955</v>
      </c>
      <c r="L1875" s="455">
        <f t="shared" ca="1" si="119"/>
        <v>-1019196202.2112287</v>
      </c>
      <c r="M1875" s="471">
        <f t="shared" si="121"/>
        <v>0.05</v>
      </c>
      <c r="N1875" s="475">
        <f t="shared" si="122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20"/>
        <v>-1019196202.2112287</v>
      </c>
      <c r="J1876" s="455">
        <f t="array" ref="J1876">IFERROR(INDEX('Retirement Calculator'!K:K,MATCH('Lorri 401b'!N1876,'Retirement Calculator'!A:A,0),0),0)</f>
        <v>0</v>
      </c>
      <c r="K1876" s="455">
        <f t="shared" ca="1" si="118"/>
        <v>-4246650.8425467871</v>
      </c>
      <c r="L1876" s="455">
        <f t="shared" ca="1" si="119"/>
        <v>-1023442853.0537755</v>
      </c>
      <c r="M1876" s="471">
        <f t="shared" si="121"/>
        <v>0.05</v>
      </c>
      <c r="N1876" s="475">
        <f t="shared" si="122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20"/>
        <v>-1023442853.0537755</v>
      </c>
      <c r="J1877" s="455">
        <f t="array" ref="J1877">IFERROR(INDEX('Retirement Calculator'!K:K,MATCH('Lorri 401b'!N1877,'Retirement Calculator'!A:A,0),0),0)</f>
        <v>0</v>
      </c>
      <c r="K1877" s="455">
        <f t="shared" ca="1" si="118"/>
        <v>-4264345.2210573982</v>
      </c>
      <c r="L1877" s="455">
        <f t="shared" ca="1" si="119"/>
        <v>-1027707198.274833</v>
      </c>
      <c r="M1877" s="471">
        <f t="shared" si="121"/>
        <v>0.05</v>
      </c>
      <c r="N1877" s="475">
        <f t="shared" si="122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20"/>
        <v>-1027707198.274833</v>
      </c>
      <c r="J1878" s="455">
        <f t="array" ref="J1878">IFERROR(INDEX('Retirement Calculator'!K:K,MATCH('Lorri 401b'!N1878,'Retirement Calculator'!A:A,0),0),0)</f>
        <v>0</v>
      </c>
      <c r="K1878" s="455">
        <f t="shared" ca="1" si="118"/>
        <v>-4282113.3261451377</v>
      </c>
      <c r="L1878" s="455">
        <f t="shared" ca="1" si="119"/>
        <v>-1031989311.6009781</v>
      </c>
      <c r="M1878" s="471">
        <f t="shared" si="121"/>
        <v>0.05</v>
      </c>
      <c r="N1878" s="475">
        <f t="shared" si="122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20"/>
        <v>-1031989311.6009781</v>
      </c>
      <c r="J1879" s="455">
        <f t="array" ref="J1879">IFERROR(INDEX('Retirement Calculator'!K:K,MATCH('Lorri 401b'!N1879,'Retirement Calculator'!A:A,0),0),0)</f>
        <v>0</v>
      </c>
      <c r="K1879" s="455">
        <f t="shared" ca="1" si="118"/>
        <v>-4299955.4650040753</v>
      </c>
      <c r="L1879" s="455">
        <f t="shared" ca="1" si="119"/>
        <v>-1036289267.0659822</v>
      </c>
      <c r="M1879" s="471">
        <f t="shared" si="121"/>
        <v>0.05</v>
      </c>
      <c r="N1879" s="475">
        <f t="shared" si="122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20"/>
        <v>-1036289267.0659822</v>
      </c>
      <c r="J1880" s="455">
        <f t="array" ref="J1880">IFERROR(INDEX('Retirement Calculator'!K:K,MATCH('Lorri 401b'!N1880,'Retirement Calculator'!A:A,0),0),0)</f>
        <v>0</v>
      </c>
      <c r="K1880" s="455">
        <f t="shared" ca="1" si="118"/>
        <v>-4317871.9461082583</v>
      </c>
      <c r="L1880" s="455">
        <f t="shared" ca="1" si="119"/>
        <v>-1040607139.0120904</v>
      </c>
      <c r="M1880" s="471">
        <f t="shared" si="121"/>
        <v>0.05</v>
      </c>
      <c r="N1880" s="475">
        <f t="shared" si="122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20"/>
        <v>-1040607139.0120904</v>
      </c>
      <c r="J1881" s="455">
        <f t="array" ref="J1881">IFERROR(INDEX('Retirement Calculator'!K:K,MATCH('Lorri 401b'!N1881,'Retirement Calculator'!A:A,0),0),0)</f>
        <v>0</v>
      </c>
      <c r="K1881" s="455">
        <f t="shared" ca="1" si="118"/>
        <v>-4335863.0792170437</v>
      </c>
      <c r="L1881" s="455">
        <f t="shared" ca="1" si="119"/>
        <v>-1044943002.0913075</v>
      </c>
      <c r="M1881" s="471">
        <f t="shared" si="121"/>
        <v>0.05</v>
      </c>
      <c r="N1881" s="475">
        <f t="shared" si="122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20"/>
        <v>-1044943002.0913075</v>
      </c>
      <c r="J1882" s="455">
        <f t="array" ref="J1882">IFERROR(INDEX('Retirement Calculator'!K:K,MATCH('Lorri 401b'!N1882,'Retirement Calculator'!A:A,0),0),0)</f>
        <v>0</v>
      </c>
      <c r="K1882" s="455">
        <f t="shared" ca="1" si="118"/>
        <v>-4353929.1753804488</v>
      </c>
      <c r="L1882" s="455">
        <f t="shared" ca="1" si="119"/>
        <v>-1049296931.266688</v>
      </c>
      <c r="M1882" s="471">
        <f t="shared" si="121"/>
        <v>0.05</v>
      </c>
      <c r="N1882" s="475">
        <f t="shared" si="122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20"/>
        <v>-1049296931.266688</v>
      </c>
      <c r="J1883" s="455">
        <f t="array" ref="J1883">IFERROR(INDEX('Retirement Calculator'!K:K,MATCH('Lorri 401b'!N1883,'Retirement Calculator'!A:A,0),0),0)</f>
        <v>0</v>
      </c>
      <c r="K1883" s="455">
        <f t="shared" ca="1" si="118"/>
        <v>-4372070.5469445325</v>
      </c>
      <c r="L1883" s="455">
        <f t="shared" ca="1" si="119"/>
        <v>-1053669001.8136325</v>
      </c>
      <c r="M1883" s="471">
        <f t="shared" si="121"/>
        <v>0.05</v>
      </c>
      <c r="N1883" s="475">
        <f t="shared" si="122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20"/>
        <v>-1053669001.8136325</v>
      </c>
      <c r="J1884" s="455">
        <f t="array" ref="J1884">IFERROR(INDEX('Retirement Calculator'!K:K,MATCH('Lorri 401b'!N1884,'Retirement Calculator'!A:A,0),0),0)</f>
        <v>0</v>
      </c>
      <c r="K1884" s="455">
        <f t="shared" ca="1" si="118"/>
        <v>-4390287.5075568017</v>
      </c>
      <c r="L1884" s="455">
        <f t="shared" ca="1" si="119"/>
        <v>-1058059289.3211893</v>
      </c>
      <c r="M1884" s="471">
        <f t="shared" si="121"/>
        <v>0.05</v>
      </c>
      <c r="N1884" s="475">
        <f t="shared" si="122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20"/>
        <v>-1058059289.3211893</v>
      </c>
      <c r="J1885" s="455">
        <f t="array" ref="J1885">IFERROR(INDEX('Retirement Calculator'!K:K,MATCH('Lorri 401b'!N1885,'Retirement Calculator'!A:A,0),0),0)</f>
        <v>0</v>
      </c>
      <c r="K1885" s="455">
        <f t="shared" ca="1" si="118"/>
        <v>-4408580.3721716218</v>
      </c>
      <c r="L1885" s="455">
        <f t="shared" ca="1" si="119"/>
        <v>-1062467869.6933609</v>
      </c>
      <c r="M1885" s="471">
        <f t="shared" si="121"/>
        <v>0.05</v>
      </c>
      <c r="N1885" s="475">
        <f t="shared" si="122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20"/>
        <v>-1062467869.6933609</v>
      </c>
      <c r="J1886" s="455">
        <f t="array" ref="J1886">IFERROR(INDEX('Retirement Calculator'!K:K,MATCH('Lorri 401b'!N1886,'Retirement Calculator'!A:A,0),0),0)</f>
        <v>0</v>
      </c>
      <c r="K1886" s="455">
        <f t="shared" ca="1" si="118"/>
        <v>-4426949.4570556702</v>
      </c>
      <c r="L1886" s="455">
        <f t="shared" ca="1" si="119"/>
        <v>-1066894819.1504166</v>
      </c>
      <c r="M1886" s="471">
        <f t="shared" si="121"/>
        <v>0.05</v>
      </c>
      <c r="N1886" s="475">
        <f t="shared" si="122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20"/>
        <v>-1066894819.1504166</v>
      </c>
      <c r="J1887" s="455">
        <f t="array" ref="J1887">IFERROR(INDEX('Retirement Calculator'!K:K,MATCH('Lorri 401b'!N1887,'Retirement Calculator'!A:A,0),0),0)</f>
        <v>0</v>
      </c>
      <c r="K1887" s="455">
        <f t="shared" ca="1" si="118"/>
        <v>-4445395.0797934029</v>
      </c>
      <c r="L1887" s="455">
        <f t="shared" ca="1" si="119"/>
        <v>-1071340214.2302101</v>
      </c>
      <c r="M1887" s="471">
        <f t="shared" si="121"/>
        <v>0.05</v>
      </c>
      <c r="N1887" s="475">
        <f t="shared" si="122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20"/>
        <v>-1071340214.2302101</v>
      </c>
      <c r="J1888" s="455">
        <f t="array" ref="J1888">IFERROR(INDEX('Retirement Calculator'!K:K,MATCH('Lorri 401b'!N1888,'Retirement Calculator'!A:A,0),0),0)</f>
        <v>0</v>
      </c>
      <c r="K1888" s="455">
        <f t="shared" ca="1" si="118"/>
        <v>-4463917.5592925427</v>
      </c>
      <c r="L1888" s="455">
        <f t="shared" ca="1" si="119"/>
        <v>-1075804131.7895026</v>
      </c>
      <c r="M1888" s="471">
        <f t="shared" si="121"/>
        <v>0.05</v>
      </c>
      <c r="N1888" s="475">
        <f t="shared" si="122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20"/>
        <v>-1075804131.7895026</v>
      </c>
      <c r="J1889" s="455">
        <f t="array" ref="J1889">IFERROR(INDEX('Retirement Calculator'!K:K,MATCH('Lorri 401b'!N1889,'Retirement Calculator'!A:A,0),0),0)</f>
        <v>0</v>
      </c>
      <c r="K1889" s="455">
        <f t="shared" ca="1" si="118"/>
        <v>-4482517.2157895938</v>
      </c>
      <c r="L1889" s="455">
        <f t="shared" ca="1" si="119"/>
        <v>-1080286649.0052922</v>
      </c>
      <c r="M1889" s="471">
        <f t="shared" si="121"/>
        <v>0.05</v>
      </c>
      <c r="N1889" s="475">
        <f t="shared" si="122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20"/>
        <v>-1080286649.0052922</v>
      </c>
      <c r="J1890" s="455">
        <f t="array" ref="J1890">IFERROR(INDEX('Retirement Calculator'!K:K,MATCH('Lorri 401b'!N1890,'Retirement Calculator'!A:A,0),0),0)</f>
        <v>0</v>
      </c>
      <c r="K1890" s="455">
        <f t="shared" ca="1" si="118"/>
        <v>-4501194.3708553836</v>
      </c>
      <c r="L1890" s="455">
        <f t="shared" ca="1" si="119"/>
        <v>-1084787843.3761475</v>
      </c>
      <c r="M1890" s="471">
        <f t="shared" si="121"/>
        <v>0.05</v>
      </c>
      <c r="N1890" s="475">
        <f t="shared" si="122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20"/>
        <v>-1084787843.3761475</v>
      </c>
      <c r="J1891" s="455">
        <f t="array" ref="J1891">IFERROR(INDEX('Retirement Calculator'!K:K,MATCH('Lorri 401b'!N1891,'Retirement Calculator'!A:A,0),0),0)</f>
        <v>0</v>
      </c>
      <c r="K1891" s="455">
        <f t="shared" ca="1" si="118"/>
        <v>-4519949.347400615</v>
      </c>
      <c r="L1891" s="455">
        <f t="shared" ca="1" si="119"/>
        <v>-1089307792.7235482</v>
      </c>
      <c r="M1891" s="471">
        <f t="shared" si="121"/>
        <v>0.05</v>
      </c>
      <c r="N1891" s="475">
        <f t="shared" si="122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20"/>
        <v>-1089307792.7235482</v>
      </c>
      <c r="J1892" s="455">
        <f t="array" ref="J1892">IFERROR(INDEX('Retirement Calculator'!K:K,MATCH('Lorri 401b'!N1892,'Retirement Calculator'!A:A,0),0),0)</f>
        <v>0</v>
      </c>
      <c r="K1892" s="455">
        <f t="shared" ca="1" si="118"/>
        <v>-4538782.4696814511</v>
      </c>
      <c r="L1892" s="455">
        <f t="shared" ca="1" si="119"/>
        <v>-1093846575.1932297</v>
      </c>
      <c r="M1892" s="471">
        <f t="shared" si="121"/>
        <v>0.05</v>
      </c>
      <c r="N1892" s="475">
        <f t="shared" si="122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20"/>
        <v>-1093846575.1932297</v>
      </c>
      <c r="J1893" s="455">
        <f t="array" ref="J1893">IFERROR(INDEX('Retirement Calculator'!K:K,MATCH('Lorri 401b'!N1893,'Retirement Calculator'!A:A,0),0),0)</f>
        <v>0</v>
      </c>
      <c r="K1893" s="455">
        <f t="shared" ca="1" si="118"/>
        <v>-4557694.0633051237</v>
      </c>
      <c r="L1893" s="455">
        <f t="shared" ca="1" si="119"/>
        <v>-1098404269.2565348</v>
      </c>
      <c r="M1893" s="471">
        <f t="shared" si="121"/>
        <v>0.05</v>
      </c>
      <c r="N1893" s="475">
        <f t="shared" si="122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20"/>
        <v>-1098404269.2565348</v>
      </c>
      <c r="J1894" s="455">
        <f t="array" ref="J1894">IFERROR(INDEX('Retirement Calculator'!K:K,MATCH('Lorri 401b'!N1894,'Retirement Calculator'!A:A,0),0),0)</f>
        <v>0</v>
      </c>
      <c r="K1894" s="455">
        <f t="shared" ca="1" si="118"/>
        <v>-4576684.4552355614</v>
      </c>
      <c r="L1894" s="455">
        <f t="shared" ca="1" si="119"/>
        <v>-1102980953.7117703</v>
      </c>
      <c r="M1894" s="471">
        <f t="shared" si="121"/>
        <v>0.05</v>
      </c>
      <c r="N1894" s="475">
        <f t="shared" si="122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20"/>
        <v>-1102980953.7117703</v>
      </c>
      <c r="J1895" s="455">
        <f t="array" ref="J1895">IFERROR(INDEX('Retirement Calculator'!K:K,MATCH('Lorri 401b'!N1895,'Retirement Calculator'!A:A,0),0),0)</f>
        <v>0</v>
      </c>
      <c r="K1895" s="455">
        <f t="shared" ca="1" si="118"/>
        <v>-4595753.9737990424</v>
      </c>
      <c r="L1895" s="455">
        <f t="shared" ca="1" si="119"/>
        <v>-1107576707.6855693</v>
      </c>
      <c r="M1895" s="471">
        <f t="shared" si="121"/>
        <v>0.05</v>
      </c>
      <c r="N1895" s="475">
        <f t="shared" si="122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20"/>
        <v>-1107576707.6855693</v>
      </c>
      <c r="J1896" s="455">
        <f t="array" ref="J1896">IFERROR(INDEX('Retirement Calculator'!K:K,MATCH('Lorri 401b'!N1896,'Retirement Calculator'!A:A,0),0),0)</f>
        <v>0</v>
      </c>
      <c r="K1896" s="455">
        <f t="shared" ca="1" si="118"/>
        <v>-4614902.9486898724</v>
      </c>
      <c r="L1896" s="455">
        <f t="shared" ca="1" si="119"/>
        <v>-1112191610.6342592</v>
      </c>
      <c r="M1896" s="471">
        <f t="shared" si="121"/>
        <v>0.05</v>
      </c>
      <c r="N1896" s="475">
        <f t="shared" si="122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20"/>
        <v>-1112191610.6342592</v>
      </c>
      <c r="J1897" s="455">
        <f t="array" ref="J1897">IFERROR(INDEX('Retirement Calculator'!K:K,MATCH('Lorri 401b'!N1897,'Retirement Calculator'!A:A,0),0),0)</f>
        <v>0</v>
      </c>
      <c r="K1897" s="455">
        <f t="shared" ca="1" si="118"/>
        <v>-4634131.71097608</v>
      </c>
      <c r="L1897" s="455">
        <f t="shared" ca="1" si="119"/>
        <v>-1116825742.3452353</v>
      </c>
      <c r="M1897" s="471">
        <f t="shared" si="121"/>
        <v>0.05</v>
      </c>
      <c r="N1897" s="475">
        <f t="shared" si="122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20"/>
        <v>-1116825742.3452353</v>
      </c>
      <c r="J1898" s="455">
        <f t="array" ref="J1898">IFERROR(INDEX('Retirement Calculator'!K:K,MATCH('Lorri 401b'!N1898,'Retirement Calculator'!A:A,0),0),0)</f>
        <v>0</v>
      </c>
      <c r="K1898" s="455">
        <f t="shared" ca="1" si="118"/>
        <v>-4653440.5931051476</v>
      </c>
      <c r="L1898" s="455">
        <f t="shared" ca="1" si="119"/>
        <v>-1121479182.9383404</v>
      </c>
      <c r="M1898" s="471">
        <f t="shared" si="121"/>
        <v>0.05</v>
      </c>
      <c r="N1898" s="475">
        <f t="shared" si="122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20"/>
        <v>-1121479182.9383404</v>
      </c>
      <c r="J1899" s="455">
        <f t="array" ref="J1899">IFERROR(INDEX('Retirement Calculator'!K:K,MATCH('Lorri 401b'!N1899,'Retirement Calculator'!A:A,0),0),0)</f>
        <v>0</v>
      </c>
      <c r="K1899" s="455">
        <f t="shared" ca="1" si="118"/>
        <v>-4672829.9289097516</v>
      </c>
      <c r="L1899" s="455">
        <f t="shared" ca="1" si="119"/>
        <v>-1126152012.8672502</v>
      </c>
      <c r="M1899" s="471">
        <f t="shared" si="121"/>
        <v>0.05</v>
      </c>
      <c r="N1899" s="475">
        <f t="shared" si="122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20"/>
        <v>-1126152012.8672502</v>
      </c>
      <c r="J1900" s="455">
        <f t="array" ref="J1900">IFERROR(INDEX('Retirement Calculator'!K:K,MATCH('Lorri 401b'!N1900,'Retirement Calculator'!A:A,0),0),0)</f>
        <v>0</v>
      </c>
      <c r="K1900" s="455">
        <f t="shared" ca="1" si="118"/>
        <v>-4692300.0536135426</v>
      </c>
      <c r="L1900" s="455">
        <f t="shared" ca="1" si="119"/>
        <v>-1130844312.9208636</v>
      </c>
      <c r="M1900" s="471">
        <f t="shared" si="121"/>
        <v>0.05</v>
      </c>
      <c r="N1900" s="475">
        <f t="shared" si="122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20"/>
        <v>-1130844312.9208636</v>
      </c>
      <c r="J1901" s="455">
        <f t="array" ref="J1901">IFERROR(INDEX('Retirement Calculator'!K:K,MATCH('Lorri 401b'!N1901,'Retirement Calculator'!A:A,0),0),0)</f>
        <v>0</v>
      </c>
      <c r="K1901" s="455">
        <f t="shared" ca="1" si="118"/>
        <v>-4711851.3038369315</v>
      </c>
      <c r="L1901" s="455">
        <f t="shared" ca="1" si="119"/>
        <v>-1135556164.2247005</v>
      </c>
      <c r="M1901" s="471">
        <f t="shared" si="121"/>
        <v>0.05</v>
      </c>
      <c r="N1901" s="475">
        <f t="shared" si="122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20"/>
        <v>-1135556164.2247005</v>
      </c>
      <c r="J1902" s="455">
        <f t="array" ref="J1902">IFERROR(INDEX('Retirement Calculator'!K:K,MATCH('Lorri 401b'!N1902,'Retirement Calculator'!A:A,0),0),0)</f>
        <v>0</v>
      </c>
      <c r="K1902" s="455">
        <f t="shared" ca="1" si="118"/>
        <v>-4731484.0176029187</v>
      </c>
      <c r="L1902" s="455">
        <f t="shared" ca="1" si="119"/>
        <v>-1140287648.2423034</v>
      </c>
      <c r="M1902" s="471">
        <f t="shared" si="121"/>
        <v>0.05</v>
      </c>
      <c r="N1902" s="475">
        <f t="shared" si="122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20"/>
        <v>-1140287648.2423034</v>
      </c>
      <c r="J1903" s="455">
        <f t="array" ref="J1903">IFERROR(INDEX('Retirement Calculator'!K:K,MATCH('Lorri 401b'!N1903,'Retirement Calculator'!A:A,0),0),0)</f>
        <v>0</v>
      </c>
      <c r="K1903" s="455">
        <f t="shared" ca="1" si="118"/>
        <v>-4751198.5343429307</v>
      </c>
      <c r="L1903" s="455">
        <f t="shared" ca="1" si="119"/>
        <v>-1145038846.7766464</v>
      </c>
      <c r="M1903" s="471">
        <f t="shared" si="121"/>
        <v>0.05</v>
      </c>
      <c r="N1903" s="475">
        <f t="shared" si="122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20"/>
        <v>-1145038846.7766464</v>
      </c>
      <c r="J1904" s="455">
        <f t="array" ref="J1904">IFERROR(INDEX('Retirement Calculator'!K:K,MATCH('Lorri 401b'!N1904,'Retirement Calculator'!A:A,0),0),0)</f>
        <v>0</v>
      </c>
      <c r="K1904" s="455">
        <f t="shared" ca="1" si="118"/>
        <v>-4770995.1949026929</v>
      </c>
      <c r="L1904" s="455">
        <f t="shared" ca="1" si="119"/>
        <v>-1149809841.971549</v>
      </c>
      <c r="M1904" s="471">
        <f t="shared" si="121"/>
        <v>0.05</v>
      </c>
      <c r="N1904" s="475">
        <f t="shared" si="122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20"/>
        <v>-1149809841.971549</v>
      </c>
      <c r="J1905" s="455">
        <f t="array" ref="J1905">IFERROR(INDEX('Retirement Calculator'!K:K,MATCH('Lorri 401b'!N1905,'Retirement Calculator'!A:A,0),0),0)</f>
        <v>0</v>
      </c>
      <c r="K1905" s="455">
        <f t="shared" ca="1" si="118"/>
        <v>-4790874.3415481206</v>
      </c>
      <c r="L1905" s="455">
        <f t="shared" ca="1" si="119"/>
        <v>-1154600716.3130972</v>
      </c>
      <c r="M1905" s="471">
        <f t="shared" si="121"/>
        <v>0.05</v>
      </c>
      <c r="N1905" s="475">
        <f t="shared" si="122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20"/>
        <v>-1154600716.3130972</v>
      </c>
      <c r="J1906" s="455">
        <f t="array" ref="J1906">IFERROR(INDEX('Retirement Calculator'!K:K,MATCH('Lorri 401b'!N1906,'Retirement Calculator'!A:A,0),0),0)</f>
        <v>0</v>
      </c>
      <c r="K1906" s="455">
        <f t="shared" ca="1" si="118"/>
        <v>-4810836.3179712389</v>
      </c>
      <c r="L1906" s="455">
        <f t="shared" ca="1" si="119"/>
        <v>-1159411552.6310685</v>
      </c>
      <c r="M1906" s="471">
        <f t="shared" si="121"/>
        <v>0.05</v>
      </c>
      <c r="N1906" s="475">
        <f t="shared" si="122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20"/>
        <v>-1159411552.6310685</v>
      </c>
      <c r="J1907" s="455">
        <f t="array" ref="J1907">IFERROR(INDEX('Retirement Calculator'!K:K,MATCH('Lorri 401b'!N1907,'Retirement Calculator'!A:A,0),0),0)</f>
        <v>0</v>
      </c>
      <c r="K1907" s="455">
        <f t="shared" ca="1" si="118"/>
        <v>-4830881.4692961182</v>
      </c>
      <c r="L1907" s="455">
        <f t="shared" ca="1" si="119"/>
        <v>-1164242434.1003647</v>
      </c>
      <c r="M1907" s="471">
        <f t="shared" si="121"/>
        <v>0.05</v>
      </c>
      <c r="N1907" s="475">
        <f t="shared" si="122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20"/>
        <v>-1164242434.1003647</v>
      </c>
      <c r="J1908" s="455">
        <f t="array" ref="J1908">IFERROR(INDEX('Retirement Calculator'!K:K,MATCH('Lorri 401b'!N1908,'Retirement Calculator'!A:A,0),0),0)</f>
        <v>0</v>
      </c>
      <c r="K1908" s="455">
        <f t="shared" ca="1" si="118"/>
        <v>-4851010.1420848528</v>
      </c>
      <c r="L1908" s="455">
        <f t="shared" ca="1" si="119"/>
        <v>-1169093444.2424495</v>
      </c>
      <c r="M1908" s="471">
        <f t="shared" si="121"/>
        <v>0.05</v>
      </c>
      <c r="N1908" s="475">
        <f t="shared" si="122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20"/>
        <v>-1169093444.2424495</v>
      </c>
      <c r="J1909" s="455">
        <f t="array" ref="J1909">IFERROR(INDEX('Retirement Calculator'!K:K,MATCH('Lorri 401b'!N1909,'Retirement Calculator'!A:A,0),0),0)</f>
        <v>0</v>
      </c>
      <c r="K1909" s="455">
        <f t="shared" ca="1" si="118"/>
        <v>-4871222.6843435392</v>
      </c>
      <c r="L1909" s="455">
        <f t="shared" ca="1" si="119"/>
        <v>-1173964666.9267931</v>
      </c>
      <c r="M1909" s="471">
        <f t="shared" si="121"/>
        <v>0.05</v>
      </c>
      <c r="N1909" s="475">
        <f t="shared" si="122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20"/>
        <v>-1173964666.9267931</v>
      </c>
      <c r="J1910" s="455">
        <f t="array" ref="J1910">IFERROR(INDEX('Retirement Calculator'!K:K,MATCH('Lorri 401b'!N1910,'Retirement Calculator'!A:A,0),0),0)</f>
        <v>0</v>
      </c>
      <c r="K1910" s="455">
        <f t="shared" ca="1" si="118"/>
        <v>-4891519.4455283042</v>
      </c>
      <c r="L1910" s="455">
        <f t="shared" ca="1" si="119"/>
        <v>-1178856186.3723214</v>
      </c>
      <c r="M1910" s="471">
        <f t="shared" si="121"/>
        <v>0.05</v>
      </c>
      <c r="N1910" s="475">
        <f t="shared" si="122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20"/>
        <v>-1178856186.3723214</v>
      </c>
      <c r="J1911" s="455">
        <f t="array" ref="J1911">IFERROR(INDEX('Retirement Calculator'!K:K,MATCH('Lorri 401b'!N1911,'Retirement Calculator'!A:A,0),0),0)</f>
        <v>0</v>
      </c>
      <c r="K1911" s="455">
        <f t="shared" ca="1" si="118"/>
        <v>-4911900.7765513388</v>
      </c>
      <c r="L1911" s="455">
        <f t="shared" ca="1" si="119"/>
        <v>-1183768087.1488726</v>
      </c>
      <c r="M1911" s="471">
        <f t="shared" si="121"/>
        <v>0.05</v>
      </c>
      <c r="N1911" s="475">
        <f t="shared" si="122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20"/>
        <v>-1183768087.1488726</v>
      </c>
      <c r="J1912" s="455">
        <f t="array" ref="J1912">IFERROR(INDEX('Retirement Calculator'!K:K,MATCH('Lorri 401b'!N1912,'Retirement Calculator'!A:A,0),0),0)</f>
        <v>0</v>
      </c>
      <c r="K1912" s="455">
        <f t="shared" ca="1" si="118"/>
        <v>-4932367.0297869695</v>
      </c>
      <c r="L1912" s="455">
        <f t="shared" ca="1" si="119"/>
        <v>-1188700454.1786597</v>
      </c>
      <c r="M1912" s="471">
        <f t="shared" si="121"/>
        <v>0.05</v>
      </c>
      <c r="N1912" s="475">
        <f t="shared" si="122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20"/>
        <v>-1188700454.1786597</v>
      </c>
      <c r="J1913" s="455">
        <f t="array" ref="J1913">IFERROR(INDEX('Retirement Calculator'!K:K,MATCH('Lorri 401b'!N1913,'Retirement Calculator'!A:A,0),0),0)</f>
        <v>0</v>
      </c>
      <c r="K1913" s="455">
        <f t="shared" ca="1" si="118"/>
        <v>-4952918.559077749</v>
      </c>
      <c r="L1913" s="455">
        <f t="shared" ca="1" si="119"/>
        <v>-1193653372.7377374</v>
      </c>
      <c r="M1913" s="471">
        <f t="shared" si="121"/>
        <v>0.05</v>
      </c>
      <c r="N1913" s="475">
        <f t="shared" si="122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20"/>
        <v>-1193653372.7377374</v>
      </c>
      <c r="J1914" s="455">
        <f t="array" ref="J1914">IFERROR(INDEX('Retirement Calculator'!K:K,MATCH('Lorri 401b'!N1914,'Retirement Calculator'!A:A,0),0),0)</f>
        <v>0</v>
      </c>
      <c r="K1914" s="455">
        <f t="shared" ca="1" si="118"/>
        <v>-4973555.7197405724</v>
      </c>
      <c r="L1914" s="455">
        <f t="shared" ca="1" si="119"/>
        <v>-1198626928.457478</v>
      </c>
      <c r="M1914" s="471">
        <f t="shared" si="121"/>
        <v>0.05</v>
      </c>
      <c r="N1914" s="475">
        <f t="shared" si="122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20"/>
        <v>-1198626928.457478</v>
      </c>
      <c r="J1915" s="455">
        <f t="array" ref="J1915">IFERROR(INDEX('Retirement Calculator'!K:K,MATCH('Lorri 401b'!N1915,'Retirement Calculator'!A:A,0),0),0)</f>
        <v>0</v>
      </c>
      <c r="K1915" s="455">
        <f t="shared" ca="1" si="118"/>
        <v>-4994278.8685728256</v>
      </c>
      <c r="L1915" s="455">
        <f t="shared" ca="1" si="119"/>
        <v>-1203621207.3260508</v>
      </c>
      <c r="M1915" s="471">
        <f t="shared" si="121"/>
        <v>0.05</v>
      </c>
      <c r="N1915" s="475">
        <f t="shared" si="122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20"/>
        <v>-1203621207.3260508</v>
      </c>
      <c r="J1916" s="455">
        <f t="array" ref="J1916">IFERROR(INDEX('Retirement Calculator'!K:K,MATCH('Lorri 401b'!N1916,'Retirement Calculator'!A:A,0),0),0)</f>
        <v>0</v>
      </c>
      <c r="K1916" s="455">
        <f t="shared" ca="1" si="118"/>
        <v>-5015088.3638585452</v>
      </c>
      <c r="L1916" s="455">
        <f t="shared" ca="1" si="119"/>
        <v>-1208636295.6899092</v>
      </c>
      <c r="M1916" s="471">
        <f t="shared" si="121"/>
        <v>0.05</v>
      </c>
      <c r="N1916" s="475">
        <f t="shared" si="122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20"/>
        <v>-1208636295.6899092</v>
      </c>
      <c r="J1917" s="455">
        <f t="array" ref="J1917">IFERROR(INDEX('Retirement Calculator'!K:K,MATCH('Lorri 401b'!N1917,'Retirement Calculator'!A:A,0),0),0)</f>
        <v>0</v>
      </c>
      <c r="K1917" s="455">
        <f t="shared" ca="1" si="118"/>
        <v>-5035984.5653746221</v>
      </c>
      <c r="L1917" s="455">
        <f t="shared" ca="1" si="119"/>
        <v>-1213672280.2552838</v>
      </c>
      <c r="M1917" s="471">
        <f t="shared" si="121"/>
        <v>0.05</v>
      </c>
      <c r="N1917" s="475">
        <f t="shared" si="122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20"/>
        <v>-1213672280.2552838</v>
      </c>
      <c r="J1918" s="455">
        <f t="array" ref="J1918">IFERROR(INDEX('Retirement Calculator'!K:K,MATCH('Lorri 401b'!N1918,'Retirement Calculator'!A:A,0),0),0)</f>
        <v>0</v>
      </c>
      <c r="K1918" s="455">
        <f t="shared" ca="1" si="118"/>
        <v>-5056967.8343970161</v>
      </c>
      <c r="L1918" s="455">
        <f t="shared" ca="1" si="119"/>
        <v>-1218729248.0896809</v>
      </c>
      <c r="M1918" s="471">
        <f t="shared" si="121"/>
        <v>0.05</v>
      </c>
      <c r="N1918" s="475">
        <f t="shared" si="122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20"/>
        <v>-1218729248.0896809</v>
      </c>
      <c r="J1919" s="455">
        <f t="array" ref="J1919">IFERROR(INDEX('Retirement Calculator'!K:K,MATCH('Lorri 401b'!N1919,'Retirement Calculator'!A:A,0),0),0)</f>
        <v>0</v>
      </c>
      <c r="K1919" s="455">
        <f t="shared" ca="1" si="118"/>
        <v>-5078038.533707004</v>
      </c>
      <c r="L1919" s="455">
        <f t="shared" ca="1" si="119"/>
        <v>-1223807286.6233878</v>
      </c>
      <c r="M1919" s="471">
        <f t="shared" si="121"/>
        <v>0.05</v>
      </c>
      <c r="N1919" s="475">
        <f t="shared" si="122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20"/>
        <v>-1223807286.6233878</v>
      </c>
      <c r="J1920" s="455">
        <f t="array" ref="J1920">IFERROR(INDEX('Retirement Calculator'!K:K,MATCH('Lorri 401b'!N1920,'Retirement Calculator'!A:A,0),0),0)</f>
        <v>0</v>
      </c>
      <c r="K1920" s="455">
        <f t="shared" ca="1" si="118"/>
        <v>-5099197.0275974488</v>
      </c>
      <c r="L1920" s="455">
        <f t="shared" ca="1" si="119"/>
        <v>-1228906483.6509852</v>
      </c>
      <c r="M1920" s="471">
        <f t="shared" si="121"/>
        <v>0.05</v>
      </c>
      <c r="N1920" s="475">
        <f t="shared" si="122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20"/>
        <v>-1228906483.6509852</v>
      </c>
      <c r="J1921" s="455">
        <f t="array" ref="J1921">IFERROR(INDEX('Retirement Calculator'!K:K,MATCH('Lorri 401b'!N1921,'Retirement Calculator'!A:A,0),0),0)</f>
        <v>0</v>
      </c>
      <c r="K1921" s="455">
        <f t="shared" ca="1" si="118"/>
        <v>-5120443.681879105</v>
      </c>
      <c r="L1921" s="455">
        <f t="shared" ca="1" si="119"/>
        <v>-1234026927.3328643</v>
      </c>
      <c r="M1921" s="471">
        <f t="shared" si="121"/>
        <v>0.05</v>
      </c>
      <c r="N1921" s="475">
        <f t="shared" si="122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20"/>
        <v>-1234026927.3328643</v>
      </c>
      <c r="J1922" s="455">
        <f t="array" ref="J1922">IFERROR(INDEX('Retirement Calculator'!K:K,MATCH('Lorri 401b'!N1922,'Retirement Calculator'!A:A,0),0),0)</f>
        <v>0</v>
      </c>
      <c r="K1922" s="455">
        <f t="shared" ca="1" si="118"/>
        <v>-5141778.8638869347</v>
      </c>
      <c r="L1922" s="455">
        <f t="shared" ca="1" si="119"/>
        <v>-1239168706.1967511</v>
      </c>
      <c r="M1922" s="471">
        <f t="shared" si="121"/>
        <v>0.05</v>
      </c>
      <c r="N1922" s="475">
        <f t="shared" si="122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20"/>
        <v>-1239168706.1967511</v>
      </c>
      <c r="J1923" s="455">
        <f t="array" ref="J1923">IFERROR(INDEX('Retirement Calculator'!K:K,MATCH('Lorri 401b'!N1923,'Retirement Calculator'!A:A,0),0),0)</f>
        <v>0</v>
      </c>
      <c r="K1923" s="455">
        <f t="shared" ca="1" si="118"/>
        <v>-5163202.9424864631</v>
      </c>
      <c r="L1923" s="455">
        <f t="shared" ca="1" si="119"/>
        <v>-1244331909.1392376</v>
      </c>
      <c r="M1923" s="471">
        <f t="shared" si="121"/>
        <v>0.05</v>
      </c>
      <c r="N1923" s="475">
        <f t="shared" si="122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20"/>
        <v>-1244331909.1392376</v>
      </c>
      <c r="J1924" s="455">
        <f t="array" ref="J1924">IFERROR(INDEX('Retirement Calculator'!K:K,MATCH('Lorri 401b'!N1924,'Retirement Calculator'!A:A,0),0),0)</f>
        <v>0</v>
      </c>
      <c r="K1924" s="455">
        <f t="shared" ca="1" si="118"/>
        <v>-5184716.2880801568</v>
      </c>
      <c r="L1924" s="455">
        <f t="shared" ca="1" si="119"/>
        <v>-1249516625.4273179</v>
      </c>
      <c r="M1924" s="471">
        <f t="shared" si="121"/>
        <v>0.05</v>
      </c>
      <c r="N1924" s="475">
        <f t="shared" si="122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20"/>
        <v>-1249516625.4273179</v>
      </c>
      <c r="J1925" s="455">
        <f t="array" ref="J1925">IFERROR(INDEX('Retirement Calculator'!K:K,MATCH('Lorri 401b'!N1925,'Retirement Calculator'!A:A,0),0),0)</f>
        <v>0</v>
      </c>
      <c r="K1925" s="455">
        <f t="shared" ca="1" si="118"/>
        <v>-5206319.2726138243</v>
      </c>
      <c r="L1925" s="455">
        <f t="shared" ca="1" si="119"/>
        <v>-1254722944.6999316</v>
      </c>
      <c r="M1925" s="471">
        <f t="shared" si="121"/>
        <v>0.05</v>
      </c>
      <c r="N1925" s="475">
        <f t="shared" si="122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20"/>
        <v>-1254722944.6999316</v>
      </c>
      <c r="J1926" s="455">
        <f t="array" ref="J1926">IFERROR(INDEX('Retirement Calculator'!K:K,MATCH('Lorri 401b'!N1926,'Retirement Calculator'!A:A,0),0),0)</f>
        <v>0</v>
      </c>
      <c r="K1926" s="455">
        <f t="shared" ca="1" si="118"/>
        <v>-5228012.2695830483</v>
      </c>
      <c r="L1926" s="455">
        <f t="shared" ca="1" si="119"/>
        <v>-1259950956.9695146</v>
      </c>
      <c r="M1926" s="471">
        <f t="shared" si="121"/>
        <v>0.05</v>
      </c>
      <c r="N1926" s="475">
        <f t="shared" si="122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20"/>
        <v>-1259950956.9695146</v>
      </c>
      <c r="J1927" s="455">
        <f t="array" ref="J1927">IFERROR(INDEX('Retirement Calculator'!K:K,MATCH('Lorri 401b'!N1927,'Retirement Calculator'!A:A,0),0),0)</f>
        <v>0</v>
      </c>
      <c r="K1927" s="455">
        <f t="shared" ca="1" si="118"/>
        <v>-5249795.6540396437</v>
      </c>
      <c r="L1927" s="455">
        <f t="shared" ca="1" si="119"/>
        <v>-1265200752.6235542</v>
      </c>
      <c r="M1927" s="471">
        <f t="shared" si="121"/>
        <v>0.05</v>
      </c>
      <c r="N1927" s="475">
        <f t="shared" si="122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20"/>
        <v>-1265200752.6235542</v>
      </c>
      <c r="J1928" s="455">
        <f t="array" ref="J1928">IFERROR(INDEX('Retirement Calculator'!K:K,MATCH('Lorri 401b'!N1928,'Retirement Calculator'!A:A,0),0),0)</f>
        <v>0</v>
      </c>
      <c r="K1928" s="455">
        <f t="shared" ca="1" si="118"/>
        <v>-5271669.802598143</v>
      </c>
      <c r="L1928" s="455">
        <f t="shared" ca="1" si="119"/>
        <v>-1270472422.4261525</v>
      </c>
      <c r="M1928" s="471">
        <f t="shared" si="121"/>
        <v>0.05</v>
      </c>
      <c r="N1928" s="475">
        <f t="shared" si="122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20"/>
        <v>-1270472422.4261525</v>
      </c>
      <c r="J1929" s="455">
        <f t="array" ref="J1929">IFERROR(INDEX('Retirement Calculator'!K:K,MATCH('Lorri 401b'!N1929,'Retirement Calculator'!A:A,0),0),0)</f>
        <v>0</v>
      </c>
      <c r="K1929" s="455">
        <f t="shared" ca="1" si="118"/>
        <v>-5293635.0934423022</v>
      </c>
      <c r="L1929" s="455">
        <f t="shared" ca="1" si="119"/>
        <v>-1275766057.5195947</v>
      </c>
      <c r="M1929" s="471">
        <f t="shared" si="121"/>
        <v>0.05</v>
      </c>
      <c r="N1929" s="475">
        <f t="shared" si="122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20"/>
        <v>-1275766057.5195947</v>
      </c>
      <c r="J1930" s="455">
        <f t="array" ref="J1930">IFERROR(INDEX('Retirement Calculator'!K:K,MATCH('Lorri 401b'!N1930,'Retirement Calculator'!A:A,0),0),0)</f>
        <v>0</v>
      </c>
      <c r="K1930" s="455">
        <f t="shared" ca="1" si="118"/>
        <v>-5315691.9063316444</v>
      </c>
      <c r="L1930" s="455">
        <f t="shared" ca="1" si="119"/>
        <v>-1281081749.4259262</v>
      </c>
      <c r="M1930" s="471">
        <f t="shared" si="121"/>
        <v>0.05</v>
      </c>
      <c r="N1930" s="475">
        <f t="shared" si="122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20"/>
        <v>-1281081749.4259262</v>
      </c>
      <c r="J1931" s="455">
        <f t="array" ref="J1931">IFERROR(INDEX('Retirement Calculator'!K:K,MATCH('Lorri 401b'!N1931,'Retirement Calculator'!A:A,0),0),0)</f>
        <v>0</v>
      </c>
      <c r="K1931" s="455">
        <f t="shared" ca="1" si="118"/>
        <v>-5337840.6226080256</v>
      </c>
      <c r="L1931" s="455">
        <f t="shared" ca="1" si="119"/>
        <v>-1286419590.0485342</v>
      </c>
      <c r="M1931" s="471">
        <f t="shared" si="121"/>
        <v>0.05</v>
      </c>
      <c r="N1931" s="475">
        <f t="shared" si="122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20"/>
        <v>-1286419590.0485342</v>
      </c>
      <c r="J1932" s="455">
        <f t="array" ref="J1932">IFERROR(INDEX('Retirement Calculator'!K:K,MATCH('Lorri 401b'!N1932,'Retirement Calculator'!A:A,0),0),0)</f>
        <v>0</v>
      </c>
      <c r="K1932" s="455">
        <f t="shared" ca="1" si="118"/>
        <v>-5360081.6252022255</v>
      </c>
      <c r="L1932" s="455">
        <f t="shared" ca="1" si="119"/>
        <v>-1291779671.6737363</v>
      </c>
      <c r="M1932" s="471">
        <f t="shared" si="121"/>
        <v>0.05</v>
      </c>
      <c r="N1932" s="475">
        <f t="shared" si="122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20"/>
        <v>-1291779671.6737363</v>
      </c>
      <c r="J1933" s="455">
        <f t="array" ref="J1933">IFERROR(INDEX('Retirement Calculator'!K:K,MATCH('Lorri 401b'!N1933,'Retirement Calculator'!A:A,0),0),0)</f>
        <v>0</v>
      </c>
      <c r="K1933" s="455">
        <f t="shared" ca="1" si="118"/>
        <v>-5382415.2986405678</v>
      </c>
      <c r="L1933" s="455">
        <f t="shared" ca="1" si="119"/>
        <v>-1297162086.9723768</v>
      </c>
      <c r="M1933" s="471">
        <f t="shared" si="121"/>
        <v>0.05</v>
      </c>
      <c r="N1933" s="475">
        <f t="shared" si="122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20"/>
        <v>-1297162086.9723768</v>
      </c>
      <c r="J1934" s="455">
        <f t="array" ref="J1934">IFERROR(INDEX('Retirement Calculator'!K:K,MATCH('Lorri 401b'!N1934,'Retirement Calculator'!A:A,0),0),0)</f>
        <v>0</v>
      </c>
      <c r="K1934" s="455">
        <f t="shared" ca="1" si="118"/>
        <v>-5404842.0290515702</v>
      </c>
      <c r="L1934" s="455">
        <f t="shared" ca="1" si="119"/>
        <v>-1302566929.0014284</v>
      </c>
      <c r="M1934" s="471">
        <f t="shared" si="121"/>
        <v>0.05</v>
      </c>
      <c r="N1934" s="475">
        <f t="shared" si="122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20"/>
        <v>-1302566929.0014284</v>
      </c>
      <c r="J1935" s="455">
        <f t="array" ref="J1935">IFERROR(INDEX('Retirement Calculator'!K:K,MATCH('Lorri 401b'!N1935,'Retirement Calculator'!A:A,0),0),0)</f>
        <v>0</v>
      </c>
      <c r="K1935" s="455">
        <f t="shared" ca="1" si="118"/>
        <v>-5427362.2041726178</v>
      </c>
      <c r="L1935" s="455">
        <f t="shared" ca="1" si="119"/>
        <v>-1307994291.205601</v>
      </c>
      <c r="M1935" s="471">
        <f t="shared" si="121"/>
        <v>0.05</v>
      </c>
      <c r="N1935" s="475">
        <f t="shared" si="122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20"/>
        <v>-1307994291.205601</v>
      </c>
      <c r="J1936" s="455">
        <f t="array" ref="J1936">IFERROR(INDEX('Retirement Calculator'!K:K,MATCH('Lorri 401b'!N1936,'Retirement Calculator'!A:A,0),0),0)</f>
        <v>0</v>
      </c>
      <c r="K1936" s="455">
        <f t="shared" ca="1" si="118"/>
        <v>-5449976.2133566709</v>
      </c>
      <c r="L1936" s="455">
        <f t="shared" ca="1" si="119"/>
        <v>-1313444267.4189577</v>
      </c>
      <c r="M1936" s="471">
        <f t="shared" si="121"/>
        <v>0.05</v>
      </c>
      <c r="N1936" s="475">
        <f t="shared" si="122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20"/>
        <v>-1313444267.4189577</v>
      </c>
      <c r="J1937" s="455">
        <f t="array" ref="J1937">IFERROR(INDEX('Retirement Calculator'!K:K,MATCH('Lorri 401b'!N1937,'Retirement Calculator'!A:A,0),0),0)</f>
        <v>0</v>
      </c>
      <c r="K1937" s="455">
        <f t="shared" ca="1" si="118"/>
        <v>-5472684.4475789908</v>
      </c>
      <c r="L1937" s="455">
        <f t="shared" ca="1" si="119"/>
        <v>-1318916951.8665366</v>
      </c>
      <c r="M1937" s="471">
        <f t="shared" si="121"/>
        <v>0.05</v>
      </c>
      <c r="N1937" s="475">
        <f t="shared" si="122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20"/>
        <v>-1318916951.8665366</v>
      </c>
      <c r="J1938" s="455">
        <f t="array" ref="J1938">IFERROR(INDEX('Retirement Calculator'!K:K,MATCH('Lorri 401b'!N1938,'Retirement Calculator'!A:A,0),0),0)</f>
        <v>0</v>
      </c>
      <c r="K1938" s="455">
        <f t="shared" ca="1" si="118"/>
        <v>-5495487.2994439024</v>
      </c>
      <c r="L1938" s="455">
        <f t="shared" ca="1" si="119"/>
        <v>-1324412439.1659806</v>
      </c>
      <c r="M1938" s="471">
        <f t="shared" si="121"/>
        <v>0.05</v>
      </c>
      <c r="N1938" s="475">
        <f t="shared" si="122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20"/>
        <v>-1324412439.1659806</v>
      </c>
      <c r="J1939" s="455">
        <f t="array" ref="J1939">IFERROR(INDEX('Retirement Calculator'!K:K,MATCH('Lorri 401b'!N1939,'Retirement Calculator'!A:A,0),0),0)</f>
        <v>0</v>
      </c>
      <c r="K1939" s="455">
        <f t="shared" ca="1" si="118"/>
        <v>-5518385.1631915858</v>
      </c>
      <c r="L1939" s="455">
        <f t="shared" ca="1" si="119"/>
        <v>-1329930824.3291721</v>
      </c>
      <c r="M1939" s="471">
        <f t="shared" si="121"/>
        <v>0.05</v>
      </c>
      <c r="N1939" s="475">
        <f t="shared" si="122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20"/>
        <v>-1329930824.3291721</v>
      </c>
      <c r="J1940" s="455">
        <f t="array" ref="J1940">IFERROR(INDEX('Retirement Calculator'!K:K,MATCH('Lorri 401b'!N1940,'Retirement Calculator'!A:A,0),0),0)</f>
        <v>0</v>
      </c>
      <c r="K1940" s="455">
        <f t="shared" ca="1" si="118"/>
        <v>-5541378.434704884</v>
      </c>
      <c r="L1940" s="455">
        <f t="shared" ca="1" si="119"/>
        <v>-1335472202.7638769</v>
      </c>
      <c r="M1940" s="471">
        <f t="shared" si="121"/>
        <v>0.05</v>
      </c>
      <c r="N1940" s="475">
        <f t="shared" si="122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20"/>
        <v>-1335472202.7638769</v>
      </c>
      <c r="J1941" s="455">
        <f t="array" ref="J1941">IFERROR(INDEX('Retirement Calculator'!K:K,MATCH('Lorri 401b'!N1941,'Retirement Calculator'!A:A,0),0),0)</f>
        <v>0</v>
      </c>
      <c r="K1941" s="455">
        <f t="shared" ca="1" si="118"/>
        <v>-5564467.5115161538</v>
      </c>
      <c r="L1941" s="455">
        <f t="shared" ca="1" si="119"/>
        <v>-1341036670.275393</v>
      </c>
      <c r="M1941" s="471">
        <f t="shared" si="121"/>
        <v>0.05</v>
      </c>
      <c r="N1941" s="475">
        <f t="shared" si="122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20"/>
        <v>-1341036670.275393</v>
      </c>
      <c r="J1942" s="455">
        <f t="array" ref="J1942">IFERROR(INDEX('Retirement Calculator'!K:K,MATCH('Lorri 401b'!N1942,'Retirement Calculator'!A:A,0),0),0)</f>
        <v>0</v>
      </c>
      <c r="K1942" s="455">
        <f t="shared" ca="1" si="118"/>
        <v>-5587652.7928141374</v>
      </c>
      <c r="L1942" s="455">
        <f t="shared" ca="1" si="119"/>
        <v>-1346624323.0682073</v>
      </c>
      <c r="M1942" s="471">
        <f t="shared" si="121"/>
        <v>0.05</v>
      </c>
      <c r="N1942" s="475">
        <f t="shared" si="122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20"/>
        <v>-1346624323.0682073</v>
      </c>
      <c r="J1943" s="455">
        <f t="array" ref="J1943">IFERROR(INDEX('Retirement Calculator'!K:K,MATCH('Lorri 401b'!N1943,'Retirement Calculator'!A:A,0),0),0)</f>
        <v>0</v>
      </c>
      <c r="K1943" s="455">
        <f t="shared" ca="1" si="118"/>
        <v>-5610934.679450864</v>
      </c>
      <c r="L1943" s="455">
        <f t="shared" ca="1" si="119"/>
        <v>-1352235257.747658</v>
      </c>
      <c r="M1943" s="471">
        <f t="shared" si="121"/>
        <v>0.05</v>
      </c>
      <c r="N1943" s="475">
        <f t="shared" si="122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20"/>
        <v>-1352235257.747658</v>
      </c>
      <c r="J1944" s="455">
        <f t="array" ref="J1944">IFERROR(INDEX('Retirement Calculator'!K:K,MATCH('Lorri 401b'!N1944,'Retirement Calculator'!A:A,0),0),0)</f>
        <v>0</v>
      </c>
      <c r="K1944" s="455">
        <f t="shared" ca="1" si="118"/>
        <v>-5634313.5739485752</v>
      </c>
      <c r="L1944" s="455">
        <f t="shared" ca="1" si="119"/>
        <v>-1357869571.3216066</v>
      </c>
      <c r="M1944" s="471">
        <f t="shared" si="121"/>
        <v>0.05</v>
      </c>
      <c r="N1944" s="475">
        <f t="shared" si="122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20"/>
        <v>-1357869571.3216066</v>
      </c>
      <c r="J1945" s="455">
        <f t="array" ref="J1945">IFERROR(INDEX('Retirement Calculator'!K:K,MATCH('Lorri 401b'!N1945,'Retirement Calculator'!A:A,0),0),0)</f>
        <v>0</v>
      </c>
      <c r="K1945" s="455">
        <f t="shared" ca="1" si="118"/>
        <v>-5657789.8805066943</v>
      </c>
      <c r="L1945" s="455">
        <f t="shared" ca="1" si="119"/>
        <v>-1363527361.2021134</v>
      </c>
      <c r="M1945" s="471">
        <f t="shared" si="121"/>
        <v>0.05</v>
      </c>
      <c r="N1945" s="475">
        <f t="shared" si="122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20"/>
        <v>-1363527361.2021134</v>
      </c>
      <c r="J1946" s="455">
        <f t="array" ref="J1946">IFERROR(INDEX('Retirement Calculator'!K:K,MATCH('Lorri 401b'!N1946,'Retirement Calculator'!A:A,0),0),0)</f>
        <v>0</v>
      </c>
      <c r="K1946" s="455">
        <f t="shared" ca="1" si="118"/>
        <v>-5681364.0050088055</v>
      </c>
      <c r="L1946" s="455">
        <f t="shared" ca="1" si="119"/>
        <v>-1369208725.2071221</v>
      </c>
      <c r="M1946" s="471">
        <f t="shared" si="121"/>
        <v>0.05</v>
      </c>
      <c r="N1946" s="475">
        <f t="shared" si="122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20"/>
        <v>-1369208725.2071221</v>
      </c>
      <c r="J1947" s="455">
        <f t="array" ref="J1947">IFERROR(INDEX('Retirement Calculator'!K:K,MATCH('Lorri 401b'!N1947,'Retirement Calculator'!A:A,0),0),0)</f>
        <v>0</v>
      </c>
      <c r="K1947" s="455">
        <f t="shared" ca="1" si="118"/>
        <v>-5705036.3550296752</v>
      </c>
      <c r="L1947" s="455">
        <f t="shared" ca="1" si="119"/>
        <v>-1374913761.5621517</v>
      </c>
      <c r="M1947" s="471">
        <f t="shared" si="121"/>
        <v>0.05</v>
      </c>
      <c r="N1947" s="475">
        <f t="shared" si="122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20"/>
        <v>-1374913761.5621517</v>
      </c>
      <c r="J1948" s="455">
        <f t="array" ref="J1948">IFERROR(INDEX('Retirement Calculator'!K:K,MATCH('Lorri 401b'!N1948,'Retirement Calculator'!A:A,0),0),0)</f>
        <v>0</v>
      </c>
      <c r="K1948" s="455">
        <f t="shared" ca="1" si="118"/>
        <v>-5728807.339842299</v>
      </c>
      <c r="L1948" s="455">
        <f t="shared" ca="1" si="119"/>
        <v>-1380642568.901994</v>
      </c>
      <c r="M1948" s="471">
        <f t="shared" si="121"/>
        <v>0.05</v>
      </c>
      <c r="N1948" s="475">
        <f t="shared" si="122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20"/>
        <v>-1380642568.901994</v>
      </c>
      <c r="J1949" s="455">
        <f t="array" ref="J1949">IFERROR(INDEX('Retirement Calculator'!K:K,MATCH('Lorri 401b'!N1949,'Retirement Calculator'!A:A,0),0),0)</f>
        <v>0</v>
      </c>
      <c r="K1949" s="455">
        <f t="shared" ca="1" si="118"/>
        <v>-5752677.3704249747</v>
      </c>
      <c r="L1949" s="455">
        <f t="shared" ca="1" si="119"/>
        <v>-1386395246.272419</v>
      </c>
      <c r="M1949" s="471">
        <f t="shared" si="121"/>
        <v>0.05</v>
      </c>
      <c r="N1949" s="475">
        <f t="shared" si="122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20"/>
        <v>-1386395246.272419</v>
      </c>
      <c r="J1950" s="455">
        <f t="array" ref="J1950">IFERROR(INDEX('Retirement Calculator'!K:K,MATCH('Lorri 401b'!N1950,'Retirement Calculator'!A:A,0),0),0)</f>
        <v>0</v>
      </c>
      <c r="K1950" s="455">
        <f t="shared" ca="1" si="118"/>
        <v>-5776646.8594684126</v>
      </c>
      <c r="L1950" s="455">
        <f t="shared" ca="1" si="119"/>
        <v>-1392171893.1318874</v>
      </c>
      <c r="M1950" s="471">
        <f t="shared" si="121"/>
        <v>0.05</v>
      </c>
      <c r="N1950" s="475">
        <f t="shared" si="122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20"/>
        <v>-1392171893.1318874</v>
      </c>
      <c r="J1951" s="455">
        <f t="array" ref="J1951">IFERROR(INDEX('Retirement Calculator'!K:K,MATCH('Lorri 401b'!N1951,'Retirement Calculator'!A:A,0),0),0)</f>
        <v>0</v>
      </c>
      <c r="K1951" s="455">
        <f t="shared" ca="1" si="118"/>
        <v>-5800716.2213828638</v>
      </c>
      <c r="L1951" s="455">
        <f t="shared" ca="1" si="119"/>
        <v>-1397972609.3532703</v>
      </c>
      <c r="M1951" s="471">
        <f t="shared" si="121"/>
        <v>0.05</v>
      </c>
      <c r="N1951" s="475">
        <f t="shared" si="122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20"/>
        <v>-1397972609.3532703</v>
      </c>
      <c r="J1952" s="455">
        <f t="array" ref="J1952">IFERROR(INDEX('Retirement Calculator'!K:K,MATCH('Lorri 401b'!N1952,'Retirement Calculator'!A:A,0),0),0)</f>
        <v>0</v>
      </c>
      <c r="K1952" s="455">
        <f t="shared" ca="1" si="118"/>
        <v>-5824885.8723052926</v>
      </c>
      <c r="L1952" s="455">
        <f t="shared" ca="1" si="119"/>
        <v>-1403797495.2255757</v>
      </c>
      <c r="M1952" s="471">
        <f t="shared" si="121"/>
        <v>0.05</v>
      </c>
      <c r="N1952" s="475">
        <f t="shared" si="122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20"/>
        <v>-1403797495.2255757</v>
      </c>
      <c r="J1953" s="455">
        <f t="array" ref="J1953">IFERROR(INDEX('Retirement Calculator'!K:K,MATCH('Lorri 401b'!N1953,'Retirement Calculator'!A:A,0),0),0)</f>
        <v>0</v>
      </c>
      <c r="K1953" s="455">
        <f t="shared" ca="1" si="118"/>
        <v>-5849156.2301065652</v>
      </c>
      <c r="L1953" s="455">
        <f t="shared" ca="1" si="119"/>
        <v>-1409646651.4556823</v>
      </c>
      <c r="M1953" s="471">
        <f t="shared" si="121"/>
        <v>0.05</v>
      </c>
      <c r="N1953" s="475">
        <f t="shared" si="122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20"/>
        <v>-1409646651.4556823</v>
      </c>
      <c r="J1954" s="455">
        <f t="array" ref="J1954">IFERROR(INDEX('Retirement Calculator'!K:K,MATCH('Lorri 401b'!N1954,'Retirement Calculator'!A:A,0),0),0)</f>
        <v>0</v>
      </c>
      <c r="K1954" s="455">
        <f t="shared" ca="1" si="118"/>
        <v>-5873527.7143986765</v>
      </c>
      <c r="L1954" s="455">
        <f t="shared" ca="1" si="119"/>
        <v>-1415520179.1700809</v>
      </c>
      <c r="M1954" s="471">
        <f t="shared" si="121"/>
        <v>0.05</v>
      </c>
      <c r="N1954" s="475">
        <f t="shared" si="122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20"/>
        <v>-1415520179.1700809</v>
      </c>
      <c r="J1955" s="455">
        <f t="array" ref="J1955">IFERROR(INDEX('Retirement Calculator'!K:K,MATCH('Lorri 401b'!N1955,'Retirement Calculator'!A:A,0),0),0)</f>
        <v>0</v>
      </c>
      <c r="K1955" s="455">
        <f t="shared" ca="1" si="118"/>
        <v>-5898000.7465420039</v>
      </c>
      <c r="L1955" s="455">
        <f t="shared" ca="1" si="119"/>
        <v>-1421418179.9166229</v>
      </c>
      <c r="M1955" s="471">
        <f t="shared" si="121"/>
        <v>0.05</v>
      </c>
      <c r="N1955" s="475">
        <f t="shared" si="122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20"/>
        <v>-1421418179.9166229</v>
      </c>
      <c r="J1956" s="455">
        <f t="array" ref="J1956">IFERROR(INDEX('Retirement Calculator'!K:K,MATCH('Lorri 401b'!N1956,'Retirement Calculator'!A:A,0),0),0)</f>
        <v>0</v>
      </c>
      <c r="K1956" s="455">
        <f t="shared" ca="1" si="118"/>
        <v>-5922575.7496525953</v>
      </c>
      <c r="L1956" s="455">
        <f t="shared" ca="1" si="119"/>
        <v>-1427340755.6662755</v>
      </c>
      <c r="M1956" s="471">
        <f t="shared" si="121"/>
        <v>0.05</v>
      </c>
      <c r="N1956" s="475">
        <f t="shared" si="122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20"/>
        <v>-1427340755.6662755</v>
      </c>
      <c r="J1957" s="455">
        <f t="array" ref="J1957">IFERROR(INDEX('Retirement Calculator'!K:K,MATCH('Lorri 401b'!N1957,'Retirement Calculator'!A:A,0),0),0)</f>
        <v>0</v>
      </c>
      <c r="K1957" s="455">
        <f t="shared" ca="1" si="118"/>
        <v>-5947253.1486094808</v>
      </c>
      <c r="L1957" s="455">
        <f t="shared" ca="1" si="119"/>
        <v>-1433288008.8148849</v>
      </c>
      <c r="M1957" s="471">
        <f t="shared" si="121"/>
        <v>0.05</v>
      </c>
      <c r="N1957" s="475">
        <f t="shared" si="122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20"/>
        <v>-1433288008.8148849</v>
      </c>
      <c r="J1958" s="455">
        <f t="array" ref="J1958">IFERROR(INDEX('Retirement Calculator'!K:K,MATCH('Lorri 401b'!N1958,'Retirement Calculator'!A:A,0),0),0)</f>
        <v>0</v>
      </c>
      <c r="K1958" s="455">
        <f t="shared" ca="1" si="118"/>
        <v>-5972033.3700620206</v>
      </c>
      <c r="L1958" s="455">
        <f t="shared" ca="1" si="119"/>
        <v>-1439260042.184947</v>
      </c>
      <c r="M1958" s="471">
        <f t="shared" si="121"/>
        <v>0.05</v>
      </c>
      <c r="N1958" s="475">
        <f t="shared" si="122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20"/>
        <v>-1439260042.184947</v>
      </c>
      <c r="J1959" s="455">
        <f t="array" ref="J1959">IFERROR(INDEX('Retirement Calculator'!K:K,MATCH('Lorri 401b'!N1959,'Retirement Calculator'!A:A,0),0),0)</f>
        <v>0</v>
      </c>
      <c r="K1959" s="455">
        <f t="shared" ca="1" si="118"/>
        <v>-5996916.8424372794</v>
      </c>
      <c r="L1959" s="455">
        <f t="shared" ca="1" si="119"/>
        <v>-1445256959.0273843</v>
      </c>
      <c r="M1959" s="471">
        <f t="shared" si="121"/>
        <v>0.05</v>
      </c>
      <c r="N1959" s="475">
        <f t="shared" si="122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20"/>
        <v>-1445256959.0273843</v>
      </c>
      <c r="J1960" s="455">
        <f t="array" ref="J1960">IFERROR(INDEX('Retirement Calculator'!K:K,MATCH('Lorri 401b'!N1960,'Retirement Calculator'!A:A,0),0),0)</f>
        <v>0</v>
      </c>
      <c r="K1960" s="455">
        <f t="shared" ca="1" si="118"/>
        <v>-6021903.9959474346</v>
      </c>
      <c r="L1960" s="455">
        <f t="shared" ca="1" si="119"/>
        <v>-1451278863.0233316</v>
      </c>
      <c r="M1960" s="471">
        <f t="shared" si="121"/>
        <v>0.05</v>
      </c>
      <c r="N1960" s="475">
        <f t="shared" si="122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20"/>
        <v>-1451278863.0233316</v>
      </c>
      <c r="J1961" s="455">
        <f t="array" ref="J1961">IFERROR(INDEX('Retirement Calculator'!K:K,MATCH('Lorri 401b'!N1961,'Retirement Calculator'!A:A,0),0),0)</f>
        <v>0</v>
      </c>
      <c r="K1961" s="455">
        <f t="shared" ca="1" si="118"/>
        <v>-6046995.2625972154</v>
      </c>
      <c r="L1961" s="455">
        <f t="shared" ca="1" si="119"/>
        <v>-1457325858.285929</v>
      </c>
      <c r="M1961" s="471">
        <f t="shared" si="121"/>
        <v>0.05</v>
      </c>
      <c r="N1961" s="475">
        <f t="shared" si="122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20"/>
        <v>-1457325858.285929</v>
      </c>
      <c r="J1962" s="455">
        <f t="array" ref="J1962">IFERROR(INDEX('Retirement Calculator'!K:K,MATCH('Lorri 401b'!N1962,'Retirement Calculator'!A:A,0),0),0)</f>
        <v>0</v>
      </c>
      <c r="K1962" s="455">
        <f t="shared" ca="1" si="118"/>
        <v>-6072191.0761913704</v>
      </c>
      <c r="L1962" s="455">
        <f t="shared" ca="1" si="119"/>
        <v>-1463398049.3621204</v>
      </c>
      <c r="M1962" s="471">
        <f t="shared" si="121"/>
        <v>0.05</v>
      </c>
      <c r="N1962" s="475">
        <f t="shared" si="122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20"/>
        <v>-1463398049.3621204</v>
      </c>
      <c r="J1963" s="455">
        <f t="array" ref="J1963">IFERROR(INDEX('Retirement Calculator'!K:K,MATCH('Lorri 401b'!N1963,'Retirement Calculator'!A:A,0),0),0)</f>
        <v>0</v>
      </c>
      <c r="K1963" s="455">
        <f t="shared" ca="1" si="118"/>
        <v>-6097491.8723421684</v>
      </c>
      <c r="L1963" s="455">
        <f t="shared" ca="1" si="119"/>
        <v>-1469495541.2344625</v>
      </c>
      <c r="M1963" s="471">
        <f t="shared" si="121"/>
        <v>0.05</v>
      </c>
      <c r="N1963" s="475">
        <f t="shared" si="122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20"/>
        <v>-1469495541.2344625</v>
      </c>
      <c r="J1964" s="455">
        <f t="array" ref="J1964">IFERROR(INDEX('Retirement Calculator'!K:K,MATCH('Lorri 401b'!N1964,'Retirement Calculator'!A:A,0),0),0)</f>
        <v>0</v>
      </c>
      <c r="K1964" s="455">
        <f t="shared" ca="1" si="118"/>
        <v>-6122898.088476927</v>
      </c>
      <c r="L1964" s="455">
        <f t="shared" ca="1" si="119"/>
        <v>-1475618439.3229394</v>
      </c>
      <c r="M1964" s="471">
        <f t="shared" si="121"/>
        <v>0.05</v>
      </c>
      <c r="N1964" s="475">
        <f t="shared" si="122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20"/>
        <v>-1475618439.3229394</v>
      </c>
      <c r="J1965" s="455">
        <f t="array" ref="J1965">IFERROR(INDEX('Retirement Calculator'!K:K,MATCH('Lorri 401b'!N1965,'Retirement Calculator'!A:A,0),0),0)</f>
        <v>0</v>
      </c>
      <c r="K1965" s="455">
        <f t="shared" ca="1" si="118"/>
        <v>-6148410.163845581</v>
      </c>
      <c r="L1965" s="455">
        <f t="shared" ca="1" si="119"/>
        <v>-1481766849.4867849</v>
      </c>
      <c r="M1965" s="471">
        <f t="shared" si="121"/>
        <v>0.05</v>
      </c>
      <c r="N1965" s="475">
        <f t="shared" si="122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20"/>
        <v>-1481766849.4867849</v>
      </c>
      <c r="J1966" s="455">
        <f t="array" ref="J1966">IFERROR(INDEX('Retirement Calculator'!K:K,MATCH('Lorri 401b'!N1966,'Retirement Calculator'!A:A,0),0),0)</f>
        <v>0</v>
      </c>
      <c r="K1966" s="455">
        <f t="shared" ca="1" si="118"/>
        <v>-6174028.5395282703</v>
      </c>
      <c r="L1966" s="455">
        <f t="shared" ca="1" si="119"/>
        <v>-1487940878.0263133</v>
      </c>
      <c r="M1966" s="471">
        <f t="shared" si="121"/>
        <v>0.05</v>
      </c>
      <c r="N1966" s="475">
        <f t="shared" si="122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20"/>
        <v>-1487940878.0263133</v>
      </c>
      <c r="J1967" s="455">
        <f t="array" ref="J1967">IFERROR(INDEX('Retirement Calculator'!K:K,MATCH('Lorri 401b'!N1967,'Retirement Calculator'!A:A,0),0),0)</f>
        <v>0</v>
      </c>
      <c r="K1967" s="455">
        <f t="shared" ca="1" si="118"/>
        <v>-6199753.6584429722</v>
      </c>
      <c r="L1967" s="455">
        <f t="shared" ca="1" si="119"/>
        <v>-1494140631.6847563</v>
      </c>
      <c r="M1967" s="471">
        <f t="shared" si="121"/>
        <v>0.05</v>
      </c>
      <c r="N1967" s="475">
        <f t="shared" si="122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20"/>
        <v>-1494140631.6847563</v>
      </c>
      <c r="J1968" s="455">
        <f t="array" ref="J1968">IFERROR(INDEX('Retirement Calculator'!K:K,MATCH('Lorri 401b'!N1968,'Retirement Calculator'!A:A,0),0),0)</f>
        <v>0</v>
      </c>
      <c r="K1968" s="455">
        <f t="shared" ca="1" si="118"/>
        <v>-6225585.9653531509</v>
      </c>
      <c r="L1968" s="455">
        <f t="shared" ca="1" si="119"/>
        <v>-1500366217.6501095</v>
      </c>
      <c r="M1968" s="471">
        <f t="shared" si="121"/>
        <v>0.05</v>
      </c>
      <c r="N1968" s="475">
        <f t="shared" si="122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20"/>
        <v>-1500366217.6501095</v>
      </c>
      <c r="J1969" s="455">
        <f t="array" ref="J1969">IFERROR(INDEX('Retirement Calculator'!K:K,MATCH('Lorri 401b'!N1969,'Retirement Calculator'!A:A,0),0),0)</f>
        <v>0</v>
      </c>
      <c r="K1969" s="455">
        <f t="shared" ca="1" si="118"/>
        <v>-6251525.9068754567</v>
      </c>
      <c r="L1969" s="455">
        <f t="shared" ca="1" si="119"/>
        <v>-1506617743.5569849</v>
      </c>
      <c r="M1969" s="471">
        <f t="shared" si="121"/>
        <v>0.05</v>
      </c>
      <c r="N1969" s="475">
        <f t="shared" si="122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20"/>
        <v>-1506617743.5569849</v>
      </c>
      <c r="J1970" s="455">
        <f t="array" ref="J1970">IFERROR(INDEX('Retirement Calculator'!K:K,MATCH('Lorri 401b'!N1970,'Retirement Calculator'!A:A,0),0),0)</f>
        <v>0</v>
      </c>
      <c r="K1970" s="455">
        <f t="shared" ca="1" si="118"/>
        <v>-6277573.9314874373</v>
      </c>
      <c r="L1970" s="455">
        <f t="shared" ca="1" si="119"/>
        <v>-1512895317.4884722</v>
      </c>
      <c r="M1970" s="471">
        <f t="shared" si="121"/>
        <v>0.05</v>
      </c>
      <c r="N1970" s="475">
        <f t="shared" si="122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20"/>
        <v>-1512895317.4884722</v>
      </c>
      <c r="J1971" s="455">
        <f t="array" ref="J1971">IFERROR(INDEX('Retirement Calculator'!K:K,MATCH('Lorri 401b'!N1971,'Retirement Calculator'!A:A,0),0),0)</f>
        <v>0</v>
      </c>
      <c r="K1971" s="455">
        <f t="shared" ca="1" si="118"/>
        <v>-6303730.489535301</v>
      </c>
      <c r="L1971" s="455">
        <f t="shared" ca="1" si="119"/>
        <v>-1519199047.9780076</v>
      </c>
      <c r="M1971" s="471">
        <f t="shared" si="121"/>
        <v>0.05</v>
      </c>
      <c r="N1971" s="475">
        <f t="shared" si="122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20"/>
        <v>-1519199047.9780076</v>
      </c>
      <c r="J1972" s="455">
        <f t="array" ref="J1972">IFERROR(INDEX('Retirement Calculator'!K:K,MATCH('Lorri 401b'!N1972,'Retirement Calculator'!A:A,0),0),0)</f>
        <v>0</v>
      </c>
      <c r="K1972" s="455">
        <f t="shared" ca="1" si="118"/>
        <v>-6329996.0332416985</v>
      </c>
      <c r="L1972" s="455">
        <f t="shared" ca="1" si="119"/>
        <v>-1525529044.0112493</v>
      </c>
      <c r="M1972" s="471">
        <f t="shared" si="121"/>
        <v>0.05</v>
      </c>
      <c r="N1972" s="475">
        <f t="shared" si="122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20"/>
        <v>-1525529044.0112493</v>
      </c>
      <c r="J1973" s="455">
        <f t="array" ref="J1973">IFERROR(INDEX('Retirement Calculator'!K:K,MATCH('Lorri 401b'!N1973,'Retirement Calculator'!A:A,0),0),0)</f>
        <v>0</v>
      </c>
      <c r="K1973" s="455">
        <f t="shared" ca="1" si="118"/>
        <v>-6356371.0167135391</v>
      </c>
      <c r="L1973" s="455">
        <f t="shared" ca="1" si="119"/>
        <v>-1531885415.0279629</v>
      </c>
      <c r="M1973" s="471">
        <f t="shared" si="121"/>
        <v>0.05</v>
      </c>
      <c r="N1973" s="475">
        <f t="shared" si="122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20"/>
        <v>-1531885415.0279629</v>
      </c>
      <c r="J1974" s="455">
        <f t="array" ref="J1974">IFERROR(INDEX('Retirement Calculator'!K:K,MATCH('Lorri 401b'!N1974,'Retirement Calculator'!A:A,0),0),0)</f>
        <v>0</v>
      </c>
      <c r="K1974" s="455">
        <f t="shared" ca="1" si="118"/>
        <v>-6382855.8959498452</v>
      </c>
      <c r="L1974" s="455">
        <f t="shared" ca="1" si="119"/>
        <v>-1538268270.9239128</v>
      </c>
      <c r="M1974" s="471">
        <f t="shared" si="121"/>
        <v>0.05</v>
      </c>
      <c r="N1974" s="475">
        <f t="shared" si="122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20"/>
        <v>-1538268270.9239128</v>
      </c>
      <c r="J1975" s="455">
        <f t="array" ref="J1975">IFERROR(INDEX('Retirement Calculator'!K:K,MATCH('Lorri 401b'!N1975,'Retirement Calculator'!A:A,0),0),0)</f>
        <v>0</v>
      </c>
      <c r="K1975" s="455">
        <f t="shared" ca="1" si="118"/>
        <v>-6409451.1288496368</v>
      </c>
      <c r="L1975" s="455">
        <f t="shared" ca="1" si="119"/>
        <v>-1544677722.0527625</v>
      </c>
      <c r="M1975" s="471">
        <f t="shared" si="121"/>
        <v>0.05</v>
      </c>
      <c r="N1975" s="475">
        <f t="shared" si="122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20"/>
        <v>-1544677722.0527625</v>
      </c>
      <c r="J1976" s="455">
        <f t="array" ref="J1976">IFERROR(INDEX('Retirement Calculator'!K:K,MATCH('Lorri 401b'!N1976,'Retirement Calculator'!A:A,0),0),0)</f>
        <v>0</v>
      </c>
      <c r="K1976" s="455">
        <f t="shared" ca="1" si="118"/>
        <v>-6436157.1752198441</v>
      </c>
      <c r="L1976" s="455">
        <f t="shared" ca="1" si="119"/>
        <v>-1551113879.2279823</v>
      </c>
      <c r="M1976" s="471">
        <f t="shared" si="121"/>
        <v>0.05</v>
      </c>
      <c r="N1976" s="475">
        <f t="shared" si="122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20"/>
        <v>-1551113879.2279823</v>
      </c>
      <c r="J1977" s="455">
        <f t="array" ref="J1977">IFERROR(INDEX('Retirement Calculator'!K:K,MATCH('Lorri 401b'!N1977,'Retirement Calculator'!A:A,0),0),0)</f>
        <v>0</v>
      </c>
      <c r="K1977" s="455">
        <f t="shared" ca="1" si="118"/>
        <v>-6462974.4967832593</v>
      </c>
      <c r="L1977" s="455">
        <f t="shared" ca="1" si="119"/>
        <v>-1557576853.7247655</v>
      </c>
      <c r="M1977" s="471">
        <f t="shared" si="121"/>
        <v>0.05</v>
      </c>
      <c r="N1977" s="475">
        <f t="shared" si="122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20"/>
        <v>-1557576853.7247655</v>
      </c>
      <c r="J1978" s="455">
        <f t="array" ref="J1978">IFERROR(INDEX('Retirement Calculator'!K:K,MATCH('Lorri 401b'!N1978,'Retirement Calculator'!A:A,0),0),0)</f>
        <v>0</v>
      </c>
      <c r="K1978" s="455">
        <f t="shared" ca="1" si="118"/>
        <v>-6489903.5571865235</v>
      </c>
      <c r="L1978" s="455">
        <f t="shared" ca="1" si="119"/>
        <v>-1564066757.2819521</v>
      </c>
      <c r="M1978" s="471">
        <f t="shared" si="121"/>
        <v>0.05</v>
      </c>
      <c r="N1978" s="475">
        <f t="shared" si="122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20"/>
        <v>-1564066757.2819521</v>
      </c>
      <c r="J1979" s="455">
        <f t="array" ref="J1979">IFERROR(INDEX('Retirement Calculator'!K:K,MATCH('Lorri 401b'!N1979,'Retirement Calculator'!A:A,0),0),0)</f>
        <v>0</v>
      </c>
      <c r="K1979" s="455">
        <f t="shared" ca="1" si="118"/>
        <v>-6516944.8220081339</v>
      </c>
      <c r="L1979" s="455">
        <f t="shared" ca="1" si="119"/>
        <v>-1570583702.1039603</v>
      </c>
      <c r="M1979" s="471">
        <f t="shared" si="121"/>
        <v>0.05</v>
      </c>
      <c r="N1979" s="475">
        <f t="shared" si="122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20"/>
        <v>-1570583702.1039603</v>
      </c>
      <c r="J1980" s="455">
        <f t="array" ref="J1980">IFERROR(INDEX('Retirement Calculator'!K:K,MATCH('Lorri 401b'!N1980,'Retirement Calculator'!A:A,0),0),0)</f>
        <v>0</v>
      </c>
      <c r="K1980" s="455">
        <f t="shared" ca="1" si="118"/>
        <v>-6544098.7587665012</v>
      </c>
      <c r="L1980" s="455">
        <f t="shared" ca="1" si="119"/>
        <v>-1577127800.8627267</v>
      </c>
      <c r="M1980" s="471">
        <f t="shared" si="121"/>
        <v>0.05</v>
      </c>
      <c r="N1980" s="475">
        <f t="shared" si="122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20"/>
        <v>-1577127800.8627267</v>
      </c>
      <c r="J1981" s="455">
        <f t="array" ref="J1981">IFERROR(INDEX('Retirement Calculator'!K:K,MATCH('Lorri 401b'!N1981,'Retirement Calculator'!A:A,0),0),0)</f>
        <v>0</v>
      </c>
      <c r="K1981" s="455">
        <f t="shared" ca="1" si="118"/>
        <v>-6571365.8369280277</v>
      </c>
      <c r="L1981" s="455">
        <f t="shared" ca="1" si="119"/>
        <v>-1583699166.6996548</v>
      </c>
      <c r="M1981" s="471">
        <f t="shared" si="121"/>
        <v>0.05</v>
      </c>
      <c r="N1981" s="475">
        <f t="shared" si="122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20"/>
        <v>-1583699166.6996548</v>
      </c>
      <c r="J1982" s="455">
        <f t="array" ref="J1982">IFERROR(INDEX('Retirement Calculator'!K:K,MATCH('Lorri 401b'!N1982,'Retirement Calculator'!A:A,0),0),0)</f>
        <v>0</v>
      </c>
      <c r="K1982" s="455">
        <f t="shared" ca="1" si="118"/>
        <v>-6598746.5279152282</v>
      </c>
      <c r="L1982" s="455">
        <f t="shared" ca="1" si="119"/>
        <v>-1590297913.2275701</v>
      </c>
      <c r="M1982" s="471">
        <f t="shared" si="121"/>
        <v>0.05</v>
      </c>
      <c r="N1982" s="475">
        <f t="shared" si="122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20"/>
        <v>-1590297913.2275701</v>
      </c>
      <c r="J1983" s="455">
        <f t="array" ref="J1983">IFERROR(INDEX('Retirement Calculator'!K:K,MATCH('Lorri 401b'!N1983,'Retirement Calculator'!A:A,0),0),0)</f>
        <v>0</v>
      </c>
      <c r="K1983" s="455">
        <f t="shared" ca="1" si="118"/>
        <v>-6626241.3051148755</v>
      </c>
      <c r="L1983" s="455">
        <f t="shared" ca="1" si="119"/>
        <v>-1596924154.532685</v>
      </c>
      <c r="M1983" s="471">
        <f t="shared" si="121"/>
        <v>0.05</v>
      </c>
      <c r="N1983" s="475">
        <f t="shared" si="122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20"/>
        <v>-1596924154.532685</v>
      </c>
      <c r="J1984" s="455">
        <f t="array" ref="J1984">IFERROR(INDEX('Retirement Calculator'!K:K,MATCH('Lorri 401b'!N1984,'Retirement Calculator'!A:A,0),0),0)</f>
        <v>0</v>
      </c>
      <c r="K1984" s="455">
        <f t="shared" ca="1" si="118"/>
        <v>-6653850.643886188</v>
      </c>
      <c r="L1984" s="455">
        <f t="shared" ca="1" si="119"/>
        <v>-1603578005.1765711</v>
      </c>
      <c r="M1984" s="471">
        <f t="shared" si="121"/>
        <v>0.05</v>
      </c>
      <c r="N1984" s="475">
        <f t="shared" si="122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20"/>
        <v>-1603578005.1765711</v>
      </c>
      <c r="J1985" s="455">
        <f t="array" ref="J1985">IFERROR(INDEX('Retirement Calculator'!K:K,MATCH('Lorri 401b'!N1985,'Retirement Calculator'!A:A,0),0),0)</f>
        <v>0</v>
      </c>
      <c r="K1985" s="455">
        <f t="shared" ca="1" si="118"/>
        <v>-6681575.0215690462</v>
      </c>
      <c r="L1985" s="455">
        <f t="shared" ca="1" si="119"/>
        <v>-1610259580.1981401</v>
      </c>
      <c r="M1985" s="471">
        <f t="shared" si="121"/>
        <v>0.05</v>
      </c>
      <c r="N1985" s="475">
        <f t="shared" si="122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20"/>
        <v>-1610259580.1981401</v>
      </c>
      <c r="J1986" s="455">
        <f t="array" ref="J1986">IFERROR(INDEX('Retirement Calculator'!K:K,MATCH('Lorri 401b'!N1986,'Retirement Calculator'!A:A,0),0),0)</f>
        <v>0</v>
      </c>
      <c r="K1986" s="455">
        <f t="shared" ca="1" si="118"/>
        <v>-6709414.9174922509</v>
      </c>
      <c r="L1986" s="455">
        <f t="shared" ca="1" si="119"/>
        <v>-1616968995.1156323</v>
      </c>
      <c r="M1986" s="471">
        <f t="shared" si="121"/>
        <v>0.05</v>
      </c>
      <c r="N1986" s="475">
        <f t="shared" si="122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20"/>
        <v>-1616968995.1156323</v>
      </c>
      <c r="J1987" s="455">
        <f t="array" ref="J1987">IFERROR(INDEX('Retirement Calculator'!K:K,MATCH('Lorri 401b'!N1987,'Retirement Calculator'!A:A,0),0),0)</f>
        <v>0</v>
      </c>
      <c r="K1987" s="455">
        <f t="shared" ca="1" si="118"/>
        <v>-6737370.8129818011</v>
      </c>
      <c r="L1987" s="455">
        <f t="shared" ca="1" si="119"/>
        <v>-1623706365.9286141</v>
      </c>
      <c r="M1987" s="471">
        <f t="shared" si="121"/>
        <v>0.05</v>
      </c>
      <c r="N1987" s="475">
        <f t="shared" si="122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20"/>
        <v>-1623706365.9286141</v>
      </c>
      <c r="J1988" s="455">
        <f t="array" ref="J1988">IFERROR(INDEX('Retirement Calculator'!K:K,MATCH('Lorri 401b'!N1988,'Retirement Calculator'!A:A,0),0),0)</f>
        <v>0</v>
      </c>
      <c r="K1988" s="455">
        <f t="shared" ca="1" si="118"/>
        <v>-6765443.1913692253</v>
      </c>
      <c r="L1988" s="455">
        <f t="shared" ca="1" si="119"/>
        <v>-1630471809.1199834</v>
      </c>
      <c r="M1988" s="471">
        <f t="shared" si="121"/>
        <v>0.05</v>
      </c>
      <c r="N1988" s="475">
        <f t="shared" si="122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20"/>
        <v>-1630471809.1199834</v>
      </c>
      <c r="J1989" s="455">
        <f t="array" ref="J1989">IFERROR(INDEX('Retirement Calculator'!K:K,MATCH('Lorri 401b'!N1989,'Retirement Calculator'!A:A,0),0),0)</f>
        <v>0</v>
      </c>
      <c r="K1989" s="455">
        <f t="shared" ca="1" si="118"/>
        <v>-6793632.5379999308</v>
      </c>
      <c r="L1989" s="455">
        <f t="shared" ca="1" si="119"/>
        <v>-1637265441.6579833</v>
      </c>
      <c r="M1989" s="471">
        <f t="shared" si="121"/>
        <v>0.05</v>
      </c>
      <c r="N1989" s="475">
        <f t="shared" si="122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20"/>
        <v>-1637265441.6579833</v>
      </c>
      <c r="J1990" s="455">
        <f t="array" ref="J1990">IFERROR(INDEX('Retirement Calculator'!K:K,MATCH('Lorri 401b'!N1990,'Retirement Calculator'!A:A,0),0),0)</f>
        <v>0</v>
      </c>
      <c r="K1990" s="455">
        <f t="shared" ca="1" si="118"/>
        <v>-6821939.340241597</v>
      </c>
      <c r="L1990" s="455">
        <f t="shared" ca="1" si="119"/>
        <v>-1644087380.998225</v>
      </c>
      <c r="M1990" s="471">
        <f t="shared" si="121"/>
        <v>0.05</v>
      </c>
      <c r="N1990" s="475">
        <f t="shared" si="122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20"/>
        <v>-1644087380.998225</v>
      </c>
      <c r="J1991" s="455">
        <f t="array" ref="J1991">IFERROR(INDEX('Retirement Calculator'!K:K,MATCH('Lorri 401b'!N1991,'Retirement Calculator'!A:A,0),0),0)</f>
        <v>0</v>
      </c>
      <c r="K1991" s="455">
        <f t="shared" ca="1" si="118"/>
        <v>-6850364.0874926038</v>
      </c>
      <c r="L1991" s="455">
        <f t="shared" ca="1" si="119"/>
        <v>-1650937745.0857177</v>
      </c>
      <c r="M1991" s="471">
        <f t="shared" si="121"/>
        <v>0.05</v>
      </c>
      <c r="N1991" s="475">
        <f t="shared" si="122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20"/>
        <v>-1650937745.0857177</v>
      </c>
      <c r="J1992" s="455">
        <f t="array" ref="J1992">IFERROR(INDEX('Retirement Calculator'!K:K,MATCH('Lorri 401b'!N1992,'Retirement Calculator'!A:A,0),0),0)</f>
        <v>0</v>
      </c>
      <c r="K1992" s="455">
        <f t="shared" ca="1" si="118"/>
        <v>-6878907.2711904906</v>
      </c>
      <c r="L1992" s="455">
        <f t="shared" ca="1" si="119"/>
        <v>-1657816652.3569081</v>
      </c>
      <c r="M1992" s="471">
        <f t="shared" si="121"/>
        <v>0.05</v>
      </c>
      <c r="N1992" s="475">
        <f t="shared" si="122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20"/>
        <v>-1657816652.3569081</v>
      </c>
      <c r="J1993" s="455">
        <f t="array" ref="J1993">IFERROR(INDEX('Retirement Calculator'!K:K,MATCH('Lorri 401b'!N1993,'Retirement Calculator'!A:A,0),0),0)</f>
        <v>0</v>
      </c>
      <c r="K1993" s="455">
        <f t="shared" ca="1" si="118"/>
        <v>-6907569.3848204501</v>
      </c>
      <c r="L1993" s="455">
        <f t="shared" ca="1" si="119"/>
        <v>-1664724221.7417285</v>
      </c>
      <c r="M1993" s="471">
        <f t="shared" si="121"/>
        <v>0.05</v>
      </c>
      <c r="N1993" s="475">
        <f t="shared" si="122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20"/>
        <v>-1664724221.7417285</v>
      </c>
      <c r="J1994" s="455">
        <f t="array" ref="J1994">IFERROR(INDEX('Retirement Calculator'!K:K,MATCH('Lorri 401b'!N1994,'Retirement Calculator'!A:A,0),0),0)</f>
        <v>0</v>
      </c>
      <c r="K1994" s="455">
        <f t="shared" ca="1" si="118"/>
        <v>-6936350.9239238687</v>
      </c>
      <c r="L1994" s="455">
        <f t="shared" ca="1" si="119"/>
        <v>-1671660572.6656525</v>
      </c>
      <c r="M1994" s="471">
        <f t="shared" si="121"/>
        <v>0.05</v>
      </c>
      <c r="N1994" s="475">
        <f t="shared" si="122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20"/>
        <v>-1671660572.6656525</v>
      </c>
      <c r="J1995" s="455">
        <f t="array" ref="J1995">IFERROR(INDEX('Retirement Calculator'!K:K,MATCH('Lorri 401b'!N1995,'Retirement Calculator'!A:A,0),0),0)</f>
        <v>0</v>
      </c>
      <c r="K1995" s="455">
        <f t="shared" ca="1" si="118"/>
        <v>-6965252.386106885</v>
      </c>
      <c r="L1995" s="455">
        <f t="shared" ca="1" si="119"/>
        <v>-1678625825.0517595</v>
      </c>
      <c r="M1995" s="471">
        <f t="shared" si="121"/>
        <v>0.05</v>
      </c>
      <c r="N1995" s="475">
        <f t="shared" si="122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20"/>
        <v>-1678625825.0517595</v>
      </c>
      <c r="J1996" s="455">
        <f t="array" ref="J1996">IFERROR(INDEX('Retirement Calculator'!K:K,MATCH('Lorri 401b'!N1996,'Retirement Calculator'!A:A,0),0),0)</f>
        <v>0</v>
      </c>
      <c r="K1996" s="455">
        <f t="shared" ca="1" si="118"/>
        <v>-6994274.2710489975</v>
      </c>
      <c r="L1996" s="455">
        <f t="shared" ca="1" si="119"/>
        <v>-1685620099.3228085</v>
      </c>
      <c r="M1996" s="471">
        <f t="shared" si="121"/>
        <v>0.05</v>
      </c>
      <c r="N1996" s="475">
        <f t="shared" si="122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20"/>
        <v>-1685620099.3228085</v>
      </c>
      <c r="J1997" s="455">
        <f t="array" ref="J1997">IFERROR(INDEX('Retirement Calculator'!K:K,MATCH('Lorri 401b'!N1997,'Retirement Calculator'!A:A,0),0),0)</f>
        <v>0</v>
      </c>
      <c r="K1997" s="455">
        <f t="shared" ca="1" si="118"/>
        <v>-7023417.0805117022</v>
      </c>
      <c r="L1997" s="455">
        <f t="shared" ca="1" si="119"/>
        <v>-1692643516.4033203</v>
      </c>
      <c r="M1997" s="471">
        <f t="shared" si="121"/>
        <v>0.05</v>
      </c>
      <c r="N1997" s="475">
        <f t="shared" si="122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20"/>
        <v>-1692643516.4033203</v>
      </c>
      <c r="J1998" s="455">
        <f t="array" ref="J1998">IFERROR(INDEX('Retirement Calculator'!K:K,MATCH('Lorri 401b'!N1998,'Retirement Calculator'!A:A,0),0),0)</f>
        <v>0</v>
      </c>
      <c r="K1998" s="455">
        <f t="shared" ca="1" si="118"/>
        <v>-7052681.3183471682</v>
      </c>
      <c r="L1998" s="455">
        <f t="shared" ca="1" si="119"/>
        <v>-1699696197.7216675</v>
      </c>
      <c r="M1998" s="471">
        <f t="shared" si="121"/>
        <v>0.05</v>
      </c>
      <c r="N1998" s="475">
        <f t="shared" si="122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20"/>
        <v>-1699696197.7216675</v>
      </c>
      <c r="J1999" s="455">
        <f t="array" ref="J1999">IFERROR(INDEX('Retirement Calculator'!K:K,MATCH('Lorri 401b'!N1999,'Retirement Calculator'!A:A,0),0),0)</f>
        <v>0</v>
      </c>
      <c r="K1999" s="455">
        <f t="shared" ca="1" si="118"/>
        <v>-7082067.490506947</v>
      </c>
      <c r="L1999" s="455">
        <f t="shared" ca="1" si="119"/>
        <v>-1706778265.2121744</v>
      </c>
      <c r="M1999" s="471">
        <f t="shared" si="121"/>
        <v>0.05</v>
      </c>
      <c r="N1999" s="475">
        <f t="shared" si="122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20"/>
        <v>-1706778265.2121744</v>
      </c>
      <c r="J2000" s="455">
        <f t="array" ref="J2000">IFERROR(INDEX('Retirement Calculator'!K:K,MATCH('Lorri 401b'!N2000,'Retirement Calculator'!A:A,0),0),0)</f>
        <v>0</v>
      </c>
      <c r="K2000" s="455">
        <f t="shared" ca="1" si="118"/>
        <v>-7111576.1050507277</v>
      </c>
      <c r="L2000" s="455">
        <f t="shared" ca="1" si="119"/>
        <v>-1713889841.3172252</v>
      </c>
      <c r="M2000" s="471">
        <f t="shared" si="121"/>
        <v>0.05</v>
      </c>
      <c r="N2000" s="475">
        <f t="shared" si="122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20"/>
        <v>-1713889841.3172252</v>
      </c>
      <c r="J2001" s="455">
        <f t="array" ref="J2001">IFERROR(INDEX('Retirement Calculator'!K:K,MATCH('Lorri 401b'!N2001,'Retirement Calculator'!A:A,0),0),0)</f>
        <v>0</v>
      </c>
      <c r="K2001" s="455">
        <f t="shared" ca="1" si="118"/>
        <v>-7141207.6721551046</v>
      </c>
      <c r="L2001" s="455">
        <f t="shared" ca="1" si="119"/>
        <v>-1721031048.9893804</v>
      </c>
      <c r="M2001" s="471">
        <f t="shared" si="121"/>
        <v>0.05</v>
      </c>
      <c r="N2001" s="475">
        <f t="shared" si="122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20"/>
        <v>-1721031048.9893804</v>
      </c>
      <c r="J2002" s="455">
        <f t="array" ref="J2002">IFERROR(INDEX('Retirement Calculator'!K:K,MATCH('Lorri 401b'!N2002,'Retirement Calculator'!A:A,0),0),0)</f>
        <v>0</v>
      </c>
      <c r="K2002" s="455">
        <f t="shared" ca="1" si="118"/>
        <v>-7170962.7041224167</v>
      </c>
      <c r="L2002" s="455">
        <f t="shared" ca="1" si="119"/>
        <v>-1728202011.6935027</v>
      </c>
      <c r="M2002" s="471">
        <f t="shared" si="121"/>
        <v>0.05</v>
      </c>
      <c r="N2002" s="475">
        <f t="shared" si="122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20"/>
        <v>-1728202011.6935027</v>
      </c>
      <c r="J2003" s="455">
        <f t="array" ref="J2003">IFERROR(INDEX('Retirement Calculator'!K:K,MATCH('Lorri 401b'!N2003,'Retirement Calculator'!A:A,0),0),0)</f>
        <v>0</v>
      </c>
      <c r="K2003" s="455">
        <f t="shared" ca="1" si="118"/>
        <v>-7200841.7153895944</v>
      </c>
      <c r="L2003" s="455">
        <f t="shared" ca="1" si="119"/>
        <v>-1735402853.4088922</v>
      </c>
      <c r="M2003" s="471">
        <f t="shared" si="121"/>
        <v>0.05</v>
      </c>
      <c r="N2003" s="475">
        <f t="shared" si="122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20"/>
        <v>-1735402853.4088922</v>
      </c>
      <c r="J2004" s="455">
        <f t="array" ref="J2004">IFERROR(INDEX('Retirement Calculator'!K:K,MATCH('Lorri 401b'!N2004,'Retirement Calculator'!A:A,0),0),0)</f>
        <v>0</v>
      </c>
      <c r="K2004" s="455">
        <f t="shared" ca="1" si="118"/>
        <v>-7230845.222537051</v>
      </c>
      <c r="L2004" s="455">
        <f t="shared" ca="1" si="119"/>
        <v>-1742633698.6314292</v>
      </c>
      <c r="M2004" s="471">
        <f t="shared" si="121"/>
        <v>0.05</v>
      </c>
      <c r="N2004" s="475">
        <f t="shared" si="122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20"/>
        <v>-1742633698.6314292</v>
      </c>
      <c r="J2005" s="455">
        <f t="array" ref="J2005">IFERROR(INDEX('Retirement Calculator'!K:K,MATCH('Lorri 401b'!N2005,'Retirement Calculator'!A:A,0),0),0)</f>
        <v>0</v>
      </c>
      <c r="K2005" s="455">
        <f t="shared" ca="1" si="118"/>
        <v>-7260973.7442976218</v>
      </c>
      <c r="L2005" s="455">
        <f t="shared" ca="1" si="119"/>
        <v>-1749894672.3757267</v>
      </c>
      <c r="M2005" s="471">
        <f t="shared" si="121"/>
        <v>0.05</v>
      </c>
      <c r="N2005" s="475">
        <f t="shared" si="122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20"/>
        <v>-1749894672.3757267</v>
      </c>
      <c r="J2006" s="455">
        <f t="array" ref="J2006">IFERROR(INDEX('Retirement Calculator'!K:K,MATCH('Lorri 401b'!N2006,'Retirement Calculator'!A:A,0),0),0)</f>
        <v>0</v>
      </c>
      <c r="K2006" s="455">
        <f t="shared" ca="1" si="118"/>
        <v>-7291227.801565527</v>
      </c>
      <c r="L2006" s="455">
        <f t="shared" ca="1" si="119"/>
        <v>-1757185900.1772921</v>
      </c>
      <c r="M2006" s="471">
        <f t="shared" si="121"/>
        <v>0.05</v>
      </c>
      <c r="N2006" s="475">
        <f t="shared" si="122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20"/>
        <v>-1757185900.1772921</v>
      </c>
      <c r="J2007" s="455">
        <f t="array" ref="J2007">IFERROR(INDEX('Retirement Calculator'!K:K,MATCH('Lorri 401b'!N2007,'Retirement Calculator'!A:A,0),0),0)</f>
        <v>0</v>
      </c>
      <c r="K2007" s="455">
        <f t="shared" ca="1" si="118"/>
        <v>-7321607.9174053837</v>
      </c>
      <c r="L2007" s="455">
        <f t="shared" ca="1" si="119"/>
        <v>-1764507508.0946975</v>
      </c>
      <c r="M2007" s="471">
        <f t="shared" si="121"/>
        <v>0.05</v>
      </c>
      <c r="N2007" s="475">
        <f t="shared" si="122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20"/>
        <v>-1764507508.0946975</v>
      </c>
      <c r="J2008" s="455">
        <f t="array" ref="J2008">IFERROR(INDEX('Retirement Calculator'!K:K,MATCH('Lorri 401b'!N2008,'Retirement Calculator'!A:A,0),0),0)</f>
        <v>0</v>
      </c>
      <c r="K2008" s="455">
        <f t="shared" ca="1" si="118"/>
        <v>-7352114.6170612397</v>
      </c>
      <c r="L2008" s="455">
        <f t="shared" ca="1" si="119"/>
        <v>-1771859622.7117586</v>
      </c>
      <c r="M2008" s="471">
        <f t="shared" si="121"/>
        <v>0.05</v>
      </c>
      <c r="N2008" s="475">
        <f t="shared" si="122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20"/>
        <v>-1771859622.7117586</v>
      </c>
      <c r="J2009" s="455">
        <f t="array" ref="J2009">IFERROR(INDEX('Retirement Calculator'!K:K,MATCH('Lorri 401b'!N2009,'Retirement Calculator'!A:A,0),0),0)</f>
        <v>0</v>
      </c>
      <c r="K2009" s="455">
        <f t="shared" ca="1" si="118"/>
        <v>-7382748.4279656615</v>
      </c>
      <c r="L2009" s="455">
        <f t="shared" ca="1" si="119"/>
        <v>-1779242371.1397243</v>
      </c>
      <c r="M2009" s="471">
        <f t="shared" si="121"/>
        <v>0.05</v>
      </c>
      <c r="N2009" s="475">
        <f t="shared" si="122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20"/>
        <v>-1779242371.1397243</v>
      </c>
      <c r="J2010" s="455">
        <f t="array" ref="J2010">IFERROR(INDEX('Retirement Calculator'!K:K,MATCH('Lorri 401b'!N2010,'Retirement Calculator'!A:A,0),0),0)</f>
        <v>0</v>
      </c>
      <c r="K2010" s="455">
        <f t="shared" ca="1" si="118"/>
        <v>-7413509.8797488501</v>
      </c>
      <c r="L2010" s="455">
        <f t="shared" ca="1" si="119"/>
        <v>-1786655881.0194731</v>
      </c>
      <c r="M2010" s="471">
        <f t="shared" si="121"/>
        <v>0.05</v>
      </c>
      <c r="N2010" s="475">
        <f t="shared" si="122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20"/>
        <v>-1786655881.0194731</v>
      </c>
      <c r="J2011" s="455">
        <f t="array" ref="J2011">IFERROR(INDEX('Retirement Calculator'!K:K,MATCH('Lorri 401b'!N2011,'Retirement Calculator'!A:A,0),0),0)</f>
        <v>0</v>
      </c>
      <c r="K2011" s="455">
        <f t="shared" ca="1" si="118"/>
        <v>-7444399.5042478042</v>
      </c>
      <c r="L2011" s="455">
        <f t="shared" ca="1" si="119"/>
        <v>-1794100280.523721</v>
      </c>
      <c r="M2011" s="471">
        <f t="shared" si="121"/>
        <v>0.05</v>
      </c>
      <c r="N2011" s="475">
        <f t="shared" si="122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20"/>
        <v>-1794100280.523721</v>
      </c>
      <c r="J2012" s="455">
        <f t="array" ref="J2012">IFERROR(INDEX('Retirement Calculator'!K:K,MATCH('Lorri 401b'!N2012,'Retirement Calculator'!A:A,0),0),0)</f>
        <v>0</v>
      </c>
      <c r="K2012" s="455">
        <f t="shared" ca="1" si="118"/>
        <v>-7475417.8355155038</v>
      </c>
      <c r="L2012" s="455">
        <f t="shared" ca="1" si="119"/>
        <v>-1801575698.3592365</v>
      </c>
      <c r="M2012" s="471">
        <f t="shared" si="121"/>
        <v>0.05</v>
      </c>
      <c r="N2012" s="475">
        <f t="shared" si="122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20"/>
        <v>-1801575698.3592365</v>
      </c>
      <c r="J2013" s="455">
        <f t="array" ref="J2013">IFERROR(INDEX('Retirement Calculator'!K:K,MATCH('Lorri 401b'!N2013,'Retirement Calculator'!A:A,0),0),0)</f>
        <v>0</v>
      </c>
      <c r="K2013" s="455">
        <f t="shared" ca="1" si="118"/>
        <v>-7506565.4098301521</v>
      </c>
      <c r="L2013" s="455">
        <f t="shared" ca="1" si="119"/>
        <v>-1809082263.7690666</v>
      </c>
      <c r="M2013" s="471">
        <f t="shared" si="121"/>
        <v>0.05</v>
      </c>
      <c r="N2013" s="475">
        <f t="shared" si="122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20"/>
        <v>-1809082263.7690666</v>
      </c>
      <c r="J2014" s="455">
        <f t="array" ref="J2014">IFERROR(INDEX('Retirement Calculator'!K:K,MATCH('Lorri 401b'!N2014,'Retirement Calculator'!A:A,0),0),0)</f>
        <v>0</v>
      </c>
      <c r="K2014" s="455">
        <f t="shared" ca="1" si="118"/>
        <v>-7537842.7657044437</v>
      </c>
      <c r="L2014" s="455">
        <f t="shared" ca="1" si="119"/>
        <v>-1816620106.534771</v>
      </c>
      <c r="M2014" s="471">
        <f t="shared" si="121"/>
        <v>0.05</v>
      </c>
      <c r="N2014" s="475">
        <f t="shared" si="122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20"/>
        <v>-1816620106.534771</v>
      </c>
      <c r="J2015" s="455">
        <f t="array" ref="J2015">IFERROR(INDEX('Retirement Calculator'!K:K,MATCH('Lorri 401b'!N2015,'Retirement Calculator'!A:A,0),0),0)</f>
        <v>0</v>
      </c>
      <c r="K2015" s="455">
        <f t="shared" ca="1" si="118"/>
        <v>-7569250.443894879</v>
      </c>
      <c r="L2015" s="455">
        <f t="shared" ca="1" si="119"/>
        <v>-1824189356.9786658</v>
      </c>
      <c r="M2015" s="471">
        <f t="shared" si="121"/>
        <v>0.05</v>
      </c>
      <c r="N2015" s="475">
        <f t="shared" si="122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20"/>
        <v>-1824189356.9786658</v>
      </c>
      <c r="J2016" s="455">
        <f t="array" ref="J2016">IFERROR(INDEX('Retirement Calculator'!K:K,MATCH('Lorri 401b'!N2016,'Retirement Calculator'!A:A,0),0),0)</f>
        <v>0</v>
      </c>
      <c r="K2016" s="455">
        <f t="shared" ca="1" si="118"/>
        <v>-7600788.9874111079</v>
      </c>
      <c r="L2016" s="455">
        <f t="shared" ca="1" si="119"/>
        <v>-1831790145.9660769</v>
      </c>
      <c r="M2016" s="471">
        <f t="shared" si="121"/>
        <v>0.05</v>
      </c>
      <c r="N2016" s="475">
        <f t="shared" si="122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20"/>
        <v>-1831790145.9660769</v>
      </c>
      <c r="J2017" s="455">
        <f t="array" ref="J2017">IFERROR(INDEX('Retirement Calculator'!K:K,MATCH('Lorri 401b'!N2017,'Retirement Calculator'!A:A,0),0),0)</f>
        <v>0</v>
      </c>
      <c r="K2017" s="455">
        <f t="shared" ca="1" si="118"/>
        <v>-7632458.9415253205</v>
      </c>
      <c r="L2017" s="455">
        <f t="shared" ca="1" si="119"/>
        <v>-1839422604.9076021</v>
      </c>
      <c r="M2017" s="471">
        <f t="shared" si="121"/>
        <v>0.05</v>
      </c>
      <c r="N2017" s="475">
        <f t="shared" si="122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20"/>
        <v>-1839422604.9076021</v>
      </c>
      <c r="J2018" s="455">
        <f t="array" ref="J2018">IFERROR(INDEX('Retirement Calculator'!K:K,MATCH('Lorri 401b'!N2018,'Retirement Calculator'!A:A,0),0),0)</f>
        <v>0</v>
      </c>
      <c r="K2018" s="455">
        <f t="shared" ca="1" si="118"/>
        <v>-7664260.8537816741</v>
      </c>
      <c r="L2018" s="455">
        <f t="shared" ca="1" si="119"/>
        <v>-1847086865.7613838</v>
      </c>
      <c r="M2018" s="471">
        <f t="shared" si="121"/>
        <v>0.05</v>
      </c>
      <c r="N2018" s="475">
        <f t="shared" si="122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20"/>
        <v>-1847086865.7613838</v>
      </c>
      <c r="J2019" s="455">
        <f t="array" ref="J2019">IFERROR(INDEX('Retirement Calculator'!K:K,MATCH('Lorri 401b'!N2019,'Retirement Calculator'!A:A,0),0),0)</f>
        <v>0</v>
      </c>
      <c r="K2019" s="455">
        <f t="shared" ca="1" si="118"/>
        <v>-7696195.274005766</v>
      </c>
      <c r="L2019" s="455">
        <f t="shared" ca="1" si="119"/>
        <v>-1854783061.0353894</v>
      </c>
      <c r="M2019" s="471">
        <f t="shared" si="121"/>
        <v>0.05</v>
      </c>
      <c r="N2019" s="475">
        <f t="shared" si="122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20"/>
        <v>-1854783061.0353894</v>
      </c>
      <c r="J2020" s="455">
        <f t="array" ref="J2020">IFERROR(INDEX('Retirement Calculator'!K:K,MATCH('Lorri 401b'!N2020,'Retirement Calculator'!A:A,0),0),0)</f>
        <v>0</v>
      </c>
      <c r="K2020" s="455">
        <f t="shared" ca="1" si="118"/>
        <v>-7728262.7543141227</v>
      </c>
      <c r="L2020" s="455">
        <f t="shared" ca="1" si="119"/>
        <v>-1862511323.7897036</v>
      </c>
      <c r="M2020" s="471">
        <f t="shared" si="121"/>
        <v>0.05</v>
      </c>
      <c r="N2020" s="475">
        <f t="shared" si="122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20"/>
        <v>-1862511323.7897036</v>
      </c>
      <c r="J2021" s="455">
        <f t="array" ref="J2021">IFERROR(INDEX('Retirement Calculator'!K:K,MATCH('Lorri 401b'!N2021,'Retirement Calculator'!A:A,0),0),0)</f>
        <v>0</v>
      </c>
      <c r="K2021" s="455">
        <f t="shared" ca="1" si="118"/>
        <v>-7760463.8491237648</v>
      </c>
      <c r="L2021" s="455">
        <f t="shared" ca="1" si="119"/>
        <v>-1870271787.6388273</v>
      </c>
      <c r="M2021" s="471">
        <f t="shared" si="121"/>
        <v>0.05</v>
      </c>
      <c r="N2021" s="475">
        <f t="shared" si="122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20"/>
        <v>-1870271787.6388273</v>
      </c>
      <c r="J2022" s="455">
        <f t="array" ref="J2022">IFERROR(INDEX('Retirement Calculator'!K:K,MATCH('Lorri 401b'!N2022,'Retirement Calculator'!A:A,0),0),0)</f>
        <v>0</v>
      </c>
      <c r="K2022" s="455">
        <f t="shared" ca="1" si="118"/>
        <v>-7792799.1151617803</v>
      </c>
      <c r="L2022" s="455">
        <f t="shared" ca="1" si="119"/>
        <v>-1878064586.7539892</v>
      </c>
      <c r="M2022" s="471">
        <f t="shared" si="121"/>
        <v>0.05</v>
      </c>
      <c r="N2022" s="475">
        <f t="shared" si="122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20"/>
        <v>-1878064586.7539892</v>
      </c>
      <c r="J2023" s="455">
        <f t="array" ref="J2023">IFERROR(INDEX('Retirement Calculator'!K:K,MATCH('Lorri 401b'!N2023,'Retirement Calculator'!A:A,0),0),0)</f>
        <v>0</v>
      </c>
      <c r="K2023" s="455">
        <f t="shared" ca="1" si="118"/>
        <v>-7825269.1114749545</v>
      </c>
      <c r="L2023" s="455">
        <f t="shared" ca="1" si="119"/>
        <v>-1885889855.8654642</v>
      </c>
      <c r="M2023" s="471">
        <f t="shared" si="121"/>
        <v>0.05</v>
      </c>
      <c r="N2023" s="475">
        <f t="shared" si="122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20"/>
        <v>-1885889855.8654642</v>
      </c>
      <c r="J2024" s="455">
        <f t="array" ref="J2024">IFERROR(INDEX('Retirement Calculator'!K:K,MATCH('Lorri 401b'!N2024,'Retirement Calculator'!A:A,0),0),0)</f>
        <v>0</v>
      </c>
      <c r="K2024" s="455">
        <f t="shared" ca="1" si="118"/>
        <v>-7857874.3994394345</v>
      </c>
      <c r="L2024" s="455">
        <f t="shared" ca="1" si="119"/>
        <v>-1893747730.2649035</v>
      </c>
      <c r="M2024" s="471">
        <f t="shared" si="121"/>
        <v>0.05</v>
      </c>
      <c r="N2024" s="475">
        <f t="shared" si="122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20"/>
        <v>-1893747730.2649035</v>
      </c>
      <c r="J2025" s="455">
        <f t="array" ref="J2025">IFERROR(INDEX('Retirement Calculator'!K:K,MATCH('Lorri 401b'!N2025,'Retirement Calculator'!A:A,0),0),0)</f>
        <v>0</v>
      </c>
      <c r="K2025" s="455">
        <f t="shared" ca="1" si="118"/>
        <v>-7890615.5427704314</v>
      </c>
      <c r="L2025" s="455">
        <f t="shared" ca="1" si="119"/>
        <v>-1901638345.8076739</v>
      </c>
      <c r="M2025" s="471">
        <f t="shared" si="121"/>
        <v>0.05</v>
      </c>
      <c r="N2025" s="475">
        <f t="shared" si="122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20"/>
        <v>-1901638345.8076739</v>
      </c>
      <c r="J2026" s="455">
        <f t="array" ref="J2026">IFERROR(INDEX('Retirement Calculator'!K:K,MATCH('Lorri 401b'!N2026,'Retirement Calculator'!A:A,0),0),0)</f>
        <v>0</v>
      </c>
      <c r="K2026" s="455">
        <f t="shared" ca="1" si="118"/>
        <v>-7923493.107531976</v>
      </c>
      <c r="L2026" s="455">
        <f t="shared" ca="1" si="119"/>
        <v>-1909561838.915206</v>
      </c>
      <c r="M2026" s="471">
        <f t="shared" si="121"/>
        <v>0.05</v>
      </c>
      <c r="N2026" s="475">
        <f t="shared" si="122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20"/>
        <v>-1909561838.915206</v>
      </c>
      <c r="J2027" s="455">
        <f t="array" ref="J2027">IFERROR(INDEX('Retirement Calculator'!K:K,MATCH('Lorri 401b'!N2027,'Retirement Calculator'!A:A,0),0),0)</f>
        <v>0</v>
      </c>
      <c r="K2027" s="455">
        <f t="shared" ca="1" si="118"/>
        <v>-7956507.6621466903</v>
      </c>
      <c r="L2027" s="455">
        <f t="shared" ca="1" si="119"/>
        <v>-1917518346.5773528</v>
      </c>
      <c r="M2027" s="471">
        <f t="shared" si="121"/>
        <v>0.05</v>
      </c>
      <c r="N2027" s="475">
        <f t="shared" si="122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20"/>
        <v>-1917518346.5773528</v>
      </c>
      <c r="J2028" s="455">
        <f t="array" ref="J2028">IFERROR(INDEX('Retirement Calculator'!K:K,MATCH('Lorri 401b'!N2028,'Retirement Calculator'!A:A,0),0),0)</f>
        <v>0</v>
      </c>
      <c r="K2028" s="455">
        <f t="shared" ca="1" si="118"/>
        <v>-7989659.7774056364</v>
      </c>
      <c r="L2028" s="455">
        <f t="shared" ca="1" si="119"/>
        <v>-1925508006.3547585</v>
      </c>
      <c r="M2028" s="471">
        <f t="shared" si="121"/>
        <v>0.05</v>
      </c>
      <c r="N2028" s="475">
        <f t="shared" si="122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20"/>
        <v>-1925508006.3547585</v>
      </c>
      <c r="J2029" s="455">
        <f t="array" ref="J2029">IFERROR(INDEX('Retirement Calculator'!K:K,MATCH('Lorri 401b'!N2029,'Retirement Calculator'!A:A,0),0),0)</f>
        <v>0</v>
      </c>
      <c r="K2029" s="455">
        <f t="shared" ca="1" si="118"/>
        <v>-8022950.0264781592</v>
      </c>
      <c r="L2029" s="455">
        <f t="shared" ca="1" si="119"/>
        <v>-1933530956.3812366</v>
      </c>
      <c r="M2029" s="471">
        <f t="shared" si="121"/>
        <v>0.05</v>
      </c>
      <c r="N2029" s="475">
        <f t="shared" si="122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20"/>
        <v>-1933530956.3812366</v>
      </c>
      <c r="J2030" s="455">
        <f t="array" ref="J2030">IFERROR(INDEX('Retirement Calculator'!K:K,MATCH('Lorri 401b'!N2030,'Retirement Calculator'!A:A,0),0),0)</f>
        <v>0</v>
      </c>
      <c r="K2030" s="455">
        <f t="shared" ca="1" si="118"/>
        <v>-8056378.9849218186</v>
      </c>
      <c r="L2030" s="455">
        <f t="shared" ca="1" si="119"/>
        <v>-1941587335.3661585</v>
      </c>
      <c r="M2030" s="471">
        <f t="shared" si="121"/>
        <v>0.05</v>
      </c>
      <c r="N2030" s="475">
        <f t="shared" si="122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20"/>
        <v>-1941587335.3661585</v>
      </c>
      <c r="J2031" s="455">
        <f t="array" ref="J2031">IFERROR(INDEX('Retirement Calculator'!K:K,MATCH('Lorri 401b'!N2031,'Retirement Calculator'!A:A,0),0),0)</f>
        <v>0</v>
      </c>
      <c r="K2031" s="455">
        <f t="shared" ca="1" si="118"/>
        <v>-8089947.230692327</v>
      </c>
      <c r="L2031" s="455">
        <f t="shared" ca="1" si="119"/>
        <v>-1949677282.5968509</v>
      </c>
      <c r="M2031" s="471">
        <f t="shared" si="121"/>
        <v>0.05</v>
      </c>
      <c r="N2031" s="475">
        <f t="shared" si="122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20"/>
        <v>-1949677282.5968509</v>
      </c>
      <c r="J2032" s="455">
        <f t="array" ref="J2032">IFERROR(INDEX('Retirement Calculator'!K:K,MATCH('Lorri 401b'!N2032,'Retirement Calculator'!A:A,0),0),0)</f>
        <v>0</v>
      </c>
      <c r="K2032" s="455">
        <f t="shared" ca="1" si="118"/>
        <v>-8123655.3441535458</v>
      </c>
      <c r="L2032" s="455">
        <f t="shared" ca="1" si="119"/>
        <v>-1957800937.9410045</v>
      </c>
      <c r="M2032" s="471">
        <f t="shared" si="121"/>
        <v>0.05</v>
      </c>
      <c r="N2032" s="475">
        <f t="shared" si="122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20"/>
        <v>-1957800937.9410045</v>
      </c>
      <c r="J2033" s="455">
        <f t="array" ref="J2033">IFERROR(INDEX('Retirement Calculator'!K:K,MATCH('Lorri 401b'!N2033,'Retirement Calculator'!A:A,0),0),0)</f>
        <v>0</v>
      </c>
      <c r="K2033" s="455">
        <f t="shared" ca="1" si="118"/>
        <v>-8157503.908087519</v>
      </c>
      <c r="L2033" s="455">
        <f t="shared" ca="1" si="119"/>
        <v>-1965958441.849092</v>
      </c>
      <c r="M2033" s="471">
        <f t="shared" si="121"/>
        <v>0.05</v>
      </c>
      <c r="N2033" s="475">
        <f t="shared" si="122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20"/>
        <v>-1965958441.849092</v>
      </c>
      <c r="J2034" s="455">
        <f t="array" ref="J2034">IFERROR(INDEX('Retirement Calculator'!K:K,MATCH('Lorri 401b'!N2034,'Retirement Calculator'!A:A,0),0),0)</f>
        <v>0</v>
      </c>
      <c r="K2034" s="455">
        <f t="shared" ca="1" si="118"/>
        <v>-8191493.5077045495</v>
      </c>
      <c r="L2034" s="455">
        <f t="shared" ca="1" si="119"/>
        <v>-1974149935.3567965</v>
      </c>
      <c r="M2034" s="471">
        <f t="shared" si="121"/>
        <v>0.05</v>
      </c>
      <c r="N2034" s="475">
        <f t="shared" si="122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20"/>
        <v>-1974149935.3567965</v>
      </c>
      <c r="J2035" s="455">
        <f t="array" ref="J2035">IFERROR(INDEX('Retirement Calculator'!K:K,MATCH('Lorri 401b'!N2035,'Retirement Calculator'!A:A,0),0),0)</f>
        <v>0</v>
      </c>
      <c r="K2035" s="455">
        <f t="shared" ca="1" si="118"/>
        <v>-8225624.7306533176</v>
      </c>
      <c r="L2035" s="455">
        <f t="shared" ca="1" si="119"/>
        <v>-1982375560.0874498</v>
      </c>
      <c r="M2035" s="471">
        <f t="shared" si="121"/>
        <v>0.05</v>
      </c>
      <c r="N2035" s="475">
        <f t="shared" si="122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20"/>
        <v>-1982375560.0874498</v>
      </c>
      <c r="J2036" s="455">
        <f t="array" ref="J2036">IFERROR(INDEX('Retirement Calculator'!K:K,MATCH('Lorri 401b'!N2036,'Retirement Calculator'!A:A,0),0),0)</f>
        <v>0</v>
      </c>
      <c r="K2036" s="455">
        <f t="shared" ca="1" si="118"/>
        <v>-8259898.1670310404</v>
      </c>
      <c r="L2036" s="455">
        <f t="shared" ca="1" si="119"/>
        <v>-1990635458.2544808</v>
      </c>
      <c r="M2036" s="471">
        <f t="shared" si="121"/>
        <v>0.05</v>
      </c>
      <c r="N2036" s="475">
        <f t="shared" si="122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20"/>
        <v>-1990635458.2544808</v>
      </c>
      <c r="J2037" s="455">
        <f t="array" ref="J2037">IFERROR(INDEX('Retirement Calculator'!K:K,MATCH('Lorri 401b'!N2037,'Retirement Calculator'!A:A,0),0),0)</f>
        <v>0</v>
      </c>
      <c r="K2037" s="455">
        <f t="shared" ca="1" si="118"/>
        <v>-8294314.40939367</v>
      </c>
      <c r="L2037" s="455">
        <f t="shared" ca="1" si="119"/>
        <v>-1998929772.6638746</v>
      </c>
      <c r="M2037" s="471">
        <f t="shared" si="121"/>
        <v>0.05</v>
      </c>
      <c r="N2037" s="475">
        <f t="shared" si="122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20"/>
        <v>-1998929772.6638746</v>
      </c>
      <c r="J2038" s="455">
        <f t="array" ref="J2038">IFERROR(INDEX('Retirement Calculator'!K:K,MATCH('Lorri 401b'!N2038,'Retirement Calculator'!A:A,0),0),0)</f>
        <v>0</v>
      </c>
      <c r="K2038" s="455">
        <f t="shared" ca="1" si="118"/>
        <v>-8328874.0527661443</v>
      </c>
      <c r="L2038" s="455">
        <f t="shared" ca="1" si="119"/>
        <v>-2007258646.7166407</v>
      </c>
      <c r="M2038" s="471">
        <f t="shared" si="121"/>
        <v>0.05</v>
      </c>
      <c r="N2038" s="475">
        <f t="shared" si="122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20"/>
        <v>-2007258646.7166407</v>
      </c>
      <c r="J2039" s="455">
        <f t="array" ref="J2039">IFERROR(INDEX('Retirement Calculator'!K:K,MATCH('Lorri 401b'!N2039,'Retirement Calculator'!A:A,0),0),0)</f>
        <v>0</v>
      </c>
      <c r="K2039" s="455">
        <f t="shared" ca="1" si="118"/>
        <v>-8363577.6946526691</v>
      </c>
      <c r="L2039" s="455">
        <f t="shared" ca="1" si="119"/>
        <v>-2015622224.4112933</v>
      </c>
      <c r="M2039" s="471">
        <f t="shared" si="121"/>
        <v>0.05</v>
      </c>
      <c r="N2039" s="475">
        <f t="shared" si="122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20"/>
        <v>-2015622224.4112933</v>
      </c>
      <c r="J2040" s="455">
        <f t="array" ref="J2040">IFERROR(INDEX('Retirement Calculator'!K:K,MATCH('Lorri 401b'!N2040,'Retirement Calculator'!A:A,0),0),0)</f>
        <v>0</v>
      </c>
      <c r="K2040" s="455">
        <f t="shared" ca="1" si="118"/>
        <v>-8398425.9350470547</v>
      </c>
      <c r="L2040" s="455">
        <f t="shared" ca="1" si="119"/>
        <v>-2024020650.3463404</v>
      </c>
      <c r="M2040" s="471">
        <f t="shared" si="121"/>
        <v>0.05</v>
      </c>
      <c r="N2040" s="475">
        <f t="shared" si="122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20"/>
        <v>-2024020650.3463404</v>
      </c>
      <c r="J2041" s="455">
        <f t="array" ref="J2041">IFERROR(INDEX('Retirement Calculator'!K:K,MATCH('Lorri 401b'!N2041,'Retirement Calculator'!A:A,0),0),0)</f>
        <v>0</v>
      </c>
      <c r="K2041" s="455">
        <f t="shared" ca="1" si="118"/>
        <v>-8433419.3764430843</v>
      </c>
      <c r="L2041" s="455">
        <f t="shared" ca="1" si="119"/>
        <v>-2032454069.7227836</v>
      </c>
      <c r="M2041" s="471">
        <f t="shared" si="121"/>
        <v>0.05</v>
      </c>
      <c r="N2041" s="475">
        <f t="shared" si="122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20"/>
        <v>-2032454069.7227836</v>
      </c>
      <c r="J2042" s="455">
        <f t="array" ref="J2042">IFERROR(INDEX('Retirement Calculator'!K:K,MATCH('Lorri 401b'!N2042,'Retirement Calculator'!A:A,0),0),0)</f>
        <v>0</v>
      </c>
      <c r="K2042" s="455">
        <f t="shared" ca="1" si="118"/>
        <v>-8468558.6238449328</v>
      </c>
      <c r="L2042" s="455">
        <f t="shared" ca="1" si="119"/>
        <v>-2040922628.3466284</v>
      </c>
      <c r="M2042" s="471">
        <f t="shared" si="121"/>
        <v>0.05</v>
      </c>
      <c r="N2042" s="475">
        <f t="shared" si="122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20"/>
        <v>-2040922628.3466284</v>
      </c>
      <c r="J2043" s="455">
        <f t="array" ref="J2043">IFERROR(INDEX('Retirement Calculator'!K:K,MATCH('Lorri 401b'!N2043,'Retirement Calculator'!A:A,0),0),0)</f>
        <v>0</v>
      </c>
      <c r="K2043" s="455">
        <f t="shared" ca="1" si="118"/>
        <v>-8503844.2847776171</v>
      </c>
      <c r="L2043" s="455">
        <f t="shared" ca="1" si="119"/>
        <v>-2049426472.6314061</v>
      </c>
      <c r="M2043" s="471">
        <f t="shared" si="121"/>
        <v>0.05</v>
      </c>
      <c r="N2043" s="475">
        <f t="shared" si="122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20"/>
        <v>-2049426472.6314061</v>
      </c>
      <c r="J2044" s="455">
        <f t="array" ref="J2044">IFERROR(INDEX('Retirement Calculator'!K:K,MATCH('Lorri 401b'!N2044,'Retirement Calculator'!A:A,0),0),0)</f>
        <v>0</v>
      </c>
      <c r="K2044" s="455">
        <f t="shared" ca="1" si="118"/>
        <v>-8539276.9692975245</v>
      </c>
      <c r="L2044" s="455">
        <f t="shared" ca="1" si="119"/>
        <v>-2057965749.6007035</v>
      </c>
      <c r="M2044" s="471">
        <f t="shared" si="121"/>
        <v>0.05</v>
      </c>
      <c r="N2044" s="475">
        <f t="shared" si="122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20"/>
        <v>-2057965749.6007035</v>
      </c>
      <c r="J2045" s="455">
        <f t="array" ref="J2045">IFERROR(INDEX('Retirement Calculator'!K:K,MATCH('Lorri 401b'!N2045,'Retirement Calculator'!A:A,0),0),0)</f>
        <v>0</v>
      </c>
      <c r="K2045" s="455">
        <f t="shared" ca="1" si="118"/>
        <v>-8574857.2900029309</v>
      </c>
      <c r="L2045" s="455">
        <f t="shared" ca="1" si="119"/>
        <v>-2066540606.8907063</v>
      </c>
      <c r="M2045" s="471">
        <f t="shared" si="121"/>
        <v>0.05</v>
      </c>
      <c r="N2045" s="475">
        <f t="shared" si="122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20"/>
        <v>-2066540606.8907063</v>
      </c>
      <c r="J2046" s="455">
        <f t="array" ref="J2046">IFERROR(INDEX('Retirement Calculator'!K:K,MATCH('Lorri 401b'!N2046,'Retirement Calculator'!A:A,0),0),0)</f>
        <v>0</v>
      </c>
      <c r="K2046" s="455">
        <f t="shared" ca="1" si="118"/>
        <v>-8610585.8620446082</v>
      </c>
      <c r="L2046" s="455">
        <f t="shared" ca="1" si="119"/>
        <v>-2075151192.7527509</v>
      </c>
      <c r="M2046" s="471">
        <f t="shared" si="121"/>
        <v>0.05</v>
      </c>
      <c r="N2046" s="475">
        <f t="shared" si="122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20"/>
        <v>-2075151192.7527509</v>
      </c>
      <c r="J2047" s="455">
        <f t="array" ref="J2047">IFERROR(INDEX('Retirement Calculator'!K:K,MATCH('Lorri 401b'!N2047,'Retirement Calculator'!A:A,0),0),0)</f>
        <v>0</v>
      </c>
      <c r="K2047" s="455">
        <f t="shared" ca="1" si="118"/>
        <v>-8646463.3031364605</v>
      </c>
      <c r="L2047" s="455">
        <f t="shared" ca="1" si="119"/>
        <v>-2083797656.0558872</v>
      </c>
      <c r="M2047" s="471">
        <f t="shared" si="121"/>
        <v>0.05</v>
      </c>
      <c r="N2047" s="475">
        <f t="shared" si="122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20"/>
        <v>-2083797656.0558872</v>
      </c>
      <c r="J2048" s="455">
        <f t="array" ref="J2048">IFERROR(INDEX('Retirement Calculator'!K:K,MATCH('Lorri 401b'!N2048,'Retirement Calculator'!A:A,0),0),0)</f>
        <v>0</v>
      </c>
      <c r="K2048" s="455">
        <f t="shared" ref="K2048:K2302" ca="1" si="123">IPMT(M2048/12,1,12,-I2048+J2048,,0)</f>
        <v>-8682490.2335661948</v>
      </c>
      <c r="L2048" s="455">
        <f t="shared" ref="L2048:L2302" ca="1" si="124">I2048-J2048+K2048</f>
        <v>-2092480146.2894535</v>
      </c>
      <c r="M2048" s="471">
        <f t="shared" si="121"/>
        <v>0.05</v>
      </c>
      <c r="N2048" s="475">
        <f t="shared" si="122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25">L2048</f>
        <v>-2092480146.2894535</v>
      </c>
      <c r="J2049" s="455">
        <f t="array" ref="J2049">IFERROR(INDEX('Retirement Calculator'!K:K,MATCH('Lorri 401b'!N2049,'Retirement Calculator'!A:A,0),0),0)</f>
        <v>0</v>
      </c>
      <c r="K2049" s="455">
        <f t="shared" ca="1" si="123"/>
        <v>-8718667.2762060557</v>
      </c>
      <c r="L2049" s="455">
        <f t="shared" ca="1" si="124"/>
        <v>-2101198813.5656595</v>
      </c>
      <c r="M2049" s="471">
        <f t="shared" ref="M2049:M2303" si="126">M2048</f>
        <v>0.05</v>
      </c>
      <c r="N2049" s="475">
        <f t="shared" ref="N2049:N2303" si="127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25"/>
        <v>-2101198813.5656595</v>
      </c>
      <c r="J2050" s="455">
        <f t="array" ref="J2050">IFERROR(INDEX('Retirement Calculator'!K:K,MATCH('Lorri 401b'!N2050,'Retirement Calculator'!A:A,0),0),0)</f>
        <v>0</v>
      </c>
      <c r="K2050" s="455">
        <f t="shared" ca="1" si="123"/>
        <v>-8754995.0565235801</v>
      </c>
      <c r="L2050" s="455">
        <f t="shared" ca="1" si="124"/>
        <v>-2109953808.6221831</v>
      </c>
      <c r="M2050" s="471">
        <f t="shared" si="126"/>
        <v>0.05</v>
      </c>
      <c r="N2050" s="475">
        <f t="shared" si="127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25"/>
        <v>-2109953808.6221831</v>
      </c>
      <c r="J2051" s="455">
        <f t="array" ref="J2051">IFERROR(INDEX('Retirement Calculator'!K:K,MATCH('Lorri 401b'!N2051,'Retirement Calculator'!A:A,0),0),0)</f>
        <v>0</v>
      </c>
      <c r="K2051" s="455">
        <f t="shared" ca="1" si="123"/>
        <v>-8791474.2025924288</v>
      </c>
      <c r="L2051" s="455">
        <f t="shared" ca="1" si="124"/>
        <v>-2118745282.8247755</v>
      </c>
      <c r="M2051" s="471">
        <f t="shared" si="126"/>
        <v>0.05</v>
      </c>
      <c r="N2051" s="475">
        <f t="shared" si="127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25"/>
        <v>-2118745282.8247755</v>
      </c>
      <c r="J2052" s="455">
        <f t="array" ref="J2052">IFERROR(INDEX('Retirement Calculator'!K:K,MATCH('Lorri 401b'!N2052,'Retirement Calculator'!A:A,0),0),0)</f>
        <v>0</v>
      </c>
      <c r="K2052" s="455">
        <f t="shared" ca="1" si="123"/>
        <v>-8828105.3451032303</v>
      </c>
      <c r="L2052" s="455">
        <f t="shared" ca="1" si="124"/>
        <v>-2127573388.1698787</v>
      </c>
      <c r="M2052" s="471">
        <f t="shared" si="126"/>
        <v>0.05</v>
      </c>
      <c r="N2052" s="475">
        <f t="shared" si="127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25"/>
        <v>-2127573388.1698787</v>
      </c>
      <c r="J2053" s="455">
        <f t="array" ref="J2053">IFERROR(INDEX('Retirement Calculator'!K:K,MATCH('Lorri 401b'!N2053,'Retirement Calculator'!A:A,0),0),0)</f>
        <v>0</v>
      </c>
      <c r="K2053" s="455">
        <f t="shared" ca="1" si="123"/>
        <v>-8864889.1173744947</v>
      </c>
      <c r="L2053" s="455">
        <f t="shared" ca="1" si="124"/>
        <v>-2136438277.2872531</v>
      </c>
      <c r="M2053" s="471">
        <f t="shared" si="126"/>
        <v>0.05</v>
      </c>
      <c r="N2053" s="475">
        <f t="shared" si="127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25"/>
        <v>-2136438277.2872531</v>
      </c>
      <c r="J2054" s="455">
        <f t="array" ref="J2054">IFERROR(INDEX('Retirement Calculator'!K:K,MATCH('Lorri 401b'!N2054,'Retirement Calculator'!A:A,0),0),0)</f>
        <v>0</v>
      </c>
      <c r="K2054" s="455">
        <f t="shared" ca="1" si="123"/>
        <v>-8901826.1553635541</v>
      </c>
      <c r="L2054" s="455">
        <f t="shared" ca="1" si="124"/>
        <v>-2145340103.4426167</v>
      </c>
      <c r="M2054" s="471">
        <f t="shared" si="126"/>
        <v>0.05</v>
      </c>
      <c r="N2054" s="475">
        <f t="shared" si="127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25"/>
        <v>-2145340103.4426167</v>
      </c>
      <c r="J2055" s="455">
        <f t="array" ref="J2055">IFERROR(INDEX('Retirement Calculator'!K:K,MATCH('Lorri 401b'!N2055,'Retirement Calculator'!A:A,0),0),0)</f>
        <v>0</v>
      </c>
      <c r="K2055" s="455">
        <f t="shared" ca="1" si="123"/>
        <v>-8938917.0976775698</v>
      </c>
      <c r="L2055" s="455">
        <f t="shared" ca="1" si="124"/>
        <v>-2154279020.5402942</v>
      </c>
      <c r="M2055" s="471">
        <f t="shared" si="126"/>
        <v>0.05</v>
      </c>
      <c r="N2055" s="475">
        <f t="shared" si="127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25"/>
        <v>-2154279020.5402942</v>
      </c>
      <c r="J2056" s="455">
        <f t="array" ref="J2056">IFERROR(INDEX('Retirement Calculator'!K:K,MATCH('Lorri 401b'!N2056,'Retirement Calculator'!A:A,0),0),0)</f>
        <v>0</v>
      </c>
      <c r="K2056" s="455">
        <f t="shared" ca="1" si="123"/>
        <v>-8976162.5855845585</v>
      </c>
      <c r="L2056" s="455">
        <f t="shared" ca="1" si="124"/>
        <v>-2163255183.1258788</v>
      </c>
      <c r="M2056" s="471">
        <f t="shared" si="126"/>
        <v>0.05</v>
      </c>
      <c r="N2056" s="475">
        <f t="shared" si="127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25"/>
        <v>-2163255183.1258788</v>
      </c>
      <c r="J2057" s="455">
        <f t="array" ref="J2057">IFERROR(INDEX('Retirement Calculator'!K:K,MATCH('Lorri 401b'!N2057,'Retirement Calculator'!A:A,0),0),0)</f>
        <v>0</v>
      </c>
      <c r="K2057" s="455">
        <f t="shared" ca="1" si="123"/>
        <v>-9013563.2630244941</v>
      </c>
      <c r="L2057" s="455">
        <f t="shared" ca="1" si="124"/>
        <v>-2172268746.3889031</v>
      </c>
      <c r="M2057" s="471">
        <f t="shared" si="126"/>
        <v>0.05</v>
      </c>
      <c r="N2057" s="475">
        <f t="shared" si="127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25"/>
        <v>-2172268746.3889031</v>
      </c>
      <c r="J2058" s="455">
        <f t="array" ref="J2058">IFERROR(INDEX('Retirement Calculator'!K:K,MATCH('Lorri 401b'!N2058,'Retirement Calculator'!A:A,0),0),0)</f>
        <v>0</v>
      </c>
      <c r="K2058" s="455">
        <f t="shared" ca="1" si="123"/>
        <v>-9051119.776620429</v>
      </c>
      <c r="L2058" s="455">
        <f t="shared" ca="1" si="124"/>
        <v>-2181319866.1655235</v>
      </c>
      <c r="M2058" s="471">
        <f t="shared" si="126"/>
        <v>0.05</v>
      </c>
      <c r="N2058" s="475">
        <f t="shared" si="127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25"/>
        <v>-2181319866.1655235</v>
      </c>
      <c r="J2059" s="455">
        <f t="array" ref="J2059">IFERROR(INDEX('Retirement Calculator'!K:K,MATCH('Lorri 401b'!N2059,'Retirement Calculator'!A:A,0),0),0)</f>
        <v>0</v>
      </c>
      <c r="K2059" s="455">
        <f t="shared" ca="1" si="123"/>
        <v>-9088832.775689682</v>
      </c>
      <c r="L2059" s="455">
        <f t="shared" ca="1" si="124"/>
        <v>-2190408698.9412131</v>
      </c>
      <c r="M2059" s="471">
        <f t="shared" si="126"/>
        <v>0.05</v>
      </c>
      <c r="N2059" s="475">
        <f t="shared" si="127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25"/>
        <v>-2190408698.9412131</v>
      </c>
      <c r="J2060" s="455">
        <f t="array" ref="J2060">IFERROR(INDEX('Retirement Calculator'!K:K,MATCH('Lorri 401b'!N2060,'Retirement Calculator'!A:A,0),0),0)</f>
        <v>0</v>
      </c>
      <c r="K2060" s="455">
        <f t="shared" ca="1" si="123"/>
        <v>-9126702.9122550543</v>
      </c>
      <c r="L2060" s="455">
        <f t="shared" ca="1" si="124"/>
        <v>-2199535401.8534684</v>
      </c>
      <c r="M2060" s="471">
        <f t="shared" si="126"/>
        <v>0.05</v>
      </c>
      <c r="N2060" s="475">
        <f t="shared" si="127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25"/>
        <v>-2199535401.8534684</v>
      </c>
      <c r="J2061" s="455">
        <f t="array" ref="J2061">IFERROR(INDEX('Retirement Calculator'!K:K,MATCH('Lorri 401b'!N2061,'Retirement Calculator'!A:A,0),0),0)</f>
        <v>0</v>
      </c>
      <c r="K2061" s="455">
        <f t="shared" ca="1" si="123"/>
        <v>-9164730.8410561178</v>
      </c>
      <c r="L2061" s="455">
        <f t="shared" ca="1" si="124"/>
        <v>-2208700132.6945248</v>
      </c>
      <c r="M2061" s="471">
        <f t="shared" si="126"/>
        <v>0.05</v>
      </c>
      <c r="N2061" s="475">
        <f t="shared" si="127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25"/>
        <v>-2208700132.6945248</v>
      </c>
      <c r="J2062" s="455">
        <f t="array" ref="J2062">IFERROR(INDEX('Retirement Calculator'!K:K,MATCH('Lorri 401b'!N2062,'Retirement Calculator'!A:A,0),0),0)</f>
        <v>0</v>
      </c>
      <c r="K2062" s="455">
        <f t="shared" ca="1" si="123"/>
        <v>-9202917.2195605189</v>
      </c>
      <c r="L2062" s="455">
        <f t="shared" ca="1" si="124"/>
        <v>-2217903049.9140854</v>
      </c>
      <c r="M2062" s="471">
        <f t="shared" si="126"/>
        <v>0.05</v>
      </c>
      <c r="N2062" s="475">
        <f t="shared" si="127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25"/>
        <v>-2217903049.9140854</v>
      </c>
      <c r="J2063" s="455">
        <f t="array" ref="J2063">IFERROR(INDEX('Retirement Calculator'!K:K,MATCH('Lorri 401b'!N2063,'Retirement Calculator'!A:A,0),0),0)</f>
        <v>0</v>
      </c>
      <c r="K2063" s="455">
        <f t="shared" ca="1" si="123"/>
        <v>-9241262.7079753559</v>
      </c>
      <c r="L2063" s="455">
        <f t="shared" ca="1" si="124"/>
        <v>-2227144312.6220608</v>
      </c>
      <c r="M2063" s="471">
        <f t="shared" si="126"/>
        <v>0.05</v>
      </c>
      <c r="N2063" s="475">
        <f t="shared" si="127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25"/>
        <v>-2227144312.6220608</v>
      </c>
      <c r="J2064" s="455">
        <f t="array" ref="J2064">IFERROR(INDEX('Retirement Calculator'!K:K,MATCH('Lorri 401b'!N2064,'Retirement Calculator'!A:A,0),0),0)</f>
        <v>0</v>
      </c>
      <c r="K2064" s="455">
        <f t="shared" ca="1" si="123"/>
        <v>-9279767.9692585859</v>
      </c>
      <c r="L2064" s="455">
        <f t="shared" ca="1" si="124"/>
        <v>-2236424080.5913196</v>
      </c>
      <c r="M2064" s="471">
        <f t="shared" si="126"/>
        <v>0.05</v>
      </c>
      <c r="N2064" s="475">
        <f t="shared" si="127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25"/>
        <v>-2236424080.5913196</v>
      </c>
      <c r="J2065" s="455">
        <f t="array" ref="J2065">IFERROR(INDEX('Retirement Calculator'!K:K,MATCH('Lorri 401b'!N2065,'Retirement Calculator'!A:A,0),0),0)</f>
        <v>0</v>
      </c>
      <c r="K2065" s="455">
        <f t="shared" ca="1" si="123"/>
        <v>-9318433.6691304985</v>
      </c>
      <c r="L2065" s="455">
        <f t="shared" ca="1" si="124"/>
        <v>-2245742514.2604499</v>
      </c>
      <c r="M2065" s="471">
        <f t="shared" si="126"/>
        <v>0.05</v>
      </c>
      <c r="N2065" s="475">
        <f t="shared" si="127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25"/>
        <v>-2245742514.2604499</v>
      </c>
      <c r="J2066" s="455">
        <f t="array" ref="J2066">IFERROR(INDEX('Retirement Calculator'!K:K,MATCH('Lorri 401b'!N2066,'Retirement Calculator'!A:A,0),0),0)</f>
        <v>0</v>
      </c>
      <c r="K2066" s="455">
        <f t="shared" ca="1" si="123"/>
        <v>-9357260.4760852084</v>
      </c>
      <c r="L2066" s="455">
        <f t="shared" ca="1" si="124"/>
        <v>-2255099774.7365351</v>
      </c>
      <c r="M2066" s="471">
        <f t="shared" si="126"/>
        <v>0.05</v>
      </c>
      <c r="N2066" s="475">
        <f t="shared" si="127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25"/>
        <v>-2255099774.7365351</v>
      </c>
      <c r="J2067" s="455">
        <f t="array" ref="J2067">IFERROR(INDEX('Retirement Calculator'!K:K,MATCH('Lorri 401b'!N2067,'Retirement Calculator'!A:A,0),0),0)</f>
        <v>0</v>
      </c>
      <c r="K2067" s="455">
        <f t="shared" ca="1" si="123"/>
        <v>-9396249.0614022296</v>
      </c>
      <c r="L2067" s="455">
        <f t="shared" ca="1" si="124"/>
        <v>-2264496023.7979374</v>
      </c>
      <c r="M2067" s="471">
        <f t="shared" si="126"/>
        <v>0.05</v>
      </c>
      <c r="N2067" s="475">
        <f t="shared" si="127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25"/>
        <v>-2264496023.7979374</v>
      </c>
      <c r="J2068" s="455">
        <f t="array" ref="J2068">IFERROR(INDEX('Retirement Calculator'!K:K,MATCH('Lorri 401b'!N2068,'Retirement Calculator'!A:A,0),0),0)</f>
        <v>0</v>
      </c>
      <c r="K2068" s="455">
        <f t="shared" ca="1" si="123"/>
        <v>-9435400.0991580728</v>
      </c>
      <c r="L2068" s="455">
        <f t="shared" ca="1" si="124"/>
        <v>-2273931423.8970957</v>
      </c>
      <c r="M2068" s="471">
        <f t="shared" si="126"/>
        <v>0.05</v>
      </c>
      <c r="N2068" s="475">
        <f t="shared" si="127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25"/>
        <v>-2273931423.8970957</v>
      </c>
      <c r="J2069" s="455">
        <f t="array" ref="J2069">IFERROR(INDEX('Retirement Calculator'!K:K,MATCH('Lorri 401b'!N2069,'Retirement Calculator'!A:A,0),0),0)</f>
        <v>0</v>
      </c>
      <c r="K2069" s="455">
        <f t="shared" ca="1" si="123"/>
        <v>-9474714.2662378978</v>
      </c>
      <c r="L2069" s="455">
        <f t="shared" ca="1" si="124"/>
        <v>-2283406138.1633334</v>
      </c>
      <c r="M2069" s="471">
        <f t="shared" si="126"/>
        <v>0.05</v>
      </c>
      <c r="N2069" s="475">
        <f t="shared" si="127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25"/>
        <v>-2283406138.1633334</v>
      </c>
      <c r="J2070" s="455">
        <f t="array" ref="J2070">IFERROR(INDEX('Retirement Calculator'!K:K,MATCH('Lorri 401b'!N2070,'Retirement Calculator'!A:A,0),0),0)</f>
        <v>0</v>
      </c>
      <c r="K2070" s="455">
        <f t="shared" ca="1" si="123"/>
        <v>-9514192.2423472218</v>
      </c>
      <c r="L2070" s="455">
        <f t="shared" ca="1" si="124"/>
        <v>-2292920330.4056807</v>
      </c>
      <c r="M2070" s="471">
        <f t="shared" si="126"/>
        <v>0.05</v>
      </c>
      <c r="N2070" s="475">
        <f t="shared" si="127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25"/>
        <v>-2292920330.4056807</v>
      </c>
      <c r="J2071" s="455">
        <f t="array" ref="J2071">IFERROR(INDEX('Retirement Calculator'!K:K,MATCH('Lorri 401b'!N2071,'Retirement Calculator'!A:A,0),0),0)</f>
        <v>0</v>
      </c>
      <c r="K2071" s="455">
        <f t="shared" ca="1" si="123"/>
        <v>-9553834.7100236695</v>
      </c>
      <c r="L2071" s="455">
        <f t="shared" ca="1" si="124"/>
        <v>-2302474165.1157045</v>
      </c>
      <c r="M2071" s="471">
        <f t="shared" si="126"/>
        <v>0.05</v>
      </c>
      <c r="N2071" s="475">
        <f t="shared" si="127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25"/>
        <v>-2302474165.1157045</v>
      </c>
      <c r="J2072" s="455">
        <f t="array" ref="J2072">IFERROR(INDEX('Retirement Calculator'!K:K,MATCH('Lorri 401b'!N2072,'Retirement Calculator'!A:A,0),0),0)</f>
        <v>0</v>
      </c>
      <c r="K2072" s="455">
        <f t="shared" ca="1" si="123"/>
        <v>-9593642.3546487689</v>
      </c>
      <c r="L2072" s="455">
        <f t="shared" ca="1" si="124"/>
        <v>-2312067807.4703531</v>
      </c>
      <c r="M2072" s="471">
        <f t="shared" si="126"/>
        <v>0.05</v>
      </c>
      <c r="N2072" s="475">
        <f t="shared" si="127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25"/>
        <v>-2312067807.4703531</v>
      </c>
      <c r="J2073" s="455">
        <f t="array" ref="J2073">IFERROR(INDEX('Retirement Calculator'!K:K,MATCH('Lorri 401b'!N2073,'Retirement Calculator'!A:A,0),0),0)</f>
        <v>0</v>
      </c>
      <c r="K2073" s="455">
        <f t="shared" ca="1" si="123"/>
        <v>-9633615.8644598052</v>
      </c>
      <c r="L2073" s="455">
        <f t="shared" ca="1" si="124"/>
        <v>-2321701423.3348131</v>
      </c>
      <c r="M2073" s="471">
        <f t="shared" si="126"/>
        <v>0.05</v>
      </c>
      <c r="N2073" s="475">
        <f t="shared" si="127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25"/>
        <v>-2321701423.3348131</v>
      </c>
      <c r="J2074" s="455">
        <f t="array" ref="J2074">IFERROR(INDEX('Retirement Calculator'!K:K,MATCH('Lorri 401b'!N2074,'Retirement Calculator'!A:A,0),0),0)</f>
        <v>0</v>
      </c>
      <c r="K2074" s="455">
        <f t="shared" ca="1" si="123"/>
        <v>-9673755.9305617213</v>
      </c>
      <c r="L2074" s="455">
        <f t="shared" ca="1" si="124"/>
        <v>-2331375179.2653747</v>
      </c>
      <c r="M2074" s="471">
        <f t="shared" si="126"/>
        <v>0.05</v>
      </c>
      <c r="N2074" s="475">
        <f t="shared" si="127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25"/>
        <v>-2331375179.2653747</v>
      </c>
      <c r="J2075" s="455">
        <f t="array" ref="J2075">IFERROR(INDEX('Retirement Calculator'!K:K,MATCH('Lorri 401b'!N2075,'Retirement Calculator'!A:A,0),0),0)</f>
        <v>0</v>
      </c>
      <c r="K2075" s="455">
        <f t="shared" ca="1" si="123"/>
        <v>-9714063.2469390612</v>
      </c>
      <c r="L2075" s="455">
        <f t="shared" ca="1" si="124"/>
        <v>-2341089242.5123138</v>
      </c>
      <c r="M2075" s="471">
        <f t="shared" si="126"/>
        <v>0.05</v>
      </c>
      <c r="N2075" s="475">
        <f t="shared" si="127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25"/>
        <v>-2341089242.5123138</v>
      </c>
      <c r="J2076" s="455">
        <f t="array" ref="J2076">IFERROR(INDEX('Retirement Calculator'!K:K,MATCH('Lorri 401b'!N2076,'Retirement Calculator'!A:A,0),0),0)</f>
        <v>0</v>
      </c>
      <c r="K2076" s="455">
        <f t="shared" ca="1" si="123"/>
        <v>-9754538.5104679745</v>
      </c>
      <c r="L2076" s="455">
        <f t="shared" ca="1" si="124"/>
        <v>-2350843781.0227818</v>
      </c>
      <c r="M2076" s="471">
        <f t="shared" si="126"/>
        <v>0.05</v>
      </c>
      <c r="N2076" s="475">
        <f t="shared" si="127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25"/>
        <v>-2350843781.0227818</v>
      </c>
      <c r="J2077" s="455">
        <f t="array" ref="J2077">IFERROR(INDEX('Retirement Calculator'!K:K,MATCH('Lorri 401b'!N2077,'Retirement Calculator'!A:A,0),0),0)</f>
        <v>0</v>
      </c>
      <c r="K2077" s="455">
        <f t="shared" ca="1" si="123"/>
        <v>-9795182.4209282584</v>
      </c>
      <c r="L2077" s="455">
        <f t="shared" ca="1" si="124"/>
        <v>-2360638963.4437103</v>
      </c>
      <c r="M2077" s="471">
        <f t="shared" si="126"/>
        <v>0.05</v>
      </c>
      <c r="N2077" s="475">
        <f t="shared" si="127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25"/>
        <v>-2360638963.4437103</v>
      </c>
      <c r="J2078" s="455">
        <f t="array" ref="J2078">IFERROR(INDEX('Retirement Calculator'!K:K,MATCH('Lorri 401b'!N2078,'Retirement Calculator'!A:A,0),0),0)</f>
        <v>0</v>
      </c>
      <c r="K2078" s="455">
        <f t="shared" ca="1" si="123"/>
        <v>-9835995.6810154598</v>
      </c>
      <c r="L2078" s="455">
        <f t="shared" ca="1" si="124"/>
        <v>-2370474959.1247258</v>
      </c>
      <c r="M2078" s="471">
        <f t="shared" si="126"/>
        <v>0.05</v>
      </c>
      <c r="N2078" s="475">
        <f t="shared" si="127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25"/>
        <v>-2370474959.1247258</v>
      </c>
      <c r="J2079" s="455">
        <f t="array" ref="J2079">IFERROR(INDEX('Retirement Calculator'!K:K,MATCH('Lorri 401b'!N2079,'Retirement Calculator'!A:A,0),0),0)</f>
        <v>0</v>
      </c>
      <c r="K2079" s="455">
        <f t="shared" ca="1" si="123"/>
        <v>-9876978.9963530246</v>
      </c>
      <c r="L2079" s="455">
        <f t="shared" ca="1" si="124"/>
        <v>-2380351938.121079</v>
      </c>
      <c r="M2079" s="471">
        <f t="shared" si="126"/>
        <v>0.05</v>
      </c>
      <c r="N2079" s="475">
        <f t="shared" si="127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25"/>
        <v>-2380351938.121079</v>
      </c>
      <c r="J2080" s="455">
        <f t="array" ref="J2080">IFERROR(INDEX('Retirement Calculator'!K:K,MATCH('Lorri 401b'!N2080,'Retirement Calculator'!A:A,0),0),0)</f>
        <v>0</v>
      </c>
      <c r="K2080" s="455">
        <f t="shared" ca="1" si="123"/>
        <v>-9918133.0755044948</v>
      </c>
      <c r="L2080" s="455">
        <f t="shared" ca="1" si="124"/>
        <v>-2390270071.1965833</v>
      </c>
      <c r="M2080" s="471">
        <f t="shared" si="126"/>
        <v>0.05</v>
      </c>
      <c r="N2080" s="475">
        <f t="shared" si="127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25"/>
        <v>-2390270071.1965833</v>
      </c>
      <c r="J2081" s="455">
        <f t="array" ref="J2081">IFERROR(INDEX('Retirement Calculator'!K:K,MATCH('Lorri 401b'!N2081,'Retirement Calculator'!A:A,0),0),0)</f>
        <v>0</v>
      </c>
      <c r="K2081" s="455">
        <f t="shared" ca="1" si="123"/>
        <v>-9959458.6299857628</v>
      </c>
      <c r="L2081" s="455">
        <f t="shared" ca="1" si="124"/>
        <v>-2400229529.8265691</v>
      </c>
      <c r="M2081" s="471">
        <f t="shared" si="126"/>
        <v>0.05</v>
      </c>
      <c r="N2081" s="475">
        <f t="shared" si="127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25"/>
        <v>-2400229529.8265691</v>
      </c>
      <c r="J2082" s="455">
        <f t="array" ref="J2082">IFERROR(INDEX('Retirement Calculator'!K:K,MATCH('Lorri 401b'!N2082,'Retirement Calculator'!A:A,0),0),0)</f>
        <v>0</v>
      </c>
      <c r="K2082" s="455">
        <f t="shared" ca="1" si="123"/>
        <v>-10000956.374277372</v>
      </c>
      <c r="L2082" s="455">
        <f t="shared" ca="1" si="124"/>
        <v>-2410230486.2008467</v>
      </c>
      <c r="M2082" s="471">
        <f t="shared" si="126"/>
        <v>0.05</v>
      </c>
      <c r="N2082" s="475">
        <f t="shared" si="127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25"/>
        <v>-2410230486.2008467</v>
      </c>
      <c r="J2083" s="455">
        <f t="array" ref="J2083">IFERROR(INDEX('Retirement Calculator'!K:K,MATCH('Lorri 401b'!N2083,'Retirement Calculator'!A:A,0),0),0)</f>
        <v>0</v>
      </c>
      <c r="K2083" s="455">
        <f t="shared" ca="1" si="123"/>
        <v>-10042627.025836861</v>
      </c>
      <c r="L2083" s="455">
        <f t="shared" ca="1" si="124"/>
        <v>-2420273113.2266836</v>
      </c>
      <c r="M2083" s="471">
        <f t="shared" si="126"/>
        <v>0.05</v>
      </c>
      <c r="N2083" s="475">
        <f t="shared" si="127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25"/>
        <v>-2420273113.2266836</v>
      </c>
      <c r="J2084" s="455">
        <f t="array" ref="J2084">IFERROR(INDEX('Retirement Calculator'!K:K,MATCH('Lorri 401b'!N2084,'Retirement Calculator'!A:A,0),0),0)</f>
        <v>0</v>
      </c>
      <c r="K2084" s="455">
        <f t="shared" ca="1" si="123"/>
        <v>-10084471.305111181</v>
      </c>
      <c r="L2084" s="455">
        <f t="shared" ca="1" si="124"/>
        <v>-2430357584.531795</v>
      </c>
      <c r="M2084" s="471">
        <f t="shared" si="126"/>
        <v>0.05</v>
      </c>
      <c r="N2084" s="475">
        <f t="shared" si="127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25"/>
        <v>-2430357584.531795</v>
      </c>
      <c r="J2085" s="455">
        <f t="array" ref="J2085">IFERROR(INDEX('Retirement Calculator'!K:K,MATCH('Lorri 401b'!N2085,'Retirement Calculator'!A:A,0),0),0)</f>
        <v>0</v>
      </c>
      <c r="K2085" s="455">
        <f t="shared" ca="1" si="123"/>
        <v>-10126489.935549146</v>
      </c>
      <c r="L2085" s="455">
        <f t="shared" ca="1" si="124"/>
        <v>-2440484074.4673443</v>
      </c>
      <c r="M2085" s="471">
        <f t="shared" si="126"/>
        <v>0.05</v>
      </c>
      <c r="N2085" s="475">
        <f t="shared" si="127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25"/>
        <v>-2440484074.4673443</v>
      </c>
      <c r="J2086" s="455">
        <f t="array" ref="J2086">IFERROR(INDEX('Retirement Calculator'!K:K,MATCH('Lorri 401b'!N2086,'Retirement Calculator'!A:A,0),0),0)</f>
        <v>0</v>
      </c>
      <c r="K2086" s="455">
        <f t="shared" ca="1" si="123"/>
        <v>-10168683.643613935</v>
      </c>
      <c r="L2086" s="455">
        <f t="shared" ca="1" si="124"/>
        <v>-2450652758.1109581</v>
      </c>
      <c r="M2086" s="471">
        <f t="shared" si="126"/>
        <v>0.05</v>
      </c>
      <c r="N2086" s="475">
        <f t="shared" si="127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25"/>
        <v>-2450652758.1109581</v>
      </c>
      <c r="J2087" s="455">
        <f t="array" ref="J2087">IFERROR(INDEX('Retirement Calculator'!K:K,MATCH('Lorri 401b'!N2087,'Retirement Calculator'!A:A,0),0),0)</f>
        <v>0</v>
      </c>
      <c r="K2087" s="455">
        <f t="shared" ca="1" si="123"/>
        <v>-10211053.158795658</v>
      </c>
      <c r="L2087" s="455">
        <f t="shared" ca="1" si="124"/>
        <v>-2460863811.2697539</v>
      </c>
      <c r="M2087" s="471">
        <f t="shared" si="126"/>
        <v>0.05</v>
      </c>
      <c r="N2087" s="475">
        <f t="shared" si="127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25"/>
        <v>-2460863811.2697539</v>
      </c>
      <c r="J2088" s="455">
        <f t="array" ref="J2088">IFERROR(INDEX('Retirement Calculator'!K:K,MATCH('Lorri 401b'!N2088,'Retirement Calculator'!A:A,0),0),0)</f>
        <v>0</v>
      </c>
      <c r="K2088" s="455">
        <f t="shared" ca="1" si="123"/>
        <v>-10253599.213623974</v>
      </c>
      <c r="L2088" s="455">
        <f t="shared" ca="1" si="124"/>
        <v>-2471117410.4833779</v>
      </c>
      <c r="M2088" s="471">
        <f t="shared" si="126"/>
        <v>0.05</v>
      </c>
      <c r="N2088" s="475">
        <f t="shared" si="127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25"/>
        <v>-2471117410.4833779</v>
      </c>
      <c r="J2089" s="455">
        <f t="array" ref="J2089">IFERROR(INDEX('Retirement Calculator'!K:K,MATCH('Lorri 401b'!N2089,'Retirement Calculator'!A:A,0),0),0)</f>
        <v>0</v>
      </c>
      <c r="K2089" s="455">
        <f t="shared" ca="1" si="123"/>
        <v>-10296322.543680741</v>
      </c>
      <c r="L2089" s="455">
        <f t="shared" ca="1" si="124"/>
        <v>-2481413733.0270586</v>
      </c>
      <c r="M2089" s="471">
        <f t="shared" si="126"/>
        <v>0.05</v>
      </c>
      <c r="N2089" s="475">
        <f t="shared" si="127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25"/>
        <v>-2481413733.0270586</v>
      </c>
      <c r="J2090" s="455">
        <f t="array" ref="J2090">IFERROR(INDEX('Retirement Calculator'!K:K,MATCH('Lorri 401b'!N2090,'Retirement Calculator'!A:A,0),0),0)</f>
        <v>0</v>
      </c>
      <c r="K2090" s="455">
        <f t="shared" ca="1" si="123"/>
        <v>-10339223.887612743</v>
      </c>
      <c r="L2090" s="455">
        <f t="shared" ca="1" si="124"/>
        <v>-2491752956.9146714</v>
      </c>
      <c r="M2090" s="471">
        <f t="shared" si="126"/>
        <v>0.05</v>
      </c>
      <c r="N2090" s="475">
        <f t="shared" si="127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25"/>
        <v>-2491752956.9146714</v>
      </c>
      <c r="J2091" s="455">
        <f t="array" ref="J2091">IFERROR(INDEX('Retirement Calculator'!K:K,MATCH('Lorri 401b'!N2091,'Retirement Calculator'!A:A,0),0),0)</f>
        <v>0</v>
      </c>
      <c r="K2091" s="455">
        <f t="shared" ca="1" si="123"/>
        <v>-10382303.987144465</v>
      </c>
      <c r="L2091" s="455">
        <f t="shared" ca="1" si="124"/>
        <v>-2502135260.9018159</v>
      </c>
      <c r="M2091" s="471">
        <f t="shared" si="126"/>
        <v>0.05</v>
      </c>
      <c r="N2091" s="475">
        <f t="shared" si="127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25"/>
        <v>-2502135260.9018159</v>
      </c>
      <c r="J2092" s="455">
        <f t="array" ref="J2092">IFERROR(INDEX('Retirement Calculator'!K:K,MATCH('Lorri 401b'!N2092,'Retirement Calculator'!A:A,0),0),0)</f>
        <v>0</v>
      </c>
      <c r="K2092" s="455">
        <f t="shared" ca="1" si="123"/>
        <v>-10425563.5870909</v>
      </c>
      <c r="L2092" s="455">
        <f t="shared" ca="1" si="124"/>
        <v>-2512560824.4889069</v>
      </c>
      <c r="M2092" s="471">
        <f t="shared" si="126"/>
        <v>0.05</v>
      </c>
      <c r="N2092" s="475">
        <f t="shared" si="127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25"/>
        <v>-2512560824.4889069</v>
      </c>
      <c r="J2093" s="455">
        <f t="array" ref="J2093">IFERROR(INDEX('Retirement Calculator'!K:K,MATCH('Lorri 401b'!N2093,'Retirement Calculator'!A:A,0),0),0)</f>
        <v>0</v>
      </c>
      <c r="K2093" s="455">
        <f t="shared" ca="1" si="123"/>
        <v>-10469003.435370445</v>
      </c>
      <c r="L2093" s="455">
        <f t="shared" ca="1" si="124"/>
        <v>-2523029827.9242773</v>
      </c>
      <c r="M2093" s="471">
        <f t="shared" si="126"/>
        <v>0.05</v>
      </c>
      <c r="N2093" s="475">
        <f t="shared" si="127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25"/>
        <v>-2523029827.9242773</v>
      </c>
      <c r="J2094" s="455">
        <f t="array" ref="J2094">IFERROR(INDEX('Retirement Calculator'!K:K,MATCH('Lorri 401b'!N2094,'Retirement Calculator'!A:A,0),0),0)</f>
        <v>0</v>
      </c>
      <c r="K2094" s="455">
        <f t="shared" ca="1" si="123"/>
        <v>-10512624.283017822</v>
      </c>
      <c r="L2094" s="455">
        <f t="shared" ca="1" si="124"/>
        <v>-2533542452.2072949</v>
      </c>
      <c r="M2094" s="471">
        <f t="shared" si="126"/>
        <v>0.05</v>
      </c>
      <c r="N2094" s="475">
        <f t="shared" si="127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25"/>
        <v>-2533542452.2072949</v>
      </c>
      <c r="J2095" s="455">
        <f t="array" ref="J2095">IFERROR(INDEX('Retirement Calculator'!K:K,MATCH('Lorri 401b'!N2095,'Retirement Calculator'!A:A,0),0),0)</f>
        <v>0</v>
      </c>
      <c r="K2095" s="455">
        <f t="shared" ca="1" si="123"/>
        <v>-10556426.884197062</v>
      </c>
      <c r="L2095" s="455">
        <f t="shared" ca="1" si="124"/>
        <v>-2544098879.0914922</v>
      </c>
      <c r="M2095" s="471">
        <f t="shared" si="126"/>
        <v>0.05</v>
      </c>
      <c r="N2095" s="475">
        <f t="shared" si="127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25"/>
        <v>-2544098879.0914922</v>
      </c>
      <c r="J2096" s="455">
        <f t="array" ref="J2096">IFERROR(INDEX('Retirement Calculator'!K:K,MATCH('Lorri 401b'!N2096,'Retirement Calculator'!A:A,0),0),0)</f>
        <v>0</v>
      </c>
      <c r="K2096" s="455">
        <f t="shared" ca="1" si="123"/>
        <v>-10600411.99621455</v>
      </c>
      <c r="L2096" s="455">
        <f t="shared" ca="1" si="124"/>
        <v>-2554699291.0877066</v>
      </c>
      <c r="M2096" s="471">
        <f t="shared" si="126"/>
        <v>0.05</v>
      </c>
      <c r="N2096" s="475">
        <f t="shared" si="127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25"/>
        <v>-2554699291.0877066</v>
      </c>
      <c r="J2097" s="455">
        <f t="array" ref="J2097">IFERROR(INDEX('Retirement Calculator'!K:K,MATCH('Lorri 401b'!N2097,'Retirement Calculator'!A:A,0),0),0)</f>
        <v>0</v>
      </c>
      <c r="K2097" s="455">
        <f t="shared" ca="1" si="123"/>
        <v>-10644580.37953211</v>
      </c>
      <c r="L2097" s="455">
        <f t="shared" ca="1" si="124"/>
        <v>-2565343871.4672389</v>
      </c>
      <c r="M2097" s="471">
        <f t="shared" si="126"/>
        <v>0.05</v>
      </c>
      <c r="N2097" s="475">
        <f t="shared" si="127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25"/>
        <v>-2565343871.4672389</v>
      </c>
      <c r="J2098" s="455">
        <f t="array" ref="J2098">IFERROR(INDEX('Retirement Calculator'!K:K,MATCH('Lorri 401b'!N2098,'Retirement Calculator'!A:A,0),0),0)</f>
        <v>0</v>
      </c>
      <c r="K2098" s="455">
        <f t="shared" ca="1" si="123"/>
        <v>-10688932.797780162</v>
      </c>
      <c r="L2098" s="455">
        <f t="shared" ca="1" si="124"/>
        <v>-2576032804.2650189</v>
      </c>
      <c r="M2098" s="471">
        <f t="shared" si="126"/>
        <v>0.05</v>
      </c>
      <c r="N2098" s="475">
        <f t="shared" si="127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25"/>
        <v>-2576032804.2650189</v>
      </c>
      <c r="J2099" s="455">
        <f t="array" ref="J2099">IFERROR(INDEX('Retirement Calculator'!K:K,MATCH('Lorri 401b'!N2099,'Retirement Calculator'!A:A,0),0),0)</f>
        <v>0</v>
      </c>
      <c r="K2099" s="455">
        <f t="shared" ca="1" si="123"/>
        <v>-10733470.017770912</v>
      </c>
      <c r="L2099" s="455">
        <f t="shared" ca="1" si="124"/>
        <v>-2586766274.2827897</v>
      </c>
      <c r="M2099" s="471">
        <f t="shared" si="126"/>
        <v>0.05</v>
      </c>
      <c r="N2099" s="475">
        <f t="shared" si="127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25"/>
        <v>-2586766274.2827897</v>
      </c>
      <c r="J2100" s="455">
        <f t="array" ref="J2100">IFERROR(INDEX('Retirement Calculator'!K:K,MATCH('Lorri 401b'!N2100,'Retirement Calculator'!A:A,0),0),0)</f>
        <v>0</v>
      </c>
      <c r="K2100" s="455">
        <f t="shared" ca="1" si="123"/>
        <v>-10778192.809511624</v>
      </c>
      <c r="L2100" s="455">
        <f t="shared" ca="1" si="124"/>
        <v>-2597544467.0923014</v>
      </c>
      <c r="M2100" s="471">
        <f t="shared" si="126"/>
        <v>0.05</v>
      </c>
      <c r="N2100" s="475">
        <f t="shared" si="127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25"/>
        <v>-2597544467.0923014</v>
      </c>
      <c r="J2101" s="455">
        <f t="array" ref="J2101">IFERROR(INDEX('Retirement Calculator'!K:K,MATCH('Lorri 401b'!N2101,'Retirement Calculator'!A:A,0),0),0)</f>
        <v>0</v>
      </c>
      <c r="K2101" s="455">
        <f t="shared" ca="1" si="123"/>
        <v>-10823101.946217922</v>
      </c>
      <c r="L2101" s="455">
        <f t="shared" ca="1" si="124"/>
        <v>-2608367569.0385194</v>
      </c>
      <c r="M2101" s="471">
        <f t="shared" si="126"/>
        <v>0.05</v>
      </c>
      <c r="N2101" s="475">
        <f t="shared" si="127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25"/>
        <v>-2608367569.0385194</v>
      </c>
      <c r="J2102" s="455">
        <f t="array" ref="J2102">IFERROR(INDEX('Retirement Calculator'!K:K,MATCH('Lorri 401b'!N2102,'Retirement Calculator'!A:A,0),0),0)</f>
        <v>0</v>
      </c>
      <c r="K2102" s="455">
        <f t="shared" ca="1" si="123"/>
        <v>-10868198.204327164</v>
      </c>
      <c r="L2102" s="455">
        <f t="shared" ca="1" si="124"/>
        <v>-2619235767.2428465</v>
      </c>
      <c r="M2102" s="471">
        <f t="shared" si="126"/>
        <v>0.05</v>
      </c>
      <c r="N2102" s="475">
        <f t="shared" si="127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25"/>
        <v>-2619235767.2428465</v>
      </c>
      <c r="J2103" s="455">
        <f t="array" ref="J2103">IFERROR(INDEX('Retirement Calculator'!K:K,MATCH('Lorri 401b'!N2103,'Retirement Calculator'!A:A,0),0),0)</f>
        <v>0</v>
      </c>
      <c r="K2103" s="455">
        <f t="shared" ca="1" si="123"/>
        <v>-10913482.36351186</v>
      </c>
      <c r="L2103" s="455">
        <f t="shared" ca="1" si="124"/>
        <v>-2630149249.6063585</v>
      </c>
      <c r="M2103" s="471">
        <f t="shared" si="126"/>
        <v>0.05</v>
      </c>
      <c r="N2103" s="475">
        <f t="shared" si="127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25"/>
        <v>-2630149249.6063585</v>
      </c>
      <c r="J2104" s="455">
        <f t="array" ref="J2104">IFERROR(INDEX('Retirement Calculator'!K:K,MATCH('Lorri 401b'!N2104,'Retirement Calculator'!A:A,0),0),0)</f>
        <v>0</v>
      </c>
      <c r="K2104" s="455">
        <f t="shared" ca="1" si="123"/>
        <v>-10958955.206693161</v>
      </c>
      <c r="L2104" s="455">
        <f t="shared" ca="1" si="124"/>
        <v>-2641108204.8130517</v>
      </c>
      <c r="M2104" s="471">
        <f t="shared" si="126"/>
        <v>0.05</v>
      </c>
      <c r="N2104" s="475">
        <f t="shared" si="127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25"/>
        <v>-2641108204.8130517</v>
      </c>
      <c r="J2105" s="455">
        <f t="array" ref="J2105">IFERROR(INDEX('Retirement Calculator'!K:K,MATCH('Lorri 401b'!N2105,'Retirement Calculator'!A:A,0),0),0)</f>
        <v>0</v>
      </c>
      <c r="K2105" s="455">
        <f t="shared" ca="1" si="123"/>
        <v>-11004617.520054381</v>
      </c>
      <c r="L2105" s="455">
        <f t="shared" ca="1" si="124"/>
        <v>-2652112822.333106</v>
      </c>
      <c r="M2105" s="471">
        <f t="shared" si="126"/>
        <v>0.05</v>
      </c>
      <c r="N2105" s="475">
        <f t="shared" si="127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25"/>
        <v>-2652112822.333106</v>
      </c>
      <c r="J2106" s="455">
        <f t="array" ref="J2106">IFERROR(INDEX('Retirement Calculator'!K:K,MATCH('Lorri 401b'!N2106,'Retirement Calculator'!A:A,0),0),0)</f>
        <v>0</v>
      </c>
      <c r="K2106" s="455">
        <f t="shared" ca="1" si="123"/>
        <v>-11050470.093054608</v>
      </c>
      <c r="L2106" s="455">
        <f t="shared" ca="1" si="124"/>
        <v>-2663163292.4261608</v>
      </c>
      <c r="M2106" s="471">
        <f t="shared" si="126"/>
        <v>0.05</v>
      </c>
      <c r="N2106" s="475">
        <f t="shared" si="127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25"/>
        <v>-2663163292.4261608</v>
      </c>
      <c r="J2107" s="455">
        <f t="array" ref="J2107">IFERROR(INDEX('Retirement Calculator'!K:K,MATCH('Lorri 401b'!N2107,'Retirement Calculator'!A:A,0),0),0)</f>
        <v>0</v>
      </c>
      <c r="K2107" s="455">
        <f t="shared" ca="1" si="123"/>
        <v>-11096513.718442336</v>
      </c>
      <c r="L2107" s="455">
        <f t="shared" ca="1" si="124"/>
        <v>-2674259806.1446033</v>
      </c>
      <c r="M2107" s="471">
        <f t="shared" si="126"/>
        <v>0.05</v>
      </c>
      <c r="N2107" s="475">
        <f t="shared" si="127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25"/>
        <v>-2674259806.1446033</v>
      </c>
      <c r="J2108" s="455">
        <f t="array" ref="J2108">IFERROR(INDEX('Retirement Calculator'!K:K,MATCH('Lorri 401b'!N2108,'Retirement Calculator'!A:A,0),0),0)</f>
        <v>0</v>
      </c>
      <c r="K2108" s="455">
        <f t="shared" ca="1" si="123"/>
        <v>-11142749.19226918</v>
      </c>
      <c r="L2108" s="455">
        <f t="shared" ca="1" si="124"/>
        <v>-2685402555.3368726</v>
      </c>
      <c r="M2108" s="471">
        <f t="shared" si="126"/>
        <v>0.05</v>
      </c>
      <c r="N2108" s="475">
        <f t="shared" si="127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25"/>
        <v>-2685402555.3368726</v>
      </c>
      <c r="J2109" s="455">
        <f t="array" ref="J2109">IFERROR(INDEX('Retirement Calculator'!K:K,MATCH('Lorri 401b'!N2109,'Retirement Calculator'!A:A,0),0),0)</f>
        <v>0</v>
      </c>
      <c r="K2109" s="455">
        <f t="shared" ca="1" si="123"/>
        <v>-11189177.313903635</v>
      </c>
      <c r="L2109" s="455">
        <f t="shared" ca="1" si="124"/>
        <v>-2696591732.6507764</v>
      </c>
      <c r="M2109" s="471">
        <f t="shared" si="126"/>
        <v>0.05</v>
      </c>
      <c r="N2109" s="475">
        <f t="shared" si="127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25"/>
        <v>-2696591732.6507764</v>
      </c>
      <c r="J2110" s="455">
        <f t="array" ref="J2110">IFERROR(INDEX('Retirement Calculator'!K:K,MATCH('Lorri 401b'!N2110,'Retirement Calculator'!A:A,0),0),0)</f>
        <v>0</v>
      </c>
      <c r="K2110" s="455">
        <f t="shared" ca="1" si="123"/>
        <v>-11235798.886044901</v>
      </c>
      <c r="L2110" s="455">
        <f t="shared" ca="1" si="124"/>
        <v>-2707827531.5368214</v>
      </c>
      <c r="M2110" s="471">
        <f t="shared" si="126"/>
        <v>0.05</v>
      </c>
      <c r="N2110" s="475">
        <f t="shared" si="127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25"/>
        <v>-2707827531.5368214</v>
      </c>
      <c r="J2111" s="455">
        <f t="array" ref="J2111">IFERROR(INDEX('Retirement Calculator'!K:K,MATCH('Lorri 401b'!N2111,'Retirement Calculator'!A:A,0),0),0)</f>
        <v>0</v>
      </c>
      <c r="K2111" s="455">
        <f t="shared" ca="1" si="123"/>
        <v>-11282614.714736756</v>
      </c>
      <c r="L2111" s="455">
        <f t="shared" ca="1" si="124"/>
        <v>-2719110146.2515583</v>
      </c>
      <c r="M2111" s="471">
        <f t="shared" si="126"/>
        <v>0.05</v>
      </c>
      <c r="N2111" s="475">
        <f t="shared" si="127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25"/>
        <v>-2719110146.2515583</v>
      </c>
      <c r="J2112" s="455">
        <f t="array" ref="J2112">IFERROR(INDEX('Retirement Calculator'!K:K,MATCH('Lorri 401b'!N2112,'Retirement Calculator'!A:A,0),0),0)</f>
        <v>0</v>
      </c>
      <c r="K2112" s="455">
        <f t="shared" ca="1" si="123"/>
        <v>-11329625.609381493</v>
      </c>
      <c r="L2112" s="455">
        <f t="shared" ca="1" si="124"/>
        <v>-2730439771.86094</v>
      </c>
      <c r="M2112" s="471">
        <f t="shared" si="126"/>
        <v>0.05</v>
      </c>
      <c r="N2112" s="475">
        <f t="shared" si="127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25"/>
        <v>-2730439771.86094</v>
      </c>
      <c r="J2113" s="455">
        <f t="array" ref="J2113">IFERROR(INDEX('Retirement Calculator'!K:K,MATCH('Lorri 401b'!N2113,'Retirement Calculator'!A:A,0),0),0)</f>
        <v>0</v>
      </c>
      <c r="K2113" s="455">
        <f t="shared" ca="1" si="123"/>
        <v>-11376832.382753916</v>
      </c>
      <c r="L2113" s="455">
        <f t="shared" ca="1" si="124"/>
        <v>-2741816604.2436938</v>
      </c>
      <c r="M2113" s="471">
        <f t="shared" si="126"/>
        <v>0.05</v>
      </c>
      <c r="N2113" s="475">
        <f t="shared" si="127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25"/>
        <v>-2741816604.2436938</v>
      </c>
      <c r="J2114" s="455">
        <f t="array" ref="J2114">IFERROR(INDEX('Retirement Calculator'!K:K,MATCH('Lorri 401b'!N2114,'Retirement Calculator'!A:A,0),0),0)</f>
        <v>0</v>
      </c>
      <c r="K2114" s="455">
        <f t="shared" ca="1" si="123"/>
        <v>-11424235.851015391</v>
      </c>
      <c r="L2114" s="455">
        <f t="shared" ca="1" si="124"/>
        <v>-2753240840.0947094</v>
      </c>
      <c r="M2114" s="471">
        <f t="shared" si="126"/>
        <v>0.05</v>
      </c>
      <c r="N2114" s="475">
        <f t="shared" si="127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25"/>
        <v>-2753240840.0947094</v>
      </c>
      <c r="J2115" s="455">
        <f t="array" ref="J2115">IFERROR(INDEX('Retirement Calculator'!K:K,MATCH('Lorri 401b'!N2115,'Retirement Calculator'!A:A,0),0),0)</f>
        <v>0</v>
      </c>
      <c r="K2115" s="455">
        <f t="shared" ca="1" si="123"/>
        <v>-11471836.833727956</v>
      </c>
      <c r="L2115" s="455">
        <f t="shared" ca="1" si="124"/>
        <v>-2764712676.9284372</v>
      </c>
      <c r="M2115" s="471">
        <f t="shared" si="126"/>
        <v>0.05</v>
      </c>
      <c r="N2115" s="475">
        <f t="shared" si="127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25"/>
        <v>-2764712676.9284372</v>
      </c>
      <c r="J2116" s="455">
        <f t="array" ref="J2116">IFERROR(INDEX('Retirement Calculator'!K:K,MATCH('Lorri 401b'!N2116,'Retirement Calculator'!A:A,0),0),0)</f>
        <v>0</v>
      </c>
      <c r="K2116" s="455">
        <f t="shared" ca="1" si="123"/>
        <v>-11519636.153868489</v>
      </c>
      <c r="L2116" s="455">
        <f t="shared" ca="1" si="124"/>
        <v>-2776232313.0823059</v>
      </c>
      <c r="M2116" s="471">
        <f t="shared" si="126"/>
        <v>0.05</v>
      </c>
      <c r="N2116" s="475">
        <f t="shared" si="127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25"/>
        <v>-2776232313.0823059</v>
      </c>
      <c r="J2117" s="455">
        <f t="array" ref="J2117">IFERROR(INDEX('Retirement Calculator'!K:K,MATCH('Lorri 401b'!N2117,'Retirement Calculator'!A:A,0),0),0)</f>
        <v>0</v>
      </c>
      <c r="K2117" s="455">
        <f t="shared" ca="1" si="123"/>
        <v>-11567634.637842942</v>
      </c>
      <c r="L2117" s="455">
        <f t="shared" ca="1" si="124"/>
        <v>-2787799947.720149</v>
      </c>
      <c r="M2117" s="471">
        <f t="shared" si="126"/>
        <v>0.05</v>
      </c>
      <c r="N2117" s="475">
        <f t="shared" si="127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25"/>
        <v>-2787799947.720149</v>
      </c>
      <c r="J2118" s="455">
        <f t="array" ref="J2118">IFERROR(INDEX('Retirement Calculator'!K:K,MATCH('Lorri 401b'!N2118,'Retirement Calculator'!A:A,0),0),0)</f>
        <v>0</v>
      </c>
      <c r="K2118" s="455">
        <f t="shared" ca="1" si="123"/>
        <v>-11615833.115500621</v>
      </c>
      <c r="L2118" s="455">
        <f t="shared" ca="1" si="124"/>
        <v>-2799415780.8356495</v>
      </c>
      <c r="M2118" s="471">
        <f t="shared" si="126"/>
        <v>0.05</v>
      </c>
      <c r="N2118" s="475">
        <f t="shared" si="127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25"/>
        <v>-2799415780.8356495</v>
      </c>
      <c r="J2119" s="455">
        <f t="array" ref="J2119">IFERROR(INDEX('Retirement Calculator'!K:K,MATCH('Lorri 401b'!N2119,'Retirement Calculator'!A:A,0),0),0)</f>
        <v>0</v>
      </c>
      <c r="K2119" s="455">
        <f t="shared" ca="1" si="123"/>
        <v>-11664232.42014854</v>
      </c>
      <c r="L2119" s="455">
        <f t="shared" ca="1" si="124"/>
        <v>-2811080013.2557979</v>
      </c>
      <c r="M2119" s="471">
        <f t="shared" si="126"/>
        <v>0.05</v>
      </c>
      <c r="N2119" s="475">
        <f t="shared" si="127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25"/>
        <v>-2811080013.2557979</v>
      </c>
      <c r="J2120" s="455">
        <f t="array" ref="J2120">IFERROR(INDEX('Retirement Calculator'!K:K,MATCH('Lorri 401b'!N2120,'Retirement Calculator'!A:A,0),0),0)</f>
        <v>0</v>
      </c>
      <c r="K2120" s="455">
        <f t="shared" ca="1" si="123"/>
        <v>-11712833.388565823</v>
      </c>
      <c r="L2120" s="455">
        <f t="shared" ca="1" si="124"/>
        <v>-2822792846.6443639</v>
      </c>
      <c r="M2120" s="471">
        <f t="shared" si="126"/>
        <v>0.05</v>
      </c>
      <c r="N2120" s="475">
        <f t="shared" si="127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25"/>
        <v>-2822792846.6443639</v>
      </c>
      <c r="J2121" s="455">
        <f t="array" ref="J2121">IFERROR(INDEX('Retirement Calculator'!K:K,MATCH('Lorri 401b'!N2121,'Retirement Calculator'!A:A,0),0),0)</f>
        <v>0</v>
      </c>
      <c r="K2121" s="455">
        <f t="shared" ca="1" si="123"/>
        <v>-11761636.861018183</v>
      </c>
      <c r="L2121" s="455">
        <f t="shared" ca="1" si="124"/>
        <v>-2834554483.5053821</v>
      </c>
      <c r="M2121" s="471">
        <f t="shared" si="126"/>
        <v>0.05</v>
      </c>
      <c r="N2121" s="475">
        <f t="shared" si="127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25"/>
        <v>-2834554483.5053821</v>
      </c>
      <c r="J2122" s="455">
        <f t="array" ref="J2122">IFERROR(INDEX('Retirement Calculator'!K:K,MATCH('Lorri 401b'!N2122,'Retirement Calculator'!A:A,0),0),0)</f>
        <v>0</v>
      </c>
      <c r="K2122" s="455">
        <f t="shared" ca="1" si="123"/>
        <v>-11810643.681272425</v>
      </c>
      <c r="L2122" s="455">
        <f t="shared" ca="1" si="124"/>
        <v>-2846365127.1866546</v>
      </c>
      <c r="M2122" s="471">
        <f t="shared" si="126"/>
        <v>0.05</v>
      </c>
      <c r="N2122" s="475">
        <f t="shared" si="127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25"/>
        <v>-2846365127.1866546</v>
      </c>
      <c r="J2123" s="455">
        <f t="array" ref="J2123">IFERROR(INDEX('Retirement Calculator'!K:K,MATCH('Lorri 401b'!N2123,'Retirement Calculator'!A:A,0),0),0)</f>
        <v>0</v>
      </c>
      <c r="K2123" s="455">
        <f t="shared" ca="1" si="123"/>
        <v>-11859854.69661106</v>
      </c>
      <c r="L2123" s="455">
        <f t="shared" ca="1" si="124"/>
        <v>-2858224981.8832655</v>
      </c>
      <c r="M2123" s="471">
        <f t="shared" si="126"/>
        <v>0.05</v>
      </c>
      <c r="N2123" s="475">
        <f t="shared" si="127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25"/>
        <v>-2858224981.8832655</v>
      </c>
      <c r="J2124" s="455">
        <f t="array" ref="J2124">IFERROR(INDEX('Retirement Calculator'!K:K,MATCH('Lorri 401b'!N2124,'Retirement Calculator'!A:A,0),0),0)</f>
        <v>0</v>
      </c>
      <c r="K2124" s="455">
        <f t="shared" ca="1" si="123"/>
        <v>-11909270.75784694</v>
      </c>
      <c r="L2124" s="455">
        <f t="shared" ca="1" si="124"/>
        <v>-2870134252.6411123</v>
      </c>
      <c r="M2124" s="471">
        <f t="shared" si="126"/>
        <v>0.05</v>
      </c>
      <c r="N2124" s="475">
        <f t="shared" si="127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25"/>
        <v>-2870134252.6411123</v>
      </c>
      <c r="J2125" s="455">
        <f t="array" ref="J2125">IFERROR(INDEX('Retirement Calculator'!K:K,MATCH('Lorri 401b'!N2125,'Retirement Calculator'!A:A,0),0),0)</f>
        <v>0</v>
      </c>
      <c r="K2125" s="455">
        <f t="shared" ca="1" si="123"/>
        <v>-11958892.719337968</v>
      </c>
      <c r="L2125" s="455">
        <f t="shared" ca="1" si="124"/>
        <v>-2882093145.3604503</v>
      </c>
      <c r="M2125" s="471">
        <f t="shared" si="126"/>
        <v>0.05</v>
      </c>
      <c r="N2125" s="475">
        <f t="shared" si="127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25"/>
        <v>-2882093145.3604503</v>
      </c>
      <c r="J2126" s="455">
        <f t="array" ref="J2126">IFERROR(INDEX('Retirement Calculator'!K:K,MATCH('Lorri 401b'!N2126,'Retirement Calculator'!A:A,0),0),0)</f>
        <v>0</v>
      </c>
      <c r="K2126" s="455">
        <f t="shared" ca="1" si="123"/>
        <v>-12008721.439001877</v>
      </c>
      <c r="L2126" s="455">
        <f t="shared" ca="1" si="124"/>
        <v>-2894101866.7994523</v>
      </c>
      <c r="M2126" s="471">
        <f t="shared" si="126"/>
        <v>0.05</v>
      </c>
      <c r="N2126" s="475">
        <f t="shared" si="127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25"/>
        <v>-2894101866.7994523</v>
      </c>
      <c r="J2127" s="455">
        <f t="array" ref="J2127">IFERROR(INDEX('Retirement Calculator'!K:K,MATCH('Lorri 401b'!N2127,'Retirement Calculator'!A:A,0),0),0)</f>
        <v>0</v>
      </c>
      <c r="K2127" s="455">
        <f t="shared" ca="1" si="123"/>
        <v>-12058757.778331051</v>
      </c>
      <c r="L2127" s="455">
        <f t="shared" ca="1" si="124"/>
        <v>-2906160624.5777836</v>
      </c>
      <c r="M2127" s="471">
        <f t="shared" si="126"/>
        <v>0.05</v>
      </c>
      <c r="N2127" s="475">
        <f t="shared" si="127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25"/>
        <v>-2906160624.5777836</v>
      </c>
      <c r="J2128" s="455">
        <f t="array" ref="J2128">IFERROR(INDEX('Retirement Calculator'!K:K,MATCH('Lorri 401b'!N2128,'Retirement Calculator'!A:A,0),0),0)</f>
        <v>0</v>
      </c>
      <c r="K2128" s="455">
        <f t="shared" ca="1" si="123"/>
        <v>-12109002.602407431</v>
      </c>
      <c r="L2128" s="455">
        <f t="shared" ca="1" si="124"/>
        <v>-2918269627.180191</v>
      </c>
      <c r="M2128" s="471">
        <f t="shared" si="126"/>
        <v>0.05</v>
      </c>
      <c r="N2128" s="475">
        <f t="shared" si="127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25"/>
        <v>-2918269627.180191</v>
      </c>
      <c r="J2129" s="455">
        <f t="array" ref="J2129">IFERROR(INDEX('Retirement Calculator'!K:K,MATCH('Lorri 401b'!N2129,'Retirement Calculator'!A:A,0),0),0)</f>
        <v>0</v>
      </c>
      <c r="K2129" s="455">
        <f t="shared" ca="1" si="123"/>
        <v>-12159456.779917462</v>
      </c>
      <c r="L2129" s="455">
        <f t="shared" ca="1" si="124"/>
        <v>-2930429083.9601083</v>
      </c>
      <c r="M2129" s="471">
        <f t="shared" si="126"/>
        <v>0.05</v>
      </c>
      <c r="N2129" s="475">
        <f t="shared" si="127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25"/>
        <v>-2930429083.9601083</v>
      </c>
      <c r="J2130" s="455">
        <f t="array" ref="J2130">IFERROR(INDEX('Retirement Calculator'!K:K,MATCH('Lorri 401b'!N2130,'Retirement Calculator'!A:A,0),0),0)</f>
        <v>0</v>
      </c>
      <c r="K2130" s="455">
        <f t="shared" ca="1" si="123"/>
        <v>-12210121.183167119</v>
      </c>
      <c r="L2130" s="455">
        <f t="shared" ca="1" si="124"/>
        <v>-2942639205.1432753</v>
      </c>
      <c r="M2130" s="471">
        <f t="shared" si="126"/>
        <v>0.05</v>
      </c>
      <c r="N2130" s="475">
        <f t="shared" si="127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25"/>
        <v>-2942639205.1432753</v>
      </c>
      <c r="J2131" s="455">
        <f t="array" ref="J2131">IFERROR(INDEX('Retirement Calculator'!K:K,MATCH('Lorri 401b'!N2131,'Retirement Calculator'!A:A,0),0),0)</f>
        <v>0</v>
      </c>
      <c r="K2131" s="455">
        <f t="shared" ca="1" si="123"/>
        <v>-12260996.68809698</v>
      </c>
      <c r="L2131" s="455">
        <f t="shared" ca="1" si="124"/>
        <v>-2954900201.8313723</v>
      </c>
      <c r="M2131" s="471">
        <f t="shared" si="126"/>
        <v>0.05</v>
      </c>
      <c r="N2131" s="475">
        <f t="shared" si="127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25"/>
        <v>-2954900201.8313723</v>
      </c>
      <c r="J2132" s="455">
        <f t="array" ref="J2132">IFERROR(INDEX('Retirement Calculator'!K:K,MATCH('Lorri 401b'!N2132,'Retirement Calculator'!A:A,0),0),0)</f>
        <v>0</v>
      </c>
      <c r="K2132" s="455">
        <f t="shared" ca="1" si="123"/>
        <v>-12312084.174297385</v>
      </c>
      <c r="L2132" s="455">
        <f t="shared" ca="1" si="124"/>
        <v>-2967212286.0056696</v>
      </c>
      <c r="M2132" s="471">
        <f t="shared" si="126"/>
        <v>0.05</v>
      </c>
      <c r="N2132" s="475">
        <f t="shared" si="127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25"/>
        <v>-2967212286.0056696</v>
      </c>
      <c r="J2133" s="455">
        <f t="array" ref="J2133">IFERROR(INDEX('Retirement Calculator'!K:K,MATCH('Lorri 401b'!N2133,'Retirement Calculator'!A:A,0),0),0)</f>
        <v>0</v>
      </c>
      <c r="K2133" s="455">
        <f t="shared" ca="1" si="123"/>
        <v>-12363384.525023622</v>
      </c>
      <c r="L2133" s="455">
        <f t="shared" ca="1" si="124"/>
        <v>-2979575670.5306931</v>
      </c>
      <c r="M2133" s="471">
        <f t="shared" si="126"/>
        <v>0.05</v>
      </c>
      <c r="N2133" s="475">
        <f t="shared" si="127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25"/>
        <v>-2979575670.5306931</v>
      </c>
      <c r="J2134" s="455">
        <f t="array" ref="J2134">IFERROR(INDEX('Retirement Calculator'!K:K,MATCH('Lorri 401b'!N2134,'Retirement Calculator'!A:A,0),0),0)</f>
        <v>0</v>
      </c>
      <c r="K2134" s="455">
        <f t="shared" ca="1" si="123"/>
        <v>-12414898.627211221</v>
      </c>
      <c r="L2134" s="455">
        <f t="shared" ca="1" si="124"/>
        <v>-2991990569.1579041</v>
      </c>
      <c r="M2134" s="471">
        <f t="shared" si="126"/>
        <v>0.05</v>
      </c>
      <c r="N2134" s="475">
        <f t="shared" si="127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25"/>
        <v>-2991990569.1579041</v>
      </c>
      <c r="J2135" s="455">
        <f t="array" ref="J2135">IFERROR(INDEX('Retirement Calculator'!K:K,MATCH('Lorri 401b'!N2135,'Retirement Calculator'!A:A,0),0),0)</f>
        <v>0</v>
      </c>
      <c r="K2135" s="455">
        <f t="shared" ca="1" si="123"/>
        <v>-12466627.371491266</v>
      </c>
      <c r="L2135" s="455">
        <f t="shared" ca="1" si="124"/>
        <v>-3004457196.5293956</v>
      </c>
      <c r="M2135" s="471">
        <f t="shared" si="126"/>
        <v>0.05</v>
      </c>
      <c r="N2135" s="475">
        <f t="shared" si="127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25"/>
        <v>-3004457196.5293956</v>
      </c>
      <c r="J2136" s="455">
        <f t="array" ref="J2136">IFERROR(INDEX('Retirement Calculator'!K:K,MATCH('Lorri 401b'!N2136,'Retirement Calculator'!A:A,0),0),0)</f>
        <v>0</v>
      </c>
      <c r="K2136" s="455">
        <f t="shared" ca="1" si="123"/>
        <v>-12518571.652205816</v>
      </c>
      <c r="L2136" s="455">
        <f t="shared" ca="1" si="124"/>
        <v>-3016975768.1816015</v>
      </c>
      <c r="M2136" s="471">
        <f t="shared" si="126"/>
        <v>0.05</v>
      </c>
      <c r="N2136" s="475">
        <f t="shared" si="127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25"/>
        <v>-3016975768.1816015</v>
      </c>
      <c r="J2137" s="455">
        <f t="array" ref="J2137">IFERROR(INDEX('Retirement Calculator'!K:K,MATCH('Lorri 401b'!N2137,'Retirement Calculator'!A:A,0),0),0)</f>
        <v>0</v>
      </c>
      <c r="K2137" s="455">
        <f t="shared" ca="1" si="123"/>
        <v>-12570732.367423339</v>
      </c>
      <c r="L2137" s="455">
        <f t="shared" ca="1" si="124"/>
        <v>-3029546500.5490251</v>
      </c>
      <c r="M2137" s="471">
        <f t="shared" si="126"/>
        <v>0.05</v>
      </c>
      <c r="N2137" s="475">
        <f t="shared" si="127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25"/>
        <v>-3029546500.5490251</v>
      </c>
      <c r="J2138" s="455">
        <f t="array" ref="J2138">IFERROR(INDEX('Retirement Calculator'!K:K,MATCH('Lorri 401b'!N2138,'Retirement Calculator'!A:A,0),0),0)</f>
        <v>0</v>
      </c>
      <c r="K2138" s="455">
        <f t="shared" ca="1" si="123"/>
        <v>-12623110.418954272</v>
      </c>
      <c r="L2138" s="455">
        <f t="shared" ca="1" si="124"/>
        <v>-3042169610.9679794</v>
      </c>
      <c r="M2138" s="471">
        <f t="shared" si="126"/>
        <v>0.05</v>
      </c>
      <c r="N2138" s="475">
        <f t="shared" si="127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25"/>
        <v>-3042169610.9679794</v>
      </c>
      <c r="J2139" s="455">
        <f t="array" ref="J2139">IFERROR(INDEX('Retirement Calculator'!K:K,MATCH('Lorri 401b'!N2139,'Retirement Calculator'!A:A,0),0),0)</f>
        <v>0</v>
      </c>
      <c r="K2139" s="455">
        <f t="shared" ca="1" si="123"/>
        <v>-12675706.712366581</v>
      </c>
      <c r="L2139" s="455">
        <f t="shared" ca="1" si="124"/>
        <v>-3054845317.680346</v>
      </c>
      <c r="M2139" s="471">
        <f t="shared" si="126"/>
        <v>0.05</v>
      </c>
      <c r="N2139" s="475">
        <f t="shared" si="127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25"/>
        <v>-3054845317.680346</v>
      </c>
      <c r="J2140" s="455">
        <f t="array" ref="J2140">IFERROR(INDEX('Retirement Calculator'!K:K,MATCH('Lorri 401b'!N2140,'Retirement Calculator'!A:A,0),0),0)</f>
        <v>0</v>
      </c>
      <c r="K2140" s="455">
        <f t="shared" ca="1" si="123"/>
        <v>-12728522.157001441</v>
      </c>
      <c r="L2140" s="455">
        <f t="shared" ca="1" si="124"/>
        <v>-3067573839.8373475</v>
      </c>
      <c r="M2140" s="471">
        <f t="shared" si="126"/>
        <v>0.05</v>
      </c>
      <c r="N2140" s="475">
        <f t="shared" si="127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25"/>
        <v>-3067573839.8373475</v>
      </c>
      <c r="J2141" s="455">
        <f t="array" ref="J2141">IFERROR(INDEX('Retirement Calculator'!K:K,MATCH('Lorri 401b'!N2141,'Retirement Calculator'!A:A,0),0),0)</f>
        <v>0</v>
      </c>
      <c r="K2141" s="455">
        <f t="shared" ca="1" si="123"/>
        <v>-12781557.665988948</v>
      </c>
      <c r="L2141" s="455">
        <f t="shared" ca="1" si="124"/>
        <v>-3080355397.5033364</v>
      </c>
      <c r="M2141" s="471">
        <f t="shared" si="126"/>
        <v>0.05</v>
      </c>
      <c r="N2141" s="475">
        <f t="shared" si="127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25"/>
        <v>-3080355397.5033364</v>
      </c>
      <c r="J2142" s="455">
        <f t="array" ref="J2142">IFERROR(INDEX('Retirement Calculator'!K:K,MATCH('Lorri 401b'!N2142,'Retirement Calculator'!A:A,0),0),0)</f>
        <v>0</v>
      </c>
      <c r="K2142" s="455">
        <f t="shared" ca="1" si="123"/>
        <v>-12834814.156263901</v>
      </c>
      <c r="L2142" s="455">
        <f t="shared" ca="1" si="124"/>
        <v>-3093190211.6596003</v>
      </c>
      <c r="M2142" s="471">
        <f t="shared" si="126"/>
        <v>0.05</v>
      </c>
      <c r="N2142" s="475">
        <f t="shared" si="127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25"/>
        <v>-3093190211.6596003</v>
      </c>
      <c r="J2143" s="455">
        <f t="array" ref="J2143">IFERROR(INDEX('Retirement Calculator'!K:K,MATCH('Lorri 401b'!N2143,'Retirement Calculator'!A:A,0),0),0)</f>
        <v>0</v>
      </c>
      <c r="K2143" s="455">
        <f t="shared" ca="1" si="123"/>
        <v>-12888292.548581667</v>
      </c>
      <c r="L2143" s="455">
        <f t="shared" ca="1" si="124"/>
        <v>-3106078504.2081819</v>
      </c>
      <c r="M2143" s="471">
        <f t="shared" si="126"/>
        <v>0.05</v>
      </c>
      <c r="N2143" s="475">
        <f t="shared" si="127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25"/>
        <v>-3106078504.2081819</v>
      </c>
      <c r="J2144" s="455">
        <f t="array" ref="J2144">IFERROR(INDEX('Retirement Calculator'!K:K,MATCH('Lorri 401b'!N2144,'Retirement Calculator'!A:A,0),0),0)</f>
        <v>0</v>
      </c>
      <c r="K2144" s="455">
        <f t="shared" ca="1" si="123"/>
        <v>-12941993.76753409</v>
      </c>
      <c r="L2144" s="455">
        <f t="shared" ca="1" si="124"/>
        <v>-3119020497.9757161</v>
      </c>
      <c r="M2144" s="471">
        <f t="shared" si="126"/>
        <v>0.05</v>
      </c>
      <c r="N2144" s="475">
        <f t="shared" si="127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25"/>
        <v>-3119020497.9757161</v>
      </c>
      <c r="J2145" s="455">
        <f t="array" ref="J2145">IFERROR(INDEX('Retirement Calculator'!K:K,MATCH('Lorri 401b'!N2145,'Retirement Calculator'!A:A,0),0),0)</f>
        <v>0</v>
      </c>
      <c r="K2145" s="455">
        <f t="shared" ca="1" si="123"/>
        <v>-12995918.741565485</v>
      </c>
      <c r="L2145" s="455">
        <f t="shared" ca="1" si="124"/>
        <v>-3132016416.7172818</v>
      </c>
      <c r="M2145" s="471">
        <f t="shared" si="126"/>
        <v>0.05</v>
      </c>
      <c r="N2145" s="475">
        <f t="shared" si="127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25"/>
        <v>-3132016416.7172818</v>
      </c>
      <c r="J2146" s="455">
        <f t="array" ref="J2146">IFERROR(INDEX('Retirement Calculator'!K:K,MATCH('Lorri 401b'!N2146,'Retirement Calculator'!A:A,0),0),0)</f>
        <v>0</v>
      </c>
      <c r="K2146" s="455">
        <f t="shared" ca="1" si="123"/>
        <v>-13050068.402988674</v>
      </c>
      <c r="L2146" s="455">
        <f t="shared" ca="1" si="124"/>
        <v>-3145066485.1202707</v>
      </c>
      <c r="M2146" s="471">
        <f t="shared" si="126"/>
        <v>0.05</v>
      </c>
      <c r="N2146" s="475">
        <f t="shared" si="127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25"/>
        <v>-3145066485.1202707</v>
      </c>
      <c r="J2147" s="455">
        <f t="array" ref="J2147">IFERROR(INDEX('Retirement Calculator'!K:K,MATCH('Lorri 401b'!N2147,'Retirement Calculator'!A:A,0),0),0)</f>
        <v>0</v>
      </c>
      <c r="K2147" s="455">
        <f t="shared" ca="1" si="123"/>
        <v>-13104443.688001128</v>
      </c>
      <c r="L2147" s="455">
        <f t="shared" ca="1" si="124"/>
        <v>-3158170928.8082719</v>
      </c>
      <c r="M2147" s="471">
        <f t="shared" si="126"/>
        <v>0.05</v>
      </c>
      <c r="N2147" s="475">
        <f t="shared" si="127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25"/>
        <v>-3158170928.8082719</v>
      </c>
      <c r="J2148" s="455">
        <f t="array" ref="J2148">IFERROR(INDEX('Retirement Calculator'!K:K,MATCH('Lorri 401b'!N2148,'Retirement Calculator'!A:A,0),0),0)</f>
        <v>0</v>
      </c>
      <c r="K2148" s="455">
        <f t="shared" ca="1" si="123"/>
        <v>-13159045.536701133</v>
      </c>
      <c r="L2148" s="455">
        <f t="shared" ca="1" si="124"/>
        <v>-3171329974.3449731</v>
      </c>
      <c r="M2148" s="471">
        <f t="shared" si="126"/>
        <v>0.05</v>
      </c>
      <c r="N2148" s="475">
        <f t="shared" si="127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25"/>
        <v>-3171329974.3449731</v>
      </c>
      <c r="J2149" s="455">
        <f t="array" ref="J2149">IFERROR(INDEX('Retirement Calculator'!K:K,MATCH('Lorri 401b'!N2149,'Retirement Calculator'!A:A,0),0),0)</f>
        <v>0</v>
      </c>
      <c r="K2149" s="455">
        <f t="shared" ca="1" si="123"/>
        <v>-13213874.893104054</v>
      </c>
      <c r="L2149" s="455">
        <f t="shared" ca="1" si="124"/>
        <v>-3184543849.2380772</v>
      </c>
      <c r="M2149" s="471">
        <f t="shared" si="126"/>
        <v>0.05</v>
      </c>
      <c r="N2149" s="475">
        <f t="shared" si="127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25"/>
        <v>-3184543849.2380772</v>
      </c>
      <c r="J2150" s="455">
        <f t="array" ref="J2150">IFERROR(INDEX('Retirement Calculator'!K:K,MATCH('Lorri 401b'!N2150,'Retirement Calculator'!A:A,0),0),0)</f>
        <v>0</v>
      </c>
      <c r="K2150" s="455">
        <f t="shared" ca="1" si="123"/>
        <v>-13268932.705158655</v>
      </c>
      <c r="L2150" s="455">
        <f t="shared" ca="1" si="124"/>
        <v>-3197812781.9432359</v>
      </c>
      <c r="M2150" s="471">
        <f t="shared" si="126"/>
        <v>0.05</v>
      </c>
      <c r="N2150" s="475">
        <f t="shared" si="127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25"/>
        <v>-3197812781.9432359</v>
      </c>
      <c r="J2151" s="455">
        <f t="array" ref="J2151">IFERROR(INDEX('Retirement Calculator'!K:K,MATCH('Lorri 401b'!N2151,'Retirement Calculator'!A:A,0),0),0)</f>
        <v>0</v>
      </c>
      <c r="K2151" s="455">
        <f t="shared" ca="1" si="123"/>
        <v>-13324219.924763482</v>
      </c>
      <c r="L2151" s="455">
        <f t="shared" ca="1" si="124"/>
        <v>-3211137001.8679996</v>
      </c>
      <c r="M2151" s="471">
        <f t="shared" si="126"/>
        <v>0.05</v>
      </c>
      <c r="N2151" s="475">
        <f t="shared" si="127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25"/>
        <v>-3211137001.8679996</v>
      </c>
      <c r="J2152" s="455">
        <f t="array" ref="J2152">IFERROR(INDEX('Retirement Calculator'!K:K,MATCH('Lorri 401b'!N2152,'Retirement Calculator'!A:A,0),0),0)</f>
        <v>0</v>
      </c>
      <c r="K2152" s="455">
        <f t="shared" ca="1" si="123"/>
        <v>-13379737.507783331</v>
      </c>
      <c r="L2152" s="455">
        <f t="shared" ca="1" si="124"/>
        <v>-3224516739.375783</v>
      </c>
      <c r="M2152" s="471">
        <f t="shared" si="126"/>
        <v>0.05</v>
      </c>
      <c r="N2152" s="475">
        <f t="shared" si="127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25"/>
        <v>-3224516739.375783</v>
      </c>
      <c r="J2153" s="455">
        <f t="array" ref="J2153">IFERROR(INDEX('Retirement Calculator'!K:K,MATCH('Lorri 401b'!N2153,'Retirement Calculator'!A:A,0),0),0)</f>
        <v>0</v>
      </c>
      <c r="K2153" s="455">
        <f t="shared" ca="1" si="123"/>
        <v>-13435486.414065761</v>
      </c>
      <c r="L2153" s="455">
        <f t="shared" ca="1" si="124"/>
        <v>-3237952225.7898488</v>
      </c>
      <c r="M2153" s="471">
        <f t="shared" si="126"/>
        <v>0.05</v>
      </c>
      <c r="N2153" s="475">
        <f t="shared" si="127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25"/>
        <v>-3237952225.7898488</v>
      </c>
      <c r="J2154" s="455">
        <f t="array" ref="J2154">IFERROR(INDEX('Retirement Calculator'!K:K,MATCH('Lorri 401b'!N2154,'Retirement Calculator'!A:A,0),0),0)</f>
        <v>0</v>
      </c>
      <c r="K2154" s="455">
        <f t="shared" ca="1" si="123"/>
        <v>-13491467.607457703</v>
      </c>
      <c r="L2154" s="455">
        <f t="shared" ca="1" si="124"/>
        <v>-3251443693.3973064</v>
      </c>
      <c r="M2154" s="471">
        <f t="shared" si="126"/>
        <v>0.05</v>
      </c>
      <c r="N2154" s="475">
        <f t="shared" si="127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25"/>
        <v>-3251443693.3973064</v>
      </c>
      <c r="J2155" s="455">
        <f t="array" ref="J2155">IFERROR(INDEX('Retirement Calculator'!K:K,MATCH('Lorri 401b'!N2155,'Retirement Calculator'!A:A,0),0),0)</f>
        <v>0</v>
      </c>
      <c r="K2155" s="455">
        <f t="shared" ca="1" si="123"/>
        <v>-13547682.05582211</v>
      </c>
      <c r="L2155" s="455">
        <f t="shared" ca="1" si="124"/>
        <v>-3264991375.4531283</v>
      </c>
      <c r="M2155" s="471">
        <f t="shared" si="126"/>
        <v>0.05</v>
      </c>
      <c r="N2155" s="475">
        <f t="shared" si="127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25"/>
        <v>-3264991375.4531283</v>
      </c>
      <c r="J2156" s="455">
        <f t="array" ref="J2156">IFERROR(INDEX('Retirement Calculator'!K:K,MATCH('Lorri 401b'!N2156,'Retirement Calculator'!A:A,0),0),0)</f>
        <v>0</v>
      </c>
      <c r="K2156" s="455">
        <f t="shared" ca="1" si="123"/>
        <v>-13604130.731054701</v>
      </c>
      <c r="L2156" s="455">
        <f t="shared" ca="1" si="124"/>
        <v>-3278595506.1841831</v>
      </c>
      <c r="M2156" s="471">
        <f t="shared" si="126"/>
        <v>0.05</v>
      </c>
      <c r="N2156" s="475">
        <f t="shared" si="127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25"/>
        <v>-3278595506.1841831</v>
      </c>
      <c r="J2157" s="455">
        <f t="array" ref="J2157">IFERROR(INDEX('Retirement Calculator'!K:K,MATCH('Lorri 401b'!N2157,'Retirement Calculator'!A:A,0),0),0)</f>
        <v>0</v>
      </c>
      <c r="K2157" s="455">
        <f t="shared" ca="1" si="123"/>
        <v>-13660814.609100763</v>
      </c>
      <c r="L2157" s="455">
        <f t="shared" ca="1" si="124"/>
        <v>-3292256320.7932839</v>
      </c>
      <c r="M2157" s="471">
        <f t="shared" si="126"/>
        <v>0.05</v>
      </c>
      <c r="N2157" s="475">
        <f t="shared" si="127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25"/>
        <v>-3292256320.7932839</v>
      </c>
      <c r="J2158" s="455">
        <f t="array" ref="J2158">IFERROR(INDEX('Retirement Calculator'!K:K,MATCH('Lorri 401b'!N2158,'Retirement Calculator'!A:A,0),0),0)</f>
        <v>0</v>
      </c>
      <c r="K2158" s="455">
        <f t="shared" ca="1" si="123"/>
        <v>-13717734.669972016</v>
      </c>
      <c r="L2158" s="455">
        <f t="shared" ca="1" si="124"/>
        <v>-3305974055.4632559</v>
      </c>
      <c r="M2158" s="471">
        <f t="shared" si="126"/>
        <v>0.05</v>
      </c>
      <c r="N2158" s="475">
        <f t="shared" si="127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25"/>
        <v>-3305974055.4632559</v>
      </c>
      <c r="J2159" s="455">
        <f t="array" ref="J2159">IFERROR(INDEX('Retirement Calculator'!K:K,MATCH('Lorri 401b'!N2159,'Retirement Calculator'!A:A,0),0),0)</f>
        <v>0</v>
      </c>
      <c r="K2159" s="455">
        <f t="shared" ca="1" si="123"/>
        <v>-13774891.897763565</v>
      </c>
      <c r="L2159" s="455">
        <f t="shared" ca="1" si="124"/>
        <v>-3319748947.3610196</v>
      </c>
      <c r="M2159" s="471">
        <f t="shared" si="126"/>
        <v>0.05</v>
      </c>
      <c r="N2159" s="475">
        <f t="shared" si="127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25"/>
        <v>-3319748947.3610196</v>
      </c>
      <c r="J2160" s="455">
        <f t="array" ref="J2160">IFERROR(INDEX('Retirement Calculator'!K:K,MATCH('Lorri 401b'!N2160,'Retirement Calculator'!A:A,0),0),0)</f>
        <v>0</v>
      </c>
      <c r="K2160" s="455">
        <f t="shared" ca="1" si="123"/>
        <v>-13832287.280670915</v>
      </c>
      <c r="L2160" s="455">
        <f t="shared" ca="1" si="124"/>
        <v>-3333581234.6416907</v>
      </c>
      <c r="M2160" s="471">
        <f t="shared" si="126"/>
        <v>0.05</v>
      </c>
      <c r="N2160" s="475">
        <f t="shared" si="127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25"/>
        <v>-3333581234.6416907</v>
      </c>
      <c r="J2161" s="455">
        <f t="array" ref="J2161">IFERROR(INDEX('Retirement Calculator'!K:K,MATCH('Lorri 401b'!N2161,'Retirement Calculator'!A:A,0),0),0)</f>
        <v>0</v>
      </c>
      <c r="K2161" s="455">
        <f t="shared" ca="1" si="123"/>
        <v>-13889921.811007045</v>
      </c>
      <c r="L2161" s="455">
        <f t="shared" ca="1" si="124"/>
        <v>-3347471156.4526978</v>
      </c>
      <c r="M2161" s="471">
        <f t="shared" si="126"/>
        <v>0.05</v>
      </c>
      <c r="N2161" s="475">
        <f t="shared" si="127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25"/>
        <v>-3347471156.4526978</v>
      </c>
      <c r="J2162" s="455">
        <f t="array" ref="J2162">IFERROR(INDEX('Retirement Calculator'!K:K,MATCH('Lorri 401b'!N2162,'Retirement Calculator'!A:A,0),0),0)</f>
        <v>0</v>
      </c>
      <c r="K2162" s="455">
        <f t="shared" ca="1" si="123"/>
        <v>-13947796.485219574</v>
      </c>
      <c r="L2162" s="455">
        <f t="shared" ca="1" si="124"/>
        <v>-3361418952.9379172</v>
      </c>
      <c r="M2162" s="471">
        <f t="shared" si="126"/>
        <v>0.05</v>
      </c>
      <c r="N2162" s="475">
        <f t="shared" si="127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25"/>
        <v>-3361418952.9379172</v>
      </c>
      <c r="J2163" s="455">
        <f t="array" ref="J2163">IFERROR(INDEX('Retirement Calculator'!K:K,MATCH('Lorri 401b'!N2163,'Retirement Calculator'!A:A,0),0),0)</f>
        <v>0</v>
      </c>
      <c r="K2163" s="455">
        <f t="shared" ca="1" si="123"/>
        <v>-14005912.303907989</v>
      </c>
      <c r="L2163" s="455">
        <f t="shared" ca="1" si="124"/>
        <v>-3375424865.2418251</v>
      </c>
      <c r="M2163" s="471">
        <f t="shared" si="126"/>
        <v>0.05</v>
      </c>
      <c r="N2163" s="475">
        <f t="shared" si="127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25"/>
        <v>-3375424865.2418251</v>
      </c>
      <c r="J2164" s="455">
        <f t="array" ref="J2164">IFERROR(INDEX('Retirement Calculator'!K:K,MATCH('Lorri 401b'!N2164,'Retirement Calculator'!A:A,0),0),0)</f>
        <v>0</v>
      </c>
      <c r="K2164" s="455">
        <f t="shared" ca="1" si="123"/>
        <v>-14064270.271840939</v>
      </c>
      <c r="L2164" s="455">
        <f t="shared" ca="1" si="124"/>
        <v>-3389489135.5136662</v>
      </c>
      <c r="M2164" s="471">
        <f t="shared" si="126"/>
        <v>0.05</v>
      </c>
      <c r="N2164" s="475">
        <f t="shared" si="127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25"/>
        <v>-3389489135.5136662</v>
      </c>
      <c r="J2165" s="455">
        <f t="array" ref="J2165">IFERROR(INDEX('Retirement Calculator'!K:K,MATCH('Lorri 401b'!N2165,'Retirement Calculator'!A:A,0),0),0)</f>
        <v>0</v>
      </c>
      <c r="K2165" s="455">
        <f t="shared" ca="1" si="123"/>
        <v>-14122871.397973606</v>
      </c>
      <c r="L2165" s="455">
        <f t="shared" ca="1" si="124"/>
        <v>-3403612006.9116397</v>
      </c>
      <c r="M2165" s="471">
        <f t="shared" si="126"/>
        <v>0.05</v>
      </c>
      <c r="N2165" s="475">
        <f t="shared" si="127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25"/>
        <v>-3403612006.9116397</v>
      </c>
      <c r="J2166" s="455">
        <f t="array" ref="J2166">IFERROR(INDEX('Retirement Calculator'!K:K,MATCH('Lorri 401b'!N2166,'Retirement Calculator'!A:A,0),0),0)</f>
        <v>0</v>
      </c>
      <c r="K2166" s="455">
        <f t="shared" ca="1" si="123"/>
        <v>-14181716.695465168</v>
      </c>
      <c r="L2166" s="455">
        <f t="shared" ca="1" si="124"/>
        <v>-3417793723.6071048</v>
      </c>
      <c r="M2166" s="471">
        <f t="shared" si="126"/>
        <v>0.05</v>
      </c>
      <c r="N2166" s="475">
        <f t="shared" si="127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25"/>
        <v>-3417793723.6071048</v>
      </c>
      <c r="J2167" s="455">
        <f t="array" ref="J2167">IFERROR(INDEX('Retirement Calculator'!K:K,MATCH('Lorri 401b'!N2167,'Retirement Calculator'!A:A,0),0),0)</f>
        <v>0</v>
      </c>
      <c r="K2167" s="455">
        <f t="shared" ca="1" si="123"/>
        <v>-14240807.181696268</v>
      </c>
      <c r="L2167" s="455">
        <f t="shared" ca="1" si="124"/>
        <v>-3432034530.7888012</v>
      </c>
      <c r="M2167" s="471">
        <f t="shared" si="126"/>
        <v>0.05</v>
      </c>
      <c r="N2167" s="475">
        <f t="shared" si="127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25"/>
        <v>-3432034530.7888012</v>
      </c>
      <c r="J2168" s="455">
        <f t="array" ref="J2168">IFERROR(INDEX('Retirement Calculator'!K:K,MATCH('Lorri 401b'!N2168,'Retirement Calculator'!A:A,0),0),0)</f>
        <v>0</v>
      </c>
      <c r="K2168" s="455">
        <f t="shared" ca="1" si="123"/>
        <v>-14300143.878286671</v>
      </c>
      <c r="L2168" s="455">
        <f t="shared" ca="1" si="124"/>
        <v>-3446334674.667088</v>
      </c>
      <c r="M2168" s="471">
        <f t="shared" si="126"/>
        <v>0.05</v>
      </c>
      <c r="N2168" s="475">
        <f t="shared" si="127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25"/>
        <v>-3446334674.667088</v>
      </c>
      <c r="J2169" s="455">
        <f t="array" ref="J2169">IFERROR(INDEX('Retirement Calculator'!K:K,MATCH('Lorri 401b'!N2169,'Retirement Calculator'!A:A,0),0),0)</f>
        <v>0</v>
      </c>
      <c r="K2169" s="455">
        <f t="shared" ca="1" si="123"/>
        <v>-14359727.811112868</v>
      </c>
      <c r="L2169" s="455">
        <f t="shared" ca="1" si="124"/>
        <v>-3460694402.4782009</v>
      </c>
      <c r="M2169" s="471">
        <f t="shared" si="126"/>
        <v>0.05</v>
      </c>
      <c r="N2169" s="475">
        <f t="shared" si="127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25"/>
        <v>-3460694402.4782009</v>
      </c>
      <c r="J2170" s="455">
        <f t="array" ref="J2170">IFERROR(INDEX('Retirement Calculator'!K:K,MATCH('Lorri 401b'!N2170,'Retirement Calculator'!A:A,0),0),0)</f>
        <v>0</v>
      </c>
      <c r="K2170" s="455">
        <f t="shared" ca="1" si="123"/>
        <v>-14419560.010325834</v>
      </c>
      <c r="L2170" s="455">
        <f t="shared" ca="1" si="124"/>
        <v>-3475113962.4885268</v>
      </c>
      <c r="M2170" s="471">
        <f t="shared" si="126"/>
        <v>0.05</v>
      </c>
      <c r="N2170" s="475">
        <f t="shared" si="127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25"/>
        <v>-3475113962.4885268</v>
      </c>
      <c r="J2171" s="455">
        <f t="array" ref="J2171">IFERROR(INDEX('Retirement Calculator'!K:K,MATCH('Lorri 401b'!N2171,'Retirement Calculator'!A:A,0),0),0)</f>
        <v>0</v>
      </c>
      <c r="K2171" s="455">
        <f t="shared" ca="1" si="123"/>
        <v>-14479641.510368861</v>
      </c>
      <c r="L2171" s="455">
        <f t="shared" ca="1" si="124"/>
        <v>-3489593603.9988956</v>
      </c>
      <c r="M2171" s="471">
        <f t="shared" si="126"/>
        <v>0.05</v>
      </c>
      <c r="N2171" s="475">
        <f t="shared" si="127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25"/>
        <v>-3489593603.9988956</v>
      </c>
      <c r="J2172" s="455">
        <f t="array" ref="J2172">IFERROR(INDEX('Retirement Calculator'!K:K,MATCH('Lorri 401b'!N2172,'Retirement Calculator'!A:A,0),0),0)</f>
        <v>0</v>
      </c>
      <c r="K2172" s="455">
        <f t="shared" ca="1" si="123"/>
        <v>-14539973.349995399</v>
      </c>
      <c r="L2172" s="455">
        <f t="shared" ca="1" si="124"/>
        <v>-3504133577.3488913</v>
      </c>
      <c r="M2172" s="471">
        <f t="shared" si="126"/>
        <v>0.05</v>
      </c>
      <c r="N2172" s="475">
        <f t="shared" si="127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25"/>
        <v>-3504133577.3488913</v>
      </c>
      <c r="J2173" s="455">
        <f t="array" ref="J2173">IFERROR(INDEX('Retirement Calculator'!K:K,MATCH('Lorri 401b'!N2173,'Retirement Calculator'!A:A,0),0),0)</f>
        <v>0</v>
      </c>
      <c r="K2173" s="455">
        <f t="shared" ca="1" si="123"/>
        <v>-14600556.572287045</v>
      </c>
      <c r="L2173" s="455">
        <f t="shared" ca="1" si="124"/>
        <v>-3518734133.9211783</v>
      </c>
      <c r="M2173" s="471">
        <f t="shared" si="126"/>
        <v>0.05</v>
      </c>
      <c r="N2173" s="475">
        <f t="shared" si="127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25"/>
        <v>-3518734133.9211783</v>
      </c>
      <c r="J2174" s="455">
        <f t="array" ref="J2174">IFERROR(INDEX('Retirement Calculator'!K:K,MATCH('Lorri 401b'!N2174,'Retirement Calculator'!A:A,0),0),0)</f>
        <v>0</v>
      </c>
      <c r="K2174" s="455">
        <f t="shared" ca="1" si="123"/>
        <v>-14661392.224671576</v>
      </c>
      <c r="L2174" s="455">
        <f t="shared" ca="1" si="124"/>
        <v>-3533395526.1458497</v>
      </c>
      <c r="M2174" s="471">
        <f t="shared" si="126"/>
        <v>0.05</v>
      </c>
      <c r="N2174" s="475">
        <f t="shared" si="127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25"/>
        <v>-3533395526.1458497</v>
      </c>
      <c r="J2175" s="455">
        <f t="array" ref="J2175">IFERROR(INDEX('Retirement Calculator'!K:K,MATCH('Lorri 401b'!N2175,'Retirement Calculator'!A:A,0),0),0)</f>
        <v>0</v>
      </c>
      <c r="K2175" s="455">
        <f t="shared" ca="1" si="123"/>
        <v>-14722481.358941043</v>
      </c>
      <c r="L2175" s="455">
        <f t="shared" ca="1" si="124"/>
        <v>-3548118007.5047908</v>
      </c>
      <c r="M2175" s="471">
        <f t="shared" si="126"/>
        <v>0.05</v>
      </c>
      <c r="N2175" s="475">
        <f t="shared" si="127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25"/>
        <v>-3548118007.5047908</v>
      </c>
      <c r="J2176" s="455">
        <f t="array" ref="J2176">IFERROR(INDEX('Retirement Calculator'!K:K,MATCH('Lorri 401b'!N2176,'Retirement Calculator'!A:A,0),0),0)</f>
        <v>0</v>
      </c>
      <c r="K2176" s="455">
        <f t="shared" ca="1" si="123"/>
        <v>-14783825.031269962</v>
      </c>
      <c r="L2176" s="455">
        <f t="shared" ca="1" si="124"/>
        <v>-3562901832.5360608</v>
      </c>
      <c r="M2176" s="471">
        <f t="shared" si="126"/>
        <v>0.05</v>
      </c>
      <c r="N2176" s="475">
        <f t="shared" si="127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25"/>
        <v>-3562901832.5360608</v>
      </c>
      <c r="J2177" s="455">
        <f t="array" ref="J2177">IFERROR(INDEX('Retirement Calculator'!K:K,MATCH('Lorri 401b'!N2177,'Retirement Calculator'!A:A,0),0),0)</f>
        <v>0</v>
      </c>
      <c r="K2177" s="455">
        <f t="shared" ca="1" si="123"/>
        <v>-14845424.302233586</v>
      </c>
      <c r="L2177" s="455">
        <f t="shared" ca="1" si="124"/>
        <v>-3577747256.8382945</v>
      </c>
      <c r="M2177" s="471">
        <f t="shared" si="126"/>
        <v>0.05</v>
      </c>
      <c r="N2177" s="475">
        <f t="shared" si="127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25"/>
        <v>-3577747256.8382945</v>
      </c>
      <c r="J2178" s="455">
        <f t="array" ref="J2178">IFERROR(INDEX('Retirement Calculator'!K:K,MATCH('Lorri 401b'!N2178,'Retirement Calculator'!A:A,0),0),0)</f>
        <v>0</v>
      </c>
      <c r="K2178" s="455">
        <f t="shared" ca="1" si="123"/>
        <v>-14907280.236826226</v>
      </c>
      <c r="L2178" s="455">
        <f t="shared" ca="1" si="124"/>
        <v>-3592654537.0751209</v>
      </c>
      <c r="M2178" s="471">
        <f t="shared" si="126"/>
        <v>0.05</v>
      </c>
      <c r="N2178" s="475">
        <f t="shared" si="127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25"/>
        <v>-3592654537.0751209</v>
      </c>
      <c r="J2179" s="455">
        <f t="array" ref="J2179">IFERROR(INDEX('Retirement Calculator'!K:K,MATCH('Lorri 401b'!N2179,'Retirement Calculator'!A:A,0),0),0)</f>
        <v>0</v>
      </c>
      <c r="K2179" s="455">
        <f t="shared" ca="1" si="123"/>
        <v>-14969393.904479673</v>
      </c>
      <c r="L2179" s="455">
        <f t="shared" ca="1" si="124"/>
        <v>-3607623930.9796004</v>
      </c>
      <c r="M2179" s="471">
        <f t="shared" si="126"/>
        <v>0.05</v>
      </c>
      <c r="N2179" s="475">
        <f t="shared" si="127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25"/>
        <v>-3607623930.9796004</v>
      </c>
      <c r="J2180" s="455">
        <f t="array" ref="J2180">IFERROR(INDEX('Retirement Calculator'!K:K,MATCH('Lorri 401b'!N2180,'Retirement Calculator'!A:A,0),0),0)</f>
        <v>0</v>
      </c>
      <c r="K2180" s="455">
        <f t="shared" ca="1" si="123"/>
        <v>-15031766.379081668</v>
      </c>
      <c r="L2180" s="455">
        <f t="shared" ca="1" si="124"/>
        <v>-3622655697.3586822</v>
      </c>
      <c r="M2180" s="471">
        <f t="shared" si="126"/>
        <v>0.05</v>
      </c>
      <c r="N2180" s="475">
        <f t="shared" si="127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25"/>
        <v>-3622655697.3586822</v>
      </c>
      <c r="J2181" s="455">
        <f t="array" ref="J2181">IFERROR(INDEX('Retirement Calculator'!K:K,MATCH('Lorri 401b'!N2181,'Retirement Calculator'!A:A,0),0),0)</f>
        <v>0</v>
      </c>
      <c r="K2181" s="455">
        <f t="shared" ca="1" si="123"/>
        <v>-15094398.738994509</v>
      </c>
      <c r="L2181" s="455">
        <f t="shared" ca="1" si="124"/>
        <v>-3637750096.0976768</v>
      </c>
      <c r="M2181" s="471">
        <f t="shared" si="126"/>
        <v>0.05</v>
      </c>
      <c r="N2181" s="475">
        <f t="shared" si="127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25"/>
        <v>-3637750096.0976768</v>
      </c>
      <c r="J2182" s="455">
        <f t="array" ref="J2182">IFERROR(INDEX('Retirement Calculator'!K:K,MATCH('Lorri 401b'!N2182,'Retirement Calculator'!A:A,0),0),0)</f>
        <v>0</v>
      </c>
      <c r="K2182" s="455">
        <f t="shared" ca="1" si="123"/>
        <v>-15157292.067073651</v>
      </c>
      <c r="L2182" s="455">
        <f t="shared" ca="1" si="124"/>
        <v>-3652907388.1647506</v>
      </c>
      <c r="M2182" s="471">
        <f t="shared" si="126"/>
        <v>0.05</v>
      </c>
      <c r="N2182" s="475">
        <f t="shared" si="127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25"/>
        <v>-3652907388.1647506</v>
      </c>
      <c r="J2183" s="455">
        <f t="array" ref="J2183">IFERROR(INDEX('Retirement Calculator'!K:K,MATCH('Lorri 401b'!N2183,'Retirement Calculator'!A:A,0),0),0)</f>
        <v>0</v>
      </c>
      <c r="K2183" s="455">
        <f t="shared" ca="1" si="123"/>
        <v>-15220447.450686462</v>
      </c>
      <c r="L2183" s="455">
        <f t="shared" ca="1" si="124"/>
        <v>-3668127835.615437</v>
      </c>
      <c r="M2183" s="471">
        <f t="shared" si="126"/>
        <v>0.05</v>
      </c>
      <c r="N2183" s="475">
        <f t="shared" si="127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25"/>
        <v>-3668127835.615437</v>
      </c>
      <c r="J2184" s="455">
        <f t="array" ref="J2184">IFERROR(INDEX('Retirement Calculator'!K:K,MATCH('Lorri 401b'!N2184,'Retirement Calculator'!A:A,0),0),0)</f>
        <v>0</v>
      </c>
      <c r="K2184" s="455">
        <f t="shared" ca="1" si="123"/>
        <v>-15283865.981730988</v>
      </c>
      <c r="L2184" s="455">
        <f t="shared" ca="1" si="124"/>
        <v>-3683411701.597168</v>
      </c>
      <c r="M2184" s="471">
        <f t="shared" si="126"/>
        <v>0.05</v>
      </c>
      <c r="N2184" s="475">
        <f t="shared" si="127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25"/>
        <v>-3683411701.597168</v>
      </c>
      <c r="J2185" s="455">
        <f t="array" ref="J2185">IFERROR(INDEX('Retirement Calculator'!K:K,MATCH('Lorri 401b'!N2185,'Retirement Calculator'!A:A,0),0),0)</f>
        <v>0</v>
      </c>
      <c r="K2185" s="455">
        <f t="shared" ca="1" si="123"/>
        <v>-15347548.756654866</v>
      </c>
      <c r="L2185" s="455">
        <f t="shared" ca="1" si="124"/>
        <v>-3698759250.3538227</v>
      </c>
      <c r="M2185" s="471">
        <f t="shared" si="126"/>
        <v>0.05</v>
      </c>
      <c r="N2185" s="475">
        <f t="shared" si="127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25"/>
        <v>-3698759250.3538227</v>
      </c>
      <c r="J2186" s="455">
        <f t="array" ref="J2186">IFERROR(INDEX('Retirement Calculator'!K:K,MATCH('Lorri 401b'!N2186,'Retirement Calculator'!A:A,0),0),0)</f>
        <v>0</v>
      </c>
      <c r="K2186" s="455">
        <f t="shared" ca="1" si="123"/>
        <v>-15411496.876474259</v>
      </c>
      <c r="L2186" s="455">
        <f t="shared" ca="1" si="124"/>
        <v>-3714170747.2302971</v>
      </c>
      <c r="M2186" s="471">
        <f t="shared" si="126"/>
        <v>0.05</v>
      </c>
      <c r="N2186" s="475">
        <f t="shared" si="127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25"/>
        <v>-3714170747.2302971</v>
      </c>
      <c r="J2187" s="455">
        <f t="array" ref="J2187">IFERROR(INDEX('Retirement Calculator'!K:K,MATCH('Lorri 401b'!N2187,'Retirement Calculator'!A:A,0),0),0)</f>
        <v>0</v>
      </c>
      <c r="K2187" s="455">
        <f t="shared" ca="1" si="123"/>
        <v>-15475711.446792904</v>
      </c>
      <c r="L2187" s="455">
        <f t="shared" ca="1" si="124"/>
        <v>-3729646458.6770902</v>
      </c>
      <c r="M2187" s="471">
        <f t="shared" si="126"/>
        <v>0.05</v>
      </c>
      <c r="N2187" s="475">
        <f t="shared" si="127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25"/>
        <v>-3729646458.6770902</v>
      </c>
      <c r="J2188" s="455">
        <f t="array" ref="J2188">IFERROR(INDEX('Retirement Calculator'!K:K,MATCH('Lorri 401b'!N2188,'Retirement Calculator'!A:A,0),0),0)</f>
        <v>0</v>
      </c>
      <c r="K2188" s="455">
        <f t="shared" ca="1" si="123"/>
        <v>-15540193.577821208</v>
      </c>
      <c r="L2188" s="455">
        <f t="shared" ca="1" si="124"/>
        <v>-3745186652.2549114</v>
      </c>
      <c r="M2188" s="471">
        <f t="shared" si="126"/>
        <v>0.05</v>
      </c>
      <c r="N2188" s="475">
        <f t="shared" si="127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25"/>
        <v>-3745186652.2549114</v>
      </c>
      <c r="J2189" s="455">
        <f t="array" ref="J2189">IFERROR(INDEX('Retirement Calculator'!K:K,MATCH('Lorri 401b'!N2189,'Retirement Calculator'!A:A,0),0),0)</f>
        <v>0</v>
      </c>
      <c r="K2189" s="455">
        <f t="shared" ca="1" si="123"/>
        <v>-15604944.384395463</v>
      </c>
      <c r="L2189" s="455">
        <f t="shared" ca="1" si="124"/>
        <v>-3760791596.639307</v>
      </c>
      <c r="M2189" s="471">
        <f t="shared" si="126"/>
        <v>0.05</v>
      </c>
      <c r="N2189" s="475">
        <f t="shared" si="127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25"/>
        <v>-3760791596.639307</v>
      </c>
      <c r="J2190" s="455">
        <f t="array" ref="J2190">IFERROR(INDEX('Retirement Calculator'!K:K,MATCH('Lorri 401b'!N2190,'Retirement Calculator'!A:A,0),0),0)</f>
        <v>0</v>
      </c>
      <c r="K2190" s="455">
        <f t="shared" ca="1" si="123"/>
        <v>-15669964.985997112</v>
      </c>
      <c r="L2190" s="455">
        <f t="shared" ca="1" si="124"/>
        <v>-3776461561.6253042</v>
      </c>
      <c r="M2190" s="471">
        <f t="shared" si="126"/>
        <v>0.05</v>
      </c>
      <c r="N2190" s="475">
        <f t="shared" si="127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25"/>
        <v>-3776461561.6253042</v>
      </c>
      <c r="J2191" s="455">
        <f t="array" ref="J2191">IFERROR(INDEX('Retirement Calculator'!K:K,MATCH('Lorri 401b'!N2191,'Retirement Calculator'!A:A,0),0),0)</f>
        <v>0</v>
      </c>
      <c r="K2191" s="455">
        <f t="shared" ca="1" si="123"/>
        <v>-15735256.506772101</v>
      </c>
      <c r="L2191" s="455">
        <f t="shared" ca="1" si="124"/>
        <v>-3792196818.1320763</v>
      </c>
      <c r="M2191" s="471">
        <f t="shared" si="126"/>
        <v>0.05</v>
      </c>
      <c r="N2191" s="475">
        <f t="shared" si="127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25"/>
        <v>-3792196818.1320763</v>
      </c>
      <c r="J2192" s="455">
        <f t="array" ref="J2192">IFERROR(INDEX('Retirement Calculator'!K:K,MATCH('Lorri 401b'!N2192,'Retirement Calculator'!A:A,0),0),0)</f>
        <v>0</v>
      </c>
      <c r="K2192" s="455">
        <f t="shared" ca="1" si="123"/>
        <v>-15800820.075550316</v>
      </c>
      <c r="L2192" s="455">
        <f t="shared" ca="1" si="124"/>
        <v>-3807997638.2076263</v>
      </c>
      <c r="M2192" s="471">
        <f t="shared" si="126"/>
        <v>0.05</v>
      </c>
      <c r="N2192" s="475">
        <f t="shared" si="127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25"/>
        <v>-3807997638.2076263</v>
      </c>
      <c r="J2193" s="455">
        <f t="array" ref="J2193">IFERROR(INDEX('Retirement Calculator'!K:K,MATCH('Lorri 401b'!N2193,'Retirement Calculator'!A:A,0),0),0)</f>
        <v>0</v>
      </c>
      <c r="K2193" s="455">
        <f t="shared" ca="1" si="123"/>
        <v>-15866656.82586511</v>
      </c>
      <c r="L2193" s="455">
        <f t="shared" ca="1" si="124"/>
        <v>-3823864295.0334916</v>
      </c>
      <c r="M2193" s="471">
        <f t="shared" si="126"/>
        <v>0.05</v>
      </c>
      <c r="N2193" s="475">
        <f t="shared" si="127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25"/>
        <v>-3823864295.0334916</v>
      </c>
      <c r="J2194" s="455">
        <f t="array" ref="J2194">IFERROR(INDEX('Retirement Calculator'!K:K,MATCH('Lorri 401b'!N2194,'Retirement Calculator'!A:A,0),0),0)</f>
        <v>0</v>
      </c>
      <c r="K2194" s="455">
        <f t="shared" ca="1" si="123"/>
        <v>-15932767.895972881</v>
      </c>
      <c r="L2194" s="455">
        <f t="shared" ca="1" si="124"/>
        <v>-3839797062.9294643</v>
      </c>
      <c r="M2194" s="471">
        <f t="shared" si="126"/>
        <v>0.05</v>
      </c>
      <c r="N2194" s="475">
        <f t="shared" si="127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25"/>
        <v>-3839797062.9294643</v>
      </c>
      <c r="J2195" s="455">
        <f t="array" ref="J2195">IFERROR(INDEX('Retirement Calculator'!K:K,MATCH('Lorri 401b'!N2195,'Retirement Calculator'!A:A,0),0),0)</f>
        <v>0</v>
      </c>
      <c r="K2195" s="455">
        <f t="shared" ca="1" si="123"/>
        <v>-15999154.428872768</v>
      </c>
      <c r="L2195" s="455">
        <f t="shared" ca="1" si="124"/>
        <v>-3855796217.3583369</v>
      </c>
      <c r="M2195" s="471">
        <f t="shared" si="126"/>
        <v>0.05</v>
      </c>
      <c r="N2195" s="475">
        <f t="shared" si="127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25"/>
        <v>-3855796217.3583369</v>
      </c>
      <c r="J2196" s="455">
        <f t="array" ref="J2196">IFERROR(INDEX('Retirement Calculator'!K:K,MATCH('Lorri 401b'!N2196,'Retirement Calculator'!A:A,0),0),0)</f>
        <v>0</v>
      </c>
      <c r="K2196" s="455">
        <f t="shared" ca="1" si="123"/>
        <v>-16065817.572326403</v>
      </c>
      <c r="L2196" s="455">
        <f t="shared" ca="1" si="124"/>
        <v>-3871862034.9306631</v>
      </c>
      <c r="M2196" s="471">
        <f t="shared" si="126"/>
        <v>0.05</v>
      </c>
      <c r="N2196" s="475">
        <f t="shared" si="127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25"/>
        <v>-3871862034.9306631</v>
      </c>
      <c r="J2197" s="455">
        <f t="array" ref="J2197">IFERROR(INDEX('Retirement Calculator'!K:K,MATCH('Lorri 401b'!N2197,'Retirement Calculator'!A:A,0),0),0)</f>
        <v>0</v>
      </c>
      <c r="K2197" s="455">
        <f t="shared" ca="1" si="123"/>
        <v>-16132758.47887776</v>
      </c>
      <c r="L2197" s="455">
        <f t="shared" ca="1" si="124"/>
        <v>-3887994793.4095407</v>
      </c>
      <c r="M2197" s="471">
        <f t="shared" si="126"/>
        <v>0.05</v>
      </c>
      <c r="N2197" s="475">
        <f t="shared" si="127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25"/>
        <v>-3887994793.4095407</v>
      </c>
      <c r="J2198" s="455">
        <f t="array" ref="J2198">IFERROR(INDEX('Retirement Calculator'!K:K,MATCH('Lorri 401b'!N2198,'Retirement Calculator'!A:A,0),0),0)</f>
        <v>0</v>
      </c>
      <c r="K2198" s="455">
        <f t="shared" ca="1" si="123"/>
        <v>-16199978.305873087</v>
      </c>
      <c r="L2198" s="455">
        <f t="shared" ca="1" si="124"/>
        <v>-3904194771.7154136</v>
      </c>
      <c r="M2198" s="471">
        <f t="shared" si="126"/>
        <v>0.05</v>
      </c>
      <c r="N2198" s="475">
        <f t="shared" si="127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25"/>
        <v>-3904194771.7154136</v>
      </c>
      <c r="J2199" s="455">
        <f t="array" ref="J2199">IFERROR(INDEX('Retirement Calculator'!K:K,MATCH('Lorri 401b'!N2199,'Retirement Calculator'!A:A,0),0),0)</f>
        <v>0</v>
      </c>
      <c r="K2199" s="455">
        <f t="shared" ca="1" si="123"/>
        <v>-16267478.215480892</v>
      </c>
      <c r="L2199" s="455">
        <f t="shared" ca="1" si="124"/>
        <v>-3920462249.9308944</v>
      </c>
      <c r="M2199" s="471">
        <f t="shared" si="126"/>
        <v>0.05</v>
      </c>
      <c r="N2199" s="475">
        <f t="shared" si="127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25"/>
        <v>-3920462249.9308944</v>
      </c>
      <c r="J2200" s="455">
        <f t="array" ref="J2200">IFERROR(INDEX('Retirement Calculator'!K:K,MATCH('Lorri 401b'!N2200,'Retirement Calculator'!A:A,0),0),0)</f>
        <v>0</v>
      </c>
      <c r="K2200" s="455">
        <f t="shared" ca="1" si="123"/>
        <v>-16335259.374712059</v>
      </c>
      <c r="L2200" s="455">
        <f t="shared" ca="1" si="124"/>
        <v>-3936797509.3056064</v>
      </c>
      <c r="M2200" s="471">
        <f t="shared" si="126"/>
        <v>0.05</v>
      </c>
      <c r="N2200" s="475">
        <f t="shared" si="127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25"/>
        <v>-3936797509.3056064</v>
      </c>
      <c r="J2201" s="455">
        <f t="array" ref="J2201">IFERROR(INDEX('Retirement Calculator'!K:K,MATCH('Lorri 401b'!N2201,'Retirement Calculator'!A:A,0),0),0)</f>
        <v>0</v>
      </c>
      <c r="K2201" s="455">
        <f t="shared" ca="1" si="123"/>
        <v>-16403322.955440026</v>
      </c>
      <c r="L2201" s="455">
        <f t="shared" ca="1" si="124"/>
        <v>-3953200832.2610464</v>
      </c>
      <c r="M2201" s="471">
        <f t="shared" si="126"/>
        <v>0.05</v>
      </c>
      <c r="N2201" s="475">
        <f t="shared" si="127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25"/>
        <v>-3953200832.2610464</v>
      </c>
      <c r="J2202" s="455">
        <f t="array" ref="J2202">IFERROR(INDEX('Retirement Calculator'!K:K,MATCH('Lorri 401b'!N2202,'Retirement Calculator'!A:A,0),0),0)</f>
        <v>0</v>
      </c>
      <c r="K2202" s="455">
        <f t="shared" ca="1" si="123"/>
        <v>-16471670.134421026</v>
      </c>
      <c r="L2202" s="455">
        <f t="shared" ca="1" si="124"/>
        <v>-3969672502.3954673</v>
      </c>
      <c r="M2202" s="471">
        <f t="shared" si="126"/>
        <v>0.05</v>
      </c>
      <c r="N2202" s="475">
        <f t="shared" si="127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25"/>
        <v>-3969672502.3954673</v>
      </c>
      <c r="J2203" s="455">
        <f t="array" ref="J2203">IFERROR(INDEX('Retirement Calculator'!K:K,MATCH('Lorri 401b'!N2203,'Retirement Calculator'!A:A,0),0),0)</f>
        <v>0</v>
      </c>
      <c r="K2203" s="455">
        <f t="shared" ca="1" si="123"/>
        <v>-16540302.093314447</v>
      </c>
      <c r="L2203" s="455">
        <f t="shared" ca="1" si="124"/>
        <v>-3986212804.4887819</v>
      </c>
      <c r="M2203" s="471">
        <f t="shared" si="126"/>
        <v>0.05</v>
      </c>
      <c r="N2203" s="475">
        <f t="shared" si="127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25"/>
        <v>-3986212804.4887819</v>
      </c>
      <c r="J2204" s="455">
        <f t="array" ref="J2204">IFERROR(INDEX('Retirement Calculator'!K:K,MATCH('Lorri 401b'!N2204,'Retirement Calculator'!A:A,0),0),0)</f>
        <v>0</v>
      </c>
      <c r="K2204" s="455">
        <f t="shared" ca="1" si="123"/>
        <v>-16609220.018703258</v>
      </c>
      <c r="L2204" s="455">
        <f t="shared" ca="1" si="124"/>
        <v>-4002822024.5074854</v>
      </c>
      <c r="M2204" s="471">
        <f t="shared" si="126"/>
        <v>0.05</v>
      </c>
      <c r="N2204" s="475">
        <f t="shared" si="127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25"/>
        <v>-4002822024.5074854</v>
      </c>
      <c r="J2205" s="455">
        <f t="array" ref="J2205">IFERROR(INDEX('Retirement Calculator'!K:K,MATCH('Lorri 401b'!N2205,'Retirement Calculator'!A:A,0),0),0)</f>
        <v>0</v>
      </c>
      <c r="K2205" s="455">
        <f t="shared" ca="1" si="123"/>
        <v>-16678425.102114523</v>
      </c>
      <c r="L2205" s="455">
        <f t="shared" ca="1" si="124"/>
        <v>-4019500449.6096001</v>
      </c>
      <c r="M2205" s="471">
        <f t="shared" si="126"/>
        <v>0.05</v>
      </c>
      <c r="N2205" s="475">
        <f t="shared" si="127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25"/>
        <v>-4019500449.6096001</v>
      </c>
      <c r="J2206" s="455">
        <f t="array" ref="J2206">IFERROR(INDEX('Retirement Calculator'!K:K,MATCH('Lorri 401b'!N2206,'Retirement Calculator'!A:A,0),0),0)</f>
        <v>0</v>
      </c>
      <c r="K2206" s="455">
        <f t="shared" ca="1" si="123"/>
        <v>-16747918.540039999</v>
      </c>
      <c r="L2206" s="455">
        <f t="shared" ca="1" si="124"/>
        <v>-4036248368.1496401</v>
      </c>
      <c r="M2206" s="471">
        <f t="shared" si="126"/>
        <v>0.05</v>
      </c>
      <c r="N2206" s="475">
        <f t="shared" si="127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25"/>
        <v>-4036248368.1496401</v>
      </c>
      <c r="J2207" s="455">
        <f t="array" ref="J2207">IFERROR(INDEX('Retirement Calculator'!K:K,MATCH('Lorri 401b'!N2207,'Retirement Calculator'!A:A,0),0),0)</f>
        <v>0</v>
      </c>
      <c r="K2207" s="455">
        <f t="shared" ca="1" si="123"/>
        <v>-16817701.533956833</v>
      </c>
      <c r="L2207" s="455">
        <f t="shared" ca="1" si="124"/>
        <v>-4053066069.6835971</v>
      </c>
      <c r="M2207" s="471">
        <f t="shared" si="126"/>
        <v>0.05</v>
      </c>
      <c r="N2207" s="475">
        <f t="shared" si="127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25"/>
        <v>-4053066069.6835971</v>
      </c>
      <c r="J2208" s="455">
        <f t="array" ref="J2208">IFERROR(INDEX('Retirement Calculator'!K:K,MATCH('Lorri 401b'!N2208,'Retirement Calculator'!A:A,0),0),0)</f>
        <v>0</v>
      </c>
      <c r="K2208" s="455">
        <f t="shared" ca="1" si="123"/>
        <v>-16887775.290348321</v>
      </c>
      <c r="L2208" s="455">
        <f t="shared" ca="1" si="124"/>
        <v>-4069953844.9739456</v>
      </c>
      <c r="M2208" s="471">
        <f t="shared" si="126"/>
        <v>0.05</v>
      </c>
      <c r="N2208" s="475">
        <f t="shared" si="127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25"/>
        <v>-4069953844.9739456</v>
      </c>
      <c r="J2209" s="455">
        <f t="array" ref="J2209">IFERROR(INDEX('Retirement Calculator'!K:K,MATCH('Lorri 401b'!N2209,'Retirement Calculator'!A:A,0),0),0)</f>
        <v>0</v>
      </c>
      <c r="K2209" s="455">
        <f t="shared" ca="1" si="123"/>
        <v>-16958141.02072477</v>
      </c>
      <c r="L2209" s="455">
        <f t="shared" ca="1" si="124"/>
        <v>-4086911985.9946704</v>
      </c>
      <c r="M2209" s="471">
        <f t="shared" si="126"/>
        <v>0.05</v>
      </c>
      <c r="N2209" s="475">
        <f t="shared" si="127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25"/>
        <v>-4086911985.9946704</v>
      </c>
      <c r="J2210" s="455">
        <f t="array" ref="J2210">IFERROR(INDEX('Retirement Calculator'!K:K,MATCH('Lorri 401b'!N2210,'Retirement Calculator'!A:A,0),0),0)</f>
        <v>0</v>
      </c>
      <c r="K2210" s="455">
        <f t="shared" ca="1" si="123"/>
        <v>-17028799.94164446</v>
      </c>
      <c r="L2210" s="455">
        <f t="shared" ca="1" si="124"/>
        <v>-4103940785.9363151</v>
      </c>
      <c r="M2210" s="471">
        <f t="shared" si="126"/>
        <v>0.05</v>
      </c>
      <c r="N2210" s="475">
        <f t="shared" si="127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25"/>
        <v>-4103940785.9363151</v>
      </c>
      <c r="J2211" s="455">
        <f t="array" ref="J2211">IFERROR(INDEX('Retirement Calculator'!K:K,MATCH('Lorri 401b'!N2211,'Retirement Calculator'!A:A,0),0),0)</f>
        <v>0</v>
      </c>
      <c r="K2211" s="455">
        <f t="shared" ca="1" si="123"/>
        <v>-17099753.274734646</v>
      </c>
      <c r="L2211" s="455">
        <f t="shared" ca="1" si="124"/>
        <v>-4121040539.2110496</v>
      </c>
      <c r="M2211" s="471">
        <f t="shared" si="126"/>
        <v>0.05</v>
      </c>
      <c r="N2211" s="475">
        <f t="shared" si="127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25"/>
        <v>-4121040539.2110496</v>
      </c>
      <c r="J2212" s="455">
        <f t="array" ref="J2212">IFERROR(INDEX('Retirement Calculator'!K:K,MATCH('Lorri 401b'!N2212,'Retirement Calculator'!A:A,0),0),0)</f>
        <v>0</v>
      </c>
      <c r="K2212" s="455">
        <f t="shared" ca="1" si="123"/>
        <v>-17171002.246712707</v>
      </c>
      <c r="L2212" s="455">
        <f t="shared" ca="1" si="124"/>
        <v>-4138211541.4577622</v>
      </c>
      <c r="M2212" s="471">
        <f t="shared" si="126"/>
        <v>0.05</v>
      </c>
      <c r="N2212" s="475">
        <f t="shared" si="127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25"/>
        <v>-4138211541.4577622</v>
      </c>
      <c r="J2213" s="455">
        <f t="array" ref="J2213">IFERROR(INDEX('Retirement Calculator'!K:K,MATCH('Lorri 401b'!N2213,'Retirement Calculator'!A:A,0),0),0)</f>
        <v>0</v>
      </c>
      <c r="K2213" s="455">
        <f t="shared" ca="1" si="123"/>
        <v>-17242548.089407343</v>
      </c>
      <c r="L2213" s="455">
        <f t="shared" ca="1" si="124"/>
        <v>-4155454089.5471697</v>
      </c>
      <c r="M2213" s="471">
        <f t="shared" si="126"/>
        <v>0.05</v>
      </c>
      <c r="N2213" s="475">
        <f t="shared" si="127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25"/>
        <v>-4155454089.5471697</v>
      </c>
      <c r="J2214" s="455">
        <f t="array" ref="J2214">IFERROR(INDEX('Retirement Calculator'!K:K,MATCH('Lorri 401b'!N2214,'Retirement Calculator'!A:A,0),0),0)</f>
        <v>0</v>
      </c>
      <c r="K2214" s="455">
        <f t="shared" ca="1" si="123"/>
        <v>-17314392.039779872</v>
      </c>
      <c r="L2214" s="455">
        <f t="shared" ca="1" si="124"/>
        <v>-4172768481.5869493</v>
      </c>
      <c r="M2214" s="471">
        <f t="shared" si="126"/>
        <v>0.05</v>
      </c>
      <c r="N2214" s="475">
        <f t="shared" si="127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25"/>
        <v>-4172768481.5869493</v>
      </c>
      <c r="J2215" s="455">
        <f t="array" ref="J2215">IFERROR(INDEX('Retirement Calculator'!K:K,MATCH('Lorri 401b'!N2215,'Retirement Calculator'!A:A,0),0),0)</f>
        <v>0</v>
      </c>
      <c r="K2215" s="455">
        <f t="shared" ca="1" si="123"/>
        <v>-17386535.339945622</v>
      </c>
      <c r="L2215" s="455">
        <f t="shared" ca="1" si="124"/>
        <v>-4190155016.9268951</v>
      </c>
      <c r="M2215" s="471">
        <f t="shared" si="126"/>
        <v>0.05</v>
      </c>
      <c r="N2215" s="475">
        <f t="shared" si="127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25"/>
        <v>-4190155016.9268951</v>
      </c>
      <c r="J2216" s="455">
        <f t="array" ref="J2216">IFERROR(INDEX('Retirement Calculator'!K:K,MATCH('Lorri 401b'!N2216,'Retirement Calculator'!A:A,0),0),0)</f>
        <v>0</v>
      </c>
      <c r="K2216" s="455">
        <f t="shared" ca="1" si="123"/>
        <v>-17458979.237195395</v>
      </c>
      <c r="L2216" s="455">
        <f t="shared" ca="1" si="124"/>
        <v>-4207613996.1640906</v>
      </c>
      <c r="M2216" s="471">
        <f t="shared" si="126"/>
        <v>0.05</v>
      </c>
      <c r="N2216" s="475">
        <f t="shared" si="127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25"/>
        <v>-4207613996.1640906</v>
      </c>
      <c r="J2217" s="455">
        <f t="array" ref="J2217">IFERROR(INDEX('Retirement Calculator'!K:K,MATCH('Lorri 401b'!N2217,'Retirement Calculator'!A:A,0),0),0)</f>
        <v>0</v>
      </c>
      <c r="K2217" s="455">
        <f t="shared" ca="1" si="123"/>
        <v>-17531724.984017044</v>
      </c>
      <c r="L2217" s="455">
        <f t="shared" ca="1" si="124"/>
        <v>-4225145721.1481075</v>
      </c>
      <c r="M2217" s="471">
        <f t="shared" si="126"/>
        <v>0.05</v>
      </c>
      <c r="N2217" s="475">
        <f t="shared" si="127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25"/>
        <v>-4225145721.1481075</v>
      </c>
      <c r="J2218" s="455">
        <f t="array" ref="J2218">IFERROR(INDEX('Retirement Calculator'!K:K,MATCH('Lorri 401b'!N2218,'Retirement Calculator'!A:A,0),0),0)</f>
        <v>0</v>
      </c>
      <c r="K2218" s="455">
        <f t="shared" ca="1" si="123"/>
        <v>-17604773.838117115</v>
      </c>
      <c r="L2218" s="455">
        <f t="shared" ca="1" si="124"/>
        <v>-4242750494.9862247</v>
      </c>
      <c r="M2218" s="471">
        <f t="shared" si="126"/>
        <v>0.05</v>
      </c>
      <c r="N2218" s="475">
        <f t="shared" si="127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25"/>
        <v>-4242750494.9862247</v>
      </c>
      <c r="J2219" s="455">
        <f t="array" ref="J2219">IFERROR(INDEX('Retirement Calculator'!K:K,MATCH('Lorri 401b'!N2219,'Retirement Calculator'!A:A,0),0),0)</f>
        <v>0</v>
      </c>
      <c r="K2219" s="455">
        <f t="shared" ca="1" si="123"/>
        <v>-17678127.062442601</v>
      </c>
      <c r="L2219" s="455">
        <f t="shared" ca="1" si="124"/>
        <v>-4260428622.0486674</v>
      </c>
      <c r="M2219" s="471">
        <f t="shared" si="126"/>
        <v>0.05</v>
      </c>
      <c r="N2219" s="475">
        <f t="shared" si="127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25"/>
        <v>-4260428622.0486674</v>
      </c>
      <c r="J2220" s="455">
        <f t="array" ref="J2220">IFERROR(INDEX('Retirement Calculator'!K:K,MATCH('Lorri 401b'!N2220,'Retirement Calculator'!A:A,0),0),0)</f>
        <v>0</v>
      </c>
      <c r="K2220" s="455">
        <f t="shared" ca="1" si="123"/>
        <v>-17751785.925202779</v>
      </c>
      <c r="L2220" s="455">
        <f t="shared" ca="1" si="124"/>
        <v>-4278180407.9738703</v>
      </c>
      <c r="M2220" s="471">
        <f t="shared" si="126"/>
        <v>0.05</v>
      </c>
      <c r="N2220" s="475">
        <f t="shared" si="127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25"/>
        <v>-4278180407.9738703</v>
      </c>
      <c r="J2221" s="455">
        <f t="array" ref="J2221">IFERROR(INDEX('Retirement Calculator'!K:K,MATCH('Lorri 401b'!N2221,'Retirement Calculator'!A:A,0),0),0)</f>
        <v>0</v>
      </c>
      <c r="K2221" s="455">
        <f t="shared" ca="1" si="123"/>
        <v>-17825751.699891124</v>
      </c>
      <c r="L2221" s="455">
        <f t="shared" ca="1" si="124"/>
        <v>-4296006159.6737614</v>
      </c>
      <c r="M2221" s="471">
        <f t="shared" si="126"/>
        <v>0.05</v>
      </c>
      <c r="N2221" s="475">
        <f t="shared" si="127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25"/>
        <v>-4296006159.6737614</v>
      </c>
      <c r="J2222" s="455">
        <f t="array" ref="J2222">IFERROR(INDEX('Retirement Calculator'!K:K,MATCH('Lorri 401b'!N2222,'Retirement Calculator'!A:A,0),0),0)</f>
        <v>0</v>
      </c>
      <c r="K2222" s="455">
        <f t="shared" ca="1" si="123"/>
        <v>-17900025.665307339</v>
      </c>
      <c r="L2222" s="455">
        <f t="shared" ca="1" si="124"/>
        <v>-4313906185.3390684</v>
      </c>
      <c r="M2222" s="471">
        <f t="shared" si="126"/>
        <v>0.05</v>
      </c>
      <c r="N2222" s="475">
        <f t="shared" si="127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25"/>
        <v>-4313906185.3390684</v>
      </c>
      <c r="J2223" s="455">
        <f t="array" ref="J2223">IFERROR(INDEX('Retirement Calculator'!K:K,MATCH('Lorri 401b'!N2223,'Retirement Calculator'!A:A,0),0),0)</f>
        <v>0</v>
      </c>
      <c r="K2223" s="455">
        <f t="shared" ca="1" si="123"/>
        <v>-17974609.105579451</v>
      </c>
      <c r="L2223" s="455">
        <f t="shared" ca="1" si="124"/>
        <v>-4331880794.4446478</v>
      </c>
      <c r="M2223" s="471">
        <f t="shared" si="126"/>
        <v>0.05</v>
      </c>
      <c r="N2223" s="475">
        <f t="shared" si="127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25"/>
        <v>-4331880794.4446478</v>
      </c>
      <c r="J2224" s="455">
        <f t="array" ref="J2224">IFERROR(INDEX('Retirement Calculator'!K:K,MATCH('Lorri 401b'!N2224,'Retirement Calculator'!A:A,0),0),0)</f>
        <v>0</v>
      </c>
      <c r="K2224" s="455">
        <f t="shared" ca="1" si="123"/>
        <v>-18049503.310186032</v>
      </c>
      <c r="L2224" s="455">
        <f t="shared" ca="1" si="124"/>
        <v>-4349930297.7548342</v>
      </c>
      <c r="M2224" s="471">
        <f t="shared" si="126"/>
        <v>0.05</v>
      </c>
      <c r="N2224" s="475">
        <f t="shared" si="127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25"/>
        <v>-4349930297.7548342</v>
      </c>
      <c r="J2225" s="455">
        <f t="array" ref="J2225">IFERROR(INDEX('Retirement Calculator'!K:K,MATCH('Lorri 401b'!N2225,'Retirement Calculator'!A:A,0),0),0)</f>
        <v>0</v>
      </c>
      <c r="K2225" s="455">
        <f t="shared" ca="1" si="123"/>
        <v>-18124709.573978476</v>
      </c>
      <c r="L2225" s="455">
        <f t="shared" ca="1" si="124"/>
        <v>-4368055007.3288126</v>
      </c>
      <c r="M2225" s="471">
        <f t="shared" si="126"/>
        <v>0.05</v>
      </c>
      <c r="N2225" s="475">
        <f t="shared" si="127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25"/>
        <v>-4368055007.3288126</v>
      </c>
      <c r="J2226" s="455">
        <f t="array" ref="J2226">IFERROR(INDEX('Retirement Calculator'!K:K,MATCH('Lorri 401b'!N2226,'Retirement Calculator'!A:A,0),0),0)</f>
        <v>0</v>
      </c>
      <c r="K2226" s="455">
        <f t="shared" ca="1" si="123"/>
        <v>-18200229.197203387</v>
      </c>
      <c r="L2226" s="455">
        <f t="shared" ca="1" si="124"/>
        <v>-4386255236.5260162</v>
      </c>
      <c r="M2226" s="471">
        <f t="shared" si="126"/>
        <v>0.05</v>
      </c>
      <c r="N2226" s="475">
        <f t="shared" si="127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25"/>
        <v>-4386255236.5260162</v>
      </c>
      <c r="J2227" s="455">
        <f t="array" ref="J2227">IFERROR(INDEX('Retirement Calculator'!K:K,MATCH('Lorri 401b'!N2227,'Retirement Calculator'!A:A,0),0),0)</f>
        <v>0</v>
      </c>
      <c r="K2227" s="455">
        <f t="shared" ca="1" si="123"/>
        <v>-18276063.485525068</v>
      </c>
      <c r="L2227" s="455">
        <f t="shared" ca="1" si="124"/>
        <v>-4404531300.0115414</v>
      </c>
      <c r="M2227" s="471">
        <f t="shared" si="126"/>
        <v>0.05</v>
      </c>
      <c r="N2227" s="475">
        <f t="shared" si="127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25"/>
        <v>-4404531300.0115414</v>
      </c>
      <c r="J2228" s="455">
        <f t="array" ref="J2228">IFERROR(INDEX('Retirement Calculator'!K:K,MATCH('Lorri 401b'!N2228,'Retirement Calculator'!A:A,0),0),0)</f>
        <v>0</v>
      </c>
      <c r="K2228" s="455">
        <f t="shared" ca="1" si="123"/>
        <v>-18352213.75004809</v>
      </c>
      <c r="L2228" s="455">
        <f t="shared" ca="1" si="124"/>
        <v>-4422883513.7615891</v>
      </c>
      <c r="M2228" s="471">
        <f t="shared" si="126"/>
        <v>0.05</v>
      </c>
      <c r="N2228" s="475">
        <f t="shared" si="127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25"/>
        <v>-4422883513.7615891</v>
      </c>
      <c r="J2229" s="455">
        <f t="array" ref="J2229">IFERROR(INDEX('Retirement Calculator'!K:K,MATCH('Lorri 401b'!N2229,'Retirement Calculator'!A:A,0),0),0)</f>
        <v>0</v>
      </c>
      <c r="K2229" s="455">
        <f t="shared" ca="1" si="123"/>
        <v>-18428681.307339955</v>
      </c>
      <c r="L2229" s="455">
        <f t="shared" ca="1" si="124"/>
        <v>-4441312195.0689287</v>
      </c>
      <c r="M2229" s="471">
        <f t="shared" si="126"/>
        <v>0.05</v>
      </c>
      <c r="N2229" s="475">
        <f t="shared" si="127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25"/>
        <v>-4441312195.0689287</v>
      </c>
      <c r="J2230" s="455">
        <f t="array" ref="J2230">IFERROR(INDEX('Retirement Calculator'!K:K,MATCH('Lorri 401b'!N2230,'Retirement Calculator'!A:A,0),0),0)</f>
        <v>0</v>
      </c>
      <c r="K2230" s="455">
        <f t="shared" ca="1" si="123"/>
        <v>-18505467.479453869</v>
      </c>
      <c r="L2230" s="455">
        <f t="shared" ca="1" si="124"/>
        <v>-4459817662.5483828</v>
      </c>
      <c r="M2230" s="471">
        <f t="shared" si="126"/>
        <v>0.05</v>
      </c>
      <c r="N2230" s="475">
        <f t="shared" si="127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25"/>
        <v>-4459817662.5483828</v>
      </c>
      <c r="J2231" s="455">
        <f t="array" ref="J2231">IFERROR(INDEX('Retirement Calculator'!K:K,MATCH('Lorri 401b'!N2231,'Retirement Calculator'!A:A,0),0),0)</f>
        <v>0</v>
      </c>
      <c r="K2231" s="455">
        <f t="shared" ca="1" si="123"/>
        <v>-18582573.593951594</v>
      </c>
      <c r="L2231" s="455">
        <f t="shared" ca="1" si="124"/>
        <v>-4478400236.142334</v>
      </c>
      <c r="M2231" s="471">
        <f t="shared" si="126"/>
        <v>0.05</v>
      </c>
      <c r="N2231" s="475">
        <f t="shared" si="127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25"/>
        <v>-4478400236.142334</v>
      </c>
      <c r="J2232" s="455">
        <f t="array" ref="J2232">IFERROR(INDEX('Retirement Calculator'!K:K,MATCH('Lorri 401b'!N2232,'Retirement Calculator'!A:A,0),0),0)</f>
        <v>0</v>
      </c>
      <c r="K2232" s="455">
        <f t="shared" ca="1" si="123"/>
        <v>-18660000.983926393</v>
      </c>
      <c r="L2232" s="455">
        <f t="shared" ca="1" si="124"/>
        <v>-4497060237.1262608</v>
      </c>
      <c r="M2232" s="471">
        <f t="shared" si="126"/>
        <v>0.05</v>
      </c>
      <c r="N2232" s="475">
        <f t="shared" si="127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25"/>
        <v>-4497060237.1262608</v>
      </c>
      <c r="J2233" s="455">
        <f t="array" ref="J2233">IFERROR(INDEX('Retirement Calculator'!K:K,MATCH('Lorri 401b'!N2233,'Retirement Calculator'!A:A,0),0),0)</f>
        <v>0</v>
      </c>
      <c r="K2233" s="455">
        <f t="shared" ca="1" si="123"/>
        <v>-18737750.988026086</v>
      </c>
      <c r="L2233" s="455">
        <f t="shared" ca="1" si="124"/>
        <v>-4515797988.1142864</v>
      </c>
      <c r="M2233" s="471">
        <f t="shared" si="126"/>
        <v>0.05</v>
      </c>
      <c r="N2233" s="475">
        <f t="shared" si="127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25"/>
        <v>-4515797988.1142864</v>
      </c>
      <c r="J2234" s="455">
        <f t="array" ref="J2234">IFERROR(INDEX('Retirement Calculator'!K:K,MATCH('Lorri 401b'!N2234,'Retirement Calculator'!A:A,0),0),0)</f>
        <v>0</v>
      </c>
      <c r="K2234" s="455">
        <f t="shared" ca="1" si="123"/>
        <v>-18815824.950476192</v>
      </c>
      <c r="L2234" s="455">
        <f t="shared" ca="1" si="124"/>
        <v>-4534613813.0647631</v>
      </c>
      <c r="M2234" s="471">
        <f t="shared" si="126"/>
        <v>0.05</v>
      </c>
      <c r="N2234" s="475">
        <f t="shared" si="127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25"/>
        <v>-4534613813.0647631</v>
      </c>
      <c r="J2235" s="455">
        <f t="array" ref="J2235">IFERROR(INDEX('Retirement Calculator'!K:K,MATCH('Lorri 401b'!N2235,'Retirement Calculator'!A:A,0),0),0)</f>
        <v>0</v>
      </c>
      <c r="K2235" s="455">
        <f t="shared" ca="1" si="123"/>
        <v>-18894224.22110318</v>
      </c>
      <c r="L2235" s="455">
        <f t="shared" ca="1" si="124"/>
        <v>-4553508037.2858658</v>
      </c>
      <c r="M2235" s="471">
        <f t="shared" si="126"/>
        <v>0.05</v>
      </c>
      <c r="N2235" s="475">
        <f t="shared" si="127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25"/>
        <v>-4553508037.2858658</v>
      </c>
      <c r="J2236" s="455">
        <f t="array" ref="J2236">IFERROR(INDEX('Retirement Calculator'!K:K,MATCH('Lorri 401b'!N2236,'Retirement Calculator'!A:A,0),0),0)</f>
        <v>0</v>
      </c>
      <c r="K2236" s="455">
        <f t="shared" ca="1" si="123"/>
        <v>-18972950.155357774</v>
      </c>
      <c r="L2236" s="455">
        <f t="shared" ca="1" si="124"/>
        <v>-4572480987.4412231</v>
      </c>
      <c r="M2236" s="471">
        <f t="shared" si="126"/>
        <v>0.05</v>
      </c>
      <c r="N2236" s="475">
        <f t="shared" si="127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25"/>
        <v>-4572480987.4412231</v>
      </c>
      <c r="J2237" s="455">
        <f t="array" ref="J2237">IFERROR(INDEX('Retirement Calculator'!K:K,MATCH('Lorri 401b'!N2237,'Retirement Calculator'!A:A,0),0),0)</f>
        <v>0</v>
      </c>
      <c r="K2237" s="455">
        <f t="shared" ca="1" si="123"/>
        <v>-19052004.114338428</v>
      </c>
      <c r="L2237" s="455">
        <f t="shared" ca="1" si="124"/>
        <v>-4591532991.555562</v>
      </c>
      <c r="M2237" s="471">
        <f t="shared" si="126"/>
        <v>0.05</v>
      </c>
      <c r="N2237" s="475">
        <f t="shared" si="127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25"/>
        <v>-4591532991.555562</v>
      </c>
      <c r="J2238" s="455">
        <f t="array" ref="J2238">IFERROR(INDEX('Retirement Calculator'!K:K,MATCH('Lorri 401b'!N2238,'Retirement Calculator'!A:A,0),0),0)</f>
        <v>0</v>
      </c>
      <c r="K2238" s="455">
        <f t="shared" ca="1" si="123"/>
        <v>-19131387.464814842</v>
      </c>
      <c r="L2238" s="455">
        <f t="shared" ca="1" si="124"/>
        <v>-4610664379.0203772</v>
      </c>
      <c r="M2238" s="471">
        <f t="shared" si="126"/>
        <v>0.05</v>
      </c>
      <c r="N2238" s="475">
        <f t="shared" si="127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25"/>
        <v>-4610664379.0203772</v>
      </c>
      <c r="J2239" s="455">
        <f t="array" ref="J2239">IFERROR(INDEX('Retirement Calculator'!K:K,MATCH('Lorri 401b'!N2239,'Retirement Calculator'!A:A,0),0),0)</f>
        <v>0</v>
      </c>
      <c r="K2239" s="455">
        <f t="shared" ca="1" si="123"/>
        <v>-19211101.579251572</v>
      </c>
      <c r="L2239" s="455">
        <f t="shared" ca="1" si="124"/>
        <v>-4629875480.5996284</v>
      </c>
      <c r="M2239" s="471">
        <f t="shared" si="126"/>
        <v>0.05</v>
      </c>
      <c r="N2239" s="475">
        <f t="shared" si="127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25"/>
        <v>-4629875480.5996284</v>
      </c>
      <c r="J2240" s="455">
        <f t="array" ref="J2240">IFERROR(INDEX('Retirement Calculator'!K:K,MATCH('Lorri 401b'!N2240,'Retirement Calculator'!A:A,0),0),0)</f>
        <v>0</v>
      </c>
      <c r="K2240" s="455">
        <f t="shared" ca="1" si="123"/>
        <v>-19291147.835831784</v>
      </c>
      <c r="L2240" s="455">
        <f t="shared" ca="1" si="124"/>
        <v>-4649166628.4354601</v>
      </c>
      <c r="M2240" s="471">
        <f t="shared" si="126"/>
        <v>0.05</v>
      </c>
      <c r="N2240" s="475">
        <f t="shared" si="127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25"/>
        <v>-4649166628.4354601</v>
      </c>
      <c r="J2241" s="455">
        <f t="array" ref="J2241">IFERROR(INDEX('Retirement Calculator'!K:K,MATCH('Lorri 401b'!N2241,'Retirement Calculator'!A:A,0),0),0)</f>
        <v>0</v>
      </c>
      <c r="K2241" s="455">
        <f t="shared" ca="1" si="123"/>
        <v>-19371527.618481085</v>
      </c>
      <c r="L2241" s="455">
        <f t="shared" ca="1" si="124"/>
        <v>-4668538156.0539408</v>
      </c>
      <c r="M2241" s="471">
        <f t="shared" si="126"/>
        <v>0.05</v>
      </c>
      <c r="N2241" s="475">
        <f t="shared" si="127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25"/>
        <v>-4668538156.0539408</v>
      </c>
      <c r="J2242" s="455">
        <f t="array" ref="J2242">IFERROR(INDEX('Retirement Calculator'!K:K,MATCH('Lorri 401b'!N2242,'Retirement Calculator'!A:A,0),0),0)</f>
        <v>0</v>
      </c>
      <c r="K2242" s="455">
        <f t="shared" ca="1" si="123"/>
        <v>-19452242.316891421</v>
      </c>
      <c r="L2242" s="455">
        <f t="shared" ca="1" si="124"/>
        <v>-4687990398.3708324</v>
      </c>
      <c r="M2242" s="471">
        <f t="shared" si="126"/>
        <v>0.05</v>
      </c>
      <c r="N2242" s="475">
        <f t="shared" si="127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25"/>
        <v>-4687990398.3708324</v>
      </c>
      <c r="J2243" s="455">
        <f t="array" ref="J2243">IFERROR(INDEX('Retirement Calculator'!K:K,MATCH('Lorri 401b'!N2243,'Retirement Calculator'!A:A,0),0),0)</f>
        <v>0</v>
      </c>
      <c r="K2243" s="455">
        <f t="shared" ca="1" si="123"/>
        <v>-19533293.326545134</v>
      </c>
      <c r="L2243" s="455">
        <f t="shared" ca="1" si="124"/>
        <v>-4707523691.6973772</v>
      </c>
      <c r="M2243" s="471">
        <f t="shared" si="126"/>
        <v>0.05</v>
      </c>
      <c r="N2243" s="475">
        <f t="shared" si="127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25"/>
        <v>-4707523691.6973772</v>
      </c>
      <c r="J2244" s="455">
        <f t="array" ref="J2244">IFERROR(INDEX('Retirement Calculator'!K:K,MATCH('Lorri 401b'!N2244,'Retirement Calculator'!A:A,0),0),0)</f>
        <v>0</v>
      </c>
      <c r="K2244" s="455">
        <f t="shared" ca="1" si="123"/>
        <v>-19614682.048739072</v>
      </c>
      <c r="L2244" s="455">
        <f t="shared" ca="1" si="124"/>
        <v>-4727138373.7461166</v>
      </c>
      <c r="M2244" s="471">
        <f t="shared" si="126"/>
        <v>0.05</v>
      </c>
      <c r="N2244" s="475">
        <f t="shared" si="127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25"/>
        <v>-4727138373.7461166</v>
      </c>
      <c r="J2245" s="455">
        <f t="array" ref="J2245">IFERROR(INDEX('Retirement Calculator'!K:K,MATCH('Lorri 401b'!N2245,'Retirement Calculator'!A:A,0),0),0)</f>
        <v>0</v>
      </c>
      <c r="K2245" s="455">
        <f t="shared" ca="1" si="123"/>
        <v>-19696409.890608817</v>
      </c>
      <c r="L2245" s="455">
        <f t="shared" ca="1" si="124"/>
        <v>-4746834783.6367254</v>
      </c>
      <c r="M2245" s="471">
        <f t="shared" si="126"/>
        <v>0.05</v>
      </c>
      <c r="N2245" s="475">
        <f t="shared" si="127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25"/>
        <v>-4746834783.6367254</v>
      </c>
      <c r="J2246" s="455">
        <f t="array" ref="J2246">IFERROR(INDEX('Retirement Calculator'!K:K,MATCH('Lorri 401b'!N2246,'Retirement Calculator'!A:A,0),0),0)</f>
        <v>0</v>
      </c>
      <c r="K2246" s="455">
        <f t="shared" ca="1" si="123"/>
        <v>-19778478.265153021</v>
      </c>
      <c r="L2246" s="455">
        <f t="shared" ca="1" si="124"/>
        <v>-4766613261.9018784</v>
      </c>
      <c r="M2246" s="471">
        <f t="shared" si="126"/>
        <v>0.05</v>
      </c>
      <c r="N2246" s="475">
        <f t="shared" si="127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25"/>
        <v>-4766613261.9018784</v>
      </c>
      <c r="J2247" s="455">
        <f t="array" ref="J2247">IFERROR(INDEX('Retirement Calculator'!K:K,MATCH('Lorri 401b'!N2247,'Retirement Calculator'!A:A,0),0),0)</f>
        <v>0</v>
      </c>
      <c r="K2247" s="455">
        <f t="shared" ca="1" si="123"/>
        <v>-19860888.591257825</v>
      </c>
      <c r="L2247" s="455">
        <f t="shared" ca="1" si="124"/>
        <v>-4786474150.4931364</v>
      </c>
      <c r="M2247" s="471">
        <f t="shared" si="126"/>
        <v>0.05</v>
      </c>
      <c r="N2247" s="475">
        <f t="shared" si="127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25"/>
        <v>-4786474150.4931364</v>
      </c>
      <c r="J2248" s="455">
        <f t="array" ref="J2248">IFERROR(INDEX('Retirement Calculator'!K:K,MATCH('Lorri 401b'!N2248,'Retirement Calculator'!A:A,0),0),0)</f>
        <v>0</v>
      </c>
      <c r="K2248" s="455">
        <f t="shared" ca="1" si="123"/>
        <v>-19943642.2937214</v>
      </c>
      <c r="L2248" s="455">
        <f t="shared" ca="1" si="124"/>
        <v>-4806417792.7868576</v>
      </c>
      <c r="M2248" s="471">
        <f t="shared" si="126"/>
        <v>0.05</v>
      </c>
      <c r="N2248" s="475">
        <f t="shared" si="127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25"/>
        <v>-4806417792.7868576</v>
      </c>
      <c r="J2249" s="455">
        <f t="array" ref="J2249">IFERROR(INDEX('Retirement Calculator'!K:K,MATCH('Lorri 401b'!N2249,'Retirement Calculator'!A:A,0),0),0)</f>
        <v>0</v>
      </c>
      <c r="K2249" s="455">
        <f t="shared" ca="1" si="123"/>
        <v>-20026740.803278573</v>
      </c>
      <c r="L2249" s="455">
        <f t="shared" ca="1" si="124"/>
        <v>-4826444533.5901365</v>
      </c>
      <c r="M2249" s="471">
        <f t="shared" si="126"/>
        <v>0.05</v>
      </c>
      <c r="N2249" s="475">
        <f t="shared" si="127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25"/>
        <v>-4826444533.5901365</v>
      </c>
      <c r="J2250" s="455">
        <f t="array" ref="J2250">IFERROR(INDEX('Retirement Calculator'!K:K,MATCH('Lorri 401b'!N2250,'Retirement Calculator'!A:A,0),0),0)</f>
        <v>0</v>
      </c>
      <c r="K2250" s="455">
        <f t="shared" ca="1" si="123"/>
        <v>-20110185.556625567</v>
      </c>
      <c r="L2250" s="455">
        <f t="shared" ca="1" si="124"/>
        <v>-4846554719.1467619</v>
      </c>
      <c r="M2250" s="471">
        <f t="shared" si="126"/>
        <v>0.05</v>
      </c>
      <c r="N2250" s="475">
        <f t="shared" si="127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25"/>
        <v>-4846554719.1467619</v>
      </c>
      <c r="J2251" s="455">
        <f t="array" ref="J2251">IFERROR(INDEX('Retirement Calculator'!K:K,MATCH('Lorri 401b'!N2251,'Retirement Calculator'!A:A,0),0),0)</f>
        <v>0</v>
      </c>
      <c r="K2251" s="455">
        <f t="shared" ca="1" si="123"/>
        <v>-20193977.99644484</v>
      </c>
      <c r="L2251" s="455">
        <f t="shared" ca="1" si="124"/>
        <v>-4866748697.1432066</v>
      </c>
      <c r="M2251" s="471">
        <f t="shared" si="126"/>
        <v>0.05</v>
      </c>
      <c r="N2251" s="475">
        <f t="shared" si="127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25"/>
        <v>-4866748697.1432066</v>
      </c>
      <c r="J2252" s="455">
        <f t="array" ref="J2252">IFERROR(INDEX('Retirement Calculator'!K:K,MATCH('Lorri 401b'!N2252,'Retirement Calculator'!A:A,0),0),0)</f>
        <v>0</v>
      </c>
      <c r="K2252" s="455">
        <f t="shared" ca="1" si="123"/>
        <v>-20278119.571430027</v>
      </c>
      <c r="L2252" s="455">
        <f t="shared" ca="1" si="124"/>
        <v>-4887026816.7146368</v>
      </c>
      <c r="M2252" s="471">
        <f t="shared" si="126"/>
        <v>0.05</v>
      </c>
      <c r="N2252" s="475">
        <f t="shared" si="127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25"/>
        <v>-4887026816.7146368</v>
      </c>
      <c r="J2253" s="455">
        <f t="array" ref="J2253">IFERROR(INDEX('Retirement Calculator'!K:K,MATCH('Lorri 401b'!N2253,'Retirement Calculator'!A:A,0),0),0)</f>
        <v>0</v>
      </c>
      <c r="K2253" s="455">
        <f t="shared" ca="1" si="123"/>
        <v>-20362611.736310985</v>
      </c>
      <c r="L2253" s="455">
        <f t="shared" ca="1" si="124"/>
        <v>-4907389428.4509478</v>
      </c>
      <c r="M2253" s="471">
        <f t="shared" si="126"/>
        <v>0.05</v>
      </c>
      <c r="N2253" s="475">
        <f t="shared" si="127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25"/>
        <v>-4907389428.4509478</v>
      </c>
      <c r="J2254" s="455">
        <f t="array" ref="J2254">IFERROR(INDEX('Retirement Calculator'!K:K,MATCH('Lorri 401b'!N2254,'Retirement Calculator'!A:A,0),0),0)</f>
        <v>0</v>
      </c>
      <c r="K2254" s="455">
        <f t="shared" ca="1" si="123"/>
        <v>-20447455.95187895</v>
      </c>
      <c r="L2254" s="455">
        <f t="shared" ca="1" si="124"/>
        <v>-4927836884.4028263</v>
      </c>
      <c r="M2254" s="471">
        <f t="shared" si="126"/>
        <v>0.05</v>
      </c>
      <c r="N2254" s="475">
        <f t="shared" si="127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25"/>
        <v>-4927836884.4028263</v>
      </c>
      <c r="J2255" s="455">
        <f t="array" ref="J2255">IFERROR(INDEX('Retirement Calculator'!K:K,MATCH('Lorri 401b'!N2255,'Retirement Calculator'!A:A,0),0),0)</f>
        <v>0</v>
      </c>
      <c r="K2255" s="455">
        <f t="shared" ca="1" si="123"/>
        <v>-20532653.685011774</v>
      </c>
      <c r="L2255" s="455">
        <f t="shared" ca="1" si="124"/>
        <v>-4948369538.0878382</v>
      </c>
      <c r="M2255" s="471">
        <f t="shared" si="126"/>
        <v>0.05</v>
      </c>
      <c r="N2255" s="475">
        <f t="shared" si="127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25"/>
        <v>-4948369538.0878382</v>
      </c>
      <c r="J2256" s="455">
        <f t="array" ref="J2256">IFERROR(INDEX('Retirement Calculator'!K:K,MATCH('Lorri 401b'!N2256,'Retirement Calculator'!A:A,0),0),0)</f>
        <v>0</v>
      </c>
      <c r="K2256" s="455">
        <f t="shared" ca="1" si="123"/>
        <v>-20618206.408699326</v>
      </c>
      <c r="L2256" s="455">
        <f t="shared" ca="1" si="124"/>
        <v>-4968987744.4965372</v>
      </c>
      <c r="M2256" s="471">
        <f t="shared" si="126"/>
        <v>0.05</v>
      </c>
      <c r="N2256" s="475">
        <f t="shared" si="127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25"/>
        <v>-4968987744.4965372</v>
      </c>
      <c r="J2257" s="455">
        <f t="array" ref="J2257">IFERROR(INDEX('Retirement Calculator'!K:K,MATCH('Lorri 401b'!N2257,'Retirement Calculator'!A:A,0),0),0)</f>
        <v>0</v>
      </c>
      <c r="K2257" s="455">
        <f t="shared" ca="1" si="123"/>
        <v>-20704115.602068905</v>
      </c>
      <c r="L2257" s="455">
        <f t="shared" ca="1" si="124"/>
        <v>-4989691860.0986061</v>
      </c>
      <c r="M2257" s="471">
        <f t="shared" si="126"/>
        <v>0.05</v>
      </c>
      <c r="N2257" s="475">
        <f t="shared" si="127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25"/>
        <v>-4989691860.0986061</v>
      </c>
      <c r="J2258" s="455">
        <f t="array" ref="J2258">IFERROR(INDEX('Retirement Calculator'!K:K,MATCH('Lorri 401b'!N2258,'Retirement Calculator'!A:A,0),0),0)</f>
        <v>0</v>
      </c>
      <c r="K2258" s="455">
        <f t="shared" ca="1" si="123"/>
        <v>-20790382.750410859</v>
      </c>
      <c r="L2258" s="455">
        <f t="shared" ca="1" si="124"/>
        <v>-5010482242.8490171</v>
      </c>
      <c r="M2258" s="471">
        <f t="shared" si="126"/>
        <v>0.05</v>
      </c>
      <c r="N2258" s="475">
        <f t="shared" si="127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25"/>
        <v>-5010482242.8490171</v>
      </c>
      <c r="J2259" s="455">
        <f t="array" ref="J2259">IFERROR(INDEX('Retirement Calculator'!K:K,MATCH('Lorri 401b'!N2259,'Retirement Calculator'!A:A,0),0),0)</f>
        <v>0</v>
      </c>
      <c r="K2259" s="455">
        <f t="shared" ca="1" si="123"/>
        <v>-20877009.345204238</v>
      </c>
      <c r="L2259" s="455">
        <f t="shared" ca="1" si="124"/>
        <v>-5031359252.1942215</v>
      </c>
      <c r="M2259" s="471">
        <f t="shared" si="126"/>
        <v>0.05</v>
      </c>
      <c r="N2259" s="475">
        <f t="shared" si="127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25"/>
        <v>-5031359252.1942215</v>
      </c>
      <c r="J2260" s="455">
        <f t="array" ref="J2260">IFERROR(INDEX('Retirement Calculator'!K:K,MATCH('Lorri 401b'!N2260,'Retirement Calculator'!A:A,0),0),0)</f>
        <v>0</v>
      </c>
      <c r="K2260" s="455">
        <f t="shared" ca="1" si="123"/>
        <v>-20963996.884142589</v>
      </c>
      <c r="L2260" s="455">
        <f t="shared" ca="1" si="124"/>
        <v>-5052323249.0783644</v>
      </c>
      <c r="M2260" s="471">
        <f t="shared" si="126"/>
        <v>0.05</v>
      </c>
      <c r="N2260" s="475">
        <f t="shared" si="127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25"/>
        <v>-5052323249.0783644</v>
      </c>
      <c r="J2261" s="455">
        <f t="array" ref="J2261">IFERROR(INDEX('Retirement Calculator'!K:K,MATCH('Lorri 401b'!N2261,'Retirement Calculator'!A:A,0),0),0)</f>
        <v>0</v>
      </c>
      <c r="K2261" s="455">
        <f t="shared" ca="1" si="123"/>
        <v>-21051346.871159852</v>
      </c>
      <c r="L2261" s="455">
        <f t="shared" ca="1" si="124"/>
        <v>-5073374595.9495239</v>
      </c>
      <c r="M2261" s="471">
        <f t="shared" si="126"/>
        <v>0.05</v>
      </c>
      <c r="N2261" s="475">
        <f t="shared" si="127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25"/>
        <v>-5073374595.9495239</v>
      </c>
      <c r="J2262" s="455">
        <f t="array" ref="J2262">IFERROR(INDEX('Retirement Calculator'!K:K,MATCH('Lorri 401b'!N2262,'Retirement Calculator'!A:A,0),0),0)</f>
        <v>0</v>
      </c>
      <c r="K2262" s="455">
        <f t="shared" ca="1" si="123"/>
        <v>-21139060.816456348</v>
      </c>
      <c r="L2262" s="455">
        <f t="shared" ca="1" si="124"/>
        <v>-5094513656.7659807</v>
      </c>
      <c r="M2262" s="471">
        <f t="shared" si="126"/>
        <v>0.05</v>
      </c>
      <c r="N2262" s="475">
        <f t="shared" si="127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25"/>
        <v>-5094513656.7659807</v>
      </c>
      <c r="J2263" s="455">
        <f t="array" ref="J2263">IFERROR(INDEX('Retirement Calculator'!K:K,MATCH('Lorri 401b'!N2263,'Retirement Calculator'!A:A,0),0),0)</f>
        <v>0</v>
      </c>
      <c r="K2263" s="455">
        <f t="shared" ca="1" si="123"/>
        <v>-21227140.236524921</v>
      </c>
      <c r="L2263" s="455">
        <f t="shared" ca="1" si="124"/>
        <v>-5115740797.0025053</v>
      </c>
      <c r="M2263" s="471">
        <f t="shared" si="126"/>
        <v>0.05</v>
      </c>
      <c r="N2263" s="475">
        <f t="shared" si="127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25"/>
        <v>-5115740797.0025053</v>
      </c>
      <c r="J2264" s="455">
        <f t="array" ref="J2264">IFERROR(INDEX('Retirement Calculator'!K:K,MATCH('Lorri 401b'!N2264,'Retirement Calculator'!A:A,0),0),0)</f>
        <v>0</v>
      </c>
      <c r="K2264" s="455">
        <f t="shared" ca="1" si="123"/>
        <v>-21315586.654177107</v>
      </c>
      <c r="L2264" s="455">
        <f t="shared" ca="1" si="124"/>
        <v>-5137056383.656682</v>
      </c>
      <c r="M2264" s="471">
        <f t="shared" si="126"/>
        <v>0.05</v>
      </c>
      <c r="N2264" s="475">
        <f t="shared" si="127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25"/>
        <v>-5137056383.656682</v>
      </c>
      <c r="J2265" s="455">
        <f t="array" ref="J2265">IFERROR(INDEX('Retirement Calculator'!K:K,MATCH('Lorri 401b'!N2265,'Retirement Calculator'!A:A,0),0),0)</f>
        <v>0</v>
      </c>
      <c r="K2265" s="455">
        <f t="shared" ca="1" si="123"/>
        <v>-21404401.598569509</v>
      </c>
      <c r="L2265" s="455">
        <f t="shared" ca="1" si="124"/>
        <v>-5158460785.2552519</v>
      </c>
      <c r="M2265" s="471">
        <f t="shared" si="126"/>
        <v>0.05</v>
      </c>
      <c r="N2265" s="475">
        <f t="shared" si="127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25"/>
        <v>-5158460785.2552519</v>
      </c>
      <c r="J2266" s="455">
        <f t="array" ref="J2266">IFERROR(INDEX('Retirement Calculator'!K:K,MATCH('Lorri 401b'!N2266,'Retirement Calculator'!A:A,0),0),0)</f>
        <v>0</v>
      </c>
      <c r="K2266" s="455">
        <f t="shared" ca="1" si="123"/>
        <v>-21493586.605230216</v>
      </c>
      <c r="L2266" s="455">
        <f t="shared" ca="1" si="124"/>
        <v>-5179954371.8604822</v>
      </c>
      <c r="M2266" s="471">
        <f t="shared" si="126"/>
        <v>0.05</v>
      </c>
      <c r="N2266" s="475">
        <f t="shared" si="127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25"/>
        <v>-5179954371.8604822</v>
      </c>
      <c r="J2267" s="455">
        <f t="array" ref="J2267">IFERROR(INDEX('Retirement Calculator'!K:K,MATCH('Lorri 401b'!N2267,'Retirement Calculator'!A:A,0),0),0)</f>
        <v>0</v>
      </c>
      <c r="K2267" s="455">
        <f t="shared" ca="1" si="123"/>
        <v>-21583143.216085341</v>
      </c>
      <c r="L2267" s="455">
        <f t="shared" ca="1" si="124"/>
        <v>-5201537515.0765676</v>
      </c>
      <c r="M2267" s="471">
        <f t="shared" si="126"/>
        <v>0.05</v>
      </c>
      <c r="N2267" s="475">
        <f t="shared" si="127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25"/>
        <v>-5201537515.0765676</v>
      </c>
      <c r="J2268" s="455">
        <f t="array" ref="J2268">IFERROR(INDEX('Retirement Calculator'!K:K,MATCH('Lorri 401b'!N2268,'Retirement Calculator'!A:A,0),0),0)</f>
        <v>0</v>
      </c>
      <c r="K2268" s="455">
        <f t="shared" ca="1" si="123"/>
        <v>-21673072.979485698</v>
      </c>
      <c r="L2268" s="455">
        <f t="shared" ca="1" si="124"/>
        <v>-5223210588.0560532</v>
      </c>
      <c r="M2268" s="471">
        <f t="shared" si="126"/>
        <v>0.05</v>
      </c>
      <c r="N2268" s="475">
        <f t="shared" si="127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25"/>
        <v>-5223210588.0560532</v>
      </c>
      <c r="J2269" s="455">
        <f t="array" ref="J2269">IFERROR(INDEX('Retirement Calculator'!K:K,MATCH('Lorri 401b'!N2269,'Retirement Calculator'!A:A,0),0),0)</f>
        <v>0</v>
      </c>
      <c r="K2269" s="455">
        <f t="shared" ca="1" si="123"/>
        <v>-21763377.450233556</v>
      </c>
      <c r="L2269" s="455">
        <f t="shared" ca="1" si="124"/>
        <v>-5244973965.5062866</v>
      </c>
      <c r="M2269" s="471">
        <f t="shared" si="126"/>
        <v>0.05</v>
      </c>
      <c r="N2269" s="475">
        <f t="shared" si="127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25"/>
        <v>-5244973965.5062866</v>
      </c>
      <c r="J2270" s="455">
        <f t="array" ref="J2270">IFERROR(INDEX('Retirement Calculator'!K:K,MATCH('Lorri 401b'!N2270,'Retirement Calculator'!A:A,0),0),0)</f>
        <v>0</v>
      </c>
      <c r="K2270" s="455">
        <f t="shared" ca="1" si="123"/>
        <v>-21854058.189609528</v>
      </c>
      <c r="L2270" s="455">
        <f t="shared" ca="1" si="124"/>
        <v>-5266828023.6958961</v>
      </c>
      <c r="M2270" s="471">
        <f t="shared" si="126"/>
        <v>0.05</v>
      </c>
      <c r="N2270" s="475">
        <f t="shared" si="127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25"/>
        <v>-5266828023.6958961</v>
      </c>
      <c r="J2271" s="455">
        <f t="array" ref="J2271">IFERROR(INDEX('Retirement Calculator'!K:K,MATCH('Lorri 401b'!N2271,'Retirement Calculator'!A:A,0),0),0)</f>
        <v>0</v>
      </c>
      <c r="K2271" s="455">
        <f t="shared" ca="1" si="123"/>
        <v>-21945116.765399568</v>
      </c>
      <c r="L2271" s="455">
        <f t="shared" ca="1" si="124"/>
        <v>-5288773140.4612961</v>
      </c>
      <c r="M2271" s="471">
        <f t="shared" si="126"/>
        <v>0.05</v>
      </c>
      <c r="N2271" s="475">
        <f t="shared" si="127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25"/>
        <v>-5288773140.4612961</v>
      </c>
      <c r="J2272" s="455">
        <f t="array" ref="J2272">IFERROR(INDEX('Retirement Calculator'!K:K,MATCH('Lorri 401b'!N2272,'Retirement Calculator'!A:A,0),0),0)</f>
        <v>0</v>
      </c>
      <c r="K2272" s="455">
        <f t="shared" ca="1" si="123"/>
        <v>-22036554.751922067</v>
      </c>
      <c r="L2272" s="455">
        <f t="shared" ca="1" si="124"/>
        <v>-5310809695.2132177</v>
      </c>
      <c r="M2272" s="471">
        <f t="shared" si="126"/>
        <v>0.05</v>
      </c>
      <c r="N2272" s="475">
        <f t="shared" si="127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25"/>
        <v>-5310809695.2132177</v>
      </c>
      <c r="J2273" s="455">
        <f t="array" ref="J2273">IFERROR(INDEX('Retirement Calculator'!K:K,MATCH('Lorri 401b'!N2273,'Retirement Calculator'!A:A,0),0),0)</f>
        <v>0</v>
      </c>
      <c r="K2273" s="455">
        <f t="shared" ca="1" si="123"/>
        <v>-22128373.730055075</v>
      </c>
      <c r="L2273" s="455">
        <f t="shared" ca="1" si="124"/>
        <v>-5332938068.9432726</v>
      </c>
      <c r="M2273" s="471">
        <f t="shared" si="126"/>
        <v>0.05</v>
      </c>
      <c r="N2273" s="475">
        <f t="shared" si="127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25"/>
        <v>-5332938068.9432726</v>
      </c>
      <c r="J2274" s="455">
        <f t="array" ref="J2274">IFERROR(INDEX('Retirement Calculator'!K:K,MATCH('Lorri 401b'!N2274,'Retirement Calculator'!A:A,0),0),0)</f>
        <v>0</v>
      </c>
      <c r="K2274" s="455">
        <f t="shared" ca="1" si="123"/>
        <v>-22220575.287263636</v>
      </c>
      <c r="L2274" s="455">
        <f t="shared" ca="1" si="124"/>
        <v>-5355158644.2305365</v>
      </c>
      <c r="M2274" s="471">
        <f t="shared" si="126"/>
        <v>0.05</v>
      </c>
      <c r="N2274" s="475">
        <f t="shared" si="127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25"/>
        <v>-5355158644.2305365</v>
      </c>
      <c r="J2275" s="455">
        <f t="array" ref="J2275">IFERROR(INDEX('Retirement Calculator'!K:K,MATCH('Lorri 401b'!N2275,'Retirement Calculator'!A:A,0),0),0)</f>
        <v>0</v>
      </c>
      <c r="K2275" s="455">
        <f t="shared" ca="1" si="123"/>
        <v>-22313161.017627236</v>
      </c>
      <c r="L2275" s="455">
        <f t="shared" ca="1" si="124"/>
        <v>-5377471805.2481632</v>
      </c>
      <c r="M2275" s="471">
        <f t="shared" si="126"/>
        <v>0.05</v>
      </c>
      <c r="N2275" s="475">
        <f t="shared" si="127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25"/>
        <v>-5377471805.2481632</v>
      </c>
      <c r="J2276" s="455">
        <f t="array" ref="J2276">IFERROR(INDEX('Retirement Calculator'!K:K,MATCH('Lorri 401b'!N2276,'Retirement Calculator'!A:A,0),0),0)</f>
        <v>0</v>
      </c>
      <c r="K2276" s="455">
        <f t="shared" ca="1" si="123"/>
        <v>-22406132.521867346</v>
      </c>
      <c r="L2276" s="455">
        <f t="shared" ca="1" si="124"/>
        <v>-5399877937.770031</v>
      </c>
      <c r="M2276" s="471">
        <f t="shared" si="126"/>
        <v>0.05</v>
      </c>
      <c r="N2276" s="475">
        <f t="shared" si="127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25"/>
        <v>-5399877937.770031</v>
      </c>
      <c r="J2277" s="455">
        <f t="array" ref="J2277">IFERROR(INDEX('Retirement Calculator'!K:K,MATCH('Lorri 401b'!N2277,'Retirement Calculator'!A:A,0),0),0)</f>
        <v>0</v>
      </c>
      <c r="K2277" s="455">
        <f t="shared" ca="1" si="123"/>
        <v>-22499491.407375127</v>
      </c>
      <c r="L2277" s="455">
        <f t="shared" ca="1" si="124"/>
        <v>-5422377429.1774063</v>
      </c>
      <c r="M2277" s="471">
        <f t="shared" si="126"/>
        <v>0.05</v>
      </c>
      <c r="N2277" s="475">
        <f t="shared" si="127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25"/>
        <v>-5422377429.1774063</v>
      </c>
      <c r="J2278" s="455">
        <f t="array" ref="J2278">IFERROR(INDEX('Retirement Calculator'!K:K,MATCH('Lorri 401b'!N2278,'Retirement Calculator'!A:A,0),0),0)</f>
        <v>0</v>
      </c>
      <c r="K2278" s="455">
        <f t="shared" ca="1" si="123"/>
        <v>-22593239.288239192</v>
      </c>
      <c r="L2278" s="455">
        <f t="shared" ca="1" si="124"/>
        <v>-5444970668.4656458</v>
      </c>
      <c r="M2278" s="471">
        <f t="shared" si="126"/>
        <v>0.05</v>
      </c>
      <c r="N2278" s="475">
        <f t="shared" si="127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25"/>
        <v>-5444970668.4656458</v>
      </c>
      <c r="J2279" s="455">
        <f t="array" ref="J2279">IFERROR(INDEX('Retirement Calculator'!K:K,MATCH('Lorri 401b'!N2279,'Retirement Calculator'!A:A,0),0),0)</f>
        <v>0</v>
      </c>
      <c r="K2279" s="455">
        <f t="shared" ca="1" si="123"/>
        <v>-22687377.785273522</v>
      </c>
      <c r="L2279" s="455">
        <f t="shared" ca="1" si="124"/>
        <v>-5467658046.2509193</v>
      </c>
      <c r="M2279" s="471">
        <f t="shared" si="126"/>
        <v>0.05</v>
      </c>
      <c r="N2279" s="475">
        <f t="shared" si="127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25"/>
        <v>-5467658046.2509193</v>
      </c>
      <c r="J2280" s="455">
        <f t="array" ref="J2280">IFERROR(INDEX('Retirement Calculator'!K:K,MATCH('Lorri 401b'!N2280,'Retirement Calculator'!A:A,0),0),0)</f>
        <v>0</v>
      </c>
      <c r="K2280" s="455">
        <f t="shared" ca="1" si="123"/>
        <v>-22781908.526045498</v>
      </c>
      <c r="L2280" s="455">
        <f t="shared" ca="1" si="124"/>
        <v>-5490439954.7769651</v>
      </c>
      <c r="M2280" s="471">
        <f t="shared" si="126"/>
        <v>0.05</v>
      </c>
      <c r="N2280" s="475">
        <f t="shared" si="127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25"/>
        <v>-5490439954.7769651</v>
      </c>
      <c r="J2281" s="455">
        <f t="array" ref="J2281">IFERROR(INDEX('Retirement Calculator'!K:K,MATCH('Lorri 401b'!N2281,'Retirement Calculator'!A:A,0),0),0)</f>
        <v>0</v>
      </c>
      <c r="K2281" s="455">
        <f t="shared" ca="1" si="123"/>
        <v>-22876833.144904021</v>
      </c>
      <c r="L2281" s="455">
        <f t="shared" ca="1" si="124"/>
        <v>-5513316787.9218693</v>
      </c>
      <c r="M2281" s="471">
        <f t="shared" si="126"/>
        <v>0.05</v>
      </c>
      <c r="N2281" s="475">
        <f t="shared" si="127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25"/>
        <v>-5513316787.9218693</v>
      </c>
      <c r="J2282" s="455">
        <f t="array" ref="J2282">IFERROR(INDEX('Retirement Calculator'!K:K,MATCH('Lorri 401b'!N2282,'Retirement Calculator'!A:A,0),0),0)</f>
        <v>0</v>
      </c>
      <c r="K2282" s="455">
        <f t="shared" ca="1" si="123"/>
        <v>-22972153.283007789</v>
      </c>
      <c r="L2282" s="455">
        <f t="shared" ca="1" si="124"/>
        <v>-5536288941.2048769</v>
      </c>
      <c r="M2282" s="471">
        <f t="shared" si="126"/>
        <v>0.05</v>
      </c>
      <c r="N2282" s="475">
        <f t="shared" si="127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25"/>
        <v>-5536288941.2048769</v>
      </c>
      <c r="J2283" s="455">
        <f t="array" ref="J2283">IFERROR(INDEX('Retirement Calculator'!K:K,MATCH('Lorri 401b'!N2283,'Retirement Calculator'!A:A,0),0),0)</f>
        <v>0</v>
      </c>
      <c r="K2283" s="455">
        <f t="shared" ca="1" si="123"/>
        <v>-23067870.588353653</v>
      </c>
      <c r="L2283" s="455">
        <f t="shared" ca="1" si="124"/>
        <v>-5559356811.793231</v>
      </c>
      <c r="M2283" s="471">
        <f t="shared" si="126"/>
        <v>0.05</v>
      </c>
      <c r="N2283" s="475">
        <f t="shared" si="127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25"/>
        <v>-5559356811.793231</v>
      </c>
      <c r="J2284" s="455">
        <f t="array" ref="J2284">IFERROR(INDEX('Retirement Calculator'!K:K,MATCH('Lorri 401b'!N2284,'Retirement Calculator'!A:A,0),0),0)</f>
        <v>0</v>
      </c>
      <c r="K2284" s="455">
        <f t="shared" ca="1" si="123"/>
        <v>-23163986.715805128</v>
      </c>
      <c r="L2284" s="455">
        <f t="shared" ca="1" si="124"/>
        <v>-5582520798.5090361</v>
      </c>
      <c r="M2284" s="471">
        <f t="shared" si="126"/>
        <v>0.05</v>
      </c>
      <c r="N2284" s="475">
        <f t="shared" si="127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25"/>
        <v>-5582520798.5090361</v>
      </c>
      <c r="J2285" s="455">
        <f t="array" ref="J2285">IFERROR(INDEX('Retirement Calculator'!K:K,MATCH('Lorri 401b'!N2285,'Retirement Calculator'!A:A,0),0),0)</f>
        <v>0</v>
      </c>
      <c r="K2285" s="455">
        <f t="shared" ca="1" si="123"/>
        <v>-23260503.327120982</v>
      </c>
      <c r="L2285" s="455">
        <f t="shared" ca="1" si="124"/>
        <v>-5605781301.8361568</v>
      </c>
      <c r="M2285" s="471">
        <f t="shared" si="126"/>
        <v>0.05</v>
      </c>
      <c r="N2285" s="475">
        <f t="shared" si="127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25"/>
        <v>-5605781301.8361568</v>
      </c>
      <c r="J2286" s="455">
        <f t="array" ref="J2286">IFERROR(INDEX('Retirement Calculator'!K:K,MATCH('Lorri 401b'!N2286,'Retirement Calculator'!A:A,0),0),0)</f>
        <v>0</v>
      </c>
      <c r="K2286" s="455">
        <f t="shared" ca="1" si="123"/>
        <v>-23357422.090983987</v>
      </c>
      <c r="L2286" s="455">
        <f t="shared" ca="1" si="124"/>
        <v>-5629138723.9271412</v>
      </c>
      <c r="M2286" s="471">
        <f t="shared" si="126"/>
        <v>0.05</v>
      </c>
      <c r="N2286" s="475">
        <f t="shared" si="127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25"/>
        <v>-5629138723.9271412</v>
      </c>
      <c r="J2287" s="455">
        <f t="array" ref="J2287">IFERROR(INDEX('Retirement Calculator'!K:K,MATCH('Lorri 401b'!N2287,'Retirement Calculator'!A:A,0),0),0)</f>
        <v>0</v>
      </c>
      <c r="K2287" s="455">
        <f t="shared" ca="1" si="123"/>
        <v>-23454744.683029756</v>
      </c>
      <c r="L2287" s="455">
        <f t="shared" ca="1" si="124"/>
        <v>-5652593468.6101713</v>
      </c>
      <c r="M2287" s="471">
        <f t="shared" si="126"/>
        <v>0.05</v>
      </c>
      <c r="N2287" s="475">
        <f t="shared" si="127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25"/>
        <v>-5652593468.6101713</v>
      </c>
      <c r="J2288" s="455">
        <f t="array" ref="J2288">IFERROR(INDEX('Retirement Calculator'!K:K,MATCH('Lorri 401b'!N2288,'Retirement Calculator'!A:A,0),0),0)</f>
        <v>0</v>
      </c>
      <c r="K2288" s="455">
        <f t="shared" ca="1" si="123"/>
        <v>-23552472.785875715</v>
      </c>
      <c r="L2288" s="455">
        <f t="shared" ca="1" si="124"/>
        <v>-5676145941.3960466</v>
      </c>
      <c r="M2288" s="471">
        <f t="shared" si="126"/>
        <v>0.05</v>
      </c>
      <c r="N2288" s="475">
        <f t="shared" si="127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25"/>
        <v>-5676145941.3960466</v>
      </c>
      <c r="J2289" s="455">
        <f t="array" ref="J2289">IFERROR(INDEX('Retirement Calculator'!K:K,MATCH('Lorri 401b'!N2289,'Retirement Calculator'!A:A,0),0),0)</f>
        <v>0</v>
      </c>
      <c r="K2289" s="455">
        <f t="shared" ca="1" si="123"/>
        <v>-23650608.089150194</v>
      </c>
      <c r="L2289" s="455">
        <f t="shared" ca="1" si="124"/>
        <v>-5699796549.4851971</v>
      </c>
      <c r="M2289" s="471">
        <f t="shared" si="126"/>
        <v>0.05</v>
      </c>
      <c r="N2289" s="475">
        <f t="shared" si="127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25"/>
        <v>-5699796549.4851971</v>
      </c>
      <c r="J2290" s="455">
        <f t="array" ref="J2290">IFERROR(INDEX('Retirement Calculator'!K:K,MATCH('Lorri 401b'!N2290,'Retirement Calculator'!A:A,0),0),0)</f>
        <v>0</v>
      </c>
      <c r="K2290" s="455">
        <f t="shared" ca="1" si="123"/>
        <v>-23749152.289521653</v>
      </c>
      <c r="L2290" s="455">
        <f t="shared" ca="1" si="124"/>
        <v>-5723545701.7747183</v>
      </c>
      <c r="M2290" s="471">
        <f t="shared" si="126"/>
        <v>0.05</v>
      </c>
      <c r="N2290" s="475">
        <f t="shared" si="127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25"/>
        <v>-5723545701.7747183</v>
      </c>
      <c r="J2291" s="455">
        <f t="array" ref="J2291">IFERROR(INDEX('Retirement Calculator'!K:K,MATCH('Lorri 401b'!N2291,'Retirement Calculator'!A:A,0),0),0)</f>
        <v>0</v>
      </c>
      <c r="K2291" s="455">
        <f t="shared" ca="1" si="123"/>
        <v>-23848107.090727992</v>
      </c>
      <c r="L2291" s="455">
        <f t="shared" ca="1" si="124"/>
        <v>-5747393808.8654461</v>
      </c>
      <c r="M2291" s="471">
        <f t="shared" si="126"/>
        <v>0.05</v>
      </c>
      <c r="N2291" s="475">
        <f t="shared" si="127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25"/>
        <v>-5747393808.8654461</v>
      </c>
      <c r="J2292" s="455">
        <f t="array" ref="J2292">IFERROR(INDEX('Retirement Calculator'!K:K,MATCH('Lorri 401b'!N2292,'Retirement Calculator'!A:A,0),0),0)</f>
        <v>0</v>
      </c>
      <c r="K2292" s="455">
        <f t="shared" ca="1" si="123"/>
        <v>-23947474.203606024</v>
      </c>
      <c r="L2292" s="455">
        <f t="shared" ca="1" si="124"/>
        <v>-5771341283.0690517</v>
      </c>
      <c r="M2292" s="471">
        <f t="shared" si="126"/>
        <v>0.05</v>
      </c>
      <c r="N2292" s="475">
        <f t="shared" si="127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25"/>
        <v>-5771341283.0690517</v>
      </c>
      <c r="J2293" s="455">
        <f t="array" ref="J2293">IFERROR(INDEX('Retirement Calculator'!K:K,MATCH('Lorri 401b'!N2293,'Retirement Calculator'!A:A,0),0),0)</f>
        <v>0</v>
      </c>
      <c r="K2293" s="455">
        <f t="shared" ca="1" si="123"/>
        <v>-24047255.34612105</v>
      </c>
      <c r="L2293" s="455">
        <f t="shared" ca="1" si="124"/>
        <v>-5795388538.4151726</v>
      </c>
      <c r="M2293" s="471">
        <f t="shared" si="126"/>
        <v>0.05</v>
      </c>
      <c r="N2293" s="475">
        <f t="shared" si="127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25"/>
        <v>-5795388538.4151726</v>
      </c>
      <c r="J2294" s="455">
        <f t="array" ref="J2294">IFERROR(INDEX('Retirement Calculator'!K:K,MATCH('Lorri 401b'!N2294,'Retirement Calculator'!A:A,0),0),0)</f>
        <v>0</v>
      </c>
      <c r="K2294" s="455">
        <f t="shared" ca="1" si="123"/>
        <v>-24147452.24339655</v>
      </c>
      <c r="L2294" s="455">
        <f t="shared" ca="1" si="124"/>
        <v>-5819535990.6585693</v>
      </c>
      <c r="M2294" s="471">
        <f t="shared" si="126"/>
        <v>0.05</v>
      </c>
      <c r="N2294" s="475">
        <f t="shared" si="127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25"/>
        <v>-5819535990.6585693</v>
      </c>
      <c r="J2295" s="455">
        <f t="array" ref="J2295">IFERROR(INDEX('Retirement Calculator'!K:K,MATCH('Lorri 401b'!N2295,'Retirement Calculator'!A:A,0),0),0)</f>
        <v>0</v>
      </c>
      <c r="K2295" s="455">
        <f t="shared" ca="1" si="123"/>
        <v>-24248066.627744038</v>
      </c>
      <c r="L2295" s="455">
        <f t="shared" ca="1" si="124"/>
        <v>-5843784057.2863131</v>
      </c>
      <c r="M2295" s="471">
        <f t="shared" si="126"/>
        <v>0.05</v>
      </c>
      <c r="N2295" s="475">
        <f t="shared" si="127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25"/>
        <v>-5843784057.2863131</v>
      </c>
      <c r="J2296" s="455">
        <f t="array" ref="J2296">IFERROR(INDEX('Retirement Calculator'!K:K,MATCH('Lorri 401b'!N2296,'Retirement Calculator'!A:A,0),0),0)</f>
        <v>0</v>
      </c>
      <c r="K2296" s="455">
        <f t="shared" ca="1" si="123"/>
        <v>-24349100.238692969</v>
      </c>
      <c r="L2296" s="455">
        <f t="shared" ca="1" si="124"/>
        <v>-5868133157.5250063</v>
      </c>
      <c r="M2296" s="471">
        <f t="shared" si="126"/>
        <v>0.05</v>
      </c>
      <c r="N2296" s="475">
        <f t="shared" si="127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25"/>
        <v>-5868133157.5250063</v>
      </c>
      <c r="J2297" s="455">
        <f t="array" ref="J2297">IFERROR(INDEX('Retirement Calculator'!K:K,MATCH('Lorri 401b'!N2297,'Retirement Calculator'!A:A,0),0),0)</f>
        <v>0</v>
      </c>
      <c r="K2297" s="455">
        <f t="shared" ca="1" si="123"/>
        <v>-24450554.823020861</v>
      </c>
      <c r="L2297" s="455">
        <f t="shared" ca="1" si="124"/>
        <v>-5892583712.3480272</v>
      </c>
      <c r="M2297" s="471">
        <f t="shared" si="126"/>
        <v>0.05</v>
      </c>
      <c r="N2297" s="475">
        <f t="shared" si="127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25"/>
        <v>-5892583712.3480272</v>
      </c>
      <c r="J2298" s="455">
        <f t="array" ref="J2298">IFERROR(INDEX('Retirement Calculator'!K:K,MATCH('Lorri 401b'!N2298,'Retirement Calculator'!A:A,0),0),0)</f>
        <v>0</v>
      </c>
      <c r="K2298" s="455">
        <f t="shared" ca="1" si="123"/>
        <v>-24552432.134783447</v>
      </c>
      <c r="L2298" s="455">
        <f t="shared" ca="1" si="124"/>
        <v>-5917136144.482811</v>
      </c>
      <c r="M2298" s="471">
        <f t="shared" si="126"/>
        <v>0.05</v>
      </c>
      <c r="N2298" s="475">
        <f t="shared" si="127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25"/>
        <v>-5917136144.482811</v>
      </c>
      <c r="J2299" s="455">
        <f t="array" ref="J2299">IFERROR(INDEX('Retirement Calculator'!K:K,MATCH('Lorri 401b'!N2299,'Retirement Calculator'!A:A,0),0),0)</f>
        <v>0</v>
      </c>
      <c r="K2299" s="455">
        <f t="shared" ca="1" si="123"/>
        <v>-24654733.935345046</v>
      </c>
      <c r="L2299" s="455">
        <f t="shared" ca="1" si="124"/>
        <v>-5941790878.4181557</v>
      </c>
      <c r="M2299" s="471">
        <f t="shared" si="126"/>
        <v>0.05</v>
      </c>
      <c r="N2299" s="475">
        <f t="shared" si="127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25"/>
        <v>-5941790878.4181557</v>
      </c>
      <c r="J2300" s="455">
        <f t="array" ref="J2300">IFERROR(INDEX('Retirement Calculator'!K:K,MATCH('Lorri 401b'!N2300,'Retirement Calculator'!A:A,0),0),0)</f>
        <v>0</v>
      </c>
      <c r="K2300" s="455">
        <f t="shared" ca="1" si="123"/>
        <v>-24757461.993408982</v>
      </c>
      <c r="L2300" s="455">
        <f t="shared" ca="1" si="124"/>
        <v>-5966548340.4115648</v>
      </c>
      <c r="M2300" s="471">
        <f t="shared" si="126"/>
        <v>0.05</v>
      </c>
      <c r="N2300" s="475">
        <f t="shared" si="127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25"/>
        <v>-5966548340.4115648</v>
      </c>
      <c r="J2301" s="455">
        <f t="array" ref="J2301">IFERROR(INDEX('Retirement Calculator'!K:K,MATCH('Lorri 401b'!N2301,'Retirement Calculator'!A:A,0),0),0)</f>
        <v>0</v>
      </c>
      <c r="K2301" s="455">
        <f t="shared" ca="1" si="123"/>
        <v>-24860618.085048188</v>
      </c>
      <c r="L2301" s="455">
        <f t="shared" ca="1" si="124"/>
        <v>-5991408958.4966125</v>
      </c>
      <c r="M2301" s="471">
        <f t="shared" si="126"/>
        <v>0.05</v>
      </c>
      <c r="N2301" s="475">
        <f t="shared" si="127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25"/>
        <v>-5991408958.4966125</v>
      </c>
      <c r="J2302" s="455">
        <f t="array" ref="J2302">IFERROR(INDEX('Retirement Calculator'!K:K,MATCH('Lorri 401b'!N2302,'Retirement Calculator'!A:A,0),0),0)</f>
        <v>0</v>
      </c>
      <c r="K2302" s="455">
        <f t="shared" ca="1" si="123"/>
        <v>-24964203.993735887</v>
      </c>
      <c r="L2302" s="455">
        <f t="shared" ca="1" si="124"/>
        <v>-6016373162.4903488</v>
      </c>
      <c r="M2302" s="471">
        <f t="shared" si="126"/>
        <v>0.05</v>
      </c>
      <c r="N2302" s="475">
        <f t="shared" si="127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25"/>
        <v>-6016373162.4903488</v>
      </c>
      <c r="J2303" s="455">
        <f t="array" ref="J2303">IFERROR(INDEX('Retirement Calculator'!K:K,MATCH('Lorri 401b'!N2303,'Retirement Calculator'!A:A,0),0),0)</f>
        <v>0</v>
      </c>
      <c r="K2303" s="455">
        <f t="shared" ref="K2303:K2557" ca="1" si="128">IPMT(M2303/12,1,12,-I2303+J2303,,0)</f>
        <v>-25068221.510376453</v>
      </c>
      <c r="L2303" s="455">
        <f t="shared" ref="L2303:L2557" ca="1" si="129">I2303-J2303+K2303</f>
        <v>-6041441384.0007248</v>
      </c>
      <c r="M2303" s="471">
        <f t="shared" si="126"/>
        <v>0.05</v>
      </c>
      <c r="N2303" s="475">
        <f t="shared" si="127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30">L2303</f>
        <v>-6041441384.0007248</v>
      </c>
      <c r="J2304" s="455">
        <f t="array" ref="J2304">IFERROR(INDEX('Retirement Calculator'!K:K,MATCH('Lorri 401b'!N2304,'Retirement Calculator'!A:A,0),0),0)</f>
        <v>0</v>
      </c>
      <c r="K2304" s="455">
        <f t="shared" ca="1" si="128"/>
        <v>-25172672.433336355</v>
      </c>
      <c r="L2304" s="455">
        <f t="shared" ca="1" si="129"/>
        <v>-6066614056.4340611</v>
      </c>
      <c r="M2304" s="471">
        <f t="shared" ref="M2304:M2558" si="131">M2303</f>
        <v>0.05</v>
      </c>
      <c r="N2304" s="475">
        <f t="shared" ref="N2304:N2558" si="132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30"/>
        <v>-6066614056.4340611</v>
      </c>
      <c r="J2305" s="455">
        <f t="array" ref="J2305">IFERROR(INDEX('Retirement Calculator'!K:K,MATCH('Lorri 401b'!N2305,'Retirement Calculator'!A:A,0),0),0)</f>
        <v>0</v>
      </c>
      <c r="K2305" s="455">
        <f t="shared" ca="1" si="128"/>
        <v>-25277558.568475254</v>
      </c>
      <c r="L2305" s="455">
        <f t="shared" ca="1" si="129"/>
        <v>-6091891615.0025368</v>
      </c>
      <c r="M2305" s="471">
        <f t="shared" si="131"/>
        <v>0.05</v>
      </c>
      <c r="N2305" s="475">
        <f t="shared" si="132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30"/>
        <v>-6091891615.0025368</v>
      </c>
      <c r="J2306" s="455">
        <f t="array" ref="J2306">IFERROR(INDEX('Retirement Calculator'!K:K,MATCH('Lorri 401b'!N2306,'Retirement Calculator'!A:A,0),0),0)</f>
        <v>0</v>
      </c>
      <c r="K2306" s="455">
        <f t="shared" ca="1" si="128"/>
        <v>-25382881.729177237</v>
      </c>
      <c r="L2306" s="455">
        <f t="shared" ca="1" si="129"/>
        <v>-6117274496.7317142</v>
      </c>
      <c r="M2306" s="471">
        <f t="shared" si="131"/>
        <v>0.05</v>
      </c>
      <c r="N2306" s="475">
        <f t="shared" si="132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30"/>
        <v>-6117274496.7317142</v>
      </c>
      <c r="J2307" s="455">
        <f t="array" ref="J2307">IFERROR(INDEX('Retirement Calculator'!K:K,MATCH('Lorri 401b'!N2307,'Retirement Calculator'!A:A,0),0),0)</f>
        <v>0</v>
      </c>
      <c r="K2307" s="455">
        <f t="shared" ca="1" si="128"/>
        <v>-25488643.736382142</v>
      </c>
      <c r="L2307" s="455">
        <f t="shared" ca="1" si="129"/>
        <v>-6142763140.4680967</v>
      </c>
      <c r="M2307" s="471">
        <f t="shared" si="131"/>
        <v>0.05</v>
      </c>
      <c r="N2307" s="475">
        <f t="shared" si="132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30"/>
        <v>-6142763140.4680967</v>
      </c>
      <c r="J2308" s="455">
        <f t="array" ref="J2308">IFERROR(INDEX('Retirement Calculator'!K:K,MATCH('Lorri 401b'!N2308,'Retirement Calculator'!A:A,0),0),0)</f>
        <v>0</v>
      </c>
      <c r="K2308" s="455">
        <f t="shared" ca="1" si="128"/>
        <v>-25594846.41861707</v>
      </c>
      <c r="L2308" s="455">
        <f t="shared" ca="1" si="129"/>
        <v>-6168357986.886714</v>
      </c>
      <c r="M2308" s="471">
        <f t="shared" si="131"/>
        <v>0.05</v>
      </c>
      <c r="N2308" s="475">
        <f t="shared" si="132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30"/>
        <v>-6168357986.886714</v>
      </c>
      <c r="J2309" s="455">
        <f t="array" ref="J2309">IFERROR(INDEX('Retirement Calculator'!K:K,MATCH('Lorri 401b'!N2309,'Retirement Calculator'!A:A,0),0),0)</f>
        <v>0</v>
      </c>
      <c r="K2309" s="455">
        <f t="shared" ca="1" si="128"/>
        <v>-25701491.612027973</v>
      </c>
      <c r="L2309" s="455">
        <f t="shared" ca="1" si="129"/>
        <v>-6194059478.4987421</v>
      </c>
      <c r="M2309" s="471">
        <f t="shared" si="131"/>
        <v>0.05</v>
      </c>
      <c r="N2309" s="475">
        <f t="shared" si="132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30"/>
        <v>-6194059478.4987421</v>
      </c>
      <c r="J2310" s="455">
        <f t="array" ref="J2310">IFERROR(INDEX('Retirement Calculator'!K:K,MATCH('Lorri 401b'!N2310,'Retirement Calculator'!A:A,0),0),0)</f>
        <v>0</v>
      </c>
      <c r="K2310" s="455">
        <f t="shared" ca="1" si="128"/>
        <v>-25808581.160411425</v>
      </c>
      <c r="L2310" s="455">
        <f t="shared" ca="1" si="129"/>
        <v>-6219868059.6591539</v>
      </c>
      <c r="M2310" s="471">
        <f t="shared" si="131"/>
        <v>0.05</v>
      </c>
      <c r="N2310" s="475">
        <f t="shared" si="132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30"/>
        <v>-6219868059.6591539</v>
      </c>
      <c r="J2311" s="455">
        <f t="array" ref="J2311">IFERROR(INDEX('Retirement Calculator'!K:K,MATCH('Lorri 401b'!N2311,'Retirement Calculator'!A:A,0),0),0)</f>
        <v>0</v>
      </c>
      <c r="K2311" s="455">
        <f t="shared" ca="1" si="128"/>
        <v>-25916116.915246475</v>
      </c>
      <c r="L2311" s="455">
        <f t="shared" ca="1" si="129"/>
        <v>-6245784176.5743999</v>
      </c>
      <c r="M2311" s="471">
        <f t="shared" si="131"/>
        <v>0.05</v>
      </c>
      <c r="N2311" s="475">
        <f t="shared" si="132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30"/>
        <v>-6245784176.5743999</v>
      </c>
      <c r="J2312" s="455">
        <f t="array" ref="J2312">IFERROR(INDEX('Retirement Calculator'!K:K,MATCH('Lorri 401b'!N2312,'Retirement Calculator'!A:A,0),0),0)</f>
        <v>0</v>
      </c>
      <c r="K2312" s="455">
        <f t="shared" ca="1" si="128"/>
        <v>-26024100.735726666</v>
      </c>
      <c r="L2312" s="455">
        <f t="shared" ca="1" si="129"/>
        <v>-6271808277.3101263</v>
      </c>
      <c r="M2312" s="471">
        <f t="shared" si="131"/>
        <v>0.05</v>
      </c>
      <c r="N2312" s="475">
        <f t="shared" si="132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30"/>
        <v>-6271808277.3101263</v>
      </c>
      <c r="J2313" s="455">
        <f t="array" ref="J2313">IFERROR(INDEX('Retirement Calculator'!K:K,MATCH('Lorri 401b'!N2313,'Retirement Calculator'!A:A,0),0),0)</f>
        <v>0</v>
      </c>
      <c r="K2313" s="455">
        <f t="shared" ca="1" si="128"/>
        <v>-26132534.488792192</v>
      </c>
      <c r="L2313" s="455">
        <f t="shared" ca="1" si="129"/>
        <v>-6297940811.7989187</v>
      </c>
      <c r="M2313" s="471">
        <f t="shared" si="131"/>
        <v>0.05</v>
      </c>
      <c r="N2313" s="475">
        <f t="shared" si="132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30"/>
        <v>-6297940811.7989187</v>
      </c>
      <c r="J2314" s="455">
        <f t="array" ref="J2314">IFERROR(INDEX('Retirement Calculator'!K:K,MATCH('Lorri 401b'!N2314,'Retirement Calculator'!A:A,0),0),0)</f>
        <v>0</v>
      </c>
      <c r="K2314" s="455">
        <f t="shared" ca="1" si="128"/>
        <v>-26241420.049162161</v>
      </c>
      <c r="L2314" s="455">
        <f t="shared" ca="1" si="129"/>
        <v>-6324182231.8480806</v>
      </c>
      <c r="M2314" s="471">
        <f t="shared" si="131"/>
        <v>0.05</v>
      </c>
      <c r="N2314" s="475">
        <f t="shared" si="132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30"/>
        <v>-6324182231.8480806</v>
      </c>
      <c r="J2315" s="455">
        <f t="array" ref="J2315">IFERROR(INDEX('Retirement Calculator'!K:K,MATCH('Lorri 401b'!N2315,'Retirement Calculator'!A:A,0),0),0)</f>
        <v>0</v>
      </c>
      <c r="K2315" s="455">
        <f t="shared" ca="1" si="128"/>
        <v>-26350759.299367003</v>
      </c>
      <c r="L2315" s="455">
        <f t="shared" ca="1" si="129"/>
        <v>-6350532991.1474476</v>
      </c>
      <c r="M2315" s="471">
        <f t="shared" si="131"/>
        <v>0.05</v>
      </c>
      <c r="N2315" s="475">
        <f t="shared" si="132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30"/>
        <v>-6350532991.1474476</v>
      </c>
      <c r="J2316" s="455">
        <f t="array" ref="J2316">IFERROR(INDEX('Retirement Calculator'!K:K,MATCH('Lorri 401b'!N2316,'Retirement Calculator'!A:A,0),0),0)</f>
        <v>0</v>
      </c>
      <c r="K2316" s="455">
        <f t="shared" ca="1" si="128"/>
        <v>-26460554.12978103</v>
      </c>
      <c r="L2316" s="455">
        <f t="shared" ca="1" si="129"/>
        <v>-6376993545.2772284</v>
      </c>
      <c r="M2316" s="471">
        <f t="shared" si="131"/>
        <v>0.05</v>
      </c>
      <c r="N2316" s="475">
        <f t="shared" si="132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30"/>
        <v>-6376993545.2772284</v>
      </c>
      <c r="J2317" s="455">
        <f t="array" ref="J2317">IFERROR(INDEX('Retirement Calculator'!K:K,MATCH('Lorri 401b'!N2317,'Retirement Calculator'!A:A,0),0),0)</f>
        <v>0</v>
      </c>
      <c r="K2317" s="455">
        <f t="shared" ca="1" si="128"/>
        <v>-26570806.438655119</v>
      </c>
      <c r="L2317" s="455">
        <f t="shared" ca="1" si="129"/>
        <v>-6403564351.7158833</v>
      </c>
      <c r="M2317" s="471">
        <f t="shared" si="131"/>
        <v>0.05</v>
      </c>
      <c r="N2317" s="475">
        <f t="shared" si="132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30"/>
        <v>-6403564351.7158833</v>
      </c>
      <c r="J2318" s="455">
        <f t="array" ref="J2318">IFERROR(INDEX('Retirement Calculator'!K:K,MATCH('Lorri 401b'!N2318,'Retirement Calculator'!A:A,0),0),0)</f>
        <v>0</v>
      </c>
      <c r="K2318" s="455">
        <f t="shared" ca="1" si="128"/>
        <v>-26681518.132149514</v>
      </c>
      <c r="L2318" s="455">
        <f t="shared" ca="1" si="129"/>
        <v>-6430245869.848033</v>
      </c>
      <c r="M2318" s="471">
        <f t="shared" si="131"/>
        <v>0.05</v>
      </c>
      <c r="N2318" s="475">
        <f t="shared" si="132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30"/>
        <v>-6430245869.848033</v>
      </c>
      <c r="J2319" s="455">
        <f t="array" ref="J2319">IFERROR(INDEX('Retirement Calculator'!K:K,MATCH('Lorri 401b'!N2319,'Retirement Calculator'!A:A,0),0),0)</f>
        <v>0</v>
      </c>
      <c r="K2319" s="455">
        <f t="shared" ca="1" si="128"/>
        <v>-26792691.124366805</v>
      </c>
      <c r="L2319" s="455">
        <f t="shared" ca="1" si="129"/>
        <v>-6457038560.9723997</v>
      </c>
      <c r="M2319" s="471">
        <f t="shared" si="131"/>
        <v>0.05</v>
      </c>
      <c r="N2319" s="475">
        <f t="shared" si="132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30"/>
        <v>-6457038560.9723997</v>
      </c>
      <c r="J2320" s="455">
        <f t="array" ref="J2320">IFERROR(INDEX('Retirement Calculator'!K:K,MATCH('Lorri 401b'!N2320,'Retirement Calculator'!A:A,0),0),0)</f>
        <v>0</v>
      </c>
      <c r="K2320" s="455">
        <f t="shared" ca="1" si="128"/>
        <v>-26904327.337384999</v>
      </c>
      <c r="L2320" s="455">
        <f t="shared" ca="1" si="129"/>
        <v>-6483942888.3097849</v>
      </c>
      <c r="M2320" s="471">
        <f t="shared" si="131"/>
        <v>0.05</v>
      </c>
      <c r="N2320" s="475">
        <f t="shared" si="132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30"/>
        <v>-6483942888.3097849</v>
      </c>
      <c r="J2321" s="455">
        <f t="array" ref="J2321">IFERROR(INDEX('Retirement Calculator'!K:K,MATCH('Lorri 401b'!N2321,'Retirement Calculator'!A:A,0),0),0)</f>
        <v>0</v>
      </c>
      <c r="K2321" s="455">
        <f t="shared" ca="1" si="128"/>
        <v>-27016428.701290771</v>
      </c>
      <c r="L2321" s="455">
        <f t="shared" ca="1" si="129"/>
        <v>-6510959317.011076</v>
      </c>
      <c r="M2321" s="471">
        <f t="shared" si="131"/>
        <v>0.05</v>
      </c>
      <c r="N2321" s="475">
        <f t="shared" si="132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30"/>
        <v>-6510959317.011076</v>
      </c>
      <c r="J2322" s="455">
        <f t="array" ref="J2322">IFERROR(INDEX('Retirement Calculator'!K:K,MATCH('Lorri 401b'!N2322,'Retirement Calculator'!A:A,0),0),0)</f>
        <v>0</v>
      </c>
      <c r="K2322" s="455">
        <f t="shared" ca="1" si="128"/>
        <v>-27128997.154212818</v>
      </c>
      <c r="L2322" s="455">
        <f t="shared" ca="1" si="129"/>
        <v>-6538088314.1652889</v>
      </c>
      <c r="M2322" s="471">
        <f t="shared" si="131"/>
        <v>0.05</v>
      </c>
      <c r="N2322" s="475">
        <f t="shared" si="132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30"/>
        <v>-6538088314.1652889</v>
      </c>
      <c r="J2323" s="455">
        <f t="array" ref="J2323">IFERROR(INDEX('Retirement Calculator'!K:K,MATCH('Lorri 401b'!N2323,'Retirement Calculator'!A:A,0),0),0)</f>
        <v>0</v>
      </c>
      <c r="K2323" s="455">
        <f t="shared" ca="1" si="128"/>
        <v>-27242034.642355371</v>
      </c>
      <c r="L2323" s="455">
        <f t="shared" ca="1" si="129"/>
        <v>-6565330348.8076439</v>
      </c>
      <c r="M2323" s="471">
        <f t="shared" si="131"/>
        <v>0.05</v>
      </c>
      <c r="N2323" s="475">
        <f t="shared" si="132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30"/>
        <v>-6565330348.8076439</v>
      </c>
      <c r="J2324" s="455">
        <f t="array" ref="J2324">IFERROR(INDEX('Retirement Calculator'!K:K,MATCH('Lorri 401b'!N2324,'Retirement Calculator'!A:A,0),0),0)</f>
        <v>0</v>
      </c>
      <c r="K2324" s="455">
        <f t="shared" ca="1" si="128"/>
        <v>-27355543.120031849</v>
      </c>
      <c r="L2324" s="455">
        <f t="shared" ca="1" si="129"/>
        <v>-6592685891.9276762</v>
      </c>
      <c r="M2324" s="471">
        <f t="shared" si="131"/>
        <v>0.05</v>
      </c>
      <c r="N2324" s="475">
        <f t="shared" si="132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30"/>
        <v>-6592685891.9276762</v>
      </c>
      <c r="J2325" s="455">
        <f t="array" ref="J2325">IFERROR(INDEX('Retirement Calculator'!K:K,MATCH('Lorri 401b'!N2325,'Retirement Calculator'!A:A,0),0),0)</f>
        <v>0</v>
      </c>
      <c r="K2325" s="455">
        <f t="shared" ca="1" si="128"/>
        <v>-27469524.549698651</v>
      </c>
      <c r="L2325" s="455">
        <f t="shared" ca="1" si="129"/>
        <v>-6620155416.477375</v>
      </c>
      <c r="M2325" s="471">
        <f t="shared" si="131"/>
        <v>0.05</v>
      </c>
      <c r="N2325" s="475">
        <f t="shared" si="132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30"/>
        <v>-6620155416.477375</v>
      </c>
      <c r="J2326" s="455">
        <f t="array" ref="J2326">IFERROR(INDEX('Retirement Calculator'!K:K,MATCH('Lorri 401b'!N2326,'Retirement Calculator'!A:A,0),0),0)</f>
        <v>0</v>
      </c>
      <c r="K2326" s="455">
        <f t="shared" ca="1" si="128"/>
        <v>-27583980.901989061</v>
      </c>
      <c r="L2326" s="455">
        <f t="shared" ca="1" si="129"/>
        <v>-6647739397.379364</v>
      </c>
      <c r="M2326" s="471">
        <f t="shared" si="131"/>
        <v>0.05</v>
      </c>
      <c r="N2326" s="475">
        <f t="shared" si="132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30"/>
        <v>-6647739397.379364</v>
      </c>
      <c r="J2327" s="455">
        <f t="array" ref="J2327">IFERROR(INDEX('Retirement Calculator'!K:K,MATCH('Lorri 401b'!N2327,'Retirement Calculator'!A:A,0),0),0)</f>
        <v>0</v>
      </c>
      <c r="K2327" s="455">
        <f t="shared" ca="1" si="128"/>
        <v>-27698914.15574735</v>
      </c>
      <c r="L2327" s="455">
        <f t="shared" ca="1" si="129"/>
        <v>-6675438311.5351114</v>
      </c>
      <c r="M2327" s="471">
        <f t="shared" si="131"/>
        <v>0.05</v>
      </c>
      <c r="N2327" s="475">
        <f t="shared" si="132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30"/>
        <v>-6675438311.5351114</v>
      </c>
      <c r="J2328" s="455">
        <f t="array" ref="J2328">IFERROR(INDEX('Retirement Calculator'!K:K,MATCH('Lorri 401b'!N2328,'Retirement Calculator'!A:A,0),0),0)</f>
        <v>0</v>
      </c>
      <c r="K2328" s="455">
        <f t="shared" ca="1" si="128"/>
        <v>-27814326.298062965</v>
      </c>
      <c r="L2328" s="455">
        <f t="shared" ca="1" si="129"/>
        <v>-6703252637.8331747</v>
      </c>
      <c r="M2328" s="471">
        <f t="shared" si="131"/>
        <v>0.05</v>
      </c>
      <c r="N2328" s="475">
        <f t="shared" si="132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30"/>
        <v>-6703252637.8331747</v>
      </c>
      <c r="J2329" s="455">
        <f t="array" ref="J2329">IFERROR(INDEX('Retirement Calculator'!K:K,MATCH('Lorri 401b'!N2329,'Retirement Calculator'!A:A,0),0),0)</f>
        <v>0</v>
      </c>
      <c r="K2329" s="455">
        <f t="shared" ca="1" si="128"/>
        <v>-27930219.324304894</v>
      </c>
      <c r="L2329" s="455">
        <f t="shared" ca="1" si="129"/>
        <v>-6731182857.1574793</v>
      </c>
      <c r="M2329" s="471">
        <f t="shared" si="131"/>
        <v>0.05</v>
      </c>
      <c r="N2329" s="475">
        <f t="shared" si="132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30"/>
        <v>-6731182857.1574793</v>
      </c>
      <c r="J2330" s="455">
        <f t="array" ref="J2330">IFERROR(INDEX('Retirement Calculator'!K:K,MATCH('Lorri 401b'!N2330,'Retirement Calculator'!A:A,0),0),0)</f>
        <v>0</v>
      </c>
      <c r="K2330" s="455">
        <f t="shared" ca="1" si="128"/>
        <v>-28046595.238156162</v>
      </c>
      <c r="L2330" s="455">
        <f t="shared" ca="1" si="129"/>
        <v>-6759229452.3956356</v>
      </c>
      <c r="M2330" s="471">
        <f t="shared" si="131"/>
        <v>0.05</v>
      </c>
      <c r="N2330" s="475">
        <f t="shared" si="132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30"/>
        <v>-6759229452.3956356</v>
      </c>
      <c r="J2331" s="455">
        <f t="array" ref="J2331">IFERROR(INDEX('Retirement Calculator'!K:K,MATCH('Lorri 401b'!N2331,'Retirement Calculator'!A:A,0),0),0)</f>
        <v>0</v>
      </c>
      <c r="K2331" s="455">
        <f t="shared" ca="1" si="128"/>
        <v>-28163456.051648483</v>
      </c>
      <c r="L2331" s="455">
        <f t="shared" ca="1" si="129"/>
        <v>-6787392908.4472837</v>
      </c>
      <c r="M2331" s="471">
        <f t="shared" si="131"/>
        <v>0.05</v>
      </c>
      <c r="N2331" s="475">
        <f t="shared" si="132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30"/>
        <v>-6787392908.4472837</v>
      </c>
      <c r="J2332" s="455">
        <f t="array" ref="J2332">IFERROR(INDEX('Retirement Calculator'!K:K,MATCH('Lorri 401b'!N2332,'Retirement Calculator'!A:A,0),0),0)</f>
        <v>0</v>
      </c>
      <c r="K2332" s="455">
        <f t="shared" ca="1" si="128"/>
        <v>-28280803.785197016</v>
      </c>
      <c r="L2332" s="455">
        <f t="shared" ca="1" si="129"/>
        <v>-6815673712.232481</v>
      </c>
      <c r="M2332" s="471">
        <f t="shared" si="131"/>
        <v>0.05</v>
      </c>
      <c r="N2332" s="475">
        <f t="shared" si="132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30"/>
        <v>-6815673712.232481</v>
      </c>
      <c r="J2333" s="455">
        <f t="array" ref="J2333">IFERROR(INDEX('Retirement Calculator'!K:K,MATCH('Lorri 401b'!N2333,'Retirement Calculator'!A:A,0),0),0)</f>
        <v>0</v>
      </c>
      <c r="K2333" s="455">
        <f t="shared" ca="1" si="128"/>
        <v>-28398640.467635341</v>
      </c>
      <c r="L2333" s="455">
        <f t="shared" ca="1" si="129"/>
        <v>-6844072352.7001162</v>
      </c>
      <c r="M2333" s="471">
        <f t="shared" si="131"/>
        <v>0.05</v>
      </c>
      <c r="N2333" s="475">
        <f t="shared" si="132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30"/>
        <v>-6844072352.7001162</v>
      </c>
      <c r="J2334" s="455">
        <f t="array" ref="J2334">IFERROR(INDEX('Retirement Calculator'!K:K,MATCH('Lorri 401b'!N2334,'Retirement Calculator'!A:A,0),0),0)</f>
        <v>0</v>
      </c>
      <c r="K2334" s="455">
        <f t="shared" ca="1" si="128"/>
        <v>-28516968.136250481</v>
      </c>
      <c r="L2334" s="455">
        <f t="shared" ca="1" si="129"/>
        <v>-6872589320.8363667</v>
      </c>
      <c r="M2334" s="471">
        <f t="shared" si="131"/>
        <v>0.05</v>
      </c>
      <c r="N2334" s="475">
        <f t="shared" si="132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30"/>
        <v>-6872589320.8363667</v>
      </c>
      <c r="J2335" s="455">
        <f t="array" ref="J2335">IFERROR(INDEX('Retirement Calculator'!K:K,MATCH('Lorri 401b'!N2335,'Retirement Calculator'!A:A,0),0),0)</f>
        <v>0</v>
      </c>
      <c r="K2335" s="455">
        <f t="shared" ca="1" si="128"/>
        <v>-28635788.8368182</v>
      </c>
      <c r="L2335" s="455">
        <f t="shared" ca="1" si="129"/>
        <v>-6901225109.6731844</v>
      </c>
      <c r="M2335" s="471">
        <f t="shared" si="131"/>
        <v>0.05</v>
      </c>
      <c r="N2335" s="475">
        <f t="shared" si="132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30"/>
        <v>-6901225109.6731844</v>
      </c>
      <c r="J2336" s="455">
        <f t="array" ref="J2336">IFERROR(INDEX('Retirement Calculator'!K:K,MATCH('Lorri 401b'!N2336,'Retirement Calculator'!A:A,0),0),0)</f>
        <v>0</v>
      </c>
      <c r="K2336" s="455">
        <f t="shared" ca="1" si="128"/>
        <v>-28755104.623638265</v>
      </c>
      <c r="L2336" s="455">
        <f t="shared" ca="1" si="129"/>
        <v>-6929980214.2968225</v>
      </c>
      <c r="M2336" s="471">
        <f t="shared" si="131"/>
        <v>0.05</v>
      </c>
      <c r="N2336" s="475">
        <f t="shared" si="132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30"/>
        <v>-6929980214.2968225</v>
      </c>
      <c r="J2337" s="455">
        <f t="array" ref="J2337">IFERROR(INDEX('Retirement Calculator'!K:K,MATCH('Lorri 401b'!N2337,'Retirement Calculator'!A:A,0),0),0)</f>
        <v>0</v>
      </c>
      <c r="K2337" s="455">
        <f t="shared" ca="1" si="128"/>
        <v>-28874917.559570093</v>
      </c>
      <c r="L2337" s="455">
        <f t="shared" ca="1" si="129"/>
        <v>-6958855131.8563929</v>
      </c>
      <c r="M2337" s="471">
        <f t="shared" si="131"/>
        <v>0.05</v>
      </c>
      <c r="N2337" s="475">
        <f t="shared" si="132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30"/>
        <v>-6958855131.8563929</v>
      </c>
      <c r="J2338" s="455">
        <f t="array" ref="J2338">IFERROR(INDEX('Retirement Calculator'!K:K,MATCH('Lorri 401b'!N2338,'Retirement Calculator'!A:A,0),0),0)</f>
        <v>0</v>
      </c>
      <c r="K2338" s="455">
        <f t="shared" ca="1" si="128"/>
        <v>-28995229.716068309</v>
      </c>
      <c r="L2338" s="455">
        <f t="shared" ca="1" si="129"/>
        <v>-6987850361.5724611</v>
      </c>
      <c r="M2338" s="471">
        <f t="shared" si="131"/>
        <v>0.05</v>
      </c>
      <c r="N2338" s="475">
        <f t="shared" si="132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30"/>
        <v>-6987850361.5724611</v>
      </c>
      <c r="J2339" s="455">
        <f t="array" ref="J2339">IFERROR(INDEX('Retirement Calculator'!K:K,MATCH('Lorri 401b'!N2339,'Retirement Calculator'!A:A,0),0),0)</f>
        <v>0</v>
      </c>
      <c r="K2339" s="455">
        <f t="shared" ca="1" si="128"/>
        <v>-29116043.173218589</v>
      </c>
      <c r="L2339" s="455">
        <f t="shared" ca="1" si="129"/>
        <v>-7016966404.7456799</v>
      </c>
      <c r="M2339" s="471">
        <f t="shared" si="131"/>
        <v>0.05</v>
      </c>
      <c r="N2339" s="475">
        <f t="shared" si="132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30"/>
        <v>-7016966404.7456799</v>
      </c>
      <c r="J2340" s="455">
        <f t="array" ref="J2340">IFERROR(INDEX('Retirement Calculator'!K:K,MATCH('Lorri 401b'!N2340,'Retirement Calculator'!A:A,0),0),0)</f>
        <v>0</v>
      </c>
      <c r="K2340" s="455">
        <f t="shared" ca="1" si="128"/>
        <v>-29237360.019773666</v>
      </c>
      <c r="L2340" s="455">
        <f t="shared" ca="1" si="129"/>
        <v>-7046203764.7654533</v>
      </c>
      <c r="M2340" s="471">
        <f t="shared" si="131"/>
        <v>0.05</v>
      </c>
      <c r="N2340" s="475">
        <f t="shared" si="132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30"/>
        <v>-7046203764.7654533</v>
      </c>
      <c r="J2341" s="455">
        <f t="array" ref="J2341">IFERROR(INDEX('Retirement Calculator'!K:K,MATCH('Lorri 401b'!N2341,'Retirement Calculator'!A:A,0),0),0)</f>
        <v>0</v>
      </c>
      <c r="K2341" s="455">
        <f t="shared" ca="1" si="128"/>
        <v>-29359182.35318939</v>
      </c>
      <c r="L2341" s="455">
        <f t="shared" ca="1" si="129"/>
        <v>-7075562947.1186428</v>
      </c>
      <c r="M2341" s="471">
        <f t="shared" si="131"/>
        <v>0.05</v>
      </c>
      <c r="N2341" s="475">
        <f t="shared" si="132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30"/>
        <v>-7075562947.1186428</v>
      </c>
      <c r="J2342" s="455">
        <f t="array" ref="J2342">IFERROR(INDEX('Retirement Calculator'!K:K,MATCH('Lorri 401b'!N2342,'Retirement Calculator'!A:A,0),0),0)</f>
        <v>0</v>
      </c>
      <c r="K2342" s="455">
        <f t="shared" ca="1" si="128"/>
        <v>-29481512.279661011</v>
      </c>
      <c r="L2342" s="455">
        <f t="shared" ca="1" si="129"/>
        <v>-7105044459.398304</v>
      </c>
      <c r="M2342" s="471">
        <f t="shared" si="131"/>
        <v>0.05</v>
      </c>
      <c r="N2342" s="475">
        <f t="shared" si="132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30"/>
        <v>-7105044459.398304</v>
      </c>
      <c r="J2343" s="455">
        <f t="array" ref="J2343">IFERROR(INDEX('Retirement Calculator'!K:K,MATCH('Lorri 401b'!N2343,'Retirement Calculator'!A:A,0),0),0)</f>
        <v>0</v>
      </c>
      <c r="K2343" s="455">
        <f t="shared" ca="1" si="128"/>
        <v>-29604351.914159596</v>
      </c>
      <c r="L2343" s="455">
        <f t="shared" ca="1" si="129"/>
        <v>-7134648811.3124638</v>
      </c>
      <c r="M2343" s="471">
        <f t="shared" si="131"/>
        <v>0.05</v>
      </c>
      <c r="N2343" s="475">
        <f t="shared" si="132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30"/>
        <v>-7134648811.3124638</v>
      </c>
      <c r="J2344" s="455">
        <f t="array" ref="J2344">IFERROR(INDEX('Retirement Calculator'!K:K,MATCH('Lorri 401b'!N2344,'Retirement Calculator'!A:A,0),0),0)</f>
        <v>0</v>
      </c>
      <c r="K2344" s="455">
        <f t="shared" ca="1" si="128"/>
        <v>-29727703.380468599</v>
      </c>
      <c r="L2344" s="455">
        <f t="shared" ca="1" si="129"/>
        <v>-7164376514.6929321</v>
      </c>
      <c r="M2344" s="471">
        <f t="shared" si="131"/>
        <v>0.05</v>
      </c>
      <c r="N2344" s="475">
        <f t="shared" si="132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30"/>
        <v>-7164376514.6929321</v>
      </c>
      <c r="J2345" s="455">
        <f t="array" ref="J2345">IFERROR(INDEX('Retirement Calculator'!K:K,MATCH('Lorri 401b'!N2345,'Retirement Calculator'!A:A,0),0),0)</f>
        <v>0</v>
      </c>
      <c r="K2345" s="455">
        <f t="shared" ca="1" si="128"/>
        <v>-29851568.811220549</v>
      </c>
      <c r="L2345" s="455">
        <f t="shared" ca="1" si="129"/>
        <v>-7194228083.5041523</v>
      </c>
      <c r="M2345" s="471">
        <f t="shared" si="131"/>
        <v>0.05</v>
      </c>
      <c r="N2345" s="475">
        <f t="shared" si="132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30"/>
        <v>-7194228083.5041523</v>
      </c>
      <c r="J2346" s="455">
        <f t="array" ref="J2346">IFERROR(INDEX('Retirement Calculator'!K:K,MATCH('Lorri 401b'!N2346,'Retirement Calculator'!A:A,0),0),0)</f>
        <v>0</v>
      </c>
      <c r="K2346" s="455">
        <f t="shared" ca="1" si="128"/>
        <v>-29975950.347933967</v>
      </c>
      <c r="L2346" s="455">
        <f t="shared" ca="1" si="129"/>
        <v>-7224204033.8520861</v>
      </c>
      <c r="M2346" s="471">
        <f t="shared" si="131"/>
        <v>0.05</v>
      </c>
      <c r="N2346" s="475">
        <f t="shared" si="132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30"/>
        <v>-7224204033.8520861</v>
      </c>
      <c r="J2347" s="455">
        <f t="array" ref="J2347">IFERROR(INDEX('Retirement Calculator'!K:K,MATCH('Lorri 401b'!N2347,'Retirement Calculator'!A:A,0),0),0)</f>
        <v>0</v>
      </c>
      <c r="K2347" s="455">
        <f t="shared" ca="1" si="128"/>
        <v>-30100850.141050357</v>
      </c>
      <c r="L2347" s="455">
        <f t="shared" ca="1" si="129"/>
        <v>-7254304883.9931364</v>
      </c>
      <c r="M2347" s="471">
        <f t="shared" si="131"/>
        <v>0.05</v>
      </c>
      <c r="N2347" s="475">
        <f t="shared" si="132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30"/>
        <v>-7254304883.9931364</v>
      </c>
      <c r="J2348" s="455">
        <f t="array" ref="J2348">IFERROR(INDEX('Retirement Calculator'!K:K,MATCH('Lorri 401b'!N2348,'Retirement Calculator'!A:A,0),0),0)</f>
        <v>0</v>
      </c>
      <c r="K2348" s="455">
        <f t="shared" ca="1" si="128"/>
        <v>-30226270.349971402</v>
      </c>
      <c r="L2348" s="455">
        <f t="shared" ca="1" si="129"/>
        <v>-7284531154.3431082</v>
      </c>
      <c r="M2348" s="471">
        <f t="shared" si="131"/>
        <v>0.05</v>
      </c>
      <c r="N2348" s="475">
        <f t="shared" si="132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30"/>
        <v>-7284531154.3431082</v>
      </c>
      <c r="J2349" s="455">
        <f t="array" ref="J2349">IFERROR(INDEX('Retirement Calculator'!K:K,MATCH('Lorri 401b'!N2349,'Retirement Calculator'!A:A,0),0),0)</f>
        <v>0</v>
      </c>
      <c r="K2349" s="455">
        <f t="shared" ca="1" si="128"/>
        <v>-30352213.143096283</v>
      </c>
      <c r="L2349" s="455">
        <f t="shared" ca="1" si="129"/>
        <v>-7314883367.4862041</v>
      </c>
      <c r="M2349" s="471">
        <f t="shared" si="131"/>
        <v>0.05</v>
      </c>
      <c r="N2349" s="475">
        <f t="shared" si="132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30"/>
        <v>-7314883367.4862041</v>
      </c>
      <c r="J2350" s="455">
        <f t="array" ref="J2350">IFERROR(INDEX('Retirement Calculator'!K:K,MATCH('Lorri 401b'!N2350,'Retirement Calculator'!A:A,0),0),0)</f>
        <v>0</v>
      </c>
      <c r="K2350" s="455">
        <f t="shared" ca="1" si="128"/>
        <v>-30478680.697859183</v>
      </c>
      <c r="L2350" s="455">
        <f t="shared" ca="1" si="129"/>
        <v>-7345362048.184063</v>
      </c>
      <c r="M2350" s="471">
        <f t="shared" si="131"/>
        <v>0.05</v>
      </c>
      <c r="N2350" s="475">
        <f t="shared" si="132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30"/>
        <v>-7345362048.184063</v>
      </c>
      <c r="J2351" s="455">
        <f t="array" ref="J2351">IFERROR(INDEX('Retirement Calculator'!K:K,MATCH('Lorri 401b'!N2351,'Retirement Calculator'!A:A,0),0),0)</f>
        <v>0</v>
      </c>
      <c r="K2351" s="455">
        <f t="shared" ca="1" si="128"/>
        <v>-30605675.200766928</v>
      </c>
      <c r="L2351" s="455">
        <f t="shared" ca="1" si="129"/>
        <v>-7375967723.3848295</v>
      </c>
      <c r="M2351" s="471">
        <f t="shared" si="131"/>
        <v>0.05</v>
      </c>
      <c r="N2351" s="475">
        <f t="shared" si="132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30"/>
        <v>-7375967723.3848295</v>
      </c>
      <c r="J2352" s="455">
        <f t="array" ref="J2352">IFERROR(INDEX('Retirement Calculator'!K:K,MATCH('Lorri 401b'!N2352,'Retirement Calculator'!A:A,0),0),0)</f>
        <v>0</v>
      </c>
      <c r="K2352" s="455">
        <f t="shared" ca="1" si="128"/>
        <v>-30733198.847436786</v>
      </c>
      <c r="L2352" s="455">
        <f t="shared" ca="1" si="129"/>
        <v>-7406700922.2322664</v>
      </c>
      <c r="M2352" s="471">
        <f t="shared" si="131"/>
        <v>0.05</v>
      </c>
      <c r="N2352" s="475">
        <f t="shared" si="132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30"/>
        <v>-7406700922.2322664</v>
      </c>
      <c r="J2353" s="455">
        <f t="array" ref="J2353">IFERROR(INDEX('Retirement Calculator'!K:K,MATCH('Lorri 401b'!N2353,'Retirement Calculator'!A:A,0),0),0)</f>
        <v>0</v>
      </c>
      <c r="K2353" s="455">
        <f t="shared" ca="1" si="128"/>
        <v>-30861253.842634443</v>
      </c>
      <c r="L2353" s="455">
        <f t="shared" ca="1" si="129"/>
        <v>-7437562176.0749006</v>
      </c>
      <c r="M2353" s="471">
        <f t="shared" si="131"/>
        <v>0.05</v>
      </c>
      <c r="N2353" s="475">
        <f t="shared" si="132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30"/>
        <v>-7437562176.0749006</v>
      </c>
      <c r="J2354" s="455">
        <f t="array" ref="J2354">IFERROR(INDEX('Retirement Calculator'!K:K,MATCH('Lorri 401b'!N2354,'Retirement Calculator'!A:A,0),0),0)</f>
        <v>0</v>
      </c>
      <c r="K2354" s="455">
        <f t="shared" ca="1" si="128"/>
        <v>-30989842.400312085</v>
      </c>
      <c r="L2354" s="455">
        <f t="shared" ca="1" si="129"/>
        <v>-7468552018.4752131</v>
      </c>
      <c r="M2354" s="471">
        <f t="shared" si="131"/>
        <v>0.05</v>
      </c>
      <c r="N2354" s="475">
        <f t="shared" si="132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30"/>
        <v>-7468552018.4752131</v>
      </c>
      <c r="J2355" s="455">
        <f t="array" ref="J2355">IFERROR(INDEX('Retirement Calculator'!K:K,MATCH('Lorri 401b'!N2355,'Retirement Calculator'!A:A,0),0),0)</f>
        <v>0</v>
      </c>
      <c r="K2355" s="455">
        <f t="shared" ca="1" si="128"/>
        <v>-31118966.743646726</v>
      </c>
      <c r="L2355" s="455">
        <f t="shared" ca="1" si="129"/>
        <v>-7499670985.2188597</v>
      </c>
      <c r="M2355" s="471">
        <f t="shared" si="131"/>
        <v>0.05</v>
      </c>
      <c r="N2355" s="475">
        <f t="shared" si="132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30"/>
        <v>-7499670985.2188597</v>
      </c>
      <c r="J2356" s="455">
        <f t="array" ref="J2356">IFERROR(INDEX('Retirement Calculator'!K:K,MATCH('Lorri 401b'!N2356,'Retirement Calculator'!A:A,0),0),0)</f>
        <v>0</v>
      </c>
      <c r="K2356" s="455">
        <f t="shared" ca="1" si="128"/>
        <v>-31248629.105078578</v>
      </c>
      <c r="L2356" s="455">
        <f t="shared" ca="1" si="129"/>
        <v>-7530919614.3239384</v>
      </c>
      <c r="M2356" s="471">
        <f t="shared" si="131"/>
        <v>0.05</v>
      </c>
      <c r="N2356" s="475">
        <f t="shared" si="132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30"/>
        <v>-7530919614.3239384</v>
      </c>
      <c r="J2357" s="455">
        <f t="array" ref="J2357">IFERROR(INDEX('Retirement Calculator'!K:K,MATCH('Lorri 401b'!N2357,'Retirement Calculator'!A:A,0),0),0)</f>
        <v>0</v>
      </c>
      <c r="K2357" s="455">
        <f t="shared" ca="1" si="128"/>
        <v>-31378831.726349737</v>
      </c>
      <c r="L2357" s="455">
        <f t="shared" ca="1" si="129"/>
        <v>-7562298446.0502882</v>
      </c>
      <c r="M2357" s="471">
        <f t="shared" si="131"/>
        <v>0.05</v>
      </c>
      <c r="N2357" s="475">
        <f t="shared" si="132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30"/>
        <v>-7562298446.0502882</v>
      </c>
      <c r="J2358" s="455">
        <f t="array" ref="J2358">IFERROR(INDEX('Retirement Calculator'!K:K,MATCH('Lorri 401b'!N2358,'Retirement Calculator'!A:A,0),0),0)</f>
        <v>0</v>
      </c>
      <c r="K2358" s="455">
        <f t="shared" ca="1" si="128"/>
        <v>-31509576.858542871</v>
      </c>
      <c r="L2358" s="455">
        <f t="shared" ca="1" si="129"/>
        <v>-7593808022.9088306</v>
      </c>
      <c r="M2358" s="471">
        <f t="shared" si="131"/>
        <v>0.05</v>
      </c>
      <c r="N2358" s="475">
        <f t="shared" si="132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30"/>
        <v>-7593808022.9088306</v>
      </c>
      <c r="J2359" s="455">
        <f t="array" ref="J2359">IFERROR(INDEX('Retirement Calculator'!K:K,MATCH('Lorri 401b'!N2359,'Retirement Calculator'!A:A,0),0),0)</f>
        <v>0</v>
      </c>
      <c r="K2359" s="455">
        <f t="shared" ca="1" si="128"/>
        <v>-31640866.762120128</v>
      </c>
      <c r="L2359" s="455">
        <f t="shared" ca="1" si="129"/>
        <v>-7625448889.6709509</v>
      </c>
      <c r="M2359" s="471">
        <f t="shared" si="131"/>
        <v>0.05</v>
      </c>
      <c r="N2359" s="475">
        <f t="shared" si="132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30"/>
        <v>-7625448889.6709509</v>
      </c>
      <c r="J2360" s="455">
        <f t="array" ref="J2360">IFERROR(INDEX('Retirement Calculator'!K:K,MATCH('Lorri 401b'!N2360,'Retirement Calculator'!A:A,0),0),0)</f>
        <v>0</v>
      </c>
      <c r="K2360" s="455">
        <f t="shared" ca="1" si="128"/>
        <v>-31772703.706962299</v>
      </c>
      <c r="L2360" s="455">
        <f t="shared" ca="1" si="129"/>
        <v>-7657221593.3779135</v>
      </c>
      <c r="M2360" s="471">
        <f t="shared" si="131"/>
        <v>0.05</v>
      </c>
      <c r="N2360" s="475">
        <f t="shared" si="132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30"/>
        <v>-7657221593.3779135</v>
      </c>
      <c r="J2361" s="455">
        <f t="array" ref="J2361">IFERROR(INDEX('Retirement Calculator'!K:K,MATCH('Lorri 401b'!N2361,'Retirement Calculator'!A:A,0),0),0)</f>
        <v>0</v>
      </c>
      <c r="K2361" s="455">
        <f t="shared" ca="1" si="128"/>
        <v>-31905089.972407971</v>
      </c>
      <c r="L2361" s="455">
        <f t="shared" ca="1" si="129"/>
        <v>-7689126683.3503218</v>
      </c>
      <c r="M2361" s="471">
        <f t="shared" si="131"/>
        <v>0.05</v>
      </c>
      <c r="N2361" s="475">
        <f t="shared" si="132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30"/>
        <v>-7689126683.3503218</v>
      </c>
      <c r="J2362" s="455">
        <f t="array" ref="J2362">IFERROR(INDEX('Retirement Calculator'!K:K,MATCH('Lorri 401b'!N2362,'Retirement Calculator'!A:A,0),0),0)</f>
        <v>0</v>
      </c>
      <c r="K2362" s="455">
        <f t="shared" ca="1" si="128"/>
        <v>-32038027.847293012</v>
      </c>
      <c r="L2362" s="455">
        <f t="shared" ca="1" si="129"/>
        <v>-7721164711.1976147</v>
      </c>
      <c r="M2362" s="471">
        <f t="shared" si="131"/>
        <v>0.05</v>
      </c>
      <c r="N2362" s="475">
        <f t="shared" si="132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30"/>
        <v>-7721164711.1976147</v>
      </c>
      <c r="J2363" s="455">
        <f t="array" ref="J2363">IFERROR(INDEX('Retirement Calculator'!K:K,MATCH('Lorri 401b'!N2363,'Retirement Calculator'!A:A,0),0),0)</f>
        <v>0</v>
      </c>
      <c r="K2363" s="455">
        <f t="shared" ca="1" si="128"/>
        <v>-32171519.629990056</v>
      </c>
      <c r="L2363" s="455">
        <f t="shared" ca="1" si="129"/>
        <v>-7753336230.8276043</v>
      </c>
      <c r="M2363" s="471">
        <f t="shared" si="131"/>
        <v>0.05</v>
      </c>
      <c r="N2363" s="475">
        <f t="shared" si="132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30"/>
        <v>-7753336230.8276043</v>
      </c>
      <c r="J2364" s="455">
        <f t="array" ref="J2364">IFERROR(INDEX('Retirement Calculator'!K:K,MATCH('Lorri 401b'!N2364,'Retirement Calculator'!A:A,0),0),0)</f>
        <v>0</v>
      </c>
      <c r="K2364" s="455">
        <f t="shared" ca="1" si="128"/>
        <v>-32305567.628448348</v>
      </c>
      <c r="L2364" s="455">
        <f t="shared" ca="1" si="129"/>
        <v>-7785641798.4560528</v>
      </c>
      <c r="M2364" s="471">
        <f t="shared" si="131"/>
        <v>0.05</v>
      </c>
      <c r="N2364" s="475">
        <f t="shared" si="132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30"/>
        <v>-7785641798.4560528</v>
      </c>
      <c r="J2365" s="455">
        <f t="array" ref="J2365">IFERROR(INDEX('Retirement Calculator'!K:K,MATCH('Lorri 401b'!N2365,'Retirement Calculator'!A:A,0),0),0)</f>
        <v>0</v>
      </c>
      <c r="K2365" s="455">
        <f t="shared" ca="1" si="128"/>
        <v>-32440174.160233553</v>
      </c>
      <c r="L2365" s="455">
        <f t="shared" ca="1" si="129"/>
        <v>-7818081972.6162863</v>
      </c>
      <c r="M2365" s="471">
        <f t="shared" si="131"/>
        <v>0.05</v>
      </c>
      <c r="N2365" s="475">
        <f t="shared" si="132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30"/>
        <v>-7818081972.6162863</v>
      </c>
      <c r="J2366" s="455">
        <f t="array" ref="J2366">IFERROR(INDEX('Retirement Calculator'!K:K,MATCH('Lorri 401b'!N2366,'Retirement Calculator'!A:A,0),0),0)</f>
        <v>0</v>
      </c>
      <c r="K2366" s="455">
        <f t="shared" ca="1" si="128"/>
        <v>-32575341.552567862</v>
      </c>
      <c r="L2366" s="455">
        <f t="shared" ca="1" si="129"/>
        <v>-7850657314.1688538</v>
      </c>
      <c r="M2366" s="471">
        <f t="shared" si="131"/>
        <v>0.05</v>
      </c>
      <c r="N2366" s="475">
        <f t="shared" si="132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30"/>
        <v>-7850657314.1688538</v>
      </c>
      <c r="J2367" s="455">
        <f t="array" ref="J2367">IFERROR(INDEX('Retirement Calculator'!K:K,MATCH('Lorri 401b'!N2367,'Retirement Calculator'!A:A,0),0),0)</f>
        <v>0</v>
      </c>
      <c r="K2367" s="455">
        <f t="shared" ca="1" si="128"/>
        <v>-32711072.142370224</v>
      </c>
      <c r="L2367" s="455">
        <f t="shared" ca="1" si="129"/>
        <v>-7883368386.311224</v>
      </c>
      <c r="M2367" s="471">
        <f t="shared" si="131"/>
        <v>0.05</v>
      </c>
      <c r="N2367" s="475">
        <f t="shared" si="132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30"/>
        <v>-7883368386.311224</v>
      </c>
      <c r="J2368" s="455">
        <f t="array" ref="J2368">IFERROR(INDEX('Retirement Calculator'!K:K,MATCH('Lorri 401b'!N2368,'Retirement Calculator'!A:A,0),0),0)</f>
        <v>0</v>
      </c>
      <c r="K2368" s="455">
        <f t="shared" ca="1" si="128"/>
        <v>-32847368.276296761</v>
      </c>
      <c r="L2368" s="455">
        <f t="shared" ca="1" si="129"/>
        <v>-7916215754.5875206</v>
      </c>
      <c r="M2368" s="471">
        <f t="shared" si="131"/>
        <v>0.05</v>
      </c>
      <c r="N2368" s="475">
        <f t="shared" si="132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30"/>
        <v>-7916215754.5875206</v>
      </c>
      <c r="J2369" s="455">
        <f t="array" ref="J2369">IFERROR(INDEX('Retirement Calculator'!K:K,MATCH('Lorri 401b'!N2369,'Retirement Calculator'!A:A,0),0),0)</f>
        <v>0</v>
      </c>
      <c r="K2369" s="455">
        <f t="shared" ca="1" si="128"/>
        <v>-32984232.310781334</v>
      </c>
      <c r="L2369" s="455">
        <f t="shared" ca="1" si="129"/>
        <v>-7949199986.8983021</v>
      </c>
      <c r="M2369" s="471">
        <f t="shared" si="131"/>
        <v>0.05</v>
      </c>
      <c r="N2369" s="475">
        <f t="shared" si="132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30"/>
        <v>-7949199986.8983021</v>
      </c>
      <c r="J2370" s="455">
        <f t="array" ref="J2370">IFERROR(INDEX('Retirement Calculator'!K:K,MATCH('Lorri 401b'!N2370,'Retirement Calculator'!A:A,0),0),0)</f>
        <v>0</v>
      </c>
      <c r="K2370" s="455">
        <f t="shared" ca="1" si="128"/>
        <v>-33121666.612076256</v>
      </c>
      <c r="L2370" s="455">
        <f t="shared" ca="1" si="129"/>
        <v>-7982321653.5103779</v>
      </c>
      <c r="M2370" s="471">
        <f t="shared" si="131"/>
        <v>0.05</v>
      </c>
      <c r="N2370" s="475">
        <f t="shared" si="132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30"/>
        <v>-7982321653.5103779</v>
      </c>
      <c r="J2371" s="455">
        <f t="array" ref="J2371">IFERROR(INDEX('Retirement Calculator'!K:K,MATCH('Lorri 401b'!N2371,'Retirement Calculator'!A:A,0),0),0)</f>
        <v>0</v>
      </c>
      <c r="K2371" s="455">
        <f t="shared" ca="1" si="128"/>
        <v>-33259673.556293242</v>
      </c>
      <c r="L2371" s="455">
        <f t="shared" ca="1" si="129"/>
        <v>-8015581327.0666714</v>
      </c>
      <c r="M2371" s="471">
        <f t="shared" si="131"/>
        <v>0.05</v>
      </c>
      <c r="N2371" s="475">
        <f t="shared" si="132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30"/>
        <v>-8015581327.0666714</v>
      </c>
      <c r="J2372" s="455">
        <f t="array" ref="J2372">IFERROR(INDEX('Retirement Calculator'!K:K,MATCH('Lorri 401b'!N2372,'Retirement Calculator'!A:A,0),0),0)</f>
        <v>0</v>
      </c>
      <c r="K2372" s="455">
        <f t="shared" ca="1" si="128"/>
        <v>-33398255.529444464</v>
      </c>
      <c r="L2372" s="455">
        <f t="shared" ca="1" si="129"/>
        <v>-8048979582.5961161</v>
      </c>
      <c r="M2372" s="471">
        <f t="shared" si="131"/>
        <v>0.05</v>
      </c>
      <c r="N2372" s="475">
        <f t="shared" si="132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30"/>
        <v>-8048979582.5961161</v>
      </c>
      <c r="J2373" s="455">
        <f t="array" ref="J2373">IFERROR(INDEX('Retirement Calculator'!K:K,MATCH('Lorri 401b'!N2373,'Retirement Calculator'!A:A,0),0),0)</f>
        <v>0</v>
      </c>
      <c r="K2373" s="455">
        <f t="shared" ca="1" si="128"/>
        <v>-33537414.927483816</v>
      </c>
      <c r="L2373" s="455">
        <f t="shared" ca="1" si="129"/>
        <v>-8082516997.5235996</v>
      </c>
      <c r="M2373" s="471">
        <f t="shared" si="131"/>
        <v>0.05</v>
      </c>
      <c r="N2373" s="475">
        <f t="shared" si="132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30"/>
        <v>-8082516997.5235996</v>
      </c>
      <c r="J2374" s="455">
        <f t="array" ref="J2374">IFERROR(INDEX('Retirement Calculator'!K:K,MATCH('Lorri 401b'!N2374,'Retirement Calculator'!A:A,0),0),0)</f>
        <v>0</v>
      </c>
      <c r="K2374" s="455">
        <f t="shared" ca="1" si="128"/>
        <v>-33677154.156348333</v>
      </c>
      <c r="L2374" s="455">
        <f t="shared" ca="1" si="129"/>
        <v>-8116194151.6799479</v>
      </c>
      <c r="M2374" s="471">
        <f t="shared" si="131"/>
        <v>0.05</v>
      </c>
      <c r="N2374" s="475">
        <f t="shared" si="132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30"/>
        <v>-8116194151.6799479</v>
      </c>
      <c r="J2375" s="455">
        <f t="array" ref="J2375">IFERROR(INDEX('Retirement Calculator'!K:K,MATCH('Lorri 401b'!N2375,'Retirement Calculator'!A:A,0),0),0)</f>
        <v>0</v>
      </c>
      <c r="K2375" s="455">
        <f t="shared" ca="1" si="128"/>
        <v>-33817475.631999776</v>
      </c>
      <c r="L2375" s="455">
        <f t="shared" ca="1" si="129"/>
        <v>-8150011627.3119478</v>
      </c>
      <c r="M2375" s="471">
        <f t="shared" si="131"/>
        <v>0.05</v>
      </c>
      <c r="N2375" s="475">
        <f t="shared" si="132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30"/>
        <v>-8150011627.3119478</v>
      </c>
      <c r="J2376" s="455">
        <f t="array" ref="J2376">IFERROR(INDEX('Retirement Calculator'!K:K,MATCH('Lorri 401b'!N2376,'Retirement Calculator'!A:A,0),0),0)</f>
        <v>0</v>
      </c>
      <c r="K2376" s="455">
        <f t="shared" ca="1" si="128"/>
        <v>-33958381.780466452</v>
      </c>
      <c r="L2376" s="455">
        <f t="shared" ca="1" si="129"/>
        <v>-8183970009.0924139</v>
      </c>
      <c r="M2376" s="471">
        <f t="shared" si="131"/>
        <v>0.05</v>
      </c>
      <c r="N2376" s="475">
        <f t="shared" si="132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30"/>
        <v>-8183970009.0924139</v>
      </c>
      <c r="J2377" s="455">
        <f t="array" ref="J2377">IFERROR(INDEX('Retirement Calculator'!K:K,MATCH('Lorri 401b'!N2377,'Retirement Calculator'!A:A,0),0),0)</f>
        <v>0</v>
      </c>
      <c r="K2377" s="455">
        <f t="shared" ca="1" si="128"/>
        <v>-34099875.037885055</v>
      </c>
      <c r="L2377" s="455">
        <f t="shared" ca="1" si="129"/>
        <v>-8218069884.1302986</v>
      </c>
      <c r="M2377" s="471">
        <f t="shared" si="131"/>
        <v>0.05</v>
      </c>
      <c r="N2377" s="475">
        <f t="shared" si="132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30"/>
        <v>-8218069884.1302986</v>
      </c>
      <c r="J2378" s="455">
        <f t="array" ref="J2378">IFERROR(INDEX('Retirement Calculator'!K:K,MATCH('Lorri 401b'!N2378,'Retirement Calculator'!A:A,0),0),0)</f>
        <v>0</v>
      </c>
      <c r="K2378" s="455">
        <f t="shared" ca="1" si="128"/>
        <v>-34241957.850542903</v>
      </c>
      <c r="L2378" s="455">
        <f t="shared" ca="1" si="129"/>
        <v>-8252311841.9808416</v>
      </c>
      <c r="M2378" s="471">
        <f t="shared" si="131"/>
        <v>0.05</v>
      </c>
      <c r="N2378" s="475">
        <f t="shared" si="132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30"/>
        <v>-8252311841.9808416</v>
      </c>
      <c r="J2379" s="455">
        <f t="array" ref="J2379">IFERROR(INDEX('Retirement Calculator'!K:K,MATCH('Lorri 401b'!N2379,'Retirement Calculator'!A:A,0),0),0)</f>
        <v>0</v>
      </c>
      <c r="K2379" s="455">
        <f t="shared" ca="1" si="128"/>
        <v>-34384632.674920171</v>
      </c>
      <c r="L2379" s="455">
        <f t="shared" ca="1" si="129"/>
        <v>-8286696474.6557617</v>
      </c>
      <c r="M2379" s="471">
        <f t="shared" si="131"/>
        <v>0.05</v>
      </c>
      <c r="N2379" s="475">
        <f t="shared" si="132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30"/>
        <v>-8286696474.6557617</v>
      </c>
      <c r="J2380" s="455">
        <f t="array" ref="J2380">IFERROR(INDEX('Retirement Calculator'!K:K,MATCH('Lorri 401b'!N2380,'Retirement Calculator'!A:A,0),0),0)</f>
        <v>0</v>
      </c>
      <c r="K2380" s="455">
        <f t="shared" ca="1" si="128"/>
        <v>-34527901.977732338</v>
      </c>
      <c r="L2380" s="455">
        <f t="shared" ca="1" si="129"/>
        <v>-8321224376.6334944</v>
      </c>
      <c r="M2380" s="471">
        <f t="shared" si="131"/>
        <v>0.05</v>
      </c>
      <c r="N2380" s="475">
        <f t="shared" si="132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30"/>
        <v>-8321224376.6334944</v>
      </c>
      <c r="J2381" s="455">
        <f t="array" ref="J2381">IFERROR(INDEX('Retirement Calculator'!K:K,MATCH('Lorri 401b'!N2381,'Retirement Calculator'!A:A,0),0),0)</f>
        <v>0</v>
      </c>
      <c r="K2381" s="455">
        <f t="shared" ca="1" si="128"/>
        <v>-34671768.235972896</v>
      </c>
      <c r="L2381" s="455">
        <f t="shared" ca="1" si="129"/>
        <v>-8355896144.8694677</v>
      </c>
      <c r="M2381" s="471">
        <f t="shared" si="131"/>
        <v>0.05</v>
      </c>
      <c r="N2381" s="475">
        <f t="shared" si="132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30"/>
        <v>-8355896144.8694677</v>
      </c>
      <c r="J2382" s="455">
        <f t="array" ref="J2382">IFERROR(INDEX('Retirement Calculator'!K:K,MATCH('Lorri 401b'!N2382,'Retirement Calculator'!A:A,0),0),0)</f>
        <v>0</v>
      </c>
      <c r="K2382" s="455">
        <f t="shared" ca="1" si="128"/>
        <v>-34816233.936956123</v>
      </c>
      <c r="L2382" s="455">
        <f t="shared" ca="1" si="129"/>
        <v>-8390712378.8064241</v>
      </c>
      <c r="M2382" s="471">
        <f t="shared" si="131"/>
        <v>0.05</v>
      </c>
      <c r="N2382" s="475">
        <f t="shared" si="132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30"/>
        <v>-8390712378.8064241</v>
      </c>
      <c r="J2383" s="455">
        <f t="array" ref="J2383">IFERROR(INDEX('Retirement Calculator'!K:K,MATCH('Lorri 401b'!N2383,'Retirement Calculator'!A:A,0),0),0)</f>
        <v>0</v>
      </c>
      <c r="K2383" s="455">
        <f t="shared" ca="1" si="128"/>
        <v>-34961301.578360096</v>
      </c>
      <c r="L2383" s="455">
        <f t="shared" ca="1" si="129"/>
        <v>-8425673680.3847847</v>
      </c>
      <c r="M2383" s="471">
        <f t="shared" si="131"/>
        <v>0.05</v>
      </c>
      <c r="N2383" s="475">
        <f t="shared" si="132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30"/>
        <v>-8425673680.3847847</v>
      </c>
      <c r="J2384" s="455">
        <f t="array" ref="J2384">IFERROR(INDEX('Retirement Calculator'!K:K,MATCH('Lorri 401b'!N2384,'Retirement Calculator'!A:A,0),0),0)</f>
        <v>0</v>
      </c>
      <c r="K2384" s="455">
        <f t="shared" ca="1" si="128"/>
        <v>-35106973.668269932</v>
      </c>
      <c r="L2384" s="455">
        <f t="shared" ca="1" si="129"/>
        <v>-8460780654.0530548</v>
      </c>
      <c r="M2384" s="471">
        <f t="shared" si="131"/>
        <v>0.05</v>
      </c>
      <c r="N2384" s="475">
        <f t="shared" si="132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30"/>
        <v>-8460780654.0530548</v>
      </c>
      <c r="J2385" s="455">
        <f t="array" ref="J2385">IFERROR(INDEX('Retirement Calculator'!K:K,MATCH('Lorri 401b'!N2385,'Retirement Calculator'!A:A,0),0),0)</f>
        <v>0</v>
      </c>
      <c r="K2385" s="455">
        <f t="shared" ca="1" si="128"/>
        <v>-35253252.72522106</v>
      </c>
      <c r="L2385" s="455">
        <f t="shared" ca="1" si="129"/>
        <v>-8496033906.7782755</v>
      </c>
      <c r="M2385" s="471">
        <f t="shared" si="131"/>
        <v>0.05</v>
      </c>
      <c r="N2385" s="475">
        <f t="shared" si="132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30"/>
        <v>-8496033906.7782755</v>
      </c>
      <c r="J2386" s="455">
        <f t="array" ref="J2386">IFERROR(INDEX('Retirement Calculator'!K:K,MATCH('Lorri 401b'!N2386,'Retirement Calculator'!A:A,0),0),0)</f>
        <v>0</v>
      </c>
      <c r="K2386" s="455">
        <f t="shared" ca="1" si="128"/>
        <v>-35400141.278242812</v>
      </c>
      <c r="L2386" s="455">
        <f t="shared" ca="1" si="129"/>
        <v>-8531434048.0565186</v>
      </c>
      <c r="M2386" s="471">
        <f t="shared" si="131"/>
        <v>0.05</v>
      </c>
      <c r="N2386" s="475">
        <f t="shared" si="132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30"/>
        <v>-8531434048.0565186</v>
      </c>
      <c r="J2387" s="455">
        <f t="array" ref="J2387">IFERROR(INDEX('Retirement Calculator'!K:K,MATCH('Lorri 401b'!N2387,'Retirement Calculator'!A:A,0),0),0)</f>
        <v>0</v>
      </c>
      <c r="K2387" s="455">
        <f t="shared" ca="1" si="128"/>
        <v>-35547641.866902158</v>
      </c>
      <c r="L2387" s="455">
        <f t="shared" ca="1" si="129"/>
        <v>-8566981689.9234209</v>
      </c>
      <c r="M2387" s="471">
        <f t="shared" si="131"/>
        <v>0.05</v>
      </c>
      <c r="N2387" s="475">
        <f t="shared" si="132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30"/>
        <v>-8566981689.9234209</v>
      </c>
      <c r="J2388" s="455">
        <f t="array" ref="J2388">IFERROR(INDEX('Retirement Calculator'!K:K,MATCH('Lorri 401b'!N2388,'Retirement Calculator'!A:A,0),0),0)</f>
        <v>0</v>
      </c>
      <c r="K2388" s="455">
        <f t="shared" ca="1" si="128"/>
        <v>-35695757.041347586</v>
      </c>
      <c r="L2388" s="455">
        <f t="shared" ca="1" si="129"/>
        <v>-8602677446.9647694</v>
      </c>
      <c r="M2388" s="471">
        <f t="shared" si="131"/>
        <v>0.05</v>
      </c>
      <c r="N2388" s="475">
        <f t="shared" si="132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30"/>
        <v>-8602677446.9647694</v>
      </c>
      <c r="J2389" s="455">
        <f t="array" ref="J2389">IFERROR(INDEX('Retirement Calculator'!K:K,MATCH('Lorri 401b'!N2389,'Retirement Calculator'!A:A,0),0),0)</f>
        <v>0</v>
      </c>
      <c r="K2389" s="455">
        <f t="shared" ca="1" si="128"/>
        <v>-35844489.362353206</v>
      </c>
      <c r="L2389" s="455">
        <f t="shared" ca="1" si="129"/>
        <v>-8638521936.3271217</v>
      </c>
      <c r="M2389" s="471">
        <f t="shared" si="131"/>
        <v>0.05</v>
      </c>
      <c r="N2389" s="475">
        <f t="shared" si="132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30"/>
        <v>-8638521936.3271217</v>
      </c>
      <c r="J2390" s="455">
        <f t="array" ref="J2390">IFERROR(INDEX('Retirement Calculator'!K:K,MATCH('Lorri 401b'!N2390,'Retirement Calculator'!A:A,0),0),0)</f>
        <v>0</v>
      </c>
      <c r="K2390" s="455">
        <f t="shared" ca="1" si="128"/>
        <v>-35993841.401363008</v>
      </c>
      <c r="L2390" s="455">
        <f t="shared" ca="1" si="129"/>
        <v>-8674515777.7284851</v>
      </c>
      <c r="M2390" s="471">
        <f t="shared" si="131"/>
        <v>0.05</v>
      </c>
      <c r="N2390" s="475">
        <f t="shared" si="132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30"/>
        <v>-8674515777.7284851</v>
      </c>
      <c r="J2391" s="455">
        <f t="array" ref="J2391">IFERROR(INDEX('Retirement Calculator'!K:K,MATCH('Lorri 401b'!N2391,'Retirement Calculator'!A:A,0),0),0)</f>
        <v>0</v>
      </c>
      <c r="K2391" s="455">
        <f t="shared" ca="1" si="128"/>
        <v>-36143815.740535356</v>
      </c>
      <c r="L2391" s="455">
        <f t="shared" ca="1" si="129"/>
        <v>-8710659593.4690208</v>
      </c>
      <c r="M2391" s="471">
        <f t="shared" si="131"/>
        <v>0.05</v>
      </c>
      <c r="N2391" s="475">
        <f t="shared" si="132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30"/>
        <v>-8710659593.4690208</v>
      </c>
      <c r="J2392" s="455">
        <f t="array" ref="J2392">IFERROR(INDEX('Retirement Calculator'!K:K,MATCH('Lorri 401b'!N2392,'Retirement Calculator'!A:A,0),0),0)</f>
        <v>0</v>
      </c>
      <c r="K2392" s="455">
        <f t="shared" ca="1" si="128"/>
        <v>-36294414.972787589</v>
      </c>
      <c r="L2392" s="455">
        <f t="shared" ca="1" si="129"/>
        <v>-8746954008.4418087</v>
      </c>
      <c r="M2392" s="471">
        <f t="shared" si="131"/>
        <v>0.05</v>
      </c>
      <c r="N2392" s="475">
        <f t="shared" si="132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30"/>
        <v>-8746954008.4418087</v>
      </c>
      <c r="J2393" s="455">
        <f t="array" ref="J2393">IFERROR(INDEX('Retirement Calculator'!K:K,MATCH('Lorri 401b'!N2393,'Retirement Calculator'!A:A,0),0),0)</f>
        <v>0</v>
      </c>
      <c r="K2393" s="455">
        <f t="shared" ca="1" si="128"/>
        <v>-36445641.70184087</v>
      </c>
      <c r="L2393" s="455">
        <f t="shared" ca="1" si="129"/>
        <v>-8783399650.1436501</v>
      </c>
      <c r="M2393" s="471">
        <f t="shared" si="131"/>
        <v>0.05</v>
      </c>
      <c r="N2393" s="475">
        <f t="shared" si="132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30"/>
        <v>-8783399650.1436501</v>
      </c>
      <c r="J2394" s="455">
        <f t="array" ref="J2394">IFERROR(INDEX('Retirement Calculator'!K:K,MATCH('Lorri 401b'!N2394,'Retirement Calculator'!A:A,0),0),0)</f>
        <v>0</v>
      </c>
      <c r="K2394" s="455">
        <f t="shared" ca="1" si="128"/>
        <v>-36597498.542265207</v>
      </c>
      <c r="L2394" s="455">
        <f t="shared" ca="1" si="129"/>
        <v>-8819997148.685915</v>
      </c>
      <c r="M2394" s="471">
        <f t="shared" si="131"/>
        <v>0.05</v>
      </c>
      <c r="N2394" s="475">
        <f t="shared" si="132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30"/>
        <v>-8819997148.685915</v>
      </c>
      <c r="J2395" s="455">
        <f t="array" ref="J2395">IFERROR(INDEX('Retirement Calculator'!K:K,MATCH('Lorri 401b'!N2395,'Retirement Calculator'!A:A,0),0),0)</f>
        <v>0</v>
      </c>
      <c r="K2395" s="455">
        <f t="shared" ca="1" si="128"/>
        <v>-36749988.119524643</v>
      </c>
      <c r="L2395" s="455">
        <f t="shared" ca="1" si="129"/>
        <v>-8856747136.805439</v>
      </c>
      <c r="M2395" s="471">
        <f t="shared" si="131"/>
        <v>0.05</v>
      </c>
      <c r="N2395" s="475">
        <f t="shared" si="132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30"/>
        <v>-8856747136.805439</v>
      </c>
      <c r="J2396" s="455">
        <f t="array" ref="J2396">IFERROR(INDEX('Retirement Calculator'!K:K,MATCH('Lorri 401b'!N2396,'Retirement Calculator'!A:A,0),0),0)</f>
        <v>0</v>
      </c>
      <c r="K2396" s="455">
        <f t="shared" ca="1" si="128"/>
        <v>-36903113.070022665</v>
      </c>
      <c r="L2396" s="455">
        <f t="shared" ca="1" si="129"/>
        <v>-8893650249.8754616</v>
      </c>
      <c r="M2396" s="471">
        <f t="shared" si="131"/>
        <v>0.05</v>
      </c>
      <c r="N2396" s="475">
        <f t="shared" si="132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30"/>
        <v>-8893650249.8754616</v>
      </c>
      <c r="J2397" s="455">
        <f t="array" ref="J2397">IFERROR(INDEX('Retirement Calculator'!K:K,MATCH('Lorri 401b'!N2397,'Retirement Calculator'!A:A,0),0),0)</f>
        <v>0</v>
      </c>
      <c r="K2397" s="455">
        <f t="shared" ca="1" si="128"/>
        <v>-37056876.041147754</v>
      </c>
      <c r="L2397" s="455">
        <f t="shared" ca="1" si="129"/>
        <v>-8930707125.9166088</v>
      </c>
      <c r="M2397" s="471">
        <f t="shared" si="131"/>
        <v>0.05</v>
      </c>
      <c r="N2397" s="475">
        <f t="shared" si="132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30"/>
        <v>-8930707125.9166088</v>
      </c>
      <c r="J2398" s="455">
        <f t="array" ref="J2398">IFERROR(INDEX('Retirement Calculator'!K:K,MATCH('Lorri 401b'!N2398,'Retirement Calculator'!A:A,0),0),0)</f>
        <v>0</v>
      </c>
      <c r="K2398" s="455">
        <f t="shared" ca="1" si="128"/>
        <v>-37211279.691319205</v>
      </c>
      <c r="L2398" s="455">
        <f t="shared" ca="1" si="129"/>
        <v>-8967918405.6079273</v>
      </c>
      <c r="M2398" s="471">
        <f t="shared" si="131"/>
        <v>0.05</v>
      </c>
      <c r="N2398" s="475">
        <f t="shared" si="132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30"/>
        <v>-8967918405.6079273</v>
      </c>
      <c r="J2399" s="455">
        <f t="array" ref="J2399">IFERROR(INDEX('Retirement Calculator'!K:K,MATCH('Lorri 401b'!N2399,'Retirement Calculator'!A:A,0),0),0)</f>
        <v>0</v>
      </c>
      <c r="K2399" s="455">
        <f t="shared" ca="1" si="128"/>
        <v>-37366326.690033033</v>
      </c>
      <c r="L2399" s="455">
        <f t="shared" ca="1" si="129"/>
        <v>-9005284732.2979603</v>
      </c>
      <c r="M2399" s="471">
        <f t="shared" si="131"/>
        <v>0.05</v>
      </c>
      <c r="N2399" s="475">
        <f t="shared" si="132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30"/>
        <v>-9005284732.2979603</v>
      </c>
      <c r="J2400" s="455">
        <f t="array" ref="J2400">IFERROR(INDEX('Retirement Calculator'!K:K,MATCH('Lorri 401b'!N2400,'Retirement Calculator'!A:A,0),0),0)</f>
        <v>0</v>
      </c>
      <c r="K2400" s="455">
        <f t="shared" ca="1" si="128"/>
        <v>-37522019.717908166</v>
      </c>
      <c r="L2400" s="455">
        <f t="shared" ca="1" si="129"/>
        <v>-9042806752.0158691</v>
      </c>
      <c r="M2400" s="471">
        <f t="shared" si="131"/>
        <v>0.05</v>
      </c>
      <c r="N2400" s="475">
        <f t="shared" si="132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30"/>
        <v>-9042806752.0158691</v>
      </c>
      <c r="J2401" s="455">
        <f t="array" ref="J2401">IFERROR(INDEX('Retirement Calculator'!K:K,MATCH('Lorri 401b'!N2401,'Retirement Calculator'!A:A,0),0),0)</f>
        <v>0</v>
      </c>
      <c r="K2401" s="455">
        <f t="shared" ca="1" si="128"/>
        <v>-37678361.466732785</v>
      </c>
      <c r="L2401" s="455">
        <f t="shared" ca="1" si="129"/>
        <v>-9080485113.4826012</v>
      </c>
      <c r="M2401" s="471">
        <f t="shared" si="131"/>
        <v>0.05</v>
      </c>
      <c r="N2401" s="475">
        <f t="shared" si="132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30"/>
        <v>-9080485113.4826012</v>
      </c>
      <c r="J2402" s="455">
        <f t="array" ref="J2402">IFERROR(INDEX('Retirement Calculator'!K:K,MATCH('Lorri 401b'!N2402,'Retirement Calculator'!A:A,0),0),0)</f>
        <v>0</v>
      </c>
      <c r="K2402" s="455">
        <f t="shared" ca="1" si="128"/>
        <v>-37835354.63951084</v>
      </c>
      <c r="L2402" s="455">
        <f t="shared" ca="1" si="129"/>
        <v>-9118320468.1221123</v>
      </c>
      <c r="M2402" s="471">
        <f t="shared" si="131"/>
        <v>0.05</v>
      </c>
      <c r="N2402" s="475">
        <f t="shared" si="132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30"/>
        <v>-9118320468.1221123</v>
      </c>
      <c r="J2403" s="455">
        <f t="array" ref="J2403">IFERROR(INDEX('Retirement Calculator'!K:K,MATCH('Lorri 401b'!N2403,'Retirement Calculator'!A:A,0),0),0)</f>
        <v>0</v>
      </c>
      <c r="K2403" s="455">
        <f t="shared" ca="1" si="128"/>
        <v>-37993001.950508803</v>
      </c>
      <c r="L2403" s="455">
        <f t="shared" ca="1" si="129"/>
        <v>-9156313470.0726204</v>
      </c>
      <c r="M2403" s="471">
        <f t="shared" si="131"/>
        <v>0.05</v>
      </c>
      <c r="N2403" s="475">
        <f t="shared" si="132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30"/>
        <v>-9156313470.0726204</v>
      </c>
      <c r="J2404" s="455">
        <f t="array" ref="J2404">IFERROR(INDEX('Retirement Calculator'!K:K,MATCH('Lorri 401b'!N2404,'Retirement Calculator'!A:A,0),0),0)</f>
        <v>0</v>
      </c>
      <c r="K2404" s="455">
        <f t="shared" ca="1" si="128"/>
        <v>-38151306.125302583</v>
      </c>
      <c r="L2404" s="455">
        <f t="shared" ca="1" si="129"/>
        <v>-9194464776.1979237</v>
      </c>
      <c r="M2404" s="471">
        <f t="shared" si="131"/>
        <v>0.05</v>
      </c>
      <c r="N2404" s="475">
        <f t="shared" si="132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30"/>
        <v>-9194464776.1979237</v>
      </c>
      <c r="J2405" s="455">
        <f t="array" ref="J2405">IFERROR(INDEX('Retirement Calculator'!K:K,MATCH('Lorri 401b'!N2405,'Retirement Calculator'!A:A,0),0),0)</f>
        <v>0</v>
      </c>
      <c r="K2405" s="455">
        <f t="shared" ca="1" si="128"/>
        <v>-38310269.900824681</v>
      </c>
      <c r="L2405" s="455">
        <f t="shared" ca="1" si="129"/>
        <v>-9232775046.0987492</v>
      </c>
      <c r="M2405" s="471">
        <f t="shared" si="131"/>
        <v>0.05</v>
      </c>
      <c r="N2405" s="475">
        <f t="shared" si="132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30"/>
        <v>-9232775046.0987492</v>
      </c>
      <c r="J2406" s="455">
        <f t="array" ref="J2406">IFERROR(INDEX('Retirement Calculator'!K:K,MATCH('Lorri 401b'!N2406,'Retirement Calculator'!A:A,0),0),0)</f>
        <v>0</v>
      </c>
      <c r="K2406" s="455">
        <f t="shared" ca="1" si="128"/>
        <v>-38469896.025411457</v>
      </c>
      <c r="L2406" s="455">
        <f t="shared" ca="1" si="129"/>
        <v>-9271244942.1241608</v>
      </c>
      <c r="M2406" s="471">
        <f t="shared" si="131"/>
        <v>0.05</v>
      </c>
      <c r="N2406" s="475">
        <f t="shared" si="132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30"/>
        <v>-9271244942.1241608</v>
      </c>
      <c r="J2407" s="455">
        <f t="array" ref="J2407">IFERROR(INDEX('Retirement Calculator'!K:K,MATCH('Lorri 401b'!N2407,'Retirement Calculator'!A:A,0),0),0)</f>
        <v>0</v>
      </c>
      <c r="K2407" s="455">
        <f t="shared" ca="1" si="128"/>
        <v>-38630187.258850671</v>
      </c>
      <c r="L2407" s="455">
        <f t="shared" ca="1" si="129"/>
        <v>-9309875129.3830109</v>
      </c>
      <c r="M2407" s="471">
        <f t="shared" si="131"/>
        <v>0.05</v>
      </c>
      <c r="N2407" s="475">
        <f t="shared" si="132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30"/>
        <v>-9309875129.3830109</v>
      </c>
      <c r="J2408" s="455">
        <f t="array" ref="J2408">IFERROR(INDEX('Retirement Calculator'!K:K,MATCH('Lorri 401b'!N2408,'Retirement Calculator'!A:A,0),0),0)</f>
        <v>0</v>
      </c>
      <c r="K2408" s="455">
        <f t="shared" ca="1" si="128"/>
        <v>-38791146.372429214</v>
      </c>
      <c r="L2408" s="455">
        <f t="shared" ca="1" si="129"/>
        <v>-9348666275.7554398</v>
      </c>
      <c r="M2408" s="471">
        <f t="shared" si="131"/>
        <v>0.05</v>
      </c>
      <c r="N2408" s="475">
        <f t="shared" si="132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30"/>
        <v>-9348666275.7554398</v>
      </c>
      <c r="J2409" s="455">
        <f t="array" ref="J2409">IFERROR(INDEX('Retirement Calculator'!K:K,MATCH('Lorri 401b'!N2409,'Retirement Calculator'!A:A,0),0),0)</f>
        <v>0</v>
      </c>
      <c r="K2409" s="455">
        <f t="shared" ca="1" si="128"/>
        <v>-38952776.148980998</v>
      </c>
      <c r="L2409" s="455">
        <f t="shared" ca="1" si="129"/>
        <v>-9387619051.9044209</v>
      </c>
      <c r="M2409" s="471">
        <f t="shared" si="131"/>
        <v>0.05</v>
      </c>
      <c r="N2409" s="475">
        <f t="shared" si="132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30"/>
        <v>-9387619051.9044209</v>
      </c>
      <c r="J2410" s="455">
        <f t="array" ref="J2410">IFERROR(INDEX('Retirement Calculator'!K:K,MATCH('Lorri 401b'!N2410,'Retirement Calculator'!A:A,0),0),0)</f>
        <v>0</v>
      </c>
      <c r="K2410" s="455">
        <f t="shared" ca="1" si="128"/>
        <v>-39115079.382935084</v>
      </c>
      <c r="L2410" s="455">
        <f t="shared" ca="1" si="129"/>
        <v>-9426734131.2873554</v>
      </c>
      <c r="M2410" s="471">
        <f t="shared" si="131"/>
        <v>0.05</v>
      </c>
      <c r="N2410" s="475">
        <f t="shared" si="132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30"/>
        <v>-9426734131.2873554</v>
      </c>
      <c r="J2411" s="455">
        <f t="array" ref="J2411">IFERROR(INDEX('Retirement Calculator'!K:K,MATCH('Lorri 401b'!N2411,'Retirement Calculator'!A:A,0),0),0)</f>
        <v>0</v>
      </c>
      <c r="K2411" s="455">
        <f t="shared" ca="1" si="128"/>
        <v>-39278058.880363978</v>
      </c>
      <c r="L2411" s="455">
        <f t="shared" ca="1" si="129"/>
        <v>-9466012190.1677189</v>
      </c>
      <c r="M2411" s="471">
        <f t="shared" si="131"/>
        <v>0.05</v>
      </c>
      <c r="N2411" s="475">
        <f t="shared" si="132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30"/>
        <v>-9466012190.1677189</v>
      </c>
      <c r="J2412" s="455">
        <f t="array" ref="J2412">IFERROR(INDEX('Retirement Calculator'!K:K,MATCH('Lorri 401b'!N2412,'Retirement Calculator'!A:A,0),0),0)</f>
        <v>0</v>
      </c>
      <c r="K2412" s="455">
        <f t="shared" ca="1" si="128"/>
        <v>-39441717.459032163</v>
      </c>
      <c r="L2412" s="455">
        <f t="shared" ca="1" si="129"/>
        <v>-9505453907.6267509</v>
      </c>
      <c r="M2412" s="471">
        <f t="shared" si="131"/>
        <v>0.05</v>
      </c>
      <c r="N2412" s="475">
        <f t="shared" si="132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30"/>
        <v>-9505453907.6267509</v>
      </c>
      <c r="J2413" s="455">
        <f t="array" ref="J2413">IFERROR(INDEX('Retirement Calculator'!K:K,MATCH('Lorri 401b'!N2413,'Retirement Calculator'!A:A,0),0),0)</f>
        <v>0</v>
      </c>
      <c r="K2413" s="455">
        <f t="shared" ca="1" si="128"/>
        <v>-39606057.948444799</v>
      </c>
      <c r="L2413" s="455">
        <f t="shared" ca="1" si="129"/>
        <v>-9545059965.5751953</v>
      </c>
      <c r="M2413" s="471">
        <f t="shared" si="131"/>
        <v>0.05</v>
      </c>
      <c r="N2413" s="475">
        <f t="shared" si="132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30"/>
        <v>-9545059965.5751953</v>
      </c>
      <c r="J2414" s="455">
        <f t="array" ref="J2414">IFERROR(INDEX('Retirement Calculator'!K:K,MATCH('Lorri 401b'!N2414,'Retirement Calculator'!A:A,0),0),0)</f>
        <v>0</v>
      </c>
      <c r="K2414" s="455">
        <f t="shared" ca="1" si="128"/>
        <v>-39771083.189896643</v>
      </c>
      <c r="L2414" s="455">
        <f t="shared" ca="1" si="129"/>
        <v>-9584831048.7650928</v>
      </c>
      <c r="M2414" s="471">
        <f t="shared" si="131"/>
        <v>0.05</v>
      </c>
      <c r="N2414" s="475">
        <f t="shared" si="132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30"/>
        <v>-9584831048.7650928</v>
      </c>
      <c r="J2415" s="455">
        <f t="array" ref="J2415">IFERROR(INDEX('Retirement Calculator'!K:K,MATCH('Lorri 401b'!N2415,'Retirement Calculator'!A:A,0),0),0)</f>
        <v>0</v>
      </c>
      <c r="K2415" s="455">
        <f t="shared" ca="1" si="128"/>
        <v>-39936796.036521219</v>
      </c>
      <c r="L2415" s="455">
        <f t="shared" ca="1" si="129"/>
        <v>-9624767844.8016148</v>
      </c>
      <c r="M2415" s="471">
        <f t="shared" si="131"/>
        <v>0.05</v>
      </c>
      <c r="N2415" s="475">
        <f t="shared" si="132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30"/>
        <v>-9624767844.8016148</v>
      </c>
      <c r="J2416" s="455">
        <f t="array" ref="J2416">IFERROR(INDEX('Retirement Calculator'!K:K,MATCH('Lorri 401b'!N2416,'Retirement Calculator'!A:A,0),0),0)</f>
        <v>0</v>
      </c>
      <c r="K2416" s="455">
        <f t="shared" ca="1" si="128"/>
        <v>-40103199.35334006</v>
      </c>
      <c r="L2416" s="455">
        <f t="shared" ca="1" si="129"/>
        <v>-9664871044.1549549</v>
      </c>
      <c r="M2416" s="471">
        <f t="shared" si="131"/>
        <v>0.05</v>
      </c>
      <c r="N2416" s="475">
        <f t="shared" si="132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30"/>
        <v>-9664871044.1549549</v>
      </c>
      <c r="J2417" s="455">
        <f t="array" ref="J2417">IFERROR(INDEX('Retirement Calculator'!K:K,MATCH('Lorri 401b'!N2417,'Retirement Calculator'!A:A,0),0),0)</f>
        <v>0</v>
      </c>
      <c r="K2417" s="455">
        <f t="shared" ca="1" si="128"/>
        <v>-40270296.017312311</v>
      </c>
      <c r="L2417" s="455">
        <f t="shared" ca="1" si="129"/>
        <v>-9705141340.1722679</v>
      </c>
      <c r="M2417" s="471">
        <f t="shared" si="131"/>
        <v>0.05</v>
      </c>
      <c r="N2417" s="475">
        <f t="shared" si="132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30"/>
        <v>-9705141340.1722679</v>
      </c>
      <c r="J2418" s="455">
        <f t="array" ref="J2418">IFERROR(INDEX('Retirement Calculator'!K:K,MATCH('Lorri 401b'!N2418,'Retirement Calculator'!A:A,0),0),0)</f>
        <v>0</v>
      </c>
      <c r="K2418" s="455">
        <f t="shared" ca="1" si="128"/>
        <v>-40438088.917384446</v>
      </c>
      <c r="L2418" s="455">
        <f t="shared" ca="1" si="129"/>
        <v>-9745579429.089653</v>
      </c>
      <c r="M2418" s="471">
        <f t="shared" si="131"/>
        <v>0.05</v>
      </c>
      <c r="N2418" s="475">
        <f t="shared" si="132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30"/>
        <v>-9745579429.089653</v>
      </c>
      <c r="J2419" s="455">
        <f t="array" ref="J2419">IFERROR(INDEX('Retirement Calculator'!K:K,MATCH('Lorri 401b'!N2419,'Retirement Calculator'!A:A,0),0),0)</f>
        <v>0</v>
      </c>
      <c r="K2419" s="455">
        <f t="shared" ca="1" si="128"/>
        <v>-40606580.954540223</v>
      </c>
      <c r="L2419" s="455">
        <f t="shared" ca="1" si="129"/>
        <v>-9786186010.0441933</v>
      </c>
      <c r="M2419" s="471">
        <f t="shared" si="131"/>
        <v>0.05</v>
      </c>
      <c r="N2419" s="475">
        <f t="shared" si="132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30"/>
        <v>-9786186010.0441933</v>
      </c>
      <c r="J2420" s="455">
        <f t="array" ref="J2420">IFERROR(INDEX('Retirement Calculator'!K:K,MATCH('Lorri 401b'!N2420,'Retirement Calculator'!A:A,0),0),0)</f>
        <v>0</v>
      </c>
      <c r="K2420" s="455">
        <f t="shared" ca="1" si="128"/>
        <v>-40775775.041850805</v>
      </c>
      <c r="L2420" s="455">
        <f t="shared" ca="1" si="129"/>
        <v>-9826961785.0860443</v>
      </c>
      <c r="M2420" s="471">
        <f t="shared" si="131"/>
        <v>0.05</v>
      </c>
      <c r="N2420" s="475">
        <f t="shared" si="132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30"/>
        <v>-9826961785.0860443</v>
      </c>
      <c r="J2421" s="455">
        <f t="array" ref="J2421">IFERROR(INDEX('Retirement Calculator'!K:K,MATCH('Lorri 401b'!N2421,'Retirement Calculator'!A:A,0),0),0)</f>
        <v>0</v>
      </c>
      <c r="K2421" s="455">
        <f t="shared" ca="1" si="128"/>
        <v>-40945674.104525186</v>
      </c>
      <c r="L2421" s="455">
        <f t="shared" ca="1" si="129"/>
        <v>-9867907459.1905689</v>
      </c>
      <c r="M2421" s="471">
        <f t="shared" si="131"/>
        <v>0.05</v>
      </c>
      <c r="N2421" s="475">
        <f t="shared" si="132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30"/>
        <v>-9867907459.1905689</v>
      </c>
      <c r="J2422" s="455">
        <f t="array" ref="J2422">IFERROR(INDEX('Retirement Calculator'!K:K,MATCH('Lorri 401b'!N2422,'Retirement Calculator'!A:A,0),0),0)</f>
        <v>0</v>
      </c>
      <c r="K2422" s="455">
        <f t="shared" ca="1" si="128"/>
        <v>-41116281.079960704</v>
      </c>
      <c r="L2422" s="455">
        <f t="shared" ca="1" si="129"/>
        <v>-9909023740.2705288</v>
      </c>
      <c r="M2422" s="471">
        <f t="shared" si="131"/>
        <v>0.05</v>
      </c>
      <c r="N2422" s="475">
        <f t="shared" si="132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30"/>
        <v>-9909023740.2705288</v>
      </c>
      <c r="J2423" s="455">
        <f t="array" ref="J2423">IFERROR(INDEX('Retirement Calculator'!K:K,MATCH('Lorri 401b'!N2423,'Retirement Calculator'!A:A,0),0),0)</f>
        <v>0</v>
      </c>
      <c r="K2423" s="455">
        <f t="shared" ca="1" si="128"/>
        <v>-41287598.91779387</v>
      </c>
      <c r="L2423" s="455">
        <f t="shared" ca="1" si="129"/>
        <v>-9950311339.1883221</v>
      </c>
      <c r="M2423" s="471">
        <f t="shared" si="131"/>
        <v>0.05</v>
      </c>
      <c r="N2423" s="475">
        <f t="shared" si="132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30"/>
        <v>-9950311339.1883221</v>
      </c>
      <c r="J2424" s="455">
        <f t="array" ref="J2424">IFERROR(INDEX('Retirement Calculator'!K:K,MATCH('Lorri 401b'!N2424,'Retirement Calculator'!A:A,0),0),0)</f>
        <v>0</v>
      </c>
      <c r="K2424" s="455">
        <f t="shared" ca="1" si="128"/>
        <v>-41459630.579951338</v>
      </c>
      <c r="L2424" s="455">
        <f t="shared" ca="1" si="129"/>
        <v>-9991770969.7682743</v>
      </c>
      <c r="M2424" s="471">
        <f t="shared" si="131"/>
        <v>0.05</v>
      </c>
      <c r="N2424" s="475">
        <f t="shared" si="132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30"/>
        <v>-9991770969.7682743</v>
      </c>
      <c r="J2425" s="455">
        <f t="array" ref="J2425">IFERROR(INDEX('Retirement Calculator'!K:K,MATCH('Lorri 401b'!N2425,'Retirement Calculator'!A:A,0),0),0)</f>
        <v>0</v>
      </c>
      <c r="K2425" s="455">
        <f t="shared" ca="1" si="128"/>
        <v>-41632379.040701143</v>
      </c>
      <c r="L2425" s="455">
        <f t="shared" ca="1" si="129"/>
        <v>-10033403348.808975</v>
      </c>
      <c r="M2425" s="471">
        <f t="shared" si="131"/>
        <v>0.05</v>
      </c>
      <c r="N2425" s="475">
        <f t="shared" si="132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30"/>
        <v>-10033403348.808975</v>
      </c>
      <c r="J2426" s="455">
        <f t="array" ref="J2426">IFERROR(INDEX('Retirement Calculator'!K:K,MATCH('Lorri 401b'!N2426,'Retirement Calculator'!A:A,0),0),0)</f>
        <v>0</v>
      </c>
      <c r="K2426" s="455">
        <f t="shared" ca="1" si="128"/>
        <v>-41805847.286704063</v>
      </c>
      <c r="L2426" s="455">
        <f t="shared" ca="1" si="129"/>
        <v>-10075209196.09568</v>
      </c>
      <c r="M2426" s="471">
        <f t="shared" si="131"/>
        <v>0.05</v>
      </c>
      <c r="N2426" s="475">
        <f t="shared" si="132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30"/>
        <v>-10075209196.09568</v>
      </c>
      <c r="J2427" s="455">
        <f t="array" ref="J2427">IFERROR(INDEX('Retirement Calculator'!K:K,MATCH('Lorri 401b'!N2427,'Retirement Calculator'!A:A,0),0),0)</f>
        <v>0</v>
      </c>
      <c r="K2427" s="455">
        <f t="shared" ca="1" si="128"/>
        <v>-41980038.317065336</v>
      </c>
      <c r="L2427" s="455">
        <f t="shared" ca="1" si="129"/>
        <v>-10117189234.412746</v>
      </c>
      <c r="M2427" s="471">
        <f t="shared" si="131"/>
        <v>0.05</v>
      </c>
      <c r="N2427" s="475">
        <f t="shared" si="132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30"/>
        <v>-10117189234.412746</v>
      </c>
      <c r="J2428" s="455">
        <f t="array" ref="J2428">IFERROR(INDEX('Retirement Calculator'!K:K,MATCH('Lorri 401b'!N2428,'Retirement Calculator'!A:A,0),0),0)</f>
        <v>0</v>
      </c>
      <c r="K2428" s="455">
        <f t="shared" ca="1" si="128"/>
        <v>-42154955.143386446</v>
      </c>
      <c r="L2428" s="455">
        <f t="shared" ca="1" si="129"/>
        <v>-10159344189.556133</v>
      </c>
      <c r="M2428" s="471">
        <f t="shared" si="131"/>
        <v>0.05</v>
      </c>
      <c r="N2428" s="475">
        <f t="shared" si="132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30"/>
        <v>-10159344189.556133</v>
      </c>
      <c r="J2429" s="455">
        <f t="array" ref="J2429">IFERROR(INDEX('Retirement Calculator'!K:K,MATCH('Lorri 401b'!N2429,'Retirement Calculator'!A:A,0),0),0)</f>
        <v>0</v>
      </c>
      <c r="K2429" s="455">
        <f t="shared" ca="1" si="128"/>
        <v>-42330600.789817221</v>
      </c>
      <c r="L2429" s="455">
        <f t="shared" ca="1" si="129"/>
        <v>-10201674790.345951</v>
      </c>
      <c r="M2429" s="471">
        <f t="shared" si="131"/>
        <v>0.05</v>
      </c>
      <c r="N2429" s="475">
        <f t="shared" si="132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30"/>
        <v>-10201674790.345951</v>
      </c>
      <c r="J2430" s="455">
        <f t="array" ref="J2430">IFERROR(INDEX('Retirement Calculator'!K:K,MATCH('Lorri 401b'!N2430,'Retirement Calculator'!A:A,0),0),0)</f>
        <v>0</v>
      </c>
      <c r="K2430" s="455">
        <f t="shared" ca="1" si="128"/>
        <v>-42506978.293108128</v>
      </c>
      <c r="L2430" s="455">
        <f t="shared" ca="1" si="129"/>
        <v>-10244181768.639059</v>
      </c>
      <c r="M2430" s="471">
        <f t="shared" si="131"/>
        <v>0.05</v>
      </c>
      <c r="N2430" s="475">
        <f t="shared" si="132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30"/>
        <v>-10244181768.639059</v>
      </c>
      <c r="J2431" s="455">
        <f t="array" ref="J2431">IFERROR(INDEX('Retirement Calculator'!K:K,MATCH('Lorri 401b'!N2431,'Retirement Calculator'!A:A,0),0),0)</f>
        <v>0</v>
      </c>
      <c r="K2431" s="455">
        <f t="shared" ca="1" si="128"/>
        <v>-42684090.702662744</v>
      </c>
      <c r="L2431" s="455">
        <f t="shared" ca="1" si="129"/>
        <v>-10286865859.341722</v>
      </c>
      <c r="M2431" s="471">
        <f t="shared" si="131"/>
        <v>0.05</v>
      </c>
      <c r="N2431" s="475">
        <f t="shared" si="132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30"/>
        <v>-10286865859.341722</v>
      </c>
      <c r="J2432" s="455">
        <f t="array" ref="J2432">IFERROR(INDEX('Retirement Calculator'!K:K,MATCH('Lorri 401b'!N2432,'Retirement Calculator'!A:A,0),0),0)</f>
        <v>0</v>
      </c>
      <c r="K2432" s="455">
        <f t="shared" ca="1" si="128"/>
        <v>-42861941.080590509</v>
      </c>
      <c r="L2432" s="455">
        <f t="shared" ca="1" si="129"/>
        <v>-10329727800.422314</v>
      </c>
      <c r="M2432" s="471">
        <f t="shared" si="131"/>
        <v>0.05</v>
      </c>
      <c r="N2432" s="475">
        <f t="shared" si="132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30"/>
        <v>-10329727800.422314</v>
      </c>
      <c r="J2433" s="455">
        <f t="array" ref="J2433">IFERROR(INDEX('Retirement Calculator'!K:K,MATCH('Lorri 401b'!N2433,'Retirement Calculator'!A:A,0),0),0)</f>
        <v>0</v>
      </c>
      <c r="K2433" s="455">
        <f t="shared" ca="1" si="128"/>
        <v>-43040532.501759641</v>
      </c>
      <c r="L2433" s="455">
        <f t="shared" ca="1" si="129"/>
        <v>-10372768332.924074</v>
      </c>
      <c r="M2433" s="471">
        <f t="shared" si="131"/>
        <v>0.05</v>
      </c>
      <c r="N2433" s="475">
        <f t="shared" si="132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30"/>
        <v>-10372768332.924074</v>
      </c>
      <c r="J2434" s="455">
        <f t="array" ref="J2434">IFERROR(INDEX('Retirement Calculator'!K:K,MATCH('Lorri 401b'!N2434,'Retirement Calculator'!A:A,0),0),0)</f>
        <v>0</v>
      </c>
      <c r="K2434" s="455">
        <f t="shared" ca="1" si="128"/>
        <v>-43219868.053850308</v>
      </c>
      <c r="L2434" s="455">
        <f t="shared" ca="1" si="129"/>
        <v>-10415988200.977924</v>
      </c>
      <c r="M2434" s="471">
        <f t="shared" si="131"/>
        <v>0.05</v>
      </c>
      <c r="N2434" s="475">
        <f t="shared" si="132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30"/>
        <v>-10415988200.977924</v>
      </c>
      <c r="J2435" s="455">
        <f t="array" ref="J2435">IFERROR(INDEX('Retirement Calculator'!K:K,MATCH('Lorri 401b'!N2435,'Retirement Calculator'!A:A,0),0),0)</f>
        <v>0</v>
      </c>
      <c r="K2435" s="455">
        <f t="shared" ca="1" si="128"/>
        <v>-43399950.837408021</v>
      </c>
      <c r="L2435" s="455">
        <f t="shared" ca="1" si="129"/>
        <v>-10459388151.815332</v>
      </c>
      <c r="M2435" s="471">
        <f t="shared" si="131"/>
        <v>0.05</v>
      </c>
      <c r="N2435" s="475">
        <f t="shared" si="132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30"/>
        <v>-10459388151.815332</v>
      </c>
      <c r="J2436" s="455">
        <f t="array" ref="J2436">IFERROR(INDEX('Retirement Calculator'!K:K,MATCH('Lorri 401b'!N2436,'Retirement Calculator'!A:A,0),0),0)</f>
        <v>0</v>
      </c>
      <c r="K2436" s="455">
        <f t="shared" ca="1" si="128"/>
        <v>-43580783.965897217</v>
      </c>
      <c r="L2436" s="455">
        <f t="shared" ca="1" si="129"/>
        <v>-10502968935.781229</v>
      </c>
      <c r="M2436" s="471">
        <f t="shared" si="131"/>
        <v>0.05</v>
      </c>
      <c r="N2436" s="475">
        <f t="shared" si="132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30"/>
        <v>-10502968935.781229</v>
      </c>
      <c r="J2437" s="455">
        <f t="array" ref="J2437">IFERROR(INDEX('Retirement Calculator'!K:K,MATCH('Lorri 401b'!N2437,'Retirement Calculator'!A:A,0),0),0)</f>
        <v>0</v>
      </c>
      <c r="K2437" s="455">
        <f t="shared" ca="1" si="128"/>
        <v>-43762370.565755121</v>
      </c>
      <c r="L2437" s="455">
        <f t="shared" ca="1" si="129"/>
        <v>-10546731306.346985</v>
      </c>
      <c r="M2437" s="471">
        <f t="shared" si="131"/>
        <v>0.05</v>
      </c>
      <c r="N2437" s="475">
        <f t="shared" si="132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30"/>
        <v>-10546731306.346985</v>
      </c>
      <c r="J2438" s="455">
        <f t="array" ref="J2438">IFERROR(INDEX('Retirement Calculator'!K:K,MATCH('Lorri 401b'!N2438,'Retirement Calculator'!A:A,0),0),0)</f>
        <v>0</v>
      </c>
      <c r="K2438" s="455">
        <f t="shared" ca="1" si="128"/>
        <v>-43944713.776445769</v>
      </c>
      <c r="L2438" s="455">
        <f t="shared" ca="1" si="129"/>
        <v>-10590676020.12343</v>
      </c>
      <c r="M2438" s="471">
        <f t="shared" si="131"/>
        <v>0.05</v>
      </c>
      <c r="N2438" s="475">
        <f t="shared" si="132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30"/>
        <v>-10590676020.12343</v>
      </c>
      <c r="J2439" s="455">
        <f t="array" ref="J2439">IFERROR(INDEX('Retirement Calculator'!K:K,MATCH('Lorri 401b'!N2439,'Retirement Calculator'!A:A,0),0),0)</f>
        <v>0</v>
      </c>
      <c r="K2439" s="455">
        <f t="shared" ca="1" si="128"/>
        <v>-44127816.750514291</v>
      </c>
      <c r="L2439" s="455">
        <f t="shared" ca="1" si="129"/>
        <v>-10634803836.873945</v>
      </c>
      <c r="M2439" s="471">
        <f t="shared" si="131"/>
        <v>0.05</v>
      </c>
      <c r="N2439" s="475">
        <f t="shared" si="132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30"/>
        <v>-10634803836.873945</v>
      </c>
      <c r="J2440" s="455">
        <f t="array" ref="J2440">IFERROR(INDEX('Retirement Calculator'!K:K,MATCH('Lorri 401b'!N2440,'Retirement Calculator'!A:A,0),0),0)</f>
        <v>0</v>
      </c>
      <c r="K2440" s="455">
        <f t="shared" ca="1" si="128"/>
        <v>-44311682.65364144</v>
      </c>
      <c r="L2440" s="455">
        <f t="shared" ca="1" si="129"/>
        <v>-10679115519.527586</v>
      </c>
      <c r="M2440" s="471">
        <f t="shared" si="131"/>
        <v>0.05</v>
      </c>
      <c r="N2440" s="475">
        <f t="shared" si="132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30"/>
        <v>-10679115519.527586</v>
      </c>
      <c r="J2441" s="455">
        <f t="array" ref="J2441">IFERROR(INDEX('Retirement Calculator'!K:K,MATCH('Lorri 401b'!N2441,'Retirement Calculator'!A:A,0),0),0)</f>
        <v>0</v>
      </c>
      <c r="K2441" s="455">
        <f t="shared" ca="1" si="128"/>
        <v>-44496314.664698273</v>
      </c>
      <c r="L2441" s="455">
        <f t="shared" ca="1" si="129"/>
        <v>-10723611834.192284</v>
      </c>
      <c r="M2441" s="471">
        <f t="shared" si="131"/>
        <v>0.05</v>
      </c>
      <c r="N2441" s="475">
        <f t="shared" si="132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30"/>
        <v>-10723611834.192284</v>
      </c>
      <c r="J2442" s="455">
        <f t="array" ref="J2442">IFERROR(INDEX('Retirement Calculator'!K:K,MATCH('Lorri 401b'!N2442,'Retirement Calculator'!A:A,0),0),0)</f>
        <v>0</v>
      </c>
      <c r="K2442" s="455">
        <f t="shared" ca="1" si="128"/>
        <v>-44681715.975801185</v>
      </c>
      <c r="L2442" s="455">
        <f t="shared" ca="1" si="129"/>
        <v>-10768293550.168085</v>
      </c>
      <c r="M2442" s="471">
        <f t="shared" si="131"/>
        <v>0.05</v>
      </c>
      <c r="N2442" s="475">
        <f t="shared" si="132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30"/>
        <v>-10768293550.168085</v>
      </c>
      <c r="J2443" s="455">
        <f t="array" ref="J2443">IFERROR(INDEX('Retirement Calculator'!K:K,MATCH('Lorri 401b'!N2443,'Retirement Calculator'!A:A,0),0),0)</f>
        <v>0</v>
      </c>
      <c r="K2443" s="455">
        <f t="shared" ca="1" si="128"/>
        <v>-44867889.792367019</v>
      </c>
      <c r="L2443" s="455">
        <f t="shared" ca="1" si="129"/>
        <v>-10813161439.960453</v>
      </c>
      <c r="M2443" s="471">
        <f t="shared" si="131"/>
        <v>0.05</v>
      </c>
      <c r="N2443" s="475">
        <f t="shared" si="132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30"/>
        <v>-10813161439.960453</v>
      </c>
      <c r="J2444" s="455">
        <f t="array" ref="J2444">IFERROR(INDEX('Retirement Calculator'!K:K,MATCH('Lorri 401b'!N2444,'Retirement Calculator'!A:A,0),0),0)</f>
        <v>0</v>
      </c>
      <c r="K2444" s="455">
        <f t="shared" ca="1" si="128"/>
        <v>-45054839.333168551</v>
      </c>
      <c r="L2444" s="455">
        <f t="shared" ca="1" si="129"/>
        <v>-10858216279.293621</v>
      </c>
      <c r="M2444" s="471">
        <f t="shared" si="131"/>
        <v>0.05</v>
      </c>
      <c r="N2444" s="475">
        <f t="shared" si="132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30"/>
        <v>-10858216279.293621</v>
      </c>
      <c r="J2445" s="455">
        <f t="array" ref="J2445">IFERROR(INDEX('Retirement Calculator'!K:K,MATCH('Lorri 401b'!N2445,'Retirement Calculator'!A:A,0),0),0)</f>
        <v>0</v>
      </c>
      <c r="K2445" s="455">
        <f t="shared" ca="1" si="128"/>
        <v>-45242567.830390088</v>
      </c>
      <c r="L2445" s="455">
        <f t="shared" ca="1" si="129"/>
        <v>-10903458847.124012</v>
      </c>
      <c r="M2445" s="471">
        <f t="shared" si="131"/>
        <v>0.05</v>
      </c>
      <c r="N2445" s="475">
        <f t="shared" si="132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30"/>
        <v>-10903458847.124012</v>
      </c>
      <c r="J2446" s="455">
        <f t="array" ref="J2446">IFERROR(INDEX('Retirement Calculator'!K:K,MATCH('Lorri 401b'!N2446,'Retirement Calculator'!A:A,0),0),0)</f>
        <v>0</v>
      </c>
      <c r="K2446" s="455">
        <f t="shared" ca="1" si="128"/>
        <v>-45431078.529683381</v>
      </c>
      <c r="L2446" s="455">
        <f t="shared" ca="1" si="129"/>
        <v>-10948889925.653696</v>
      </c>
      <c r="M2446" s="471">
        <f t="shared" si="131"/>
        <v>0.05</v>
      </c>
      <c r="N2446" s="475">
        <f t="shared" si="132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30"/>
        <v>-10948889925.653696</v>
      </c>
      <c r="J2447" s="455">
        <f t="array" ref="J2447">IFERROR(INDEX('Retirement Calculator'!K:K,MATCH('Lorri 401b'!N2447,'Retirement Calculator'!A:A,0),0),0)</f>
        <v>0</v>
      </c>
      <c r="K2447" s="455">
        <f t="shared" ca="1" si="128"/>
        <v>-45620374.690223731</v>
      </c>
      <c r="L2447" s="455">
        <f t="shared" ca="1" si="129"/>
        <v>-10994510300.34392</v>
      </c>
      <c r="M2447" s="471">
        <f t="shared" si="131"/>
        <v>0.05</v>
      </c>
      <c r="N2447" s="475">
        <f t="shared" si="132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30"/>
        <v>-10994510300.34392</v>
      </c>
      <c r="J2448" s="455">
        <f t="array" ref="J2448">IFERROR(INDEX('Retirement Calculator'!K:K,MATCH('Lorri 401b'!N2448,'Retirement Calculator'!A:A,0),0),0)</f>
        <v>0</v>
      </c>
      <c r="K2448" s="455">
        <f t="shared" ca="1" si="128"/>
        <v>-45810459.584766328</v>
      </c>
      <c r="L2448" s="455">
        <f t="shared" ca="1" si="129"/>
        <v>-11040320759.928686</v>
      </c>
      <c r="M2448" s="471">
        <f t="shared" si="131"/>
        <v>0.05</v>
      </c>
      <c r="N2448" s="475">
        <f t="shared" si="132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30"/>
        <v>-11040320759.928686</v>
      </c>
      <c r="J2449" s="455">
        <f t="array" ref="J2449">IFERROR(INDEX('Retirement Calculator'!K:K,MATCH('Lorri 401b'!N2449,'Retirement Calculator'!A:A,0),0),0)</f>
        <v>0</v>
      </c>
      <c r="K2449" s="455">
        <f t="shared" ca="1" si="128"/>
        <v>-46001336.499702856</v>
      </c>
      <c r="L2449" s="455">
        <f t="shared" ca="1" si="129"/>
        <v>-11086322096.428389</v>
      </c>
      <c r="M2449" s="471">
        <f t="shared" si="131"/>
        <v>0.05</v>
      </c>
      <c r="N2449" s="475">
        <f t="shared" si="132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30"/>
        <v>-11086322096.428389</v>
      </c>
      <c r="J2450" s="455">
        <f t="array" ref="J2450">IFERROR(INDEX('Retirement Calculator'!K:K,MATCH('Lorri 401b'!N2450,'Retirement Calculator'!A:A,0),0),0)</f>
        <v>0</v>
      </c>
      <c r="K2450" s="455">
        <f t="shared" ca="1" si="128"/>
        <v>-46193008.735118285</v>
      </c>
      <c r="L2450" s="455">
        <f t="shared" ca="1" si="129"/>
        <v>-11132515105.163507</v>
      </c>
      <c r="M2450" s="471">
        <f t="shared" si="131"/>
        <v>0.05</v>
      </c>
      <c r="N2450" s="475">
        <f t="shared" si="132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30"/>
        <v>-11132515105.163507</v>
      </c>
      <c r="J2451" s="455">
        <f t="array" ref="J2451">IFERROR(INDEX('Retirement Calculator'!K:K,MATCH('Lorri 401b'!N2451,'Retirement Calculator'!A:A,0),0),0)</f>
        <v>0</v>
      </c>
      <c r="K2451" s="455">
        <f t="shared" ca="1" si="128"/>
        <v>-46385479.604847945</v>
      </c>
      <c r="L2451" s="455">
        <f t="shared" ca="1" si="129"/>
        <v>-11178900584.768356</v>
      </c>
      <c r="M2451" s="471">
        <f t="shared" si="131"/>
        <v>0.05</v>
      </c>
      <c r="N2451" s="475">
        <f t="shared" si="132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30"/>
        <v>-11178900584.768356</v>
      </c>
      <c r="J2452" s="455">
        <f t="array" ref="J2452">IFERROR(INDEX('Retirement Calculator'!K:K,MATCH('Lorri 401b'!N2452,'Retirement Calculator'!A:A,0),0),0)</f>
        <v>0</v>
      </c>
      <c r="K2452" s="455">
        <f t="shared" ca="1" si="128"/>
        <v>-46578752.436534815</v>
      </c>
      <c r="L2452" s="455">
        <f t="shared" ca="1" si="129"/>
        <v>-11225479337.204891</v>
      </c>
      <c r="M2452" s="471">
        <f t="shared" si="131"/>
        <v>0.05</v>
      </c>
      <c r="N2452" s="475">
        <f t="shared" si="132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30"/>
        <v>-11225479337.204891</v>
      </c>
      <c r="J2453" s="455">
        <f t="array" ref="J2453">IFERROR(INDEX('Retirement Calculator'!K:K,MATCH('Lorri 401b'!N2453,'Retirement Calculator'!A:A,0),0),0)</f>
        <v>0</v>
      </c>
      <c r="K2453" s="455">
        <f t="shared" ca="1" si="128"/>
        <v>-46772830.571687043</v>
      </c>
      <c r="L2453" s="455">
        <f t="shared" ca="1" si="129"/>
        <v>-11272252167.776579</v>
      </c>
      <c r="M2453" s="471">
        <f t="shared" si="131"/>
        <v>0.05</v>
      </c>
      <c r="N2453" s="475">
        <f t="shared" si="132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30"/>
        <v>-11272252167.776579</v>
      </c>
      <c r="J2454" s="455">
        <f t="array" ref="J2454">IFERROR(INDEX('Retirement Calculator'!K:K,MATCH('Lorri 401b'!N2454,'Retirement Calculator'!A:A,0),0),0)</f>
        <v>0</v>
      </c>
      <c r="K2454" s="455">
        <f t="shared" ca="1" si="128"/>
        <v>-46967717.365735747</v>
      </c>
      <c r="L2454" s="455">
        <f t="shared" ca="1" si="129"/>
        <v>-11319219885.142315</v>
      </c>
      <c r="M2454" s="471">
        <f t="shared" si="131"/>
        <v>0.05</v>
      </c>
      <c r="N2454" s="475">
        <f t="shared" si="132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30"/>
        <v>-11319219885.142315</v>
      </c>
      <c r="J2455" s="455">
        <f t="array" ref="J2455">IFERROR(INDEX('Retirement Calculator'!K:K,MATCH('Lorri 401b'!N2455,'Retirement Calculator'!A:A,0),0),0)</f>
        <v>0</v>
      </c>
      <c r="K2455" s="455">
        <f t="shared" ca="1" si="128"/>
        <v>-47163416.188092977</v>
      </c>
      <c r="L2455" s="455">
        <f t="shared" ca="1" si="129"/>
        <v>-11366383301.330408</v>
      </c>
      <c r="M2455" s="471">
        <f t="shared" si="131"/>
        <v>0.05</v>
      </c>
      <c r="N2455" s="475">
        <f t="shared" si="132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30"/>
        <v>-11366383301.330408</v>
      </c>
      <c r="J2456" s="455">
        <f t="array" ref="J2456">IFERROR(INDEX('Retirement Calculator'!K:K,MATCH('Lorri 401b'!N2456,'Retirement Calculator'!A:A,0),0),0)</f>
        <v>0</v>
      </c>
      <c r="K2456" s="455">
        <f t="shared" ca="1" si="128"/>
        <v>-47359930.42221003</v>
      </c>
      <c r="L2456" s="455">
        <f t="shared" ca="1" si="129"/>
        <v>-11413743231.752619</v>
      </c>
      <c r="M2456" s="471">
        <f t="shared" si="131"/>
        <v>0.05</v>
      </c>
      <c r="N2456" s="475">
        <f t="shared" si="132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30"/>
        <v>-11413743231.752619</v>
      </c>
      <c r="J2457" s="455">
        <f t="array" ref="J2457">IFERROR(INDEX('Retirement Calculator'!K:K,MATCH('Lorri 401b'!N2457,'Retirement Calculator'!A:A,0),0),0)</f>
        <v>0</v>
      </c>
      <c r="K2457" s="455">
        <f t="shared" ca="1" si="128"/>
        <v>-47557263.465635911</v>
      </c>
      <c r="L2457" s="455">
        <f t="shared" ca="1" si="129"/>
        <v>-11461300495.218254</v>
      </c>
      <c r="M2457" s="471">
        <f t="shared" si="131"/>
        <v>0.05</v>
      </c>
      <c r="N2457" s="475">
        <f t="shared" si="132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30"/>
        <v>-11461300495.218254</v>
      </c>
      <c r="J2458" s="455">
        <f t="array" ref="J2458">IFERROR(INDEX('Retirement Calculator'!K:K,MATCH('Lorri 401b'!N2458,'Retirement Calculator'!A:A,0),0),0)</f>
        <v>0</v>
      </c>
      <c r="K2458" s="455">
        <f t="shared" ca="1" si="128"/>
        <v>-47755418.73007606</v>
      </c>
      <c r="L2458" s="455">
        <f t="shared" ca="1" si="129"/>
        <v>-11509055913.94833</v>
      </c>
      <c r="M2458" s="471">
        <f t="shared" si="131"/>
        <v>0.05</v>
      </c>
      <c r="N2458" s="475">
        <f t="shared" si="132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30"/>
        <v>-11509055913.94833</v>
      </c>
      <c r="J2459" s="455">
        <f t="array" ref="J2459">IFERROR(INDEX('Retirement Calculator'!K:K,MATCH('Lorri 401b'!N2459,'Retirement Calculator'!A:A,0),0),0)</f>
        <v>0</v>
      </c>
      <c r="K2459" s="455">
        <f t="shared" ca="1" si="128"/>
        <v>-47954399.641451374</v>
      </c>
      <c r="L2459" s="455">
        <f t="shared" ca="1" si="129"/>
        <v>-11557010313.589781</v>
      </c>
      <c r="M2459" s="471">
        <f t="shared" si="131"/>
        <v>0.05</v>
      </c>
      <c r="N2459" s="475">
        <f t="shared" si="132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30"/>
        <v>-11557010313.589781</v>
      </c>
      <c r="J2460" s="455">
        <f t="array" ref="J2460">IFERROR(INDEX('Retirement Calculator'!K:K,MATCH('Lorri 401b'!N2460,'Retirement Calculator'!A:A,0),0),0)</f>
        <v>0</v>
      </c>
      <c r="K2460" s="455">
        <f t="shared" ca="1" si="128"/>
        <v>-48154209.639957421</v>
      </c>
      <c r="L2460" s="455">
        <f t="shared" ca="1" si="129"/>
        <v>-11605164523.229738</v>
      </c>
      <c r="M2460" s="471">
        <f t="shared" si="131"/>
        <v>0.05</v>
      </c>
      <c r="N2460" s="475">
        <f t="shared" si="132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30"/>
        <v>-11605164523.229738</v>
      </c>
      <c r="J2461" s="455">
        <f t="array" ref="J2461">IFERROR(INDEX('Retirement Calculator'!K:K,MATCH('Lorri 401b'!N2461,'Retirement Calculator'!A:A,0),0),0)</f>
        <v>0</v>
      </c>
      <c r="K2461" s="455">
        <f t="shared" ca="1" si="128"/>
        <v>-48354852.18012391</v>
      </c>
      <c r="L2461" s="455">
        <f t="shared" ca="1" si="129"/>
        <v>-11653519375.409863</v>
      </c>
      <c r="M2461" s="471">
        <f t="shared" si="131"/>
        <v>0.05</v>
      </c>
      <c r="N2461" s="475">
        <f t="shared" si="132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30"/>
        <v>-11653519375.409863</v>
      </c>
      <c r="J2462" s="455">
        <f t="array" ref="J2462">IFERROR(INDEX('Retirement Calculator'!K:K,MATCH('Lorri 401b'!N2462,'Retirement Calculator'!A:A,0),0),0)</f>
        <v>0</v>
      </c>
      <c r="K2462" s="455">
        <f t="shared" ca="1" si="128"/>
        <v>-48556330.730874427</v>
      </c>
      <c r="L2462" s="455">
        <f t="shared" ca="1" si="129"/>
        <v>-11702075706.140738</v>
      </c>
      <c r="M2462" s="471">
        <f t="shared" si="131"/>
        <v>0.05</v>
      </c>
      <c r="N2462" s="475">
        <f t="shared" si="132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30"/>
        <v>-11702075706.140738</v>
      </c>
      <c r="J2463" s="455">
        <f t="array" ref="J2463">IFERROR(INDEX('Retirement Calculator'!K:K,MATCH('Lorri 401b'!N2463,'Retirement Calculator'!A:A,0),0),0)</f>
        <v>0</v>
      </c>
      <c r="K2463" s="455">
        <f t="shared" ca="1" si="128"/>
        <v>-48758648.775586404</v>
      </c>
      <c r="L2463" s="455">
        <f t="shared" ca="1" si="129"/>
        <v>-11750834354.916325</v>
      </c>
      <c r="M2463" s="471">
        <f t="shared" si="131"/>
        <v>0.05</v>
      </c>
      <c r="N2463" s="475">
        <f t="shared" si="132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30"/>
        <v>-11750834354.916325</v>
      </c>
      <c r="J2464" s="455">
        <f t="array" ref="J2464">IFERROR(INDEX('Retirement Calculator'!K:K,MATCH('Lorri 401b'!N2464,'Retirement Calculator'!A:A,0),0),0)</f>
        <v>0</v>
      </c>
      <c r="K2464" s="455">
        <f t="shared" ca="1" si="128"/>
        <v>-48961809.81215135</v>
      </c>
      <c r="L2464" s="455">
        <f t="shared" ca="1" si="129"/>
        <v>-11799796164.728476</v>
      </c>
      <c r="M2464" s="471">
        <f t="shared" si="131"/>
        <v>0.05</v>
      </c>
      <c r="N2464" s="475">
        <f t="shared" si="132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30"/>
        <v>-11799796164.728476</v>
      </c>
      <c r="J2465" s="455">
        <f t="array" ref="J2465">IFERROR(INDEX('Retirement Calculator'!K:K,MATCH('Lorri 401b'!N2465,'Retirement Calculator'!A:A,0),0),0)</f>
        <v>0</v>
      </c>
      <c r="K2465" s="455">
        <f t="shared" ca="1" si="128"/>
        <v>-49165817.353035316</v>
      </c>
      <c r="L2465" s="455">
        <f t="shared" ca="1" si="129"/>
        <v>-11848961982.081511</v>
      </c>
      <c r="M2465" s="471">
        <f t="shared" si="131"/>
        <v>0.05</v>
      </c>
      <c r="N2465" s="475">
        <f t="shared" si="132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30"/>
        <v>-11848961982.081511</v>
      </c>
      <c r="J2466" s="455">
        <f t="array" ref="J2466">IFERROR(INDEX('Retirement Calculator'!K:K,MATCH('Lorri 401b'!N2466,'Retirement Calculator'!A:A,0),0),0)</f>
        <v>0</v>
      </c>
      <c r="K2466" s="455">
        <f t="shared" ca="1" si="128"/>
        <v>-49370674.925339624</v>
      </c>
      <c r="L2466" s="455">
        <f t="shared" ca="1" si="129"/>
        <v>-11898332657.006849</v>
      </c>
      <c r="M2466" s="471">
        <f t="shared" si="131"/>
        <v>0.05</v>
      </c>
      <c r="N2466" s="475">
        <f t="shared" si="132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30"/>
        <v>-11898332657.006849</v>
      </c>
      <c r="J2467" s="455">
        <f t="array" ref="J2467">IFERROR(INDEX('Retirement Calculator'!K:K,MATCH('Lorri 401b'!N2467,'Retirement Calculator'!A:A,0),0),0)</f>
        <v>0</v>
      </c>
      <c r="K2467" s="455">
        <f t="shared" ca="1" si="128"/>
        <v>-49576386.070861869</v>
      </c>
      <c r="L2467" s="455">
        <f t="shared" ca="1" si="129"/>
        <v>-11947909043.077711</v>
      </c>
      <c r="M2467" s="471">
        <f t="shared" si="131"/>
        <v>0.05</v>
      </c>
      <c r="N2467" s="475">
        <f t="shared" si="132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30"/>
        <v>-11947909043.077711</v>
      </c>
      <c r="J2468" s="455">
        <f t="array" ref="J2468">IFERROR(INDEX('Retirement Calculator'!K:K,MATCH('Lorri 401b'!N2468,'Retirement Calculator'!A:A,0),0),0)</f>
        <v>0</v>
      </c>
      <c r="K2468" s="455">
        <f t="shared" ca="1" si="128"/>
        <v>-49782954.346157126</v>
      </c>
      <c r="L2468" s="455">
        <f t="shared" ca="1" si="129"/>
        <v>-11997691997.423868</v>
      </c>
      <c r="M2468" s="471">
        <f t="shared" si="131"/>
        <v>0.05</v>
      </c>
      <c r="N2468" s="475">
        <f t="shared" si="132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30"/>
        <v>-11997691997.423868</v>
      </c>
      <c r="J2469" s="455">
        <f t="array" ref="J2469">IFERROR(INDEX('Retirement Calculator'!K:K,MATCH('Lorri 401b'!N2469,'Retirement Calculator'!A:A,0),0),0)</f>
        <v>0</v>
      </c>
      <c r="K2469" s="455">
        <f t="shared" ca="1" si="128"/>
        <v>-49990383.322599448</v>
      </c>
      <c r="L2469" s="455">
        <f t="shared" ca="1" si="129"/>
        <v>-12047682380.746468</v>
      </c>
      <c r="M2469" s="471">
        <f t="shared" si="131"/>
        <v>0.05</v>
      </c>
      <c r="N2469" s="475">
        <f t="shared" si="132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30"/>
        <v>-12047682380.746468</v>
      </c>
      <c r="J2470" s="455">
        <f t="array" ref="J2470">IFERROR(INDEX('Retirement Calculator'!K:K,MATCH('Lorri 401b'!N2470,'Retirement Calculator'!A:A,0),0),0)</f>
        <v>0</v>
      </c>
      <c r="K2470" s="455">
        <f t="shared" ca="1" si="128"/>
        <v>-50198676.586443618</v>
      </c>
      <c r="L2470" s="455">
        <f t="shared" ca="1" si="129"/>
        <v>-12097881057.332911</v>
      </c>
      <c r="M2470" s="471">
        <f t="shared" si="131"/>
        <v>0.05</v>
      </c>
      <c r="N2470" s="475">
        <f t="shared" si="132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30"/>
        <v>-12097881057.332911</v>
      </c>
      <c r="J2471" s="455">
        <f t="array" ref="J2471">IFERROR(INDEX('Retirement Calculator'!K:K,MATCH('Lorri 401b'!N2471,'Retirement Calculator'!A:A,0),0),0)</f>
        <v>0</v>
      </c>
      <c r="K2471" s="455">
        <f t="shared" ca="1" si="128"/>
        <v>-50407837.738887124</v>
      </c>
      <c r="L2471" s="455">
        <f t="shared" ca="1" si="129"/>
        <v>-12148288895.071798</v>
      </c>
      <c r="M2471" s="471">
        <f t="shared" si="131"/>
        <v>0.05</v>
      </c>
      <c r="N2471" s="475">
        <f t="shared" si="132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30"/>
        <v>-12148288895.071798</v>
      </c>
      <c r="J2472" s="455">
        <f t="array" ref="J2472">IFERROR(INDEX('Retirement Calculator'!K:K,MATCH('Lorri 401b'!N2472,'Retirement Calculator'!A:A,0),0),0)</f>
        <v>0</v>
      </c>
      <c r="K2472" s="455">
        <f t="shared" ca="1" si="128"/>
        <v>-50617870.396132492</v>
      </c>
      <c r="L2472" s="455">
        <f t="shared" ca="1" si="129"/>
        <v>-12198906765.467932</v>
      </c>
      <c r="M2472" s="471">
        <f t="shared" si="131"/>
        <v>0.05</v>
      </c>
      <c r="N2472" s="475">
        <f t="shared" si="132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30"/>
        <v>-12198906765.467932</v>
      </c>
      <c r="J2473" s="455">
        <f t="array" ref="J2473">IFERROR(INDEX('Retirement Calculator'!K:K,MATCH('Lorri 401b'!N2473,'Retirement Calculator'!A:A,0),0),0)</f>
        <v>0</v>
      </c>
      <c r="K2473" s="455">
        <f t="shared" ca="1" si="128"/>
        <v>-50828778.189449713</v>
      </c>
      <c r="L2473" s="455">
        <f t="shared" ca="1" si="129"/>
        <v>-12249735543.657381</v>
      </c>
      <c r="M2473" s="471">
        <f t="shared" si="131"/>
        <v>0.05</v>
      </c>
      <c r="N2473" s="475">
        <f t="shared" si="132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30"/>
        <v>-12249735543.657381</v>
      </c>
      <c r="J2474" s="455">
        <f t="array" ref="J2474">IFERROR(INDEX('Retirement Calculator'!K:K,MATCH('Lorri 401b'!N2474,'Retirement Calculator'!A:A,0),0),0)</f>
        <v>0</v>
      </c>
      <c r="K2474" s="455">
        <f t="shared" ca="1" si="128"/>
        <v>-51040564.76523909</v>
      </c>
      <c r="L2474" s="455">
        <f t="shared" ca="1" si="129"/>
        <v>-12300776108.422621</v>
      </c>
      <c r="M2474" s="471">
        <f t="shared" si="131"/>
        <v>0.05</v>
      </c>
      <c r="N2474" s="475">
        <f t="shared" si="132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30"/>
        <v>-12300776108.422621</v>
      </c>
      <c r="J2475" s="455">
        <f t="array" ref="J2475">IFERROR(INDEX('Retirement Calculator'!K:K,MATCH('Lorri 401b'!N2475,'Retirement Calculator'!A:A,0),0),0)</f>
        <v>0</v>
      </c>
      <c r="K2475" s="455">
        <f t="shared" ca="1" si="128"/>
        <v>-51253233.785094254</v>
      </c>
      <c r="L2475" s="455">
        <f t="shared" ca="1" si="129"/>
        <v>-12352029342.207714</v>
      </c>
      <c r="M2475" s="471">
        <f t="shared" si="131"/>
        <v>0.05</v>
      </c>
      <c r="N2475" s="475">
        <f t="shared" si="132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30"/>
        <v>-12352029342.207714</v>
      </c>
      <c r="J2476" s="455">
        <f t="array" ref="J2476">IFERROR(INDEX('Retirement Calculator'!K:K,MATCH('Lorri 401b'!N2476,'Retirement Calculator'!A:A,0),0),0)</f>
        <v>0</v>
      </c>
      <c r="K2476" s="455">
        <f t="shared" ca="1" si="128"/>
        <v>-51466788.925865471</v>
      </c>
      <c r="L2476" s="455">
        <f t="shared" ca="1" si="129"/>
        <v>-12403496131.133579</v>
      </c>
      <c r="M2476" s="471">
        <f t="shared" si="131"/>
        <v>0.05</v>
      </c>
      <c r="N2476" s="475">
        <f t="shared" si="132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30"/>
        <v>-12403496131.133579</v>
      </c>
      <c r="J2477" s="455">
        <f t="array" ref="J2477">IFERROR(INDEX('Retirement Calculator'!K:K,MATCH('Lorri 401b'!N2477,'Retirement Calculator'!A:A,0),0),0)</f>
        <v>0</v>
      </c>
      <c r="K2477" s="455">
        <f t="shared" ca="1" si="128"/>
        <v>-51681233.879723243</v>
      </c>
      <c r="L2477" s="455">
        <f t="shared" ca="1" si="129"/>
        <v>-12455177365.013302</v>
      </c>
      <c r="M2477" s="471">
        <f t="shared" si="131"/>
        <v>0.05</v>
      </c>
      <c r="N2477" s="475">
        <f t="shared" si="132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30"/>
        <v>-12455177365.013302</v>
      </c>
      <c r="J2478" s="455">
        <f t="array" ref="J2478">IFERROR(INDEX('Retirement Calculator'!K:K,MATCH('Lorri 401b'!N2478,'Retirement Calculator'!A:A,0),0),0)</f>
        <v>0</v>
      </c>
      <c r="K2478" s="455">
        <f t="shared" ca="1" si="128"/>
        <v>-51896572.354222089</v>
      </c>
      <c r="L2478" s="455">
        <f t="shared" ca="1" si="129"/>
        <v>-12507073937.367523</v>
      </c>
      <c r="M2478" s="471">
        <f t="shared" si="131"/>
        <v>0.05</v>
      </c>
      <c r="N2478" s="475">
        <f t="shared" si="132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30"/>
        <v>-12507073937.367523</v>
      </c>
      <c r="J2479" s="455">
        <f t="array" ref="J2479">IFERROR(INDEX('Retirement Calculator'!K:K,MATCH('Lorri 401b'!N2479,'Retirement Calculator'!A:A,0),0),0)</f>
        <v>0</v>
      </c>
      <c r="K2479" s="455">
        <f t="shared" ca="1" si="128"/>
        <v>-52112808.07236468</v>
      </c>
      <c r="L2479" s="455">
        <f t="shared" ca="1" si="129"/>
        <v>-12559186745.439888</v>
      </c>
      <c r="M2479" s="471">
        <f t="shared" si="131"/>
        <v>0.05</v>
      </c>
      <c r="N2479" s="475">
        <f t="shared" si="132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30"/>
        <v>-12559186745.439888</v>
      </c>
      <c r="J2480" s="455">
        <f t="array" ref="J2480">IFERROR(INDEX('Retirement Calculator'!K:K,MATCH('Lorri 401b'!N2480,'Retirement Calculator'!A:A,0),0),0)</f>
        <v>0</v>
      </c>
      <c r="K2480" s="455">
        <f t="shared" ca="1" si="128"/>
        <v>-52329944.772666201</v>
      </c>
      <c r="L2480" s="455">
        <f t="shared" ca="1" si="129"/>
        <v>-12611516690.212555</v>
      </c>
      <c r="M2480" s="471">
        <f t="shared" si="131"/>
        <v>0.05</v>
      </c>
      <c r="N2480" s="475">
        <f t="shared" si="132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30"/>
        <v>-12611516690.212555</v>
      </c>
      <c r="J2481" s="455">
        <f t="array" ref="J2481">IFERROR(INDEX('Retirement Calculator'!K:K,MATCH('Lorri 401b'!N2481,'Retirement Calculator'!A:A,0),0),0)</f>
        <v>0</v>
      </c>
      <c r="K2481" s="455">
        <f t="shared" ca="1" si="128"/>
        <v>-52547986.209218979</v>
      </c>
      <c r="L2481" s="455">
        <f t="shared" ca="1" si="129"/>
        <v>-12664064676.421774</v>
      </c>
      <c r="M2481" s="471">
        <f t="shared" si="131"/>
        <v>0.05</v>
      </c>
      <c r="N2481" s="475">
        <f t="shared" si="132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30"/>
        <v>-12664064676.421774</v>
      </c>
      <c r="J2482" s="455">
        <f t="array" ref="J2482">IFERROR(INDEX('Retirement Calculator'!K:K,MATCH('Lorri 401b'!N2482,'Retirement Calculator'!A:A,0),0),0)</f>
        <v>0</v>
      </c>
      <c r="K2482" s="455">
        <f t="shared" ca="1" si="128"/>
        <v>-52766936.151757389</v>
      </c>
      <c r="L2482" s="455">
        <f t="shared" ca="1" si="129"/>
        <v>-12716831612.573532</v>
      </c>
      <c r="M2482" s="471">
        <f t="shared" si="131"/>
        <v>0.05</v>
      </c>
      <c r="N2482" s="475">
        <f t="shared" si="132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30"/>
        <v>-12716831612.573532</v>
      </c>
      <c r="J2483" s="455">
        <f t="array" ref="J2483">IFERROR(INDEX('Retirement Calculator'!K:K,MATCH('Lorri 401b'!N2483,'Retirement Calculator'!A:A,0),0),0)</f>
        <v>0</v>
      </c>
      <c r="K2483" s="455">
        <f t="shared" ca="1" si="128"/>
        <v>-52986798.385723047</v>
      </c>
      <c r="L2483" s="455">
        <f t="shared" ca="1" si="129"/>
        <v>-12769818410.959255</v>
      </c>
      <c r="M2483" s="471">
        <f t="shared" si="131"/>
        <v>0.05</v>
      </c>
      <c r="N2483" s="475">
        <f t="shared" si="132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30"/>
        <v>-12769818410.959255</v>
      </c>
      <c r="J2484" s="455">
        <f t="array" ref="J2484">IFERROR(INDEX('Retirement Calculator'!K:K,MATCH('Lorri 401b'!N2484,'Retirement Calculator'!A:A,0),0),0)</f>
        <v>0</v>
      </c>
      <c r="K2484" s="455">
        <f t="shared" ca="1" si="128"/>
        <v>-53207576.71233023</v>
      </c>
      <c r="L2484" s="455">
        <f t="shared" ca="1" si="129"/>
        <v>-12823025987.671585</v>
      </c>
      <c r="M2484" s="471">
        <f t="shared" si="131"/>
        <v>0.05</v>
      </c>
      <c r="N2484" s="475">
        <f t="shared" si="132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30"/>
        <v>-12823025987.671585</v>
      </c>
      <c r="J2485" s="455">
        <f t="array" ref="J2485">IFERROR(INDEX('Retirement Calculator'!K:K,MATCH('Lorri 401b'!N2485,'Retirement Calculator'!A:A,0),0),0)</f>
        <v>0</v>
      </c>
      <c r="K2485" s="455">
        <f t="shared" ca="1" si="128"/>
        <v>-53429274.948631607</v>
      </c>
      <c r="L2485" s="455">
        <f t="shared" ca="1" si="129"/>
        <v>-12876455262.620216</v>
      </c>
      <c r="M2485" s="471">
        <f t="shared" si="131"/>
        <v>0.05</v>
      </c>
      <c r="N2485" s="475">
        <f t="shared" si="132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30"/>
        <v>-12876455262.620216</v>
      </c>
      <c r="J2486" s="455">
        <f t="array" ref="J2486">IFERROR(INDEX('Retirement Calculator'!K:K,MATCH('Lorri 401b'!N2486,'Retirement Calculator'!A:A,0),0),0)</f>
        <v>0</v>
      </c>
      <c r="K2486" s="455">
        <f t="shared" ca="1" si="128"/>
        <v>-53651896.927584231</v>
      </c>
      <c r="L2486" s="455">
        <f t="shared" ca="1" si="129"/>
        <v>-12930107159.5478</v>
      </c>
      <c r="M2486" s="471">
        <f t="shared" si="131"/>
        <v>0.05</v>
      </c>
      <c r="N2486" s="475">
        <f t="shared" si="132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30"/>
        <v>-12930107159.5478</v>
      </c>
      <c r="J2487" s="455">
        <f t="array" ref="J2487">IFERROR(INDEX('Retirement Calculator'!K:K,MATCH('Lorri 401b'!N2487,'Retirement Calculator'!A:A,0),0),0)</f>
        <v>0</v>
      </c>
      <c r="K2487" s="455">
        <f t="shared" ca="1" si="128"/>
        <v>-53875446.49811583</v>
      </c>
      <c r="L2487" s="455">
        <f t="shared" ca="1" si="129"/>
        <v>-12983982606.045916</v>
      </c>
      <c r="M2487" s="471">
        <f t="shared" si="131"/>
        <v>0.05</v>
      </c>
      <c r="N2487" s="475">
        <f t="shared" si="132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30"/>
        <v>-12983982606.045916</v>
      </c>
      <c r="J2488" s="455">
        <f t="array" ref="J2488">IFERROR(INDEX('Retirement Calculator'!K:K,MATCH('Lorri 401b'!N2488,'Retirement Calculator'!A:A,0),0),0)</f>
        <v>0</v>
      </c>
      <c r="K2488" s="455">
        <f t="shared" ca="1" si="128"/>
        <v>-54099927.525191315</v>
      </c>
      <c r="L2488" s="455">
        <f t="shared" ca="1" si="129"/>
        <v>-13038082533.571108</v>
      </c>
      <c r="M2488" s="471">
        <f t="shared" si="131"/>
        <v>0.05</v>
      </c>
      <c r="N2488" s="475">
        <f t="shared" si="132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30"/>
        <v>-13038082533.571108</v>
      </c>
      <c r="J2489" s="455">
        <f t="array" ref="J2489">IFERROR(INDEX('Retirement Calculator'!K:K,MATCH('Lorri 401b'!N2489,'Retirement Calculator'!A:A,0),0),0)</f>
        <v>0</v>
      </c>
      <c r="K2489" s="455">
        <f t="shared" ca="1" si="128"/>
        <v>-54325343.889879614</v>
      </c>
      <c r="L2489" s="455">
        <f t="shared" ca="1" si="129"/>
        <v>-13092407877.460987</v>
      </c>
      <c r="M2489" s="471">
        <f t="shared" si="131"/>
        <v>0.05</v>
      </c>
      <c r="N2489" s="475">
        <f t="shared" si="132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30"/>
        <v>-13092407877.460987</v>
      </c>
      <c r="J2490" s="455">
        <f t="array" ref="J2490">IFERROR(INDEX('Retirement Calculator'!K:K,MATCH('Lorri 401b'!N2490,'Retirement Calculator'!A:A,0),0),0)</f>
        <v>0</v>
      </c>
      <c r="K2490" s="455">
        <f t="shared" ca="1" si="128"/>
        <v>-54551699.489420779</v>
      </c>
      <c r="L2490" s="455">
        <f t="shared" ca="1" si="129"/>
        <v>-13146959576.950407</v>
      </c>
      <c r="M2490" s="471">
        <f t="shared" si="131"/>
        <v>0.05</v>
      </c>
      <c r="N2490" s="475">
        <f t="shared" si="132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30"/>
        <v>-13146959576.950407</v>
      </c>
      <c r="J2491" s="455">
        <f t="array" ref="J2491">IFERROR(INDEX('Retirement Calculator'!K:K,MATCH('Lorri 401b'!N2491,'Retirement Calculator'!A:A,0),0),0)</f>
        <v>0</v>
      </c>
      <c r="K2491" s="455">
        <f t="shared" ca="1" si="128"/>
        <v>-54778998.237293363</v>
      </c>
      <c r="L2491" s="455">
        <f t="shared" ca="1" si="129"/>
        <v>-13201738575.1877</v>
      </c>
      <c r="M2491" s="471">
        <f t="shared" si="131"/>
        <v>0.05</v>
      </c>
      <c r="N2491" s="475">
        <f t="shared" si="132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30"/>
        <v>-13201738575.1877</v>
      </c>
      <c r="J2492" s="455">
        <f t="array" ref="J2492">IFERROR(INDEX('Retirement Calculator'!K:K,MATCH('Lorri 401b'!N2492,'Retirement Calculator'!A:A,0),0),0)</f>
        <v>0</v>
      </c>
      <c r="K2492" s="455">
        <f t="shared" ca="1" si="128"/>
        <v>-55007244.06328208</v>
      </c>
      <c r="L2492" s="455">
        <f t="shared" ca="1" si="129"/>
        <v>-13256745819.250982</v>
      </c>
      <c r="M2492" s="471">
        <f t="shared" si="131"/>
        <v>0.05</v>
      </c>
      <c r="N2492" s="475">
        <f t="shared" si="132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30"/>
        <v>-13256745819.250982</v>
      </c>
      <c r="J2493" s="455">
        <f t="array" ref="J2493">IFERROR(INDEX('Retirement Calculator'!K:K,MATCH('Lorri 401b'!N2493,'Retirement Calculator'!A:A,0),0),0)</f>
        <v>0</v>
      </c>
      <c r="K2493" s="455">
        <f t="shared" ca="1" si="128"/>
        <v>-55236440.913545758</v>
      </c>
      <c r="L2493" s="455">
        <f t="shared" ca="1" si="129"/>
        <v>-13311982260.164528</v>
      </c>
      <c r="M2493" s="471">
        <f t="shared" si="131"/>
        <v>0.05</v>
      </c>
      <c r="N2493" s="475">
        <f t="shared" si="132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30"/>
        <v>-13311982260.164528</v>
      </c>
      <c r="J2494" s="455">
        <f t="array" ref="J2494">IFERROR(INDEX('Retirement Calculator'!K:K,MATCH('Lorri 401b'!N2494,'Retirement Calculator'!A:A,0),0),0)</f>
        <v>0</v>
      </c>
      <c r="K2494" s="455">
        <f t="shared" ca="1" si="128"/>
        <v>-55466592.750685535</v>
      </c>
      <c r="L2494" s="455">
        <f t="shared" ca="1" si="129"/>
        <v>-13367448852.915213</v>
      </c>
      <c r="M2494" s="471">
        <f t="shared" si="131"/>
        <v>0.05</v>
      </c>
      <c r="N2494" s="475">
        <f t="shared" si="132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30"/>
        <v>-13367448852.915213</v>
      </c>
      <c r="J2495" s="455">
        <f t="array" ref="J2495">IFERROR(INDEX('Retirement Calculator'!K:K,MATCH('Lorri 401b'!N2495,'Retirement Calculator'!A:A,0),0),0)</f>
        <v>0</v>
      </c>
      <c r="K2495" s="455">
        <f t="shared" ca="1" si="128"/>
        <v>-55697703.553813383</v>
      </c>
      <c r="L2495" s="455">
        <f t="shared" ca="1" si="129"/>
        <v>-13423146556.469027</v>
      </c>
      <c r="M2495" s="471">
        <f t="shared" si="131"/>
        <v>0.05</v>
      </c>
      <c r="N2495" s="475">
        <f t="shared" si="132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30"/>
        <v>-13423146556.469027</v>
      </c>
      <c r="J2496" s="455">
        <f t="array" ref="J2496">IFERROR(INDEX('Retirement Calculator'!K:K,MATCH('Lorri 401b'!N2496,'Retirement Calculator'!A:A,0),0),0)</f>
        <v>0</v>
      </c>
      <c r="K2496" s="455">
        <f t="shared" ca="1" si="128"/>
        <v>-55929777.318620935</v>
      </c>
      <c r="L2496" s="455">
        <f t="shared" ca="1" si="129"/>
        <v>-13479076333.787647</v>
      </c>
      <c r="M2496" s="471">
        <f t="shared" si="131"/>
        <v>0.05</v>
      </c>
      <c r="N2496" s="475">
        <f t="shared" si="132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30"/>
        <v>-13479076333.787647</v>
      </c>
      <c r="J2497" s="455">
        <f t="array" ref="J2497">IFERROR(INDEX('Retirement Calculator'!K:K,MATCH('Lorri 401b'!N2497,'Retirement Calculator'!A:A,0),0),0)</f>
        <v>0</v>
      </c>
      <c r="K2497" s="455">
        <f t="shared" ca="1" si="128"/>
        <v>-56162818.057448536</v>
      </c>
      <c r="L2497" s="455">
        <f t="shared" ca="1" si="129"/>
        <v>-13535239151.845097</v>
      </c>
      <c r="M2497" s="471">
        <f t="shared" si="131"/>
        <v>0.05</v>
      </c>
      <c r="N2497" s="475">
        <f t="shared" si="132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30"/>
        <v>-13535239151.845097</v>
      </c>
      <c r="J2498" s="455">
        <f t="array" ref="J2498">IFERROR(INDEX('Retirement Calculator'!K:K,MATCH('Lorri 401b'!N2498,'Retirement Calculator'!A:A,0),0),0)</f>
        <v>0</v>
      </c>
      <c r="K2498" s="455">
        <f t="shared" ca="1" si="128"/>
        <v>-56396829.799354568</v>
      </c>
      <c r="L2498" s="455">
        <f t="shared" ca="1" si="129"/>
        <v>-13591635981.644451</v>
      </c>
      <c r="M2498" s="471">
        <f t="shared" si="131"/>
        <v>0.05</v>
      </c>
      <c r="N2498" s="475">
        <f t="shared" si="132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30"/>
        <v>-13591635981.644451</v>
      </c>
      <c r="J2499" s="455">
        <f t="array" ref="J2499">IFERROR(INDEX('Retirement Calculator'!K:K,MATCH('Lorri 401b'!N2499,'Retirement Calculator'!A:A,0),0),0)</f>
        <v>0</v>
      </c>
      <c r="K2499" s="455">
        <f t="shared" ca="1" si="128"/>
        <v>-56631816.590185218</v>
      </c>
      <c r="L2499" s="455">
        <f t="shared" ca="1" si="129"/>
        <v>-13648267798.234636</v>
      </c>
      <c r="M2499" s="471">
        <f t="shared" si="131"/>
        <v>0.05</v>
      </c>
      <c r="N2499" s="475">
        <f t="shared" si="132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30"/>
        <v>-13648267798.234636</v>
      </c>
      <c r="J2500" s="455">
        <f t="array" ref="J2500">IFERROR(INDEX('Retirement Calculator'!K:K,MATCH('Lorri 401b'!N2500,'Retirement Calculator'!A:A,0),0),0)</f>
        <v>0</v>
      </c>
      <c r="K2500" s="455">
        <f t="shared" ca="1" si="128"/>
        <v>-56867782.49264431</v>
      </c>
      <c r="L2500" s="455">
        <f t="shared" ca="1" si="129"/>
        <v>-13705135580.72728</v>
      </c>
      <c r="M2500" s="471">
        <f t="shared" si="131"/>
        <v>0.05</v>
      </c>
      <c r="N2500" s="475">
        <f t="shared" si="132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30"/>
        <v>-13705135580.72728</v>
      </c>
      <c r="J2501" s="455">
        <f t="array" ref="J2501">IFERROR(INDEX('Retirement Calculator'!K:K,MATCH('Lorri 401b'!N2501,'Retirement Calculator'!A:A,0),0),0)</f>
        <v>0</v>
      </c>
      <c r="K2501" s="455">
        <f t="shared" ca="1" si="128"/>
        <v>-57104731.586363666</v>
      </c>
      <c r="L2501" s="455">
        <f t="shared" ca="1" si="129"/>
        <v>-13762240312.313643</v>
      </c>
      <c r="M2501" s="471">
        <f t="shared" si="131"/>
        <v>0.05</v>
      </c>
      <c r="N2501" s="475">
        <f t="shared" si="132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30"/>
        <v>-13762240312.313643</v>
      </c>
      <c r="J2502" s="455">
        <f t="array" ref="J2502">IFERROR(INDEX('Retirement Calculator'!K:K,MATCH('Lorri 401b'!N2502,'Retirement Calculator'!A:A,0),0),0)</f>
        <v>0</v>
      </c>
      <c r="K2502" s="455">
        <f t="shared" ca="1" si="128"/>
        <v>-57342667.967973508</v>
      </c>
      <c r="L2502" s="455">
        <f t="shared" ca="1" si="129"/>
        <v>-13819582980.281616</v>
      </c>
      <c r="M2502" s="471">
        <f t="shared" si="131"/>
        <v>0.05</v>
      </c>
      <c r="N2502" s="475">
        <f t="shared" si="132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30"/>
        <v>-13819582980.281616</v>
      </c>
      <c r="J2503" s="455">
        <f t="array" ref="J2503">IFERROR(INDEX('Retirement Calculator'!K:K,MATCH('Lorri 401b'!N2503,'Retirement Calculator'!A:A,0),0),0)</f>
        <v>0</v>
      </c>
      <c r="K2503" s="455">
        <f t="shared" ca="1" si="128"/>
        <v>-57581595.751173399</v>
      </c>
      <c r="L2503" s="455">
        <f t="shared" ca="1" si="129"/>
        <v>-13877164576.032789</v>
      </c>
      <c r="M2503" s="471">
        <f t="shared" si="131"/>
        <v>0.05</v>
      </c>
      <c r="N2503" s="475">
        <f t="shared" si="132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30"/>
        <v>-13877164576.032789</v>
      </c>
      <c r="J2504" s="455">
        <f t="array" ref="J2504">IFERROR(INDEX('Retirement Calculator'!K:K,MATCH('Lorri 401b'!N2504,'Retirement Calculator'!A:A,0),0),0)</f>
        <v>0</v>
      </c>
      <c r="K2504" s="455">
        <f t="shared" ca="1" si="128"/>
        <v>-57821519.066803284</v>
      </c>
      <c r="L2504" s="455">
        <f t="shared" ca="1" si="129"/>
        <v>-13934986095.099592</v>
      </c>
      <c r="M2504" s="471">
        <f t="shared" si="131"/>
        <v>0.05</v>
      </c>
      <c r="N2504" s="475">
        <f t="shared" si="132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30"/>
        <v>-13934986095.099592</v>
      </c>
      <c r="J2505" s="455">
        <f t="array" ref="J2505">IFERROR(INDEX('Retirement Calculator'!K:K,MATCH('Lorri 401b'!N2505,'Retirement Calculator'!A:A,0),0),0)</f>
        <v>0</v>
      </c>
      <c r="K2505" s="455">
        <f t="shared" ca="1" si="128"/>
        <v>-58062442.06291496</v>
      </c>
      <c r="L2505" s="455">
        <f t="shared" ca="1" si="129"/>
        <v>-13993048537.162508</v>
      </c>
      <c r="M2505" s="471">
        <f t="shared" si="131"/>
        <v>0.05</v>
      </c>
      <c r="N2505" s="475">
        <f t="shared" si="132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30"/>
        <v>-13993048537.162508</v>
      </c>
      <c r="J2506" s="455">
        <f t="array" ref="J2506">IFERROR(INDEX('Retirement Calculator'!K:K,MATCH('Lorri 401b'!N2506,'Retirement Calculator'!A:A,0),0),0)</f>
        <v>0</v>
      </c>
      <c r="K2506" s="455">
        <f t="shared" ca="1" si="128"/>
        <v>-58304368.904843785</v>
      </c>
      <c r="L2506" s="455">
        <f t="shared" ca="1" si="129"/>
        <v>-14051352906.067352</v>
      </c>
      <c r="M2506" s="471">
        <f t="shared" si="131"/>
        <v>0.05</v>
      </c>
      <c r="N2506" s="475">
        <f t="shared" si="132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30"/>
        <v>-14051352906.067352</v>
      </c>
      <c r="J2507" s="455">
        <f t="array" ref="J2507">IFERROR(INDEX('Retirement Calculator'!K:K,MATCH('Lorri 401b'!N2507,'Retirement Calculator'!A:A,0),0),0)</f>
        <v>0</v>
      </c>
      <c r="K2507" s="455">
        <f t="shared" ca="1" si="128"/>
        <v>-58547303.77528064</v>
      </c>
      <c r="L2507" s="455">
        <f t="shared" ca="1" si="129"/>
        <v>-14109900209.842632</v>
      </c>
      <c r="M2507" s="471">
        <f t="shared" si="131"/>
        <v>0.05</v>
      </c>
      <c r="N2507" s="475">
        <f t="shared" si="132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30"/>
        <v>-14109900209.842632</v>
      </c>
      <c r="J2508" s="455">
        <f t="array" ref="J2508">IFERROR(INDEX('Retirement Calculator'!K:K,MATCH('Lorri 401b'!N2508,'Retirement Calculator'!A:A,0),0),0)</f>
        <v>0</v>
      </c>
      <c r="K2508" s="455">
        <f t="shared" ca="1" si="128"/>
        <v>-58791250.874344297</v>
      </c>
      <c r="L2508" s="455">
        <f t="shared" ca="1" si="129"/>
        <v>-14168691460.716976</v>
      </c>
      <c r="M2508" s="471">
        <f t="shared" si="131"/>
        <v>0.05</v>
      </c>
      <c r="N2508" s="475">
        <f t="shared" si="132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30"/>
        <v>-14168691460.716976</v>
      </c>
      <c r="J2509" s="455">
        <f t="array" ref="J2509">IFERROR(INDEX('Retirement Calculator'!K:K,MATCH('Lorri 401b'!N2509,'Retirement Calculator'!A:A,0),0),0)</f>
        <v>0</v>
      </c>
      <c r="K2509" s="455">
        <f t="shared" ca="1" si="128"/>
        <v>-59036214.419654064</v>
      </c>
      <c r="L2509" s="455">
        <f t="shared" ca="1" si="129"/>
        <v>-14227727675.136631</v>
      </c>
      <c r="M2509" s="471">
        <f t="shared" si="131"/>
        <v>0.05</v>
      </c>
      <c r="N2509" s="475">
        <f t="shared" si="132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30"/>
        <v>-14227727675.136631</v>
      </c>
      <c r="J2510" s="455">
        <f t="array" ref="J2510">IFERROR(INDEX('Retirement Calculator'!K:K,MATCH('Lorri 401b'!N2510,'Retirement Calculator'!A:A,0),0),0)</f>
        <v>0</v>
      </c>
      <c r="K2510" s="455">
        <f t="shared" ca="1" si="128"/>
        <v>-59282198.646402627</v>
      </c>
      <c r="L2510" s="455">
        <f t="shared" ca="1" si="129"/>
        <v>-14287009873.783033</v>
      </c>
      <c r="M2510" s="471">
        <f t="shared" si="131"/>
        <v>0.05</v>
      </c>
      <c r="N2510" s="475">
        <f t="shared" si="132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30"/>
        <v>-14287009873.783033</v>
      </c>
      <c r="J2511" s="455">
        <f t="array" ref="J2511">IFERROR(INDEX('Retirement Calculator'!K:K,MATCH('Lorri 401b'!N2511,'Retirement Calculator'!A:A,0),0),0)</f>
        <v>0</v>
      </c>
      <c r="K2511" s="455">
        <f t="shared" ca="1" si="128"/>
        <v>-59529207.807429306</v>
      </c>
      <c r="L2511" s="455">
        <f t="shared" ca="1" si="129"/>
        <v>-14346539081.590462</v>
      </c>
      <c r="M2511" s="471">
        <f t="shared" si="131"/>
        <v>0.05</v>
      </c>
      <c r="N2511" s="475">
        <f t="shared" si="132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30"/>
        <v>-14346539081.590462</v>
      </c>
      <c r="J2512" s="455">
        <f t="array" ref="J2512">IFERROR(INDEX('Retirement Calculator'!K:K,MATCH('Lorri 401b'!N2512,'Retirement Calculator'!A:A,0),0),0)</f>
        <v>0</v>
      </c>
      <c r="K2512" s="455">
        <f t="shared" ca="1" si="128"/>
        <v>-59777246.173293591</v>
      </c>
      <c r="L2512" s="455">
        <f t="shared" ca="1" si="129"/>
        <v>-14406316327.763756</v>
      </c>
      <c r="M2512" s="471">
        <f t="shared" si="131"/>
        <v>0.05</v>
      </c>
      <c r="N2512" s="475">
        <f t="shared" si="132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30"/>
        <v>-14406316327.763756</v>
      </c>
      <c r="J2513" s="455">
        <f t="array" ref="J2513">IFERROR(INDEX('Retirement Calculator'!K:K,MATCH('Lorri 401b'!N2513,'Retirement Calculator'!A:A,0),0),0)</f>
        <v>0</v>
      </c>
      <c r="K2513" s="455">
        <f t="shared" ca="1" si="128"/>
        <v>-60026318.032348983</v>
      </c>
      <c r="L2513" s="455">
        <f t="shared" ca="1" si="129"/>
        <v>-14466342645.796104</v>
      </c>
      <c r="M2513" s="471">
        <f t="shared" si="131"/>
        <v>0.05</v>
      </c>
      <c r="N2513" s="475">
        <f t="shared" si="132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30"/>
        <v>-14466342645.796104</v>
      </c>
      <c r="J2514" s="455">
        <f t="array" ref="J2514">IFERROR(INDEX('Retirement Calculator'!K:K,MATCH('Lorri 401b'!N2514,'Retirement Calculator'!A:A,0),0),0)</f>
        <v>0</v>
      </c>
      <c r="K2514" s="455">
        <f t="shared" ca="1" si="128"/>
        <v>-60276427.690817103</v>
      </c>
      <c r="L2514" s="455">
        <f t="shared" ca="1" si="129"/>
        <v>-14526619073.486921</v>
      </c>
      <c r="M2514" s="471">
        <f t="shared" si="131"/>
        <v>0.05</v>
      </c>
      <c r="N2514" s="475">
        <f t="shared" si="132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30"/>
        <v>-14526619073.486921</v>
      </c>
      <c r="J2515" s="455">
        <f t="array" ref="J2515">IFERROR(INDEX('Retirement Calculator'!K:K,MATCH('Lorri 401b'!N2515,'Retirement Calculator'!A:A,0),0),0)</f>
        <v>0</v>
      </c>
      <c r="K2515" s="455">
        <f t="shared" ca="1" si="128"/>
        <v>-60527579.472862162</v>
      </c>
      <c r="L2515" s="455">
        <f t="shared" ca="1" si="129"/>
        <v>-14587146652.959784</v>
      </c>
      <c r="M2515" s="471">
        <f t="shared" si="131"/>
        <v>0.05</v>
      </c>
      <c r="N2515" s="475">
        <f t="shared" si="132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30"/>
        <v>-14587146652.959784</v>
      </c>
      <c r="J2516" s="455">
        <f t="array" ref="J2516">IFERROR(INDEX('Retirement Calculator'!K:K,MATCH('Lorri 401b'!N2516,'Retirement Calculator'!A:A,0),0),0)</f>
        <v>0</v>
      </c>
      <c r="K2516" s="455">
        <f t="shared" ca="1" si="128"/>
        <v>-60779777.72066576</v>
      </c>
      <c r="L2516" s="455">
        <f t="shared" ca="1" si="129"/>
        <v>-14647926430.680449</v>
      </c>
      <c r="M2516" s="471">
        <f t="shared" si="131"/>
        <v>0.05</v>
      </c>
      <c r="N2516" s="475">
        <f t="shared" si="132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30"/>
        <v>-14647926430.680449</v>
      </c>
      <c r="J2517" s="455">
        <f t="array" ref="J2517">IFERROR(INDEX('Retirement Calculator'!K:K,MATCH('Lorri 401b'!N2517,'Retirement Calculator'!A:A,0),0),0)</f>
        <v>0</v>
      </c>
      <c r="K2517" s="455">
        <f t="shared" ca="1" si="128"/>
        <v>-61033026.794501878</v>
      </c>
      <c r="L2517" s="455">
        <f t="shared" ca="1" si="129"/>
        <v>-14708959457.474951</v>
      </c>
      <c r="M2517" s="471">
        <f t="shared" si="131"/>
        <v>0.05</v>
      </c>
      <c r="N2517" s="475">
        <f t="shared" si="132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30"/>
        <v>-14708959457.474951</v>
      </c>
      <c r="J2518" s="455">
        <f t="array" ref="J2518">IFERROR(INDEX('Retirement Calculator'!K:K,MATCH('Lorri 401b'!N2518,'Retirement Calculator'!A:A,0),0),0)</f>
        <v>0</v>
      </c>
      <c r="K2518" s="455">
        <f t="shared" ca="1" si="128"/>
        <v>-61287331.072812296</v>
      </c>
      <c r="L2518" s="455">
        <f t="shared" ca="1" si="129"/>
        <v>-14770246788.547764</v>
      </c>
      <c r="M2518" s="471">
        <f t="shared" si="131"/>
        <v>0.05</v>
      </c>
      <c r="N2518" s="475">
        <f t="shared" si="132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30"/>
        <v>-14770246788.547764</v>
      </c>
      <c r="J2519" s="455">
        <f t="array" ref="J2519">IFERROR(INDEX('Retirement Calculator'!K:K,MATCH('Lorri 401b'!N2519,'Retirement Calculator'!A:A,0),0),0)</f>
        <v>0</v>
      </c>
      <c r="K2519" s="455">
        <f t="shared" ca="1" si="128"/>
        <v>-61542694.952282347</v>
      </c>
      <c r="L2519" s="455">
        <f t="shared" ca="1" si="129"/>
        <v>-14831789483.500046</v>
      </c>
      <c r="M2519" s="471">
        <f t="shared" si="131"/>
        <v>0.05</v>
      </c>
      <c r="N2519" s="475">
        <f t="shared" si="132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30"/>
        <v>-14831789483.500046</v>
      </c>
      <c r="J2520" s="455">
        <f t="array" ref="J2520">IFERROR(INDEX('Retirement Calculator'!K:K,MATCH('Lorri 401b'!N2520,'Retirement Calculator'!A:A,0),0),0)</f>
        <v>0</v>
      </c>
      <c r="K2520" s="455">
        <f t="shared" ca="1" si="128"/>
        <v>-61799122.847916849</v>
      </c>
      <c r="L2520" s="455">
        <f t="shared" ca="1" si="129"/>
        <v>-14893588606.347963</v>
      </c>
      <c r="M2520" s="471">
        <f t="shared" si="131"/>
        <v>0.05</v>
      </c>
      <c r="N2520" s="475">
        <f t="shared" si="132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30"/>
        <v>-14893588606.347963</v>
      </c>
      <c r="J2521" s="455">
        <f t="array" ref="J2521">IFERROR(INDEX('Retirement Calculator'!K:K,MATCH('Lorri 401b'!N2521,'Retirement Calculator'!A:A,0),0),0)</f>
        <v>0</v>
      </c>
      <c r="K2521" s="455">
        <f t="shared" ca="1" si="128"/>
        <v>-62056619.193116508</v>
      </c>
      <c r="L2521" s="455">
        <f t="shared" ca="1" si="129"/>
        <v>-14955645225.54108</v>
      </c>
      <c r="M2521" s="471">
        <f t="shared" si="131"/>
        <v>0.05</v>
      </c>
      <c r="N2521" s="475">
        <f t="shared" si="132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30"/>
        <v>-14955645225.54108</v>
      </c>
      <c r="J2522" s="455">
        <f t="array" ref="J2522">IFERROR(INDEX('Retirement Calculator'!K:K,MATCH('Lorri 401b'!N2522,'Retirement Calculator'!A:A,0),0),0)</f>
        <v>0</v>
      </c>
      <c r="K2522" s="455">
        <f t="shared" ca="1" si="128"/>
        <v>-62315188.439754501</v>
      </c>
      <c r="L2522" s="455">
        <f t="shared" ca="1" si="129"/>
        <v>-15017960413.980835</v>
      </c>
      <c r="M2522" s="471">
        <f t="shared" si="131"/>
        <v>0.05</v>
      </c>
      <c r="N2522" s="475">
        <f t="shared" si="132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30"/>
        <v>-15017960413.980835</v>
      </c>
      <c r="J2523" s="455">
        <f t="array" ref="J2523">IFERROR(INDEX('Retirement Calculator'!K:K,MATCH('Lorri 401b'!N2523,'Retirement Calculator'!A:A,0),0),0)</f>
        <v>0</v>
      </c>
      <c r="K2523" s="455">
        <f t="shared" ca="1" si="128"/>
        <v>-62574835.058253467</v>
      </c>
      <c r="L2523" s="455">
        <f t="shared" ca="1" si="129"/>
        <v>-15080535249.039089</v>
      </c>
      <c r="M2523" s="471">
        <f t="shared" si="131"/>
        <v>0.05</v>
      </c>
      <c r="N2523" s="475">
        <f t="shared" si="132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30"/>
        <v>-15080535249.039089</v>
      </c>
      <c r="J2524" s="455">
        <f t="array" ref="J2524">IFERROR(INDEX('Retirement Calculator'!K:K,MATCH('Lorri 401b'!N2524,'Retirement Calculator'!A:A,0),0),0)</f>
        <v>0</v>
      </c>
      <c r="K2524" s="455">
        <f t="shared" ca="1" si="128"/>
        <v>-62835563.537662871</v>
      </c>
      <c r="L2524" s="455">
        <f t="shared" ca="1" si="129"/>
        <v>-15143370812.576752</v>
      </c>
      <c r="M2524" s="471">
        <f t="shared" si="131"/>
        <v>0.05</v>
      </c>
      <c r="N2524" s="475">
        <f t="shared" si="132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30"/>
        <v>-15143370812.576752</v>
      </c>
      <c r="J2525" s="455">
        <f t="array" ref="J2525">IFERROR(INDEX('Retirement Calculator'!K:K,MATCH('Lorri 401b'!N2525,'Retirement Calculator'!A:A,0),0),0)</f>
        <v>0</v>
      </c>
      <c r="K2525" s="455">
        <f t="shared" ca="1" si="128"/>
        <v>-63097378.385736465</v>
      </c>
      <c r="L2525" s="455">
        <f t="shared" ca="1" si="129"/>
        <v>-15206468190.962488</v>
      </c>
      <c r="M2525" s="471">
        <f t="shared" si="131"/>
        <v>0.05</v>
      </c>
      <c r="N2525" s="475">
        <f t="shared" si="132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30"/>
        <v>-15206468190.962488</v>
      </c>
      <c r="J2526" s="455">
        <f t="array" ref="J2526">IFERROR(INDEX('Retirement Calculator'!K:K,MATCH('Lorri 401b'!N2526,'Retirement Calculator'!A:A,0),0),0)</f>
        <v>0</v>
      </c>
      <c r="K2526" s="455">
        <f t="shared" ca="1" si="128"/>
        <v>-63360284.129010364</v>
      </c>
      <c r="L2526" s="455">
        <f t="shared" ca="1" si="129"/>
        <v>-15269828475.091499</v>
      </c>
      <c r="M2526" s="471">
        <f t="shared" si="131"/>
        <v>0.05</v>
      </c>
      <c r="N2526" s="475">
        <f t="shared" si="132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30"/>
        <v>-15269828475.091499</v>
      </c>
      <c r="J2527" s="455">
        <f t="array" ref="J2527">IFERROR(INDEX('Retirement Calculator'!K:K,MATCH('Lorri 401b'!N2527,'Retirement Calculator'!A:A,0),0),0)</f>
        <v>0</v>
      </c>
      <c r="K2527" s="455">
        <f t="shared" ca="1" si="128"/>
        <v>-63624285.312881239</v>
      </c>
      <c r="L2527" s="455">
        <f t="shared" ca="1" si="129"/>
        <v>-15333452760.404381</v>
      </c>
      <c r="M2527" s="471">
        <f t="shared" si="131"/>
        <v>0.05</v>
      </c>
      <c r="N2527" s="475">
        <f t="shared" si="132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30"/>
        <v>-15333452760.404381</v>
      </c>
      <c r="J2528" s="455">
        <f t="array" ref="J2528">IFERROR(INDEX('Retirement Calculator'!K:K,MATCH('Lorri 401b'!N2528,'Retirement Calculator'!A:A,0),0),0)</f>
        <v>0</v>
      </c>
      <c r="K2528" s="455">
        <f t="shared" ca="1" si="128"/>
        <v>-63889386.501684919</v>
      </c>
      <c r="L2528" s="455">
        <f t="shared" ca="1" si="129"/>
        <v>-15397342146.906065</v>
      </c>
      <c r="M2528" s="471">
        <f t="shared" si="131"/>
        <v>0.05</v>
      </c>
      <c r="N2528" s="475">
        <f t="shared" si="132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30"/>
        <v>-15397342146.906065</v>
      </c>
      <c r="J2529" s="455">
        <f t="array" ref="J2529">IFERROR(INDEX('Retirement Calculator'!K:K,MATCH('Lorri 401b'!N2529,'Retirement Calculator'!A:A,0),0),0)</f>
        <v>0</v>
      </c>
      <c r="K2529" s="455">
        <f t="shared" ca="1" si="128"/>
        <v>-64155592.27877526</v>
      </c>
      <c r="L2529" s="455">
        <f t="shared" ca="1" si="129"/>
        <v>-15461497739.184841</v>
      </c>
      <c r="M2529" s="471">
        <f t="shared" si="131"/>
        <v>0.05</v>
      </c>
      <c r="N2529" s="475">
        <f t="shared" si="132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30"/>
        <v>-15461497739.184841</v>
      </c>
      <c r="J2530" s="455">
        <f t="array" ref="J2530">IFERROR(INDEX('Retirement Calculator'!K:K,MATCH('Lorri 401b'!N2530,'Retirement Calculator'!A:A,0),0),0)</f>
        <v>0</v>
      </c>
      <c r="K2530" s="455">
        <f t="shared" ca="1" si="128"/>
        <v>-64422907.246603511</v>
      </c>
      <c r="L2530" s="455">
        <f t="shared" ca="1" si="129"/>
        <v>-15525920646.431444</v>
      </c>
      <c r="M2530" s="471">
        <f t="shared" si="131"/>
        <v>0.05</v>
      </c>
      <c r="N2530" s="475">
        <f t="shared" si="132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30"/>
        <v>-15525920646.431444</v>
      </c>
      <c r="J2531" s="455">
        <f t="array" ref="J2531">IFERROR(INDEX('Retirement Calculator'!K:K,MATCH('Lorri 401b'!N2531,'Retirement Calculator'!A:A,0),0),0)</f>
        <v>0</v>
      </c>
      <c r="K2531" s="455">
        <f t="shared" ca="1" si="128"/>
        <v>-64691336.026797675</v>
      </c>
      <c r="L2531" s="455">
        <f t="shared" ca="1" si="129"/>
        <v>-15590611982.458242</v>
      </c>
      <c r="M2531" s="471">
        <f t="shared" si="131"/>
        <v>0.05</v>
      </c>
      <c r="N2531" s="475">
        <f t="shared" si="132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30"/>
        <v>-15590611982.458242</v>
      </c>
      <c r="J2532" s="455">
        <f t="array" ref="J2532">IFERROR(INDEX('Retirement Calculator'!K:K,MATCH('Lorri 401b'!N2532,'Retirement Calculator'!A:A,0),0),0)</f>
        <v>0</v>
      </c>
      <c r="K2532" s="455">
        <f t="shared" ca="1" si="128"/>
        <v>-64960883.260242678</v>
      </c>
      <c r="L2532" s="455">
        <f t="shared" ca="1" si="129"/>
        <v>-15655572865.718485</v>
      </c>
      <c r="M2532" s="471">
        <f t="shared" si="131"/>
        <v>0.05</v>
      </c>
      <c r="N2532" s="475">
        <f t="shared" si="132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30"/>
        <v>-15655572865.718485</v>
      </c>
      <c r="J2533" s="455">
        <f t="array" ref="J2533">IFERROR(INDEX('Retirement Calculator'!K:K,MATCH('Lorri 401b'!N2533,'Retirement Calculator'!A:A,0),0),0)</f>
        <v>0</v>
      </c>
      <c r="K2533" s="455">
        <f t="shared" ca="1" si="128"/>
        <v>-65231553.607160352</v>
      </c>
      <c r="L2533" s="455">
        <f t="shared" ca="1" si="129"/>
        <v>-15720804419.325645</v>
      </c>
      <c r="M2533" s="471">
        <f t="shared" si="131"/>
        <v>0.05</v>
      </c>
      <c r="N2533" s="475">
        <f t="shared" si="132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30"/>
        <v>-15720804419.325645</v>
      </c>
      <c r="J2534" s="455">
        <f t="array" ref="J2534">IFERROR(INDEX('Retirement Calculator'!K:K,MATCH('Lorri 401b'!N2534,'Retirement Calculator'!A:A,0),0),0)</f>
        <v>0</v>
      </c>
      <c r="K2534" s="455">
        <f t="shared" ca="1" si="128"/>
        <v>-65503351.747190185</v>
      </c>
      <c r="L2534" s="455">
        <f t="shared" ca="1" si="129"/>
        <v>-15786307771.072836</v>
      </c>
      <c r="M2534" s="471">
        <f t="shared" si="131"/>
        <v>0.05</v>
      </c>
      <c r="N2534" s="475">
        <f t="shared" si="132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30"/>
        <v>-15786307771.072836</v>
      </c>
      <c r="J2535" s="455">
        <f t="array" ref="J2535">IFERROR(INDEX('Retirement Calculator'!K:K,MATCH('Lorri 401b'!N2535,'Retirement Calculator'!A:A,0),0),0)</f>
        <v>0</v>
      </c>
      <c r="K2535" s="455">
        <f t="shared" ca="1" si="128"/>
        <v>-65776282.37947014</v>
      </c>
      <c r="L2535" s="455">
        <f t="shared" ca="1" si="129"/>
        <v>-15852084053.452307</v>
      </c>
      <c r="M2535" s="471">
        <f t="shared" si="131"/>
        <v>0.05</v>
      </c>
      <c r="N2535" s="475">
        <f t="shared" si="132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30"/>
        <v>-15852084053.452307</v>
      </c>
      <c r="J2536" s="455">
        <f t="array" ref="J2536">IFERROR(INDEX('Retirement Calculator'!K:K,MATCH('Lorri 401b'!N2536,'Retirement Calculator'!A:A,0),0),0)</f>
        <v>0</v>
      </c>
      <c r="K2536" s="455">
        <f t="shared" ca="1" si="128"/>
        <v>-66050350.222717941</v>
      </c>
      <c r="L2536" s="455">
        <f t="shared" ca="1" si="129"/>
        <v>-15918134403.675024</v>
      </c>
      <c r="M2536" s="471">
        <f t="shared" si="131"/>
        <v>0.05</v>
      </c>
      <c r="N2536" s="475">
        <f t="shared" si="132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30"/>
        <v>-15918134403.675024</v>
      </c>
      <c r="J2537" s="455">
        <f t="array" ref="J2537">IFERROR(INDEX('Retirement Calculator'!K:K,MATCH('Lorri 401b'!N2537,'Retirement Calculator'!A:A,0),0),0)</f>
        <v>0</v>
      </c>
      <c r="K2537" s="455">
        <f t="shared" ca="1" si="128"/>
        <v>-66325560.015312597</v>
      </c>
      <c r="L2537" s="455">
        <f t="shared" ca="1" si="129"/>
        <v>-15984459963.690336</v>
      </c>
      <c r="M2537" s="471">
        <f t="shared" si="131"/>
        <v>0.05</v>
      </c>
      <c r="N2537" s="475">
        <f t="shared" si="132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30"/>
        <v>-15984459963.690336</v>
      </c>
      <c r="J2538" s="455">
        <f t="array" ref="J2538">IFERROR(INDEX('Retirement Calculator'!K:K,MATCH('Lorri 401b'!N2538,'Retirement Calculator'!A:A,0),0),0)</f>
        <v>0</v>
      </c>
      <c r="K2538" s="455">
        <f t="shared" ca="1" si="128"/>
        <v>-66601916.515376396</v>
      </c>
      <c r="L2538" s="455">
        <f t="shared" ca="1" si="129"/>
        <v>-16051061880.205713</v>
      </c>
      <c r="M2538" s="471">
        <f t="shared" si="131"/>
        <v>0.05</v>
      </c>
      <c r="N2538" s="475">
        <f t="shared" si="132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30"/>
        <v>-16051061880.205713</v>
      </c>
      <c r="J2539" s="455">
        <f t="array" ref="J2539">IFERROR(INDEX('Retirement Calculator'!K:K,MATCH('Lorri 401b'!N2539,'Retirement Calculator'!A:A,0),0),0)</f>
        <v>0</v>
      </c>
      <c r="K2539" s="455">
        <f t="shared" ca="1" si="128"/>
        <v>-66879424.500857137</v>
      </c>
      <c r="L2539" s="455">
        <f t="shared" ca="1" si="129"/>
        <v>-16117941304.70657</v>
      </c>
      <c r="M2539" s="471">
        <f t="shared" si="131"/>
        <v>0.05</v>
      </c>
      <c r="N2539" s="475">
        <f t="shared" si="132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30"/>
        <v>-16117941304.70657</v>
      </c>
      <c r="J2540" s="455">
        <f t="array" ref="J2540">IFERROR(INDEX('Retirement Calculator'!K:K,MATCH('Lorri 401b'!N2540,'Retirement Calculator'!A:A,0),0),0)</f>
        <v>0</v>
      </c>
      <c r="K2540" s="455">
        <f t="shared" ca="1" si="128"/>
        <v>-67158088.769610703</v>
      </c>
      <c r="L2540" s="455">
        <f t="shared" ca="1" si="129"/>
        <v>-16185099393.476181</v>
      </c>
      <c r="M2540" s="471">
        <f t="shared" si="131"/>
        <v>0.05</v>
      </c>
      <c r="N2540" s="475">
        <f t="shared" si="132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30"/>
        <v>-16185099393.476181</v>
      </c>
      <c r="J2541" s="455">
        <f t="array" ref="J2541">IFERROR(INDEX('Retirement Calculator'!K:K,MATCH('Lorri 401b'!N2541,'Retirement Calculator'!A:A,0),0),0)</f>
        <v>0</v>
      </c>
      <c r="K2541" s="455">
        <f t="shared" ca="1" si="128"/>
        <v>-67437914.139484093</v>
      </c>
      <c r="L2541" s="455">
        <f t="shared" ca="1" si="129"/>
        <v>-16252537307.615665</v>
      </c>
      <c r="M2541" s="471">
        <f t="shared" si="131"/>
        <v>0.05</v>
      </c>
      <c r="N2541" s="475">
        <f t="shared" si="132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30"/>
        <v>-16252537307.615665</v>
      </c>
      <c r="J2542" s="455">
        <f t="array" ref="J2542">IFERROR(INDEX('Retirement Calculator'!K:K,MATCH('Lorri 401b'!N2542,'Retirement Calculator'!A:A,0),0),0)</f>
        <v>0</v>
      </c>
      <c r="K2542" s="455">
        <f t="shared" ca="1" si="128"/>
        <v>-67718905.448398605</v>
      </c>
      <c r="L2542" s="455">
        <f t="shared" ca="1" si="129"/>
        <v>-16320256213.064064</v>
      </c>
      <c r="M2542" s="471">
        <f t="shared" si="131"/>
        <v>0.05</v>
      </c>
      <c r="N2542" s="475">
        <f t="shared" si="132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30"/>
        <v>-16320256213.064064</v>
      </c>
      <c r="J2543" s="455">
        <f t="array" ref="J2543">IFERROR(INDEX('Retirement Calculator'!K:K,MATCH('Lorri 401b'!N2543,'Retirement Calculator'!A:A,0),0),0)</f>
        <v>0</v>
      </c>
      <c r="K2543" s="455">
        <f t="shared" ca="1" si="128"/>
        <v>-68001067.554433584</v>
      </c>
      <c r="L2543" s="455">
        <f t="shared" ca="1" si="129"/>
        <v>-16388257280.618498</v>
      </c>
      <c r="M2543" s="471">
        <f t="shared" si="131"/>
        <v>0.05</v>
      </c>
      <c r="N2543" s="475">
        <f t="shared" si="132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30"/>
        <v>-16388257280.618498</v>
      </c>
      <c r="J2544" s="455">
        <f t="array" ref="J2544">IFERROR(INDEX('Retirement Calculator'!K:K,MATCH('Lorri 401b'!N2544,'Retirement Calculator'!A:A,0),0),0)</f>
        <v>0</v>
      </c>
      <c r="K2544" s="455">
        <f t="shared" ca="1" si="128"/>
        <v>-68284405.33591041</v>
      </c>
      <c r="L2544" s="455">
        <f t="shared" ca="1" si="129"/>
        <v>-16456541685.954409</v>
      </c>
      <c r="M2544" s="471">
        <f t="shared" si="131"/>
        <v>0.05</v>
      </c>
      <c r="N2544" s="475">
        <f t="shared" si="132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30"/>
        <v>-16456541685.954409</v>
      </c>
      <c r="J2545" s="455">
        <f t="array" ref="J2545">IFERROR(INDEX('Retirement Calculator'!K:K,MATCH('Lorri 401b'!N2545,'Retirement Calculator'!A:A,0),0),0)</f>
        <v>0</v>
      </c>
      <c r="K2545" s="455">
        <f t="shared" ca="1" si="128"/>
        <v>-68568923.691476688</v>
      </c>
      <c r="L2545" s="455">
        <f t="shared" ca="1" si="129"/>
        <v>-16525110609.645885</v>
      </c>
      <c r="M2545" s="471">
        <f t="shared" si="131"/>
        <v>0.05</v>
      </c>
      <c r="N2545" s="475">
        <f t="shared" si="132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30"/>
        <v>-16525110609.645885</v>
      </c>
      <c r="J2546" s="455">
        <f t="array" ref="J2546">IFERROR(INDEX('Retirement Calculator'!K:K,MATCH('Lorri 401b'!N2546,'Retirement Calculator'!A:A,0),0),0)</f>
        <v>0</v>
      </c>
      <c r="K2546" s="455">
        <f t="shared" ca="1" si="128"/>
        <v>-68854627.540191188</v>
      </c>
      <c r="L2546" s="455">
        <f t="shared" ca="1" si="129"/>
        <v>-16593965237.186077</v>
      </c>
      <c r="M2546" s="471">
        <f t="shared" si="131"/>
        <v>0.05</v>
      </c>
      <c r="N2546" s="475">
        <f t="shared" si="132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30"/>
        <v>-16593965237.186077</v>
      </c>
      <c r="J2547" s="455">
        <f t="array" ref="J2547">IFERROR(INDEX('Retirement Calculator'!K:K,MATCH('Lorri 401b'!N2547,'Retirement Calculator'!A:A,0),0),0)</f>
        <v>0</v>
      </c>
      <c r="K2547" s="455">
        <f t="shared" ca="1" si="128"/>
        <v>-69141521.821608648</v>
      </c>
      <c r="L2547" s="455">
        <f t="shared" ca="1" si="129"/>
        <v>-16663106759.007687</v>
      </c>
      <c r="M2547" s="471">
        <f t="shared" si="131"/>
        <v>0.05</v>
      </c>
      <c r="N2547" s="475">
        <f t="shared" si="132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30"/>
        <v>-16663106759.007687</v>
      </c>
      <c r="J2548" s="455">
        <f t="array" ref="J2548">IFERROR(INDEX('Retirement Calculator'!K:K,MATCH('Lorri 401b'!N2548,'Retirement Calculator'!A:A,0),0),0)</f>
        <v>0</v>
      </c>
      <c r="K2548" s="455">
        <f t="shared" ca="1" si="128"/>
        <v>-69429611.49586536</v>
      </c>
      <c r="L2548" s="455">
        <f t="shared" ca="1" si="129"/>
        <v>-16732536370.503551</v>
      </c>
      <c r="M2548" s="471">
        <f t="shared" si="131"/>
        <v>0.05</v>
      </c>
      <c r="N2548" s="475">
        <f t="shared" si="132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30"/>
        <v>-16732536370.503551</v>
      </c>
      <c r="J2549" s="455">
        <f t="array" ref="J2549">IFERROR(INDEX('Retirement Calculator'!K:K,MATCH('Lorri 401b'!N2549,'Retirement Calculator'!A:A,0),0),0)</f>
        <v>0</v>
      </c>
      <c r="K2549" s="455">
        <f t="shared" ca="1" si="128"/>
        <v>-69718901.5437648</v>
      </c>
      <c r="L2549" s="455">
        <f t="shared" ca="1" si="129"/>
        <v>-16802255272.047316</v>
      </c>
      <c r="M2549" s="471">
        <f t="shared" si="131"/>
        <v>0.05</v>
      </c>
      <c r="N2549" s="475">
        <f t="shared" si="132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30"/>
        <v>-16802255272.047316</v>
      </c>
      <c r="J2550" s="455">
        <f t="array" ref="J2550">IFERROR(INDEX('Retirement Calculator'!K:K,MATCH('Lorri 401b'!N2550,'Retirement Calculator'!A:A,0),0),0)</f>
        <v>0</v>
      </c>
      <c r="K2550" s="455">
        <f t="shared" ca="1" si="128"/>
        <v>-70009396.966863811</v>
      </c>
      <c r="L2550" s="455">
        <f t="shared" ca="1" si="129"/>
        <v>-16872264669.014179</v>
      </c>
      <c r="M2550" s="471">
        <f t="shared" si="131"/>
        <v>0.05</v>
      </c>
      <c r="N2550" s="475">
        <f t="shared" si="132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30"/>
        <v>-16872264669.014179</v>
      </c>
      <c r="J2551" s="455">
        <f t="array" ref="J2551">IFERROR(INDEX('Retirement Calculator'!K:K,MATCH('Lorri 401b'!N2551,'Retirement Calculator'!A:A,0),0),0)</f>
        <v>0</v>
      </c>
      <c r="K2551" s="455">
        <f t="shared" ca="1" si="128"/>
        <v>-70301102.787559077</v>
      </c>
      <c r="L2551" s="455">
        <f t="shared" ca="1" si="129"/>
        <v>-16942565771.801739</v>
      </c>
      <c r="M2551" s="471">
        <f t="shared" si="131"/>
        <v>0.05</v>
      </c>
      <c r="N2551" s="475">
        <f t="shared" si="132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30"/>
        <v>-16942565771.801739</v>
      </c>
      <c r="J2552" s="455">
        <f t="array" ref="J2552">IFERROR(INDEX('Retirement Calculator'!K:K,MATCH('Lorri 401b'!N2552,'Retirement Calculator'!A:A,0),0),0)</f>
        <v>0</v>
      </c>
      <c r="K2552" s="455">
        <f t="shared" ca="1" si="128"/>
        <v>-70594024.049173906</v>
      </c>
      <c r="L2552" s="455">
        <f t="shared" ca="1" si="129"/>
        <v>-17013159795.850912</v>
      </c>
      <c r="M2552" s="471">
        <f t="shared" si="131"/>
        <v>0.05</v>
      </c>
      <c r="N2552" s="475">
        <f t="shared" si="132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30"/>
        <v>-17013159795.850912</v>
      </c>
      <c r="J2553" s="455">
        <f t="array" ref="J2553">IFERROR(INDEX('Retirement Calculator'!K:K,MATCH('Lorri 401b'!N2553,'Retirement Calculator'!A:A,0),0),0)</f>
        <v>0</v>
      </c>
      <c r="K2553" s="455">
        <f t="shared" ca="1" si="128"/>
        <v>-70888165.816045463</v>
      </c>
      <c r="L2553" s="455">
        <f t="shared" ca="1" si="129"/>
        <v>-17084047961.666958</v>
      </c>
      <c r="M2553" s="471">
        <f t="shared" si="131"/>
        <v>0.05</v>
      </c>
      <c r="N2553" s="475">
        <f t="shared" si="132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30"/>
        <v>-17084047961.666958</v>
      </c>
      <c r="J2554" s="455">
        <f t="array" ref="J2554">IFERROR(INDEX('Retirement Calculator'!K:K,MATCH('Lorri 401b'!N2554,'Retirement Calculator'!A:A,0),0),0)</f>
        <v>0</v>
      </c>
      <c r="K2554" s="455">
        <f t="shared" ca="1" si="128"/>
        <v>-71183533.173612326</v>
      </c>
      <c r="L2554" s="455">
        <f t="shared" ca="1" si="129"/>
        <v>-17155231494.84057</v>
      </c>
      <c r="M2554" s="471">
        <f t="shared" si="131"/>
        <v>0.05</v>
      </c>
      <c r="N2554" s="475">
        <f t="shared" si="132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30"/>
        <v>-17155231494.84057</v>
      </c>
      <c r="J2555" s="455">
        <f t="array" ref="J2555">IFERROR(INDEX('Retirement Calculator'!K:K,MATCH('Lorri 401b'!N2555,'Retirement Calculator'!A:A,0),0),0)</f>
        <v>0</v>
      </c>
      <c r="K2555" s="455">
        <f t="shared" ca="1" si="128"/>
        <v>-71480131.228502378</v>
      </c>
      <c r="L2555" s="455">
        <f t="shared" ca="1" si="129"/>
        <v>-17226711626.069073</v>
      </c>
      <c r="M2555" s="471">
        <f t="shared" si="131"/>
        <v>0.05</v>
      </c>
      <c r="N2555" s="475">
        <f t="shared" si="132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30"/>
        <v>-17226711626.069073</v>
      </c>
      <c r="J2556" s="455">
        <f t="array" ref="J2556">IFERROR(INDEX('Retirement Calculator'!K:K,MATCH('Lorri 401b'!N2556,'Retirement Calculator'!A:A,0),0),0)</f>
        <v>0</v>
      </c>
      <c r="K2556" s="455">
        <f t="shared" ca="1" si="128"/>
        <v>-71777965.108621135</v>
      </c>
      <c r="L2556" s="455">
        <f t="shared" ca="1" si="129"/>
        <v>-17298489591.177692</v>
      </c>
      <c r="M2556" s="471">
        <f t="shared" si="131"/>
        <v>0.05</v>
      </c>
      <c r="N2556" s="475">
        <f t="shared" si="132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30"/>
        <v>-17298489591.177692</v>
      </c>
      <c r="J2557" s="455">
        <f t="array" ref="J2557">IFERROR(INDEX('Retirement Calculator'!K:K,MATCH('Lorri 401b'!N2557,'Retirement Calculator'!A:A,0),0),0)</f>
        <v>0</v>
      </c>
      <c r="K2557" s="455">
        <f t="shared" ca="1" si="128"/>
        <v>-72077039.963240385</v>
      </c>
      <c r="L2557" s="455">
        <f t="shared" ca="1" si="129"/>
        <v>-17370566631.140934</v>
      </c>
      <c r="M2557" s="471">
        <f t="shared" si="131"/>
        <v>0.05</v>
      </c>
      <c r="N2557" s="475">
        <f t="shared" si="132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30"/>
        <v>-17370566631.140934</v>
      </c>
      <c r="J2558" s="455">
        <f t="array" ref="J2558">IFERROR(INDEX('Retirement Calculator'!K:K,MATCH('Lorri 401b'!N2558,'Retirement Calculator'!A:A,0),0),0)</f>
        <v>0</v>
      </c>
      <c r="K2558" s="455">
        <f t="shared" ref="K2558:K2812" ca="1" si="133">IPMT(M2558/12,1,12,-I2558+J2558,,0)</f>
        <v>-72377360.963087231</v>
      </c>
      <c r="L2558" s="455">
        <f t="shared" ref="L2558:L2812" ca="1" si="134">I2558-J2558+K2558</f>
        <v>-17442943992.104023</v>
      </c>
      <c r="M2558" s="471">
        <f t="shared" si="131"/>
        <v>0.05</v>
      </c>
      <c r="N2558" s="475">
        <f t="shared" si="132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35">L2558</f>
        <v>-17442943992.104023</v>
      </c>
      <c r="J2559" s="455">
        <f t="array" ref="J2559">IFERROR(INDEX('Retirement Calculator'!K:K,MATCH('Lorri 401b'!N2559,'Retirement Calculator'!A:A,0),0),0)</f>
        <v>0</v>
      </c>
      <c r="K2559" s="455">
        <f t="shared" ca="1" si="133"/>
        <v>-72678933.300433427</v>
      </c>
      <c r="L2559" s="455">
        <f t="shared" ca="1" si="134"/>
        <v>-17515622925.404457</v>
      </c>
      <c r="M2559" s="471">
        <f t="shared" ref="M2559:M2813" si="136">M2558</f>
        <v>0.05</v>
      </c>
      <c r="N2559" s="475">
        <f t="shared" ref="N2559:N2813" si="137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35"/>
        <v>-17515622925.404457</v>
      </c>
      <c r="J2560" s="455">
        <f t="array" ref="J2560">IFERROR(INDEX('Retirement Calculator'!K:K,MATCH('Lorri 401b'!N2560,'Retirement Calculator'!A:A,0),0),0)</f>
        <v>0</v>
      </c>
      <c r="K2560" s="455">
        <f t="shared" ca="1" si="133"/>
        <v>-72981762.189185232</v>
      </c>
      <c r="L2560" s="455">
        <f t="shared" ca="1" si="134"/>
        <v>-17588604687.593643</v>
      </c>
      <c r="M2560" s="471">
        <f t="shared" si="136"/>
        <v>0.05</v>
      </c>
      <c r="N2560" s="475">
        <f t="shared" si="137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35"/>
        <v>-17588604687.593643</v>
      </c>
      <c r="J2561" s="455">
        <f t="array" ref="J2561">IFERROR(INDEX('Retirement Calculator'!K:K,MATCH('Lorri 401b'!N2561,'Retirement Calculator'!A:A,0),0),0)</f>
        <v>0</v>
      </c>
      <c r="K2561" s="455">
        <f t="shared" ca="1" si="133"/>
        <v>-73285852.864973515</v>
      </c>
      <c r="L2561" s="455">
        <f t="shared" ca="1" si="134"/>
        <v>-17661890540.458618</v>
      </c>
      <c r="M2561" s="471">
        <f t="shared" si="136"/>
        <v>0.05</v>
      </c>
      <c r="N2561" s="475">
        <f t="shared" si="137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35"/>
        <v>-17661890540.458618</v>
      </c>
      <c r="J2562" s="455">
        <f t="array" ref="J2562">IFERROR(INDEX('Retirement Calculator'!K:K,MATCH('Lorri 401b'!N2562,'Retirement Calculator'!A:A,0),0),0)</f>
        <v>0</v>
      </c>
      <c r="K2562" s="455">
        <f t="shared" ca="1" si="133"/>
        <v>-73591210.585244238</v>
      </c>
      <c r="L2562" s="455">
        <f t="shared" ca="1" si="134"/>
        <v>-17735481751.043861</v>
      </c>
      <c r="M2562" s="471">
        <f t="shared" si="136"/>
        <v>0.05</v>
      </c>
      <c r="N2562" s="475">
        <f t="shared" si="137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35"/>
        <v>-17735481751.043861</v>
      </c>
      <c r="J2563" s="455">
        <f t="array" ref="J2563">IFERROR(INDEX('Retirement Calculator'!K:K,MATCH('Lorri 401b'!N2563,'Retirement Calculator'!A:A,0),0),0)</f>
        <v>0</v>
      </c>
      <c r="K2563" s="455">
        <f t="shared" ca="1" si="133"/>
        <v>-73897840.629349425</v>
      </c>
      <c r="L2563" s="455">
        <f t="shared" ca="1" si="134"/>
        <v>-17809379591.67321</v>
      </c>
      <c r="M2563" s="471">
        <f t="shared" si="136"/>
        <v>0.05</v>
      </c>
      <c r="N2563" s="475">
        <f t="shared" si="137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35"/>
        <v>-17809379591.67321</v>
      </c>
      <c r="J2564" s="455">
        <f t="array" ref="J2564">IFERROR(INDEX('Retirement Calculator'!K:K,MATCH('Lorri 401b'!N2564,'Retirement Calculator'!A:A,0),0),0)</f>
        <v>0</v>
      </c>
      <c r="K2564" s="455">
        <f t="shared" ca="1" si="133"/>
        <v>-74205748.298638374</v>
      </c>
      <c r="L2564" s="455">
        <f t="shared" ca="1" si="134"/>
        <v>-17883585339.971848</v>
      </c>
      <c r="M2564" s="471">
        <f t="shared" si="136"/>
        <v>0.05</v>
      </c>
      <c r="N2564" s="475">
        <f t="shared" si="137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35"/>
        <v>-17883585339.971848</v>
      </c>
      <c r="J2565" s="455">
        <f t="array" ref="J2565">IFERROR(INDEX('Retirement Calculator'!K:K,MATCH('Lorri 401b'!N2565,'Retirement Calculator'!A:A,0),0),0)</f>
        <v>0</v>
      </c>
      <c r="K2565" s="455">
        <f t="shared" ca="1" si="133"/>
        <v>-74514938.91654937</v>
      </c>
      <c r="L2565" s="455">
        <f t="shared" ca="1" si="134"/>
        <v>-17958100278.888397</v>
      </c>
      <c r="M2565" s="471">
        <f t="shared" si="136"/>
        <v>0.05</v>
      </c>
      <c r="N2565" s="475">
        <f t="shared" si="137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35"/>
        <v>-17958100278.888397</v>
      </c>
      <c r="J2566" s="455">
        <f t="array" ref="J2566">IFERROR(INDEX('Retirement Calculator'!K:K,MATCH('Lorri 401b'!N2566,'Retirement Calculator'!A:A,0),0),0)</f>
        <v>0</v>
      </c>
      <c r="K2566" s="455">
        <f t="shared" ca="1" si="133"/>
        <v>-74825417.82870166</v>
      </c>
      <c r="L2566" s="455">
        <f t="shared" ca="1" si="134"/>
        <v>-18032925696.717098</v>
      </c>
      <c r="M2566" s="471">
        <f t="shared" si="136"/>
        <v>0.05</v>
      </c>
      <c r="N2566" s="475">
        <f t="shared" si="137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35"/>
        <v>-18032925696.717098</v>
      </c>
      <c r="J2567" s="455">
        <f t="array" ref="J2567">IFERROR(INDEX('Retirement Calculator'!K:K,MATCH('Lorri 401b'!N2567,'Retirement Calculator'!A:A,0),0),0)</f>
        <v>0</v>
      </c>
      <c r="K2567" s="455">
        <f t="shared" ca="1" si="133"/>
        <v>-75137190.402987912</v>
      </c>
      <c r="L2567" s="455">
        <f t="shared" ca="1" si="134"/>
        <v>-18108062887.120087</v>
      </c>
      <c r="M2567" s="471">
        <f t="shared" si="136"/>
        <v>0.05</v>
      </c>
      <c r="N2567" s="475">
        <f t="shared" si="137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35"/>
        <v>-18108062887.120087</v>
      </c>
      <c r="J2568" s="455">
        <f t="array" ref="J2568">IFERROR(INDEX('Retirement Calculator'!K:K,MATCH('Lorri 401b'!N2568,'Retirement Calculator'!A:A,0),0),0)</f>
        <v>0</v>
      </c>
      <c r="K2568" s="455">
        <f t="shared" ca="1" si="133"/>
        <v>-75450262.02966702</v>
      </c>
      <c r="L2568" s="455">
        <f t="shared" ca="1" si="134"/>
        <v>-18183513149.149754</v>
      </c>
      <c r="M2568" s="471">
        <f t="shared" si="136"/>
        <v>0.05</v>
      </c>
      <c r="N2568" s="475">
        <f t="shared" si="137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35"/>
        <v>-18183513149.149754</v>
      </c>
      <c r="J2569" s="455">
        <f t="array" ref="J2569">IFERROR(INDEX('Retirement Calculator'!K:K,MATCH('Lorri 401b'!N2569,'Retirement Calculator'!A:A,0),0),0)</f>
        <v>0</v>
      </c>
      <c r="K2569" s="455">
        <f t="shared" ca="1" si="133"/>
        <v>-75764638.121457309</v>
      </c>
      <c r="L2569" s="455">
        <f t="shared" ca="1" si="134"/>
        <v>-18259277787.27121</v>
      </c>
      <c r="M2569" s="471">
        <f t="shared" si="136"/>
        <v>0.05</v>
      </c>
      <c r="N2569" s="475">
        <f t="shared" si="137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35"/>
        <v>-18259277787.27121</v>
      </c>
      <c r="J2570" s="455">
        <f t="array" ref="J2570">IFERROR(INDEX('Retirement Calculator'!K:K,MATCH('Lorri 401b'!N2570,'Retirement Calculator'!A:A,0),0),0)</f>
        <v>0</v>
      </c>
      <c r="K2570" s="455">
        <f t="shared" ca="1" si="133"/>
        <v>-76080324.113630041</v>
      </c>
      <c r="L2570" s="455">
        <f t="shared" ca="1" si="134"/>
        <v>-18335358111.384838</v>
      </c>
      <c r="M2570" s="471">
        <f t="shared" si="136"/>
        <v>0.05</v>
      </c>
      <c r="N2570" s="475">
        <f t="shared" si="137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35"/>
        <v>-18335358111.384838</v>
      </c>
      <c r="J2571" s="455">
        <f t="array" ref="J2571">IFERROR(INDEX('Retirement Calculator'!K:K,MATCH('Lorri 401b'!N2571,'Retirement Calculator'!A:A,0),0),0)</f>
        <v>0</v>
      </c>
      <c r="K2571" s="455">
        <f t="shared" ca="1" si="133"/>
        <v>-76397325.46410349</v>
      </c>
      <c r="L2571" s="455">
        <f t="shared" ca="1" si="134"/>
        <v>-18411755436.848942</v>
      </c>
      <c r="M2571" s="471">
        <f t="shared" si="136"/>
        <v>0.05</v>
      </c>
      <c r="N2571" s="475">
        <f t="shared" si="137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35"/>
        <v>-18411755436.848942</v>
      </c>
      <c r="J2572" s="455">
        <f t="array" ref="J2572">IFERROR(INDEX('Retirement Calculator'!K:K,MATCH('Lorri 401b'!N2572,'Retirement Calculator'!A:A,0),0),0)</f>
        <v>0</v>
      </c>
      <c r="K2572" s="455">
        <f t="shared" ca="1" si="133"/>
        <v>-76715647.653537259</v>
      </c>
      <c r="L2572" s="455">
        <f t="shared" ca="1" si="134"/>
        <v>-18488471084.50248</v>
      </c>
      <c r="M2572" s="471">
        <f t="shared" si="136"/>
        <v>0.05</v>
      </c>
      <c r="N2572" s="475">
        <f t="shared" si="137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35"/>
        <v>-18488471084.50248</v>
      </c>
      <c r="J2573" s="455">
        <f t="array" ref="J2573">IFERROR(INDEX('Retirement Calculator'!K:K,MATCH('Lorri 401b'!N2573,'Retirement Calculator'!A:A,0),0),0)</f>
        <v>0</v>
      </c>
      <c r="K2573" s="455">
        <f t="shared" ca="1" si="133"/>
        <v>-77035296.185426995</v>
      </c>
      <c r="L2573" s="455">
        <f t="shared" ca="1" si="134"/>
        <v>-18565506380.687908</v>
      </c>
      <c r="M2573" s="471">
        <f t="shared" si="136"/>
        <v>0.05</v>
      </c>
      <c r="N2573" s="475">
        <f t="shared" si="137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35"/>
        <v>-18565506380.687908</v>
      </c>
      <c r="J2574" s="455">
        <f t="array" ref="J2574">IFERROR(INDEX('Retirement Calculator'!K:K,MATCH('Lorri 401b'!N2574,'Retirement Calculator'!A:A,0),0),0)</f>
        <v>0</v>
      </c>
      <c r="K2574" s="455">
        <f t="shared" ca="1" si="133"/>
        <v>-77356276.586199611</v>
      </c>
      <c r="L2574" s="455">
        <f t="shared" ca="1" si="134"/>
        <v>-18642862657.274109</v>
      </c>
      <c r="M2574" s="471">
        <f t="shared" si="136"/>
        <v>0.05</v>
      </c>
      <c r="N2574" s="475">
        <f t="shared" si="137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35"/>
        <v>-18642862657.274109</v>
      </c>
      <c r="J2575" s="455">
        <f t="array" ref="J2575">IFERROR(INDEX('Retirement Calculator'!K:K,MATCH('Lorri 401b'!N2575,'Retirement Calculator'!A:A,0),0),0)</f>
        <v>0</v>
      </c>
      <c r="K2575" s="455">
        <f t="shared" ca="1" si="133"/>
        <v>-77678594.405308783</v>
      </c>
      <c r="L2575" s="455">
        <f t="shared" ca="1" si="134"/>
        <v>-18720541251.679417</v>
      </c>
      <c r="M2575" s="471">
        <f t="shared" si="136"/>
        <v>0.05</v>
      </c>
      <c r="N2575" s="475">
        <f t="shared" si="137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35"/>
        <v>-18720541251.679417</v>
      </c>
      <c r="J2576" s="455">
        <f t="array" ref="J2576">IFERROR(INDEX('Retirement Calculator'!K:K,MATCH('Lorri 401b'!N2576,'Retirement Calculator'!A:A,0),0),0)</f>
        <v>0</v>
      </c>
      <c r="K2576" s="455">
        <f t="shared" ca="1" si="133"/>
        <v>-78002255.215330899</v>
      </c>
      <c r="L2576" s="455">
        <f t="shared" ca="1" si="134"/>
        <v>-18798543506.894749</v>
      </c>
      <c r="M2576" s="471">
        <f t="shared" si="136"/>
        <v>0.05</v>
      </c>
      <c r="N2576" s="475">
        <f t="shared" si="137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35"/>
        <v>-18798543506.894749</v>
      </c>
      <c r="J2577" s="455">
        <f t="array" ref="J2577">IFERROR(INDEX('Retirement Calculator'!K:K,MATCH('Lorri 401b'!N2577,'Retirement Calculator'!A:A,0),0),0)</f>
        <v>0</v>
      </c>
      <c r="K2577" s="455">
        <f t="shared" ca="1" si="133"/>
        <v>-78327264.612061456</v>
      </c>
      <c r="L2577" s="455">
        <f t="shared" ca="1" si="134"/>
        <v>-18876870771.506809</v>
      </c>
      <c r="M2577" s="471">
        <f t="shared" si="136"/>
        <v>0.05</v>
      </c>
      <c r="N2577" s="475">
        <f t="shared" si="137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35"/>
        <v>-18876870771.506809</v>
      </c>
      <c r="J2578" s="455">
        <f t="array" ref="J2578">IFERROR(INDEX('Retirement Calculator'!K:K,MATCH('Lorri 401b'!N2578,'Retirement Calculator'!A:A,0),0),0)</f>
        <v>0</v>
      </c>
      <c r="K2578" s="455">
        <f t="shared" ca="1" si="133"/>
        <v>-78653628.214611709</v>
      </c>
      <c r="L2578" s="455">
        <f t="shared" ca="1" si="134"/>
        <v>-18955524399.72142</v>
      </c>
      <c r="M2578" s="471">
        <f t="shared" si="136"/>
        <v>0.05</v>
      </c>
      <c r="N2578" s="475">
        <f t="shared" si="137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35"/>
        <v>-18955524399.72142</v>
      </c>
      <c r="J2579" s="455">
        <f t="array" ref="J2579">IFERROR(INDEX('Retirement Calculator'!K:K,MATCH('Lorri 401b'!N2579,'Retirement Calculator'!A:A,0),0),0)</f>
        <v>0</v>
      </c>
      <c r="K2579" s="455">
        <f t="shared" ca="1" si="133"/>
        <v>-78981351.665505916</v>
      </c>
      <c r="L2579" s="455">
        <f t="shared" ca="1" si="134"/>
        <v>-19034505751.386925</v>
      </c>
      <c r="M2579" s="471">
        <f t="shared" si="136"/>
        <v>0.05</v>
      </c>
      <c r="N2579" s="475">
        <f t="shared" si="137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35"/>
        <v>-19034505751.386925</v>
      </c>
      <c r="J2580" s="455">
        <f t="array" ref="J2580">IFERROR(INDEX('Retirement Calculator'!K:K,MATCH('Lorri 401b'!N2580,'Retirement Calculator'!A:A,0),0),0)</f>
        <v>0</v>
      </c>
      <c r="K2580" s="455">
        <f t="shared" ca="1" si="133"/>
        <v>-79310440.630778849</v>
      </c>
      <c r="L2580" s="455">
        <f t="shared" ca="1" si="134"/>
        <v>-19113816192.017704</v>
      </c>
      <c r="M2580" s="471">
        <f t="shared" si="136"/>
        <v>0.05</v>
      </c>
      <c r="N2580" s="475">
        <f t="shared" si="137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35"/>
        <v>-19113816192.017704</v>
      </c>
      <c r="J2581" s="455">
        <f t="array" ref="J2581">IFERROR(INDEX('Retirement Calculator'!K:K,MATCH('Lorri 401b'!N2581,'Retirement Calculator'!A:A,0),0),0)</f>
        <v>0</v>
      </c>
      <c r="K2581" s="455">
        <f t="shared" ca="1" si="133"/>
        <v>-79640900.800073773</v>
      </c>
      <c r="L2581" s="455">
        <f t="shared" ca="1" si="134"/>
        <v>-19193457092.81778</v>
      </c>
      <c r="M2581" s="471">
        <f t="shared" si="136"/>
        <v>0.05</v>
      </c>
      <c r="N2581" s="475">
        <f t="shared" si="137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35"/>
        <v>-19193457092.81778</v>
      </c>
      <c r="J2582" s="455">
        <f t="array" ref="J2582">IFERROR(INDEX('Retirement Calculator'!K:K,MATCH('Lorri 401b'!N2582,'Retirement Calculator'!A:A,0),0),0)</f>
        <v>0</v>
      </c>
      <c r="K2582" s="455">
        <f t="shared" ca="1" si="133"/>
        <v>-79972737.886740744</v>
      </c>
      <c r="L2582" s="455">
        <f t="shared" ca="1" si="134"/>
        <v>-19273429830.704521</v>
      </c>
      <c r="M2582" s="471">
        <f t="shared" si="136"/>
        <v>0.05</v>
      </c>
      <c r="N2582" s="475">
        <f t="shared" si="137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35"/>
        <v>-19273429830.704521</v>
      </c>
      <c r="J2583" s="455">
        <f t="array" ref="J2583">IFERROR(INDEX('Retirement Calculator'!K:K,MATCH('Lorri 401b'!N2583,'Retirement Calculator'!A:A,0),0),0)</f>
        <v>0</v>
      </c>
      <c r="K2583" s="455">
        <f t="shared" ca="1" si="133"/>
        <v>-80305957.627935499</v>
      </c>
      <c r="L2583" s="455">
        <f t="shared" ca="1" si="134"/>
        <v>-19353735788.332458</v>
      </c>
      <c r="M2583" s="471">
        <f t="shared" si="136"/>
        <v>0.05</v>
      </c>
      <c r="N2583" s="475">
        <f t="shared" si="137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35"/>
        <v>-19353735788.332458</v>
      </c>
      <c r="J2584" s="455">
        <f t="array" ref="J2584">IFERROR(INDEX('Retirement Calculator'!K:K,MATCH('Lorri 401b'!N2584,'Retirement Calculator'!A:A,0),0),0)</f>
        <v>0</v>
      </c>
      <c r="K2584" s="455">
        <f t="shared" ca="1" si="133"/>
        <v>-80640565.784718573</v>
      </c>
      <c r="L2584" s="455">
        <f t="shared" ca="1" si="134"/>
        <v>-19434376354.117176</v>
      </c>
      <c r="M2584" s="471">
        <f t="shared" si="136"/>
        <v>0.05</v>
      </c>
      <c r="N2584" s="475">
        <f t="shared" si="137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35"/>
        <v>-19434376354.117176</v>
      </c>
      <c r="J2585" s="455">
        <f t="array" ref="J2585">IFERROR(INDEX('Retirement Calculator'!K:K,MATCH('Lorri 401b'!N2585,'Retirement Calculator'!A:A,0),0),0)</f>
        <v>0</v>
      </c>
      <c r="K2585" s="455">
        <f t="shared" ca="1" si="133"/>
        <v>-80976568.142154902</v>
      </c>
      <c r="L2585" s="455">
        <f t="shared" ca="1" si="134"/>
        <v>-19515352922.259331</v>
      </c>
      <c r="M2585" s="471">
        <f t="shared" si="136"/>
        <v>0.05</v>
      </c>
      <c r="N2585" s="475">
        <f t="shared" si="137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35"/>
        <v>-19515352922.259331</v>
      </c>
      <c r="J2586" s="455">
        <f t="array" ref="J2586">IFERROR(INDEX('Retirement Calculator'!K:K,MATCH('Lorri 401b'!N2586,'Retirement Calculator'!A:A,0),0),0)</f>
        <v>0</v>
      </c>
      <c r="K2586" s="455">
        <f t="shared" ca="1" si="133"/>
        <v>-81313970.509413883</v>
      </c>
      <c r="L2586" s="455">
        <f t="shared" ca="1" si="134"/>
        <v>-19596666892.768745</v>
      </c>
      <c r="M2586" s="471">
        <f t="shared" si="136"/>
        <v>0.05</v>
      </c>
      <c r="N2586" s="475">
        <f t="shared" si="137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35"/>
        <v>-19596666892.768745</v>
      </c>
      <c r="J2587" s="455">
        <f t="array" ref="J2587">IFERROR(INDEX('Retirement Calculator'!K:K,MATCH('Lorri 401b'!N2587,'Retirement Calculator'!A:A,0),0),0)</f>
        <v>0</v>
      </c>
      <c r="K2587" s="455">
        <f t="shared" ca="1" si="133"/>
        <v>-81652778.719869778</v>
      </c>
      <c r="L2587" s="455">
        <f t="shared" ca="1" si="134"/>
        <v>-19678319671.488617</v>
      </c>
      <c r="M2587" s="471">
        <f t="shared" si="136"/>
        <v>0.05</v>
      </c>
      <c r="N2587" s="475">
        <f t="shared" si="137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35"/>
        <v>-19678319671.488617</v>
      </c>
      <c r="J2588" s="455">
        <f t="array" ref="J2588">IFERROR(INDEX('Retirement Calculator'!K:K,MATCH('Lorri 401b'!N2588,'Retirement Calculator'!A:A,0),0),0)</f>
        <v>0</v>
      </c>
      <c r="K2588" s="455">
        <f t="shared" ca="1" si="133"/>
        <v>-81992998.631202564</v>
      </c>
      <c r="L2588" s="455">
        <f t="shared" ca="1" si="134"/>
        <v>-19760312670.11982</v>
      </c>
      <c r="M2588" s="471">
        <f t="shared" si="136"/>
        <v>0.05</v>
      </c>
      <c r="N2588" s="475">
        <f t="shared" si="137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35"/>
        <v>-19760312670.11982</v>
      </c>
      <c r="J2589" s="455">
        <f t="array" ref="J2589">IFERROR(INDEX('Retirement Calculator'!K:K,MATCH('Lorri 401b'!N2589,'Retirement Calculator'!A:A,0),0),0)</f>
        <v>0</v>
      </c>
      <c r="K2589" s="455">
        <f t="shared" ca="1" si="133"/>
        <v>-82334636.125499249</v>
      </c>
      <c r="L2589" s="455">
        <f t="shared" ca="1" si="134"/>
        <v>-19842647306.245319</v>
      </c>
      <c r="M2589" s="471">
        <f t="shared" si="136"/>
        <v>0.05</v>
      </c>
      <c r="N2589" s="475">
        <f t="shared" si="137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35"/>
        <v>-19842647306.245319</v>
      </c>
      <c r="J2590" s="455">
        <f t="array" ref="J2590">IFERROR(INDEX('Retirement Calculator'!K:K,MATCH('Lorri 401b'!N2590,'Retirement Calculator'!A:A,0),0),0)</f>
        <v>0</v>
      </c>
      <c r="K2590" s="455">
        <f t="shared" ca="1" si="133"/>
        <v>-82677697.109355494</v>
      </c>
      <c r="L2590" s="455">
        <f t="shared" ca="1" si="134"/>
        <v>-19925325003.354675</v>
      </c>
      <c r="M2590" s="471">
        <f t="shared" si="136"/>
        <v>0.05</v>
      </c>
      <c r="N2590" s="475">
        <f t="shared" si="137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35"/>
        <v>-19925325003.354675</v>
      </c>
      <c r="J2591" s="455">
        <f t="array" ref="J2591">IFERROR(INDEX('Retirement Calculator'!K:K,MATCH('Lorri 401b'!N2591,'Retirement Calculator'!A:A,0),0),0)</f>
        <v>0</v>
      </c>
      <c r="K2591" s="455">
        <f t="shared" ca="1" si="133"/>
        <v>-83022187.513977811</v>
      </c>
      <c r="L2591" s="455">
        <f t="shared" ca="1" si="134"/>
        <v>-20008347190.868652</v>
      </c>
      <c r="M2591" s="471">
        <f t="shared" si="136"/>
        <v>0.05</v>
      </c>
      <c r="N2591" s="475">
        <f t="shared" si="137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35"/>
        <v>-20008347190.868652</v>
      </c>
      <c r="J2592" s="455">
        <f t="array" ref="J2592">IFERROR(INDEX('Retirement Calculator'!K:K,MATCH('Lorri 401b'!N2592,'Retirement Calculator'!A:A,0),0),0)</f>
        <v>0</v>
      </c>
      <c r="K2592" s="455">
        <f t="shared" ca="1" si="133"/>
        <v>-83368113.295286044</v>
      </c>
      <c r="L2592" s="455">
        <f t="shared" ca="1" si="134"/>
        <v>-20091715304.163937</v>
      </c>
      <c r="M2592" s="471">
        <f t="shared" si="136"/>
        <v>0.05</v>
      </c>
      <c r="N2592" s="475">
        <f t="shared" si="137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35"/>
        <v>-20091715304.163937</v>
      </c>
      <c r="J2593" s="455">
        <f t="array" ref="J2593">IFERROR(INDEX('Retirement Calculator'!K:K,MATCH('Lorri 401b'!N2593,'Retirement Calculator'!A:A,0),0),0)</f>
        <v>0</v>
      </c>
      <c r="K2593" s="455">
        <f t="shared" ca="1" si="133"/>
        <v>-83715480.434016407</v>
      </c>
      <c r="L2593" s="455">
        <f t="shared" ca="1" si="134"/>
        <v>-20175430784.597954</v>
      </c>
      <c r="M2593" s="471">
        <f t="shared" si="136"/>
        <v>0.05</v>
      </c>
      <c r="N2593" s="475">
        <f t="shared" si="137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35"/>
        <v>-20175430784.597954</v>
      </c>
      <c r="J2594" s="455">
        <f t="array" ref="J2594">IFERROR(INDEX('Retirement Calculator'!K:K,MATCH('Lorri 401b'!N2594,'Retirement Calculator'!A:A,0),0),0)</f>
        <v>0</v>
      </c>
      <c r="K2594" s="455">
        <f t="shared" ca="1" si="133"/>
        <v>-84064294.935824811</v>
      </c>
      <c r="L2594" s="455">
        <f t="shared" ca="1" si="134"/>
        <v>-20259495079.533779</v>
      </c>
      <c r="M2594" s="471">
        <f t="shared" si="136"/>
        <v>0.05</v>
      </c>
      <c r="N2594" s="475">
        <f t="shared" si="137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35"/>
        <v>-20259495079.533779</v>
      </c>
      <c r="J2595" s="455">
        <f t="array" ref="J2595">IFERROR(INDEX('Retirement Calculator'!K:K,MATCH('Lorri 401b'!N2595,'Retirement Calculator'!A:A,0),0),0)</f>
        <v>0</v>
      </c>
      <c r="K2595" s="455">
        <f t="shared" ca="1" si="133"/>
        <v>-84414562.831390738</v>
      </c>
      <c r="L2595" s="455">
        <f t="shared" ca="1" si="134"/>
        <v>-20343909642.36517</v>
      </c>
      <c r="M2595" s="471">
        <f t="shared" si="136"/>
        <v>0.05</v>
      </c>
      <c r="N2595" s="475">
        <f t="shared" si="137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35"/>
        <v>-20343909642.36517</v>
      </c>
      <c r="J2596" s="455">
        <f t="array" ref="J2596">IFERROR(INDEX('Retirement Calculator'!K:K,MATCH('Lorri 401b'!N2596,'Retirement Calculator'!A:A,0),0),0)</f>
        <v>0</v>
      </c>
      <c r="K2596" s="455">
        <f t="shared" ca="1" si="133"/>
        <v>-84766290.17652154</v>
      </c>
      <c r="L2596" s="455">
        <f t="shared" ca="1" si="134"/>
        <v>-20428675932.541691</v>
      </c>
      <c r="M2596" s="471">
        <f t="shared" si="136"/>
        <v>0.05</v>
      </c>
      <c r="N2596" s="475">
        <f t="shared" si="137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35"/>
        <v>-20428675932.541691</v>
      </c>
      <c r="J2597" s="455">
        <f t="array" ref="J2597">IFERROR(INDEX('Retirement Calculator'!K:K,MATCH('Lorri 401b'!N2597,'Retirement Calculator'!A:A,0),0),0)</f>
        <v>0</v>
      </c>
      <c r="K2597" s="455">
        <f t="shared" ca="1" si="133"/>
        <v>-85119483.052257046</v>
      </c>
      <c r="L2597" s="455">
        <f t="shared" ca="1" si="134"/>
        <v>-20513795415.593948</v>
      </c>
      <c r="M2597" s="471">
        <f t="shared" si="136"/>
        <v>0.05</v>
      </c>
      <c r="N2597" s="475">
        <f t="shared" si="137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35"/>
        <v>-20513795415.593948</v>
      </c>
      <c r="J2598" s="455">
        <f t="array" ref="J2598">IFERROR(INDEX('Retirement Calculator'!K:K,MATCH('Lorri 401b'!N2598,'Retirement Calculator'!A:A,0),0),0)</f>
        <v>0</v>
      </c>
      <c r="K2598" s="455">
        <f t="shared" ca="1" si="133"/>
        <v>-85474147.564974785</v>
      </c>
      <c r="L2598" s="455">
        <f t="shared" ca="1" si="134"/>
        <v>-20599269563.158924</v>
      </c>
      <c r="M2598" s="471">
        <f t="shared" si="136"/>
        <v>0.05</v>
      </c>
      <c r="N2598" s="475">
        <f t="shared" si="137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35"/>
        <v>-20599269563.158924</v>
      </c>
      <c r="J2599" s="455">
        <f t="array" ref="J2599">IFERROR(INDEX('Retirement Calculator'!K:K,MATCH('Lorri 401b'!N2599,'Retirement Calculator'!A:A,0),0),0)</f>
        <v>0</v>
      </c>
      <c r="K2599" s="455">
        <f t="shared" ca="1" si="133"/>
        <v>-85830289.846495509</v>
      </c>
      <c r="L2599" s="455">
        <f t="shared" ca="1" si="134"/>
        <v>-20685099853.005421</v>
      </c>
      <c r="M2599" s="471">
        <f t="shared" si="136"/>
        <v>0.05</v>
      </c>
      <c r="N2599" s="475">
        <f t="shared" si="137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35"/>
        <v>-20685099853.005421</v>
      </c>
      <c r="J2600" s="455">
        <f t="array" ref="J2600">IFERROR(INDEX('Retirement Calculator'!K:K,MATCH('Lorri 401b'!N2600,'Retirement Calculator'!A:A,0),0),0)</f>
        <v>0</v>
      </c>
      <c r="K2600" s="455">
        <f t="shared" ca="1" si="133"/>
        <v>-86187916.05418925</v>
      </c>
      <c r="L2600" s="455">
        <f t="shared" ca="1" si="134"/>
        <v>-20771287769.059608</v>
      </c>
      <c r="M2600" s="471">
        <f t="shared" si="136"/>
        <v>0.05</v>
      </c>
      <c r="N2600" s="475">
        <f t="shared" si="137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35"/>
        <v>-20771287769.059608</v>
      </c>
      <c r="J2601" s="455">
        <f t="array" ref="J2601">IFERROR(INDEX('Retirement Calculator'!K:K,MATCH('Lorri 401b'!N2601,'Retirement Calculator'!A:A,0),0),0)</f>
        <v>0</v>
      </c>
      <c r="K2601" s="455">
        <f t="shared" ca="1" si="133"/>
        <v>-86547032.371081695</v>
      </c>
      <c r="L2601" s="455">
        <f t="shared" ca="1" si="134"/>
        <v>-20857834801.430691</v>
      </c>
      <c r="M2601" s="471">
        <f t="shared" si="136"/>
        <v>0.05</v>
      </c>
      <c r="N2601" s="475">
        <f t="shared" si="137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35"/>
        <v>-20857834801.430691</v>
      </c>
      <c r="J2602" s="455">
        <f t="array" ref="J2602">IFERROR(INDEX('Retirement Calculator'!K:K,MATCH('Lorri 401b'!N2602,'Retirement Calculator'!A:A,0),0),0)</f>
        <v>0</v>
      </c>
      <c r="K2602" s="455">
        <f t="shared" ca="1" si="133"/>
        <v>-86907645.00596121</v>
      </c>
      <c r="L2602" s="455">
        <f t="shared" ca="1" si="134"/>
        <v>-20944742446.436653</v>
      </c>
      <c r="M2602" s="471">
        <f t="shared" si="136"/>
        <v>0.05</v>
      </c>
      <c r="N2602" s="475">
        <f t="shared" si="137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35"/>
        <v>-20944742446.436653</v>
      </c>
      <c r="J2603" s="455">
        <f t="array" ref="J2603">IFERROR(INDEX('Retirement Calculator'!K:K,MATCH('Lorri 401b'!N2603,'Retirement Calculator'!A:A,0),0),0)</f>
        <v>0</v>
      </c>
      <c r="K2603" s="455">
        <f t="shared" ca="1" si="133"/>
        <v>-87269760.19348605</v>
      </c>
      <c r="L2603" s="455">
        <f t="shared" ca="1" si="134"/>
        <v>-21032012206.630138</v>
      </c>
      <c r="M2603" s="471">
        <f t="shared" si="136"/>
        <v>0.05</v>
      </c>
      <c r="N2603" s="475">
        <f t="shared" si="137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35"/>
        <v>-21032012206.630138</v>
      </c>
      <c r="J2604" s="455">
        <f t="array" ref="J2604">IFERROR(INDEX('Retirement Calculator'!K:K,MATCH('Lorri 401b'!N2604,'Retirement Calculator'!A:A,0),0),0)</f>
        <v>0</v>
      </c>
      <c r="K2604" s="455">
        <f t="shared" ca="1" si="133"/>
        <v>-87633384.194292247</v>
      </c>
      <c r="L2604" s="455">
        <f t="shared" ca="1" si="134"/>
        <v>-21119645590.824432</v>
      </c>
      <c r="M2604" s="471">
        <f t="shared" si="136"/>
        <v>0.05</v>
      </c>
      <c r="N2604" s="475">
        <f t="shared" si="137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35"/>
        <v>-21119645590.824432</v>
      </c>
      <c r="J2605" s="455">
        <f t="array" ref="J2605">IFERROR(INDEX('Retirement Calculator'!K:K,MATCH('Lorri 401b'!N2605,'Retirement Calculator'!A:A,0),0),0)</f>
        <v>0</v>
      </c>
      <c r="K2605" s="455">
        <f t="shared" ca="1" si="133"/>
        <v>-87998523.295101807</v>
      </c>
      <c r="L2605" s="455">
        <f t="shared" ca="1" si="134"/>
        <v>-21207644114.119534</v>
      </c>
      <c r="M2605" s="471">
        <f t="shared" si="136"/>
        <v>0.05</v>
      </c>
      <c r="N2605" s="475">
        <f t="shared" si="137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35"/>
        <v>-21207644114.119534</v>
      </c>
      <c r="J2606" s="455">
        <f t="array" ref="J2606">IFERROR(INDEX('Retirement Calculator'!K:K,MATCH('Lorri 401b'!N2606,'Retirement Calculator'!A:A,0),0),0)</f>
        <v>0</v>
      </c>
      <c r="K2606" s="455">
        <f t="shared" ca="1" si="133"/>
        <v>-88365183.808831394</v>
      </c>
      <c r="L2606" s="455">
        <f t="shared" ca="1" si="134"/>
        <v>-21296009297.928364</v>
      </c>
      <c r="M2606" s="471">
        <f t="shared" si="136"/>
        <v>0.05</v>
      </c>
      <c r="N2606" s="475">
        <f t="shared" si="137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35"/>
        <v>-21296009297.928364</v>
      </c>
      <c r="J2607" s="455">
        <f t="array" ref="J2607">IFERROR(INDEX('Retirement Calculator'!K:K,MATCH('Lorri 401b'!N2607,'Retirement Calculator'!A:A,0),0),0)</f>
        <v>0</v>
      </c>
      <c r="K2607" s="455">
        <f t="shared" ca="1" si="133"/>
        <v>-88733372.074701518</v>
      </c>
      <c r="L2607" s="455">
        <f t="shared" ca="1" si="134"/>
        <v>-21384742670.003067</v>
      </c>
      <c r="M2607" s="471">
        <f t="shared" si="136"/>
        <v>0.05</v>
      </c>
      <c r="N2607" s="475">
        <f t="shared" si="137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35"/>
        <v>-21384742670.003067</v>
      </c>
      <c r="J2608" s="455">
        <f t="array" ref="J2608">IFERROR(INDEX('Retirement Calculator'!K:K,MATCH('Lorri 401b'!N2608,'Retirement Calculator'!A:A,0),0),0)</f>
        <v>0</v>
      </c>
      <c r="K2608" s="455">
        <f t="shared" ca="1" si="133"/>
        <v>-89103094.458346114</v>
      </c>
      <c r="L2608" s="455">
        <f t="shared" ca="1" si="134"/>
        <v>-21473845764.461414</v>
      </c>
      <c r="M2608" s="471">
        <f t="shared" si="136"/>
        <v>0.05</v>
      </c>
      <c r="N2608" s="475">
        <f t="shared" si="137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35"/>
        <v>-21473845764.461414</v>
      </c>
      <c r="J2609" s="455">
        <f t="array" ref="J2609">IFERROR(INDEX('Retirement Calculator'!K:K,MATCH('Lorri 401b'!N2609,'Retirement Calculator'!A:A,0),0),0)</f>
        <v>0</v>
      </c>
      <c r="K2609" s="455">
        <f t="shared" ca="1" si="133"/>
        <v>-89474357.351922557</v>
      </c>
      <c r="L2609" s="455">
        <f t="shared" ca="1" si="134"/>
        <v>-21563320121.813335</v>
      </c>
      <c r="M2609" s="471">
        <f t="shared" si="136"/>
        <v>0.05</v>
      </c>
      <c r="N2609" s="475">
        <f t="shared" si="137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35"/>
        <v>-21563320121.813335</v>
      </c>
      <c r="J2610" s="455">
        <f t="array" ref="J2610">IFERROR(INDEX('Retirement Calculator'!K:K,MATCH('Lorri 401b'!N2610,'Retirement Calculator'!A:A,0),0),0)</f>
        <v>0</v>
      </c>
      <c r="K2610" s="455">
        <f t="shared" ca="1" si="133"/>
        <v>-89847167.174222231</v>
      </c>
      <c r="L2610" s="455">
        <f t="shared" ca="1" si="134"/>
        <v>-21653167288.987556</v>
      </c>
      <c r="M2610" s="471">
        <f t="shared" si="136"/>
        <v>0.05</v>
      </c>
      <c r="N2610" s="475">
        <f t="shared" si="137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35"/>
        <v>-21653167288.987556</v>
      </c>
      <c r="J2611" s="455">
        <f t="array" ref="J2611">IFERROR(INDEX('Retirement Calculator'!K:K,MATCH('Lorri 401b'!N2611,'Retirement Calculator'!A:A,0),0),0)</f>
        <v>0</v>
      </c>
      <c r="K2611" s="455">
        <f t="shared" ca="1" si="133"/>
        <v>-90221530.370781481</v>
      </c>
      <c r="L2611" s="455">
        <f t="shared" ca="1" si="134"/>
        <v>-21743388819.358337</v>
      </c>
      <c r="M2611" s="471">
        <f t="shared" si="136"/>
        <v>0.05</v>
      </c>
      <c r="N2611" s="475">
        <f t="shared" si="137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35"/>
        <v>-21743388819.358337</v>
      </c>
      <c r="J2612" s="455">
        <f t="array" ref="J2612">IFERROR(INDEX('Retirement Calculator'!K:K,MATCH('Lorri 401b'!N2612,'Retirement Calculator'!A:A,0),0),0)</f>
        <v>0</v>
      </c>
      <c r="K2612" s="455">
        <f t="shared" ca="1" si="133"/>
        <v>-90597453.413993075</v>
      </c>
      <c r="L2612" s="455">
        <f t="shared" ca="1" si="134"/>
        <v>-21833986272.772331</v>
      </c>
      <c r="M2612" s="471">
        <f t="shared" si="136"/>
        <v>0.05</v>
      </c>
      <c r="N2612" s="475">
        <f t="shared" si="137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35"/>
        <v>-21833986272.772331</v>
      </c>
      <c r="J2613" s="455">
        <f t="array" ref="J2613">IFERROR(INDEX('Retirement Calculator'!K:K,MATCH('Lorri 401b'!N2613,'Retirement Calculator'!A:A,0),0),0)</f>
        <v>0</v>
      </c>
      <c r="K2613" s="455">
        <f t="shared" ca="1" si="133"/>
        <v>-90974942.803218052</v>
      </c>
      <c r="L2613" s="455">
        <f t="shared" ca="1" si="134"/>
        <v>-21924961215.57555</v>
      </c>
      <c r="M2613" s="471">
        <f t="shared" si="136"/>
        <v>0.05</v>
      </c>
      <c r="N2613" s="475">
        <f t="shared" si="137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35"/>
        <v>-21924961215.57555</v>
      </c>
      <c r="J2614" s="455">
        <f t="array" ref="J2614">IFERROR(INDEX('Retirement Calculator'!K:K,MATCH('Lorri 401b'!N2614,'Retirement Calculator'!A:A,0),0),0)</f>
        <v>0</v>
      </c>
      <c r="K2614" s="455">
        <f t="shared" ca="1" si="133"/>
        <v>-91354005.064898118</v>
      </c>
      <c r="L2614" s="455">
        <f t="shared" ca="1" si="134"/>
        <v>-22016315220.64045</v>
      </c>
      <c r="M2614" s="471">
        <f t="shared" si="136"/>
        <v>0.05</v>
      </c>
      <c r="N2614" s="475">
        <f t="shared" si="137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35"/>
        <v>-22016315220.64045</v>
      </c>
      <c r="J2615" s="455">
        <f t="array" ref="J2615">IFERROR(INDEX('Retirement Calculator'!K:K,MATCH('Lorri 401b'!N2615,'Retirement Calculator'!A:A,0),0),0)</f>
        <v>0</v>
      </c>
      <c r="K2615" s="455">
        <f t="shared" ca="1" si="133"/>
        <v>-91734646.752668545</v>
      </c>
      <c r="L2615" s="455">
        <f t="shared" ca="1" si="134"/>
        <v>-22108049867.39312</v>
      </c>
      <c r="M2615" s="471">
        <f t="shared" si="136"/>
        <v>0.05</v>
      </c>
      <c r="N2615" s="475">
        <f t="shared" si="137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35"/>
        <v>-22108049867.39312</v>
      </c>
      <c r="J2616" s="455">
        <f t="array" ref="J2616">IFERROR(INDEX('Retirement Calculator'!K:K,MATCH('Lorri 401b'!N2616,'Retirement Calculator'!A:A,0),0),0)</f>
        <v>0</v>
      </c>
      <c r="K2616" s="455">
        <f t="shared" ca="1" si="133"/>
        <v>-92116874.447471336</v>
      </c>
      <c r="L2616" s="455">
        <f t="shared" ca="1" si="134"/>
        <v>-22200166741.840591</v>
      </c>
      <c r="M2616" s="471">
        <f t="shared" si="136"/>
        <v>0.05</v>
      </c>
      <c r="N2616" s="475">
        <f t="shared" si="137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35"/>
        <v>-22200166741.840591</v>
      </c>
      <c r="J2617" s="455">
        <f t="array" ref="J2617">IFERROR(INDEX('Retirement Calculator'!K:K,MATCH('Lorri 401b'!N2617,'Retirement Calculator'!A:A,0),0),0)</f>
        <v>0</v>
      </c>
      <c r="K2617" s="455">
        <f t="shared" ca="1" si="133"/>
        <v>-92500694.757669136</v>
      </c>
      <c r="L2617" s="455">
        <f t="shared" ca="1" si="134"/>
        <v>-22292667436.598259</v>
      </c>
      <c r="M2617" s="471">
        <f t="shared" si="136"/>
        <v>0.05</v>
      </c>
      <c r="N2617" s="475">
        <f t="shared" si="137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35"/>
        <v>-22292667436.598259</v>
      </c>
      <c r="J2618" s="455">
        <f t="array" ref="J2618">IFERROR(INDEX('Retirement Calculator'!K:K,MATCH('Lorri 401b'!N2618,'Retirement Calculator'!A:A,0),0),0)</f>
        <v>0</v>
      </c>
      <c r="K2618" s="455">
        <f t="shared" ca="1" si="133"/>
        <v>-92886114.319159418</v>
      </c>
      <c r="L2618" s="455">
        <f t="shared" ca="1" si="134"/>
        <v>-22385553550.917419</v>
      </c>
      <c r="M2618" s="471">
        <f t="shared" si="136"/>
        <v>0.05</v>
      </c>
      <c r="N2618" s="475">
        <f t="shared" si="137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35"/>
        <v>-22385553550.917419</v>
      </c>
      <c r="J2619" s="455">
        <f t="array" ref="J2619">IFERROR(INDEX('Retirement Calculator'!K:K,MATCH('Lorri 401b'!N2619,'Retirement Calculator'!A:A,0),0),0)</f>
        <v>0</v>
      </c>
      <c r="K2619" s="455">
        <f t="shared" ca="1" si="133"/>
        <v>-93273139.795489252</v>
      </c>
      <c r="L2619" s="455">
        <f t="shared" ca="1" si="134"/>
        <v>-22478826690.71291</v>
      </c>
      <c r="M2619" s="471">
        <f t="shared" si="136"/>
        <v>0.05</v>
      </c>
      <c r="N2619" s="475">
        <f t="shared" si="137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35"/>
        <v>-22478826690.71291</v>
      </c>
      <c r="J2620" s="455">
        <f t="array" ref="J2620">IFERROR(INDEX('Retirement Calculator'!K:K,MATCH('Lorri 401b'!N2620,'Retirement Calculator'!A:A,0),0),0)</f>
        <v>0</v>
      </c>
      <c r="K2620" s="455">
        <f t="shared" ca="1" si="133"/>
        <v>-93661777.877970457</v>
      </c>
      <c r="L2620" s="455">
        <f t="shared" ca="1" si="134"/>
        <v>-22572488468.590881</v>
      </c>
      <c r="M2620" s="471">
        <f t="shared" si="136"/>
        <v>0.05</v>
      </c>
      <c r="N2620" s="475">
        <f t="shared" si="137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35"/>
        <v>-22572488468.590881</v>
      </c>
      <c r="J2621" s="455">
        <f t="array" ref="J2621">IFERROR(INDEX('Retirement Calculator'!K:K,MATCH('Lorri 401b'!N2621,'Retirement Calculator'!A:A,0),0),0)</f>
        <v>0</v>
      </c>
      <c r="K2621" s="455">
        <f t="shared" ca="1" si="133"/>
        <v>-94052035.285795331</v>
      </c>
      <c r="L2621" s="455">
        <f t="shared" ca="1" si="134"/>
        <v>-22666540503.876678</v>
      </c>
      <c r="M2621" s="471">
        <f t="shared" si="136"/>
        <v>0.05</v>
      </c>
      <c r="N2621" s="475">
        <f t="shared" si="137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35"/>
        <v>-22666540503.876678</v>
      </c>
      <c r="J2622" s="455">
        <f t="array" ref="J2622">IFERROR(INDEX('Retirement Calculator'!K:K,MATCH('Lorri 401b'!N2622,'Retirement Calculator'!A:A,0),0),0)</f>
        <v>0</v>
      </c>
      <c r="K2622" s="455">
        <f t="shared" ca="1" si="133"/>
        <v>-94443918.766152829</v>
      </c>
      <c r="L2622" s="455">
        <f t="shared" ca="1" si="134"/>
        <v>-22760984422.64283</v>
      </c>
      <c r="M2622" s="471">
        <f t="shared" si="136"/>
        <v>0.05</v>
      </c>
      <c r="N2622" s="475">
        <f t="shared" si="137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35"/>
        <v>-22760984422.64283</v>
      </c>
      <c r="J2623" s="455">
        <f t="array" ref="J2623">IFERROR(INDEX('Retirement Calculator'!K:K,MATCH('Lorri 401b'!N2623,'Retirement Calculator'!A:A,0),0),0)</f>
        <v>0</v>
      </c>
      <c r="K2623" s="455">
        <f t="shared" ca="1" si="133"/>
        <v>-94837435.094345123</v>
      </c>
      <c r="L2623" s="455">
        <f t="shared" ca="1" si="134"/>
        <v>-22855821857.737175</v>
      </c>
      <c r="M2623" s="471">
        <f t="shared" si="136"/>
        <v>0.05</v>
      </c>
      <c r="N2623" s="475">
        <f t="shared" si="137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35"/>
        <v>-22855821857.737175</v>
      </c>
      <c r="J2624" s="455">
        <f t="array" ref="J2624">IFERROR(INDEX('Retirement Calculator'!K:K,MATCH('Lorri 401b'!N2624,'Retirement Calculator'!A:A,0),0),0)</f>
        <v>0</v>
      </c>
      <c r="K2624" s="455">
        <f t="shared" ca="1" si="133"/>
        <v>-95232591.073904902</v>
      </c>
      <c r="L2624" s="455">
        <f t="shared" ca="1" si="134"/>
        <v>-22951054448.811081</v>
      </c>
      <c r="M2624" s="471">
        <f t="shared" si="136"/>
        <v>0.05</v>
      </c>
      <c r="N2624" s="475">
        <f t="shared" si="137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35"/>
        <v>-22951054448.811081</v>
      </c>
      <c r="J2625" s="455">
        <f t="array" ref="J2625">IFERROR(INDEX('Retirement Calculator'!K:K,MATCH('Lorri 401b'!N2625,'Retirement Calculator'!A:A,0),0),0)</f>
        <v>0</v>
      </c>
      <c r="K2625" s="455">
        <f t="shared" ca="1" si="133"/>
        <v>-95629393.53671284</v>
      </c>
      <c r="L2625" s="455">
        <f t="shared" ca="1" si="134"/>
        <v>-23046683842.347794</v>
      </c>
      <c r="M2625" s="471">
        <f t="shared" si="136"/>
        <v>0.05</v>
      </c>
      <c r="N2625" s="475">
        <f t="shared" si="137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35"/>
        <v>-23046683842.347794</v>
      </c>
      <c r="J2626" s="455">
        <f t="array" ref="J2626">IFERROR(INDEX('Retirement Calculator'!K:K,MATCH('Lorri 401b'!N2626,'Retirement Calculator'!A:A,0),0),0)</f>
        <v>0</v>
      </c>
      <c r="K2626" s="455">
        <f t="shared" ca="1" si="133"/>
        <v>-96027849.343115807</v>
      </c>
      <c r="L2626" s="455">
        <f t="shared" ca="1" si="134"/>
        <v>-23142711691.69091</v>
      </c>
      <c r="M2626" s="471">
        <f t="shared" si="136"/>
        <v>0.05</v>
      </c>
      <c r="N2626" s="475">
        <f t="shared" si="137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35"/>
        <v>-23142711691.69091</v>
      </c>
      <c r="J2627" s="455">
        <f t="array" ref="J2627">IFERROR(INDEX('Retirement Calculator'!K:K,MATCH('Lorri 401b'!N2627,'Retirement Calculator'!A:A,0),0),0)</f>
        <v>0</v>
      </c>
      <c r="K2627" s="455">
        <f t="shared" ca="1" si="133"/>
        <v>-96427965.382045463</v>
      </c>
      <c r="L2627" s="455">
        <f t="shared" ca="1" si="134"/>
        <v>-23239139657.072956</v>
      </c>
      <c r="M2627" s="471">
        <f t="shared" si="136"/>
        <v>0.05</v>
      </c>
      <c r="N2627" s="475">
        <f t="shared" si="137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35"/>
        <v>-23239139657.072956</v>
      </c>
      <c r="J2628" s="455">
        <f t="array" ref="J2628">IFERROR(INDEX('Retirement Calculator'!K:K,MATCH('Lorri 401b'!N2628,'Retirement Calculator'!A:A,0),0),0)</f>
        <v>0</v>
      </c>
      <c r="K2628" s="455">
        <f t="shared" ca="1" si="133"/>
        <v>-96829748.571137309</v>
      </c>
      <c r="L2628" s="455">
        <f t="shared" ca="1" si="134"/>
        <v>-23335969405.644093</v>
      </c>
      <c r="M2628" s="471">
        <f t="shared" si="136"/>
        <v>0.05</v>
      </c>
      <c r="N2628" s="475">
        <f t="shared" si="137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35"/>
        <v>-23335969405.644093</v>
      </c>
      <c r="J2629" s="455">
        <f t="array" ref="J2629">IFERROR(INDEX('Retirement Calculator'!K:K,MATCH('Lorri 401b'!N2629,'Retirement Calculator'!A:A,0),0),0)</f>
        <v>0</v>
      </c>
      <c r="K2629" s="455">
        <f t="shared" ca="1" si="133"/>
        <v>-97233205.856850386</v>
      </c>
      <c r="L2629" s="455">
        <f t="shared" ca="1" si="134"/>
        <v>-23433202611.500942</v>
      </c>
      <c r="M2629" s="471">
        <f t="shared" si="136"/>
        <v>0.05</v>
      </c>
      <c r="N2629" s="475">
        <f t="shared" si="137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35"/>
        <v>-23433202611.500942</v>
      </c>
      <c r="J2630" s="455">
        <f t="array" ref="J2630">IFERROR(INDEX('Retirement Calculator'!K:K,MATCH('Lorri 401b'!N2630,'Retirement Calculator'!A:A,0),0),0)</f>
        <v>0</v>
      </c>
      <c r="K2630" s="455">
        <f t="shared" ca="1" si="133"/>
        <v>-97638344.214587256</v>
      </c>
      <c r="L2630" s="455">
        <f t="shared" ca="1" si="134"/>
        <v>-23530840955.71553</v>
      </c>
      <c r="M2630" s="471">
        <f t="shared" si="136"/>
        <v>0.05</v>
      </c>
      <c r="N2630" s="475">
        <f t="shared" si="137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35"/>
        <v>-23530840955.71553</v>
      </c>
      <c r="J2631" s="455">
        <f t="array" ref="J2631">IFERROR(INDEX('Retirement Calculator'!K:K,MATCH('Lorri 401b'!N2631,'Retirement Calculator'!A:A,0),0),0)</f>
        <v>0</v>
      </c>
      <c r="K2631" s="455">
        <f t="shared" ca="1" si="133"/>
        <v>-98045170.648814708</v>
      </c>
      <c r="L2631" s="455">
        <f t="shared" ca="1" si="134"/>
        <v>-23628886126.364346</v>
      </c>
      <c r="M2631" s="471">
        <f t="shared" si="136"/>
        <v>0.05</v>
      </c>
      <c r="N2631" s="475">
        <f t="shared" si="137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35"/>
        <v>-23628886126.364346</v>
      </c>
      <c r="J2632" s="455">
        <f t="array" ref="J2632">IFERROR(INDEX('Retirement Calculator'!K:K,MATCH('Lorri 401b'!N2632,'Retirement Calculator'!A:A,0),0),0)</f>
        <v>0</v>
      </c>
      <c r="K2632" s="455">
        <f t="shared" ca="1" si="133"/>
        <v>-98453692.193184778</v>
      </c>
      <c r="L2632" s="455">
        <f t="shared" ca="1" si="134"/>
        <v>-23727339818.557529</v>
      </c>
      <c r="M2632" s="471">
        <f t="shared" si="136"/>
        <v>0.05</v>
      </c>
      <c r="N2632" s="475">
        <f t="shared" si="137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35"/>
        <v>-23727339818.557529</v>
      </c>
      <c r="J2633" s="455">
        <f t="array" ref="J2633">IFERROR(INDEX('Retirement Calculator'!K:K,MATCH('Lorri 401b'!N2633,'Retirement Calculator'!A:A,0),0),0)</f>
        <v>0</v>
      </c>
      <c r="K2633" s="455">
        <f t="shared" ca="1" si="133"/>
        <v>-98863915.910656378</v>
      </c>
      <c r="L2633" s="455">
        <f t="shared" ca="1" si="134"/>
        <v>-23826203734.468185</v>
      </c>
      <c r="M2633" s="471">
        <f t="shared" si="136"/>
        <v>0.05</v>
      </c>
      <c r="N2633" s="475">
        <f t="shared" si="137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35"/>
        <v>-23826203734.468185</v>
      </c>
      <c r="J2634" s="455">
        <f t="array" ref="J2634">IFERROR(INDEX('Retirement Calculator'!K:K,MATCH('Lorri 401b'!N2634,'Retirement Calculator'!A:A,0),0),0)</f>
        <v>0</v>
      </c>
      <c r="K2634" s="455">
        <f t="shared" ca="1" si="133"/>
        <v>-99275848.893617436</v>
      </c>
      <c r="L2634" s="455">
        <f t="shared" ca="1" si="134"/>
        <v>-23925479583.361801</v>
      </c>
      <c r="M2634" s="471">
        <f t="shared" si="136"/>
        <v>0.05</v>
      </c>
      <c r="N2634" s="475">
        <f t="shared" si="137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35"/>
        <v>-23925479583.361801</v>
      </c>
      <c r="J2635" s="455">
        <f t="array" ref="J2635">IFERROR(INDEX('Retirement Calculator'!K:K,MATCH('Lorri 401b'!N2635,'Retirement Calculator'!A:A,0),0),0)</f>
        <v>0</v>
      </c>
      <c r="K2635" s="455">
        <f t="shared" ca="1" si="133"/>
        <v>-99689498.264007509</v>
      </c>
      <c r="L2635" s="455">
        <f t="shared" ca="1" si="134"/>
        <v>-24025169081.625809</v>
      </c>
      <c r="M2635" s="471">
        <f t="shared" si="136"/>
        <v>0.05</v>
      </c>
      <c r="N2635" s="475">
        <f t="shared" si="137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35"/>
        <v>-24025169081.625809</v>
      </c>
      <c r="J2636" s="455">
        <f t="array" ref="J2636">IFERROR(INDEX('Retirement Calculator'!K:K,MATCH('Lorri 401b'!N2636,'Retirement Calculator'!A:A,0),0),0)</f>
        <v>0</v>
      </c>
      <c r="K2636" s="455">
        <f t="shared" ca="1" si="133"/>
        <v>-100104871.17344087</v>
      </c>
      <c r="L2636" s="455">
        <f t="shared" ca="1" si="134"/>
        <v>-24125273952.799248</v>
      </c>
      <c r="M2636" s="471">
        <f t="shared" si="136"/>
        <v>0.05</v>
      </c>
      <c r="N2636" s="475">
        <f t="shared" si="137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35"/>
        <v>-24125273952.799248</v>
      </c>
      <c r="J2637" s="455">
        <f t="array" ref="J2637">IFERROR(INDEX('Retirement Calculator'!K:K,MATCH('Lorri 401b'!N2637,'Retirement Calculator'!A:A,0),0),0)</f>
        <v>0</v>
      </c>
      <c r="K2637" s="455">
        <f t="shared" ca="1" si="133"/>
        <v>-100521974.8033302</v>
      </c>
      <c r="L2637" s="455">
        <f t="shared" ca="1" si="134"/>
        <v>-24225795927.602577</v>
      </c>
      <c r="M2637" s="471">
        <f t="shared" si="136"/>
        <v>0.05</v>
      </c>
      <c r="N2637" s="475">
        <f t="shared" si="137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35"/>
        <v>-24225795927.602577</v>
      </c>
      <c r="J2638" s="455">
        <f t="array" ref="J2638">IFERROR(INDEX('Retirement Calculator'!K:K,MATCH('Lorri 401b'!N2638,'Retirement Calculator'!A:A,0),0),0)</f>
        <v>0</v>
      </c>
      <c r="K2638" s="455">
        <f t="shared" ca="1" si="133"/>
        <v>-100940816.36501074</v>
      </c>
      <c r="L2638" s="455">
        <f t="shared" ca="1" si="134"/>
        <v>-24326736743.967587</v>
      </c>
      <c r="M2638" s="471">
        <f t="shared" si="136"/>
        <v>0.05</v>
      </c>
      <c r="N2638" s="475">
        <f t="shared" si="137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35"/>
        <v>-24326736743.967587</v>
      </c>
      <c r="J2639" s="455">
        <f t="array" ref="J2639">IFERROR(INDEX('Retirement Calculator'!K:K,MATCH('Lorri 401b'!N2639,'Retirement Calculator'!A:A,0),0),0)</f>
        <v>0</v>
      </c>
      <c r="K2639" s="455">
        <f t="shared" ca="1" si="133"/>
        <v>-101361403.09986494</v>
      </c>
      <c r="L2639" s="455">
        <f t="shared" ca="1" si="134"/>
        <v>-24428098147.067451</v>
      </c>
      <c r="M2639" s="471">
        <f t="shared" si="136"/>
        <v>0.05</v>
      </c>
      <c r="N2639" s="475">
        <f t="shared" si="137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35"/>
        <v>-24428098147.067451</v>
      </c>
      <c r="J2640" s="455">
        <f t="array" ref="J2640">IFERROR(INDEX('Retirement Calculator'!K:K,MATCH('Lorri 401b'!N2640,'Retirement Calculator'!A:A,0),0),0)</f>
        <v>0</v>
      </c>
      <c r="K2640" s="455">
        <f t="shared" ca="1" si="133"/>
        <v>-101783742.27944772</v>
      </c>
      <c r="L2640" s="455">
        <f t="shared" ca="1" si="134"/>
        <v>-24529881889.346901</v>
      </c>
      <c r="M2640" s="471">
        <f t="shared" si="136"/>
        <v>0.05</v>
      </c>
      <c r="N2640" s="475">
        <f t="shared" si="137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35"/>
        <v>-24529881889.346901</v>
      </c>
      <c r="J2641" s="455">
        <f t="array" ref="J2641">IFERROR(INDEX('Retirement Calculator'!K:K,MATCH('Lorri 401b'!N2641,'Retirement Calculator'!A:A,0),0),0)</f>
        <v>0</v>
      </c>
      <c r="K2641" s="455">
        <f t="shared" ca="1" si="133"/>
        <v>-102207841.20561209</v>
      </c>
      <c r="L2641" s="455">
        <f t="shared" ca="1" si="134"/>
        <v>-24632089730.552513</v>
      </c>
      <c r="M2641" s="471">
        <f t="shared" si="136"/>
        <v>0.05</v>
      </c>
      <c r="N2641" s="475">
        <f t="shared" si="137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35"/>
        <v>-24632089730.552513</v>
      </c>
      <c r="J2642" s="455">
        <f t="array" ref="J2642">IFERROR(INDEX('Retirement Calculator'!K:K,MATCH('Lorri 401b'!N2642,'Retirement Calculator'!A:A,0),0),0)</f>
        <v>0</v>
      </c>
      <c r="K2642" s="455">
        <f t="shared" ca="1" si="133"/>
        <v>-102633707.21063547</v>
      </c>
      <c r="L2642" s="455">
        <f t="shared" ca="1" si="134"/>
        <v>-24734723437.763149</v>
      </c>
      <c r="M2642" s="471">
        <f t="shared" si="136"/>
        <v>0.05</v>
      </c>
      <c r="N2642" s="475">
        <f t="shared" si="137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35"/>
        <v>-24734723437.763149</v>
      </c>
      <c r="J2643" s="455">
        <f t="array" ref="J2643">IFERROR(INDEX('Retirement Calculator'!K:K,MATCH('Lorri 401b'!N2643,'Retirement Calculator'!A:A,0),0),0)</f>
        <v>0</v>
      </c>
      <c r="K2643" s="455">
        <f t="shared" ca="1" si="133"/>
        <v>-103061347.65734646</v>
      </c>
      <c r="L2643" s="455">
        <f t="shared" ca="1" si="134"/>
        <v>-24837784785.420494</v>
      </c>
      <c r="M2643" s="471">
        <f t="shared" si="136"/>
        <v>0.05</v>
      </c>
      <c r="N2643" s="475">
        <f t="shared" si="137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35"/>
        <v>-24837784785.420494</v>
      </c>
      <c r="J2644" s="455">
        <f t="array" ref="J2644">IFERROR(INDEX('Retirement Calculator'!K:K,MATCH('Lorri 401b'!N2644,'Retirement Calculator'!A:A,0),0),0)</f>
        <v>0</v>
      </c>
      <c r="K2644" s="455">
        <f t="shared" ca="1" si="133"/>
        <v>-103490769.93925206</v>
      </c>
      <c r="L2644" s="455">
        <f t="shared" ca="1" si="134"/>
        <v>-24941275555.359745</v>
      </c>
      <c r="M2644" s="471">
        <f t="shared" si="136"/>
        <v>0.05</v>
      </c>
      <c r="N2644" s="475">
        <f t="shared" si="137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35"/>
        <v>-24941275555.359745</v>
      </c>
      <c r="J2645" s="455">
        <f t="array" ref="J2645">IFERROR(INDEX('Retirement Calculator'!K:K,MATCH('Lorri 401b'!N2645,'Retirement Calculator'!A:A,0),0),0)</f>
        <v>0</v>
      </c>
      <c r="K2645" s="455">
        <f t="shared" ca="1" si="133"/>
        <v>-103921981.48066561</v>
      </c>
      <c r="L2645" s="455">
        <f t="shared" ca="1" si="134"/>
        <v>-25045197536.840412</v>
      </c>
      <c r="M2645" s="471">
        <f t="shared" si="136"/>
        <v>0.05</v>
      </c>
      <c r="N2645" s="475">
        <f t="shared" si="137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35"/>
        <v>-25045197536.840412</v>
      </c>
      <c r="J2646" s="455">
        <f t="array" ref="J2646">IFERROR(INDEX('Retirement Calculator'!K:K,MATCH('Lorri 401b'!N2646,'Retirement Calculator'!A:A,0),0),0)</f>
        <v>0</v>
      </c>
      <c r="K2646" s="455">
        <f t="shared" ca="1" si="133"/>
        <v>-104354989.73683505</v>
      </c>
      <c r="L2646" s="455">
        <f t="shared" ca="1" si="134"/>
        <v>-25149552526.577248</v>
      </c>
      <c r="M2646" s="471">
        <f t="shared" si="136"/>
        <v>0.05</v>
      </c>
      <c r="N2646" s="475">
        <f t="shared" si="137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35"/>
        <v>-25149552526.577248</v>
      </c>
      <c r="J2647" s="455">
        <f t="array" ref="J2647">IFERROR(INDEX('Retirement Calculator'!K:K,MATCH('Lorri 401b'!N2647,'Retirement Calculator'!A:A,0),0),0)</f>
        <v>0</v>
      </c>
      <c r="K2647" s="455">
        <f t="shared" ca="1" si="133"/>
        <v>-104789802.19407186</v>
      </c>
      <c r="L2647" s="455">
        <f t="shared" ca="1" si="134"/>
        <v>-25254342328.77132</v>
      </c>
      <c r="M2647" s="471">
        <f t="shared" si="136"/>
        <v>0.05</v>
      </c>
      <c r="N2647" s="475">
        <f t="shared" si="137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35"/>
        <v>-25254342328.77132</v>
      </c>
      <c r="J2648" s="455">
        <f t="array" ref="J2648">IFERROR(INDEX('Retirement Calculator'!K:K,MATCH('Lorri 401b'!N2648,'Retirement Calculator'!A:A,0),0),0)</f>
        <v>0</v>
      </c>
      <c r="K2648" s="455">
        <f t="shared" ca="1" si="133"/>
        <v>-105226426.3698805</v>
      </c>
      <c r="L2648" s="455">
        <f t="shared" ca="1" si="134"/>
        <v>-25359568755.141201</v>
      </c>
      <c r="M2648" s="471">
        <f t="shared" si="136"/>
        <v>0.05</v>
      </c>
      <c r="N2648" s="475">
        <f t="shared" si="137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35"/>
        <v>-25359568755.141201</v>
      </c>
      <c r="J2649" s="455">
        <f t="array" ref="J2649">IFERROR(INDEX('Retirement Calculator'!K:K,MATCH('Lorri 401b'!N2649,'Retirement Calculator'!A:A,0),0),0)</f>
        <v>0</v>
      </c>
      <c r="K2649" s="455">
        <f t="shared" ca="1" si="133"/>
        <v>-105664869.81308834</v>
      </c>
      <c r="L2649" s="455">
        <f t="shared" ca="1" si="134"/>
        <v>-25465233624.954288</v>
      </c>
      <c r="M2649" s="471">
        <f t="shared" si="136"/>
        <v>0.05</v>
      </c>
      <c r="N2649" s="475">
        <f t="shared" si="137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35"/>
        <v>-25465233624.954288</v>
      </c>
      <c r="J2650" s="455">
        <f t="array" ref="J2650">IFERROR(INDEX('Retirement Calculator'!K:K,MATCH('Lorri 401b'!N2650,'Retirement Calculator'!A:A,0),0),0)</f>
        <v>0</v>
      </c>
      <c r="K2650" s="455">
        <f t="shared" ca="1" si="133"/>
        <v>-106105140.1039762</v>
      </c>
      <c r="L2650" s="455">
        <f t="shared" ca="1" si="134"/>
        <v>-25571338765.058266</v>
      </c>
      <c r="M2650" s="471">
        <f t="shared" si="136"/>
        <v>0.05</v>
      </c>
      <c r="N2650" s="475">
        <f t="shared" si="137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35"/>
        <v>-25571338765.058266</v>
      </c>
      <c r="J2651" s="455">
        <f t="array" ref="J2651">IFERROR(INDEX('Retirement Calculator'!K:K,MATCH('Lorri 401b'!N2651,'Retirement Calculator'!A:A,0),0),0)</f>
        <v>0</v>
      </c>
      <c r="K2651" s="455">
        <f t="shared" ca="1" si="133"/>
        <v>-106547244.85440944</v>
      </c>
      <c r="L2651" s="455">
        <f t="shared" ca="1" si="134"/>
        <v>-25677886009.912674</v>
      </c>
      <c r="M2651" s="471">
        <f t="shared" si="136"/>
        <v>0.05</v>
      </c>
      <c r="N2651" s="475">
        <f t="shared" si="137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35"/>
        <v>-25677886009.912674</v>
      </c>
      <c r="J2652" s="455">
        <f t="array" ref="J2652">IFERROR(INDEX('Retirement Calculator'!K:K,MATCH('Lorri 401b'!N2652,'Retirement Calculator'!A:A,0),0),0)</f>
        <v>0</v>
      </c>
      <c r="K2652" s="455">
        <f t="shared" ca="1" si="133"/>
        <v>-106991191.70796947</v>
      </c>
      <c r="L2652" s="455">
        <f t="shared" ca="1" si="134"/>
        <v>-25784877201.620644</v>
      </c>
      <c r="M2652" s="471">
        <f t="shared" si="136"/>
        <v>0.05</v>
      </c>
      <c r="N2652" s="475">
        <f t="shared" si="137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35"/>
        <v>-25784877201.620644</v>
      </c>
      <c r="J2653" s="455">
        <f t="array" ref="J2653">IFERROR(INDEX('Retirement Calculator'!K:K,MATCH('Lorri 401b'!N2653,'Retirement Calculator'!A:A,0),0),0)</f>
        <v>0</v>
      </c>
      <c r="K2653" s="455">
        <f t="shared" ca="1" si="133"/>
        <v>-107436988.34008601</v>
      </c>
      <c r="L2653" s="455">
        <f t="shared" ca="1" si="134"/>
        <v>-25892314189.960732</v>
      </c>
      <c r="M2653" s="471">
        <f t="shared" si="136"/>
        <v>0.05</v>
      </c>
      <c r="N2653" s="475">
        <f t="shared" si="137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35"/>
        <v>-25892314189.960732</v>
      </c>
      <c r="J2654" s="455">
        <f t="array" ref="J2654">IFERROR(INDEX('Retirement Calculator'!K:K,MATCH('Lorri 401b'!N2654,'Retirement Calculator'!A:A,0),0),0)</f>
        <v>0</v>
      </c>
      <c r="K2654" s="455">
        <f t="shared" ca="1" si="133"/>
        <v>-107884642.45816971</v>
      </c>
      <c r="L2654" s="455">
        <f t="shared" ca="1" si="134"/>
        <v>-26000198832.4189</v>
      </c>
      <c r="M2654" s="471">
        <f t="shared" si="136"/>
        <v>0.05</v>
      </c>
      <c r="N2654" s="475">
        <f t="shared" si="137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35"/>
        <v>-26000198832.4189</v>
      </c>
      <c r="J2655" s="455">
        <f t="array" ref="J2655">IFERROR(INDEX('Retirement Calculator'!K:K,MATCH('Lorri 401b'!N2655,'Retirement Calculator'!A:A,0),0),0)</f>
        <v>0</v>
      </c>
      <c r="K2655" s="455">
        <f t="shared" ca="1" si="133"/>
        <v>-108334161.80174541</v>
      </c>
      <c r="L2655" s="455">
        <f t="shared" ca="1" si="134"/>
        <v>-26108532994.220646</v>
      </c>
      <c r="M2655" s="471">
        <f t="shared" si="136"/>
        <v>0.05</v>
      </c>
      <c r="N2655" s="475">
        <f t="shared" si="137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35"/>
        <v>-26108532994.220646</v>
      </c>
      <c r="J2656" s="455">
        <f t="array" ref="J2656">IFERROR(INDEX('Retirement Calculator'!K:K,MATCH('Lorri 401b'!N2656,'Retirement Calculator'!A:A,0),0),0)</f>
        <v>0</v>
      </c>
      <c r="K2656" s="455">
        <f t="shared" ca="1" si="133"/>
        <v>-108785554.14258602</v>
      </c>
      <c r="L2656" s="455">
        <f t="shared" ca="1" si="134"/>
        <v>-26217318548.363232</v>
      </c>
      <c r="M2656" s="471">
        <f t="shared" si="136"/>
        <v>0.05</v>
      </c>
      <c r="N2656" s="475">
        <f t="shared" si="137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35"/>
        <v>-26217318548.363232</v>
      </c>
      <c r="J2657" s="455">
        <f t="array" ref="J2657">IFERROR(INDEX('Retirement Calculator'!K:K,MATCH('Lorri 401b'!N2657,'Retirement Calculator'!A:A,0),0),0)</f>
        <v>0</v>
      </c>
      <c r="K2657" s="455">
        <f t="shared" ca="1" si="133"/>
        <v>-109238827.2848468</v>
      </c>
      <c r="L2657" s="455">
        <f t="shared" ca="1" si="134"/>
        <v>-26326557375.648079</v>
      </c>
      <c r="M2657" s="471">
        <f t="shared" si="136"/>
        <v>0.05</v>
      </c>
      <c r="N2657" s="475">
        <f t="shared" si="137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35"/>
        <v>-26326557375.648079</v>
      </c>
      <c r="J2658" s="455">
        <f t="array" ref="J2658">IFERROR(INDEX('Retirement Calculator'!K:K,MATCH('Lorri 401b'!N2658,'Retirement Calculator'!A:A,0),0),0)</f>
        <v>0</v>
      </c>
      <c r="K2658" s="455">
        <f t="shared" ca="1" si="133"/>
        <v>-109693989.06520033</v>
      </c>
      <c r="L2658" s="455">
        <f t="shared" ca="1" si="134"/>
        <v>-26436251364.71328</v>
      </c>
      <c r="M2658" s="471">
        <f t="shared" si="136"/>
        <v>0.05</v>
      </c>
      <c r="N2658" s="475">
        <f t="shared" si="137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35"/>
        <v>-26436251364.71328</v>
      </c>
      <c r="J2659" s="455">
        <f t="array" ref="J2659">IFERROR(INDEX('Retirement Calculator'!K:K,MATCH('Lorri 401b'!N2659,'Retirement Calculator'!A:A,0),0),0)</f>
        <v>0</v>
      </c>
      <c r="K2659" s="455">
        <f t="shared" ca="1" si="133"/>
        <v>-110151047.352972</v>
      </c>
      <c r="L2659" s="455">
        <f t="shared" ca="1" si="134"/>
        <v>-26546402412.06625</v>
      </c>
      <c r="M2659" s="471">
        <f t="shared" si="136"/>
        <v>0.05</v>
      </c>
      <c r="N2659" s="475">
        <f t="shared" si="137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35"/>
        <v>-26546402412.06625</v>
      </c>
      <c r="J2660" s="455">
        <f t="array" ref="J2660">IFERROR(INDEX('Retirement Calculator'!K:K,MATCH('Lorri 401b'!N2660,'Retirement Calculator'!A:A,0),0),0)</f>
        <v>0</v>
      </c>
      <c r="K2660" s="455">
        <f t="shared" ca="1" si="133"/>
        <v>-110610010.05027604</v>
      </c>
      <c r="L2660" s="455">
        <f t="shared" ca="1" si="134"/>
        <v>-26657012422.116528</v>
      </c>
      <c r="M2660" s="471">
        <f t="shared" si="136"/>
        <v>0.05</v>
      </c>
      <c r="N2660" s="475">
        <f t="shared" si="137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35"/>
        <v>-26657012422.116528</v>
      </c>
      <c r="J2661" s="455">
        <f t="array" ref="J2661">IFERROR(INDEX('Retirement Calculator'!K:K,MATCH('Lorri 401b'!N2661,'Retirement Calculator'!A:A,0),0),0)</f>
        <v>0</v>
      </c>
      <c r="K2661" s="455">
        <f t="shared" ca="1" si="133"/>
        <v>-111070885.09215219</v>
      </c>
      <c r="L2661" s="455">
        <f t="shared" ca="1" si="134"/>
        <v>-26768083307.208679</v>
      </c>
      <c r="M2661" s="471">
        <f t="shared" si="136"/>
        <v>0.05</v>
      </c>
      <c r="N2661" s="475">
        <f t="shared" si="137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35"/>
        <v>-26768083307.208679</v>
      </c>
      <c r="J2662" s="455">
        <f t="array" ref="J2662">IFERROR(INDEX('Retirement Calculator'!K:K,MATCH('Lorri 401b'!N2662,'Retirement Calculator'!A:A,0),0),0)</f>
        <v>0</v>
      </c>
      <c r="K2662" s="455">
        <f t="shared" ca="1" si="133"/>
        <v>-111533680.44670281</v>
      </c>
      <c r="L2662" s="455">
        <f t="shared" ca="1" si="134"/>
        <v>-26879616987.65538</v>
      </c>
      <c r="M2662" s="471">
        <f t="shared" si="136"/>
        <v>0.05</v>
      </c>
      <c r="N2662" s="475">
        <f t="shared" si="137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35"/>
        <v>-26879616987.65538</v>
      </c>
      <c r="J2663" s="455">
        <f t="array" ref="J2663">IFERROR(INDEX('Retirement Calculator'!K:K,MATCH('Lorri 401b'!N2663,'Retirement Calculator'!A:A,0),0),0)</f>
        <v>0</v>
      </c>
      <c r="K2663" s="455">
        <f t="shared" ca="1" si="133"/>
        <v>-111998404.11523075</v>
      </c>
      <c r="L2663" s="455">
        <f t="shared" ca="1" si="134"/>
        <v>-26991615391.770611</v>
      </c>
      <c r="M2663" s="471">
        <f t="shared" si="136"/>
        <v>0.05</v>
      </c>
      <c r="N2663" s="475">
        <f t="shared" si="137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35"/>
        <v>-26991615391.770611</v>
      </c>
      <c r="J2664" s="455">
        <f t="array" ref="J2664">IFERROR(INDEX('Retirement Calculator'!K:K,MATCH('Lorri 401b'!N2664,'Retirement Calculator'!A:A,0),0),0)</f>
        <v>0</v>
      </c>
      <c r="K2664" s="455">
        <f t="shared" ca="1" si="133"/>
        <v>-112465064.13237755</v>
      </c>
      <c r="L2664" s="455">
        <f t="shared" ca="1" si="134"/>
        <v>-27104080455.902988</v>
      </c>
      <c r="M2664" s="471">
        <f t="shared" si="136"/>
        <v>0.05</v>
      </c>
      <c r="N2664" s="475">
        <f t="shared" si="137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35"/>
        <v>-27104080455.902988</v>
      </c>
      <c r="J2665" s="455">
        <f t="array" ref="J2665">IFERROR(INDEX('Retirement Calculator'!K:K,MATCH('Lorri 401b'!N2665,'Retirement Calculator'!A:A,0),0),0)</f>
        <v>0</v>
      </c>
      <c r="K2665" s="455">
        <f t="shared" ca="1" si="133"/>
        <v>-112933668.56626245</v>
      </c>
      <c r="L2665" s="455">
        <f t="shared" ca="1" si="134"/>
        <v>-27217014124.46925</v>
      </c>
      <c r="M2665" s="471">
        <f t="shared" si="136"/>
        <v>0.05</v>
      </c>
      <c r="N2665" s="475">
        <f t="shared" si="137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35"/>
        <v>-27217014124.46925</v>
      </c>
      <c r="J2666" s="455">
        <f t="array" ref="J2666">IFERROR(INDEX('Retirement Calculator'!K:K,MATCH('Lorri 401b'!N2666,'Retirement Calculator'!A:A,0),0),0)</f>
        <v>0</v>
      </c>
      <c r="K2666" s="455">
        <f t="shared" ca="1" si="133"/>
        <v>-113404225.51862188</v>
      </c>
      <c r="L2666" s="455">
        <f t="shared" ca="1" si="134"/>
        <v>-27330418349.987873</v>
      </c>
      <c r="M2666" s="471">
        <f t="shared" si="136"/>
        <v>0.05</v>
      </c>
      <c r="N2666" s="475">
        <f t="shared" si="137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35"/>
        <v>-27330418349.987873</v>
      </c>
      <c r="J2667" s="455">
        <f t="array" ref="J2667">IFERROR(INDEX('Retirement Calculator'!K:K,MATCH('Lorri 401b'!N2667,'Retirement Calculator'!A:A,0),0),0)</f>
        <v>0</v>
      </c>
      <c r="K2667" s="455">
        <f t="shared" ca="1" si="133"/>
        <v>-113876743.12494946</v>
      </c>
      <c r="L2667" s="455">
        <f t="shared" ca="1" si="134"/>
        <v>-27444295093.112823</v>
      </c>
      <c r="M2667" s="471">
        <f t="shared" si="136"/>
        <v>0.05</v>
      </c>
      <c r="N2667" s="475">
        <f t="shared" si="137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35"/>
        <v>-27444295093.112823</v>
      </c>
      <c r="J2668" s="455">
        <f t="array" ref="J2668">IFERROR(INDEX('Retirement Calculator'!K:K,MATCH('Lorri 401b'!N2668,'Retirement Calculator'!A:A,0),0),0)</f>
        <v>0</v>
      </c>
      <c r="K2668" s="455">
        <f t="shared" ca="1" si="133"/>
        <v>-114351229.55463676</v>
      </c>
      <c r="L2668" s="455">
        <f t="shared" ca="1" si="134"/>
        <v>-27558646322.667461</v>
      </c>
      <c r="M2668" s="471">
        <f t="shared" si="136"/>
        <v>0.05</v>
      </c>
      <c r="N2668" s="475">
        <f t="shared" si="137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35"/>
        <v>-27558646322.667461</v>
      </c>
      <c r="J2669" s="455">
        <f t="array" ref="J2669">IFERROR(INDEX('Retirement Calculator'!K:K,MATCH('Lorri 401b'!N2669,'Retirement Calculator'!A:A,0),0),0)</f>
        <v>0</v>
      </c>
      <c r="K2669" s="455">
        <f t="shared" ca="1" si="133"/>
        <v>-114827693.01111442</v>
      </c>
      <c r="L2669" s="455">
        <f t="shared" ca="1" si="134"/>
        <v>-27673474015.678577</v>
      </c>
      <c r="M2669" s="471">
        <f t="shared" si="136"/>
        <v>0.05</v>
      </c>
      <c r="N2669" s="475">
        <f t="shared" si="137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35"/>
        <v>-27673474015.678577</v>
      </c>
      <c r="J2670" s="455">
        <f t="array" ref="J2670">IFERROR(INDEX('Retirement Calculator'!K:K,MATCH('Lorri 401b'!N2670,'Retirement Calculator'!A:A,0),0),0)</f>
        <v>0</v>
      </c>
      <c r="K2670" s="455">
        <f t="shared" ca="1" si="133"/>
        <v>-115306141.73199408</v>
      </c>
      <c r="L2670" s="455">
        <f t="shared" ca="1" si="134"/>
        <v>-27788780157.410572</v>
      </c>
      <c r="M2670" s="471">
        <f t="shared" si="136"/>
        <v>0.05</v>
      </c>
      <c r="N2670" s="475">
        <f t="shared" si="137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35"/>
        <v>-27788780157.410572</v>
      </c>
      <c r="J2671" s="455">
        <f t="array" ref="J2671">IFERROR(INDEX('Retirement Calculator'!K:K,MATCH('Lorri 401b'!N2671,'Retirement Calculator'!A:A,0),0),0)</f>
        <v>0</v>
      </c>
      <c r="K2671" s="455">
        <f t="shared" ca="1" si="133"/>
        <v>-115786583.98921071</v>
      </c>
      <c r="L2671" s="455">
        <f t="shared" ca="1" si="134"/>
        <v>-27904566741.399784</v>
      </c>
      <c r="M2671" s="471">
        <f t="shared" si="136"/>
        <v>0.05</v>
      </c>
      <c r="N2671" s="475">
        <f t="shared" si="137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35"/>
        <v>-27904566741.399784</v>
      </c>
      <c r="J2672" s="455">
        <f t="array" ref="J2672">IFERROR(INDEX('Retirement Calculator'!K:K,MATCH('Lorri 401b'!N2672,'Retirement Calculator'!A:A,0),0),0)</f>
        <v>0</v>
      </c>
      <c r="K2672" s="455">
        <f t="shared" ca="1" si="133"/>
        <v>-116269028.08916576</v>
      </c>
      <c r="L2672" s="455">
        <f t="shared" ca="1" si="134"/>
        <v>-28020835769.488949</v>
      </c>
      <c r="M2672" s="471">
        <f t="shared" si="136"/>
        <v>0.05</v>
      </c>
      <c r="N2672" s="475">
        <f t="shared" si="137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35"/>
        <v>-28020835769.488949</v>
      </c>
      <c r="J2673" s="455">
        <f t="array" ref="J2673">IFERROR(INDEX('Retirement Calculator'!K:K,MATCH('Lorri 401b'!N2673,'Retirement Calculator'!A:A,0),0),0)</f>
        <v>0</v>
      </c>
      <c r="K2673" s="455">
        <f t="shared" ca="1" si="133"/>
        <v>-116753482.37287064</v>
      </c>
      <c r="L2673" s="455">
        <f t="shared" ca="1" si="134"/>
        <v>-28137589251.86182</v>
      </c>
      <c r="M2673" s="471">
        <f t="shared" si="136"/>
        <v>0.05</v>
      </c>
      <c r="N2673" s="475">
        <f t="shared" si="137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35"/>
        <v>-28137589251.86182</v>
      </c>
      <c r="J2674" s="455">
        <f t="array" ref="J2674">IFERROR(INDEX('Retirement Calculator'!K:K,MATCH('Lorri 401b'!N2674,'Retirement Calculator'!A:A,0),0),0)</f>
        <v>0</v>
      </c>
      <c r="K2674" s="455">
        <f t="shared" ca="1" si="133"/>
        <v>-117239955.21609092</v>
      </c>
      <c r="L2674" s="455">
        <f t="shared" ca="1" si="134"/>
        <v>-28254829207.077911</v>
      </c>
      <c r="M2674" s="471">
        <f t="shared" si="136"/>
        <v>0.05</v>
      </c>
      <c r="N2674" s="475">
        <f t="shared" si="137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35"/>
        <v>-28254829207.077911</v>
      </c>
      <c r="J2675" s="455">
        <f t="array" ref="J2675">IFERROR(INDEX('Retirement Calculator'!K:K,MATCH('Lorri 401b'!N2675,'Retirement Calculator'!A:A,0),0),0)</f>
        <v>0</v>
      </c>
      <c r="K2675" s="455">
        <f t="shared" ca="1" si="133"/>
        <v>-117728455.02949131</v>
      </c>
      <c r="L2675" s="455">
        <f t="shared" ca="1" si="134"/>
        <v>-28372557662.107403</v>
      </c>
      <c r="M2675" s="471">
        <f t="shared" si="136"/>
        <v>0.05</v>
      </c>
      <c r="N2675" s="475">
        <f t="shared" si="137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35"/>
        <v>-28372557662.107403</v>
      </c>
      <c r="J2676" s="455">
        <f t="array" ref="J2676">IFERROR(INDEX('Retirement Calculator'!K:K,MATCH('Lorri 401b'!N2676,'Retirement Calculator'!A:A,0),0),0)</f>
        <v>0</v>
      </c>
      <c r="K2676" s="455">
        <f t="shared" ca="1" si="133"/>
        <v>-118218990.25878084</v>
      </c>
      <c r="L2676" s="455">
        <f t="shared" ca="1" si="134"/>
        <v>-28490776652.366184</v>
      </c>
      <c r="M2676" s="471">
        <f t="shared" si="136"/>
        <v>0.05</v>
      </c>
      <c r="N2676" s="475">
        <f t="shared" si="137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35"/>
        <v>-28490776652.366184</v>
      </c>
      <c r="J2677" s="455">
        <f t="array" ref="J2677">IFERROR(INDEX('Retirement Calculator'!K:K,MATCH('Lorri 401b'!N2677,'Retirement Calculator'!A:A,0),0),0)</f>
        <v>0</v>
      </c>
      <c r="K2677" s="455">
        <f t="shared" ca="1" si="133"/>
        <v>-118711569.3848591</v>
      </c>
      <c r="L2677" s="455">
        <f t="shared" ca="1" si="134"/>
        <v>-28609488221.751045</v>
      </c>
      <c r="M2677" s="471">
        <f t="shared" si="136"/>
        <v>0.05</v>
      </c>
      <c r="N2677" s="475">
        <f t="shared" si="137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35"/>
        <v>-28609488221.751045</v>
      </c>
      <c r="J2678" s="455">
        <f t="array" ref="J2678">IFERROR(INDEX('Retirement Calculator'!K:K,MATCH('Lorri 401b'!N2678,'Retirement Calculator'!A:A,0),0),0)</f>
        <v>0</v>
      </c>
      <c r="K2678" s="455">
        <f t="shared" ca="1" si="133"/>
        <v>-119206200.92396267</v>
      </c>
      <c r="L2678" s="455">
        <f t="shared" ca="1" si="134"/>
        <v>-28728694422.675007</v>
      </c>
      <c r="M2678" s="471">
        <f t="shared" si="136"/>
        <v>0.05</v>
      </c>
      <c r="N2678" s="475">
        <f t="shared" si="137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35"/>
        <v>-28728694422.675007</v>
      </c>
      <c r="J2679" s="455">
        <f t="array" ref="J2679">IFERROR(INDEX('Retirement Calculator'!K:K,MATCH('Lorri 401b'!N2679,'Retirement Calculator'!A:A,0),0),0)</f>
        <v>0</v>
      </c>
      <c r="K2679" s="455">
        <f t="shared" ca="1" si="133"/>
        <v>-119702893.42781252</v>
      </c>
      <c r="L2679" s="455">
        <f t="shared" ca="1" si="134"/>
        <v>-28848397316.102818</v>
      </c>
      <c r="M2679" s="471">
        <f t="shared" si="136"/>
        <v>0.05</v>
      </c>
      <c r="N2679" s="475">
        <f t="shared" si="137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35"/>
        <v>-28848397316.102818</v>
      </c>
      <c r="J2680" s="455">
        <f t="array" ref="J2680">IFERROR(INDEX('Retirement Calculator'!K:K,MATCH('Lorri 401b'!N2680,'Retirement Calculator'!A:A,0),0),0)</f>
        <v>0</v>
      </c>
      <c r="K2680" s="455">
        <f t="shared" ca="1" si="133"/>
        <v>-120201655.48376174</v>
      </c>
      <c r="L2680" s="455">
        <f t="shared" ca="1" si="134"/>
        <v>-28968598971.586578</v>
      </c>
      <c r="M2680" s="471">
        <f t="shared" si="136"/>
        <v>0.05</v>
      </c>
      <c r="N2680" s="475">
        <f t="shared" si="137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35"/>
        <v>-28968598971.586578</v>
      </c>
      <c r="J2681" s="455">
        <f t="array" ref="J2681">IFERROR(INDEX('Retirement Calculator'!K:K,MATCH('Lorri 401b'!N2681,'Retirement Calculator'!A:A,0),0),0)</f>
        <v>0</v>
      </c>
      <c r="K2681" s="455">
        <f t="shared" ca="1" si="133"/>
        <v>-120702495.71494408</v>
      </c>
      <c r="L2681" s="455">
        <f t="shared" ca="1" si="134"/>
        <v>-29089301467.301521</v>
      </c>
      <c r="M2681" s="471">
        <f t="shared" si="136"/>
        <v>0.05</v>
      </c>
      <c r="N2681" s="475">
        <f t="shared" si="137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35"/>
        <v>-29089301467.301521</v>
      </c>
      <c r="J2682" s="455">
        <f t="array" ref="J2682">IFERROR(INDEX('Retirement Calculator'!K:K,MATCH('Lorri 401b'!N2682,'Retirement Calculator'!A:A,0),0),0)</f>
        <v>0</v>
      </c>
      <c r="K2682" s="455">
        <f t="shared" ca="1" si="133"/>
        <v>-121205422.780423</v>
      </c>
      <c r="L2682" s="455">
        <f t="shared" ca="1" si="134"/>
        <v>-29210506890.081944</v>
      </c>
      <c r="M2682" s="471">
        <f t="shared" si="136"/>
        <v>0.05</v>
      </c>
      <c r="N2682" s="475">
        <f t="shared" si="137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35"/>
        <v>-29210506890.081944</v>
      </c>
      <c r="J2683" s="455">
        <f t="array" ref="J2683">IFERROR(INDEX('Retirement Calculator'!K:K,MATCH('Lorri 401b'!N2683,'Retirement Calculator'!A:A,0),0),0)</f>
        <v>0</v>
      </c>
      <c r="K2683" s="455">
        <f t="shared" ca="1" si="133"/>
        <v>-121710445.37534143</v>
      </c>
      <c r="L2683" s="455">
        <f t="shared" ca="1" si="134"/>
        <v>-29332217335.457287</v>
      </c>
      <c r="M2683" s="471">
        <f t="shared" si="136"/>
        <v>0.05</v>
      </c>
      <c r="N2683" s="475">
        <f t="shared" si="137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35"/>
        <v>-29332217335.457287</v>
      </c>
      <c r="J2684" s="455">
        <f t="array" ref="J2684">IFERROR(INDEX('Retirement Calculator'!K:K,MATCH('Lorri 401b'!N2684,'Retirement Calculator'!A:A,0),0),0)</f>
        <v>0</v>
      </c>
      <c r="K2684" s="455">
        <f t="shared" ca="1" si="133"/>
        <v>-122217572.23107202</v>
      </c>
      <c r="L2684" s="455">
        <f t="shared" ca="1" si="134"/>
        <v>-29454434907.688358</v>
      </c>
      <c r="M2684" s="471">
        <f t="shared" si="136"/>
        <v>0.05</v>
      </c>
      <c r="N2684" s="475">
        <f t="shared" si="137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35"/>
        <v>-29454434907.688358</v>
      </c>
      <c r="J2685" s="455">
        <f t="array" ref="J2685">IFERROR(INDEX('Retirement Calculator'!K:K,MATCH('Lorri 401b'!N2685,'Retirement Calculator'!A:A,0),0),0)</f>
        <v>0</v>
      </c>
      <c r="K2685" s="455">
        <f t="shared" ca="1" si="133"/>
        <v>-122726812.11536814</v>
      </c>
      <c r="L2685" s="455">
        <f t="shared" ca="1" si="134"/>
        <v>-29577161719.803726</v>
      </c>
      <c r="M2685" s="471">
        <f t="shared" si="136"/>
        <v>0.05</v>
      </c>
      <c r="N2685" s="475">
        <f t="shared" si="137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35"/>
        <v>-29577161719.803726</v>
      </c>
      <c r="J2686" s="455">
        <f t="array" ref="J2686">IFERROR(INDEX('Retirement Calculator'!K:K,MATCH('Lorri 401b'!N2686,'Retirement Calculator'!A:A,0),0),0)</f>
        <v>0</v>
      </c>
      <c r="K2686" s="455">
        <f t="shared" ca="1" si="133"/>
        <v>-123238173.83251552</v>
      </c>
      <c r="L2686" s="455">
        <f t="shared" ca="1" si="134"/>
        <v>-29700399893.636242</v>
      </c>
      <c r="M2686" s="471">
        <f t="shared" si="136"/>
        <v>0.05</v>
      </c>
      <c r="N2686" s="475">
        <f t="shared" si="137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35"/>
        <v>-29700399893.636242</v>
      </c>
      <c r="J2687" s="455">
        <f t="array" ref="J2687">IFERROR(INDEX('Retirement Calculator'!K:K,MATCH('Lorri 401b'!N2687,'Retirement Calculator'!A:A,0),0),0)</f>
        <v>0</v>
      </c>
      <c r="K2687" s="455">
        <f t="shared" ca="1" si="133"/>
        <v>-123751666.22348432</v>
      </c>
      <c r="L2687" s="455">
        <f t="shared" ca="1" si="134"/>
        <v>-29824151559.859726</v>
      </c>
      <c r="M2687" s="471">
        <f t="shared" si="136"/>
        <v>0.05</v>
      </c>
      <c r="N2687" s="475">
        <f t="shared" si="137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35"/>
        <v>-29824151559.859726</v>
      </c>
      <c r="J2688" s="455">
        <f t="array" ref="J2688">IFERROR(INDEX('Retirement Calculator'!K:K,MATCH('Lorri 401b'!N2688,'Retirement Calculator'!A:A,0),0),0)</f>
        <v>0</v>
      </c>
      <c r="K2688" s="455">
        <f t="shared" ca="1" si="133"/>
        <v>-124267298.16608217</v>
      </c>
      <c r="L2688" s="455">
        <f t="shared" ca="1" si="134"/>
        <v>-29948418858.025806</v>
      </c>
      <c r="M2688" s="471">
        <f t="shared" si="136"/>
        <v>0.05</v>
      </c>
      <c r="N2688" s="475">
        <f t="shared" si="137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35"/>
        <v>-29948418858.025806</v>
      </c>
      <c r="J2689" s="455">
        <f t="array" ref="J2689">IFERROR(INDEX('Retirement Calculator'!K:K,MATCH('Lorri 401b'!N2689,'Retirement Calculator'!A:A,0),0),0)</f>
        <v>0</v>
      </c>
      <c r="K2689" s="455">
        <f t="shared" ca="1" si="133"/>
        <v>-124785078.57510753</v>
      </c>
      <c r="L2689" s="455">
        <f t="shared" ca="1" si="134"/>
        <v>-30073203936.600914</v>
      </c>
      <c r="M2689" s="471">
        <f t="shared" si="136"/>
        <v>0.05</v>
      </c>
      <c r="N2689" s="475">
        <f t="shared" si="137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35"/>
        <v>-30073203936.600914</v>
      </c>
      <c r="J2690" s="455">
        <f t="array" ref="J2690">IFERROR(INDEX('Retirement Calculator'!K:K,MATCH('Lorri 401b'!N2690,'Retirement Calculator'!A:A,0),0),0)</f>
        <v>0</v>
      </c>
      <c r="K2690" s="455">
        <f t="shared" ca="1" si="133"/>
        <v>-125305016.4025038</v>
      </c>
      <c r="L2690" s="455">
        <f t="shared" ca="1" si="134"/>
        <v>-30198508953.003418</v>
      </c>
      <c r="M2690" s="471">
        <f t="shared" si="136"/>
        <v>0.05</v>
      </c>
      <c r="N2690" s="475">
        <f t="shared" si="137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35"/>
        <v>-30198508953.003418</v>
      </c>
      <c r="J2691" s="455">
        <f t="array" ref="J2691">IFERROR(INDEX('Retirement Calculator'!K:K,MATCH('Lorri 401b'!N2691,'Retirement Calculator'!A:A,0),0),0)</f>
        <v>0</v>
      </c>
      <c r="K2691" s="455">
        <f t="shared" ca="1" si="133"/>
        <v>-125827120.63751425</v>
      </c>
      <c r="L2691" s="455">
        <f t="shared" ca="1" si="134"/>
        <v>-30324336073.640934</v>
      </c>
      <c r="M2691" s="471">
        <f t="shared" si="136"/>
        <v>0.05</v>
      </c>
      <c r="N2691" s="475">
        <f t="shared" si="137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35"/>
        <v>-30324336073.640934</v>
      </c>
      <c r="J2692" s="455">
        <f t="array" ref="J2692">IFERROR(INDEX('Retirement Calculator'!K:K,MATCH('Lorri 401b'!N2692,'Retirement Calculator'!A:A,0),0),0)</f>
        <v>0</v>
      </c>
      <c r="K2692" s="455">
        <f t="shared" ca="1" si="133"/>
        <v>-126351400.3068372</v>
      </c>
      <c r="L2692" s="455">
        <f t="shared" ca="1" si="134"/>
        <v>-30450687473.947773</v>
      </c>
      <c r="M2692" s="471">
        <f t="shared" si="136"/>
        <v>0.05</v>
      </c>
      <c r="N2692" s="475">
        <f t="shared" si="137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35"/>
        <v>-30450687473.947773</v>
      </c>
      <c r="J2693" s="455">
        <f t="array" ref="J2693">IFERROR(INDEX('Retirement Calculator'!K:K,MATCH('Lorri 401b'!N2693,'Retirement Calculator'!A:A,0),0),0)</f>
        <v>0</v>
      </c>
      <c r="K2693" s="455">
        <f t="shared" ca="1" si="133"/>
        <v>-126877864.47478239</v>
      </c>
      <c r="L2693" s="455">
        <f t="shared" ca="1" si="134"/>
        <v>-30577565338.422554</v>
      </c>
      <c r="M2693" s="471">
        <f t="shared" si="136"/>
        <v>0.05</v>
      </c>
      <c r="N2693" s="475">
        <f t="shared" si="137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35"/>
        <v>-30577565338.422554</v>
      </c>
      <c r="J2694" s="455">
        <f t="array" ref="J2694">IFERROR(INDEX('Retirement Calculator'!K:K,MATCH('Lorri 401b'!N2694,'Retirement Calculator'!A:A,0),0),0)</f>
        <v>0</v>
      </c>
      <c r="K2694" s="455">
        <f t="shared" ca="1" si="133"/>
        <v>-127406522.24342731</v>
      </c>
      <c r="L2694" s="455">
        <f t="shared" ca="1" si="134"/>
        <v>-30704971860.665981</v>
      </c>
      <c r="M2694" s="471">
        <f t="shared" si="136"/>
        <v>0.05</v>
      </c>
      <c r="N2694" s="475">
        <f t="shared" si="137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35"/>
        <v>-30704971860.665981</v>
      </c>
      <c r="J2695" s="455">
        <f t="array" ref="J2695">IFERROR(INDEX('Retirement Calculator'!K:K,MATCH('Lorri 401b'!N2695,'Retirement Calculator'!A:A,0),0),0)</f>
        <v>0</v>
      </c>
      <c r="K2695" s="455">
        <f t="shared" ca="1" si="133"/>
        <v>-127937382.75277492</v>
      </c>
      <c r="L2695" s="455">
        <f t="shared" ca="1" si="134"/>
        <v>-30832909243.418755</v>
      </c>
      <c r="M2695" s="471">
        <f t="shared" si="136"/>
        <v>0.05</v>
      </c>
      <c r="N2695" s="475">
        <f t="shared" si="137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35"/>
        <v>-30832909243.418755</v>
      </c>
      <c r="J2696" s="455">
        <f t="array" ref="J2696">IFERROR(INDEX('Retirement Calculator'!K:K,MATCH('Lorri 401b'!N2696,'Retirement Calculator'!A:A,0),0),0)</f>
        <v>0</v>
      </c>
      <c r="K2696" s="455">
        <f t="shared" ca="1" si="133"/>
        <v>-128470455.18091147</v>
      </c>
      <c r="L2696" s="455">
        <f t="shared" ca="1" si="134"/>
        <v>-30961379698.599667</v>
      </c>
      <c r="M2696" s="471">
        <f t="shared" si="136"/>
        <v>0.05</v>
      </c>
      <c r="N2696" s="475">
        <f t="shared" si="137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35"/>
        <v>-30961379698.599667</v>
      </c>
      <c r="J2697" s="455">
        <f t="array" ref="J2697">IFERROR(INDEX('Retirement Calculator'!K:K,MATCH('Lorri 401b'!N2697,'Retirement Calculator'!A:A,0),0),0)</f>
        <v>0</v>
      </c>
      <c r="K2697" s="455">
        <f t="shared" ca="1" si="133"/>
        <v>-129005748.74416527</v>
      </c>
      <c r="L2697" s="455">
        <f t="shared" ca="1" si="134"/>
        <v>-31090385447.34383</v>
      </c>
      <c r="M2697" s="471">
        <f t="shared" si="136"/>
        <v>0.05</v>
      </c>
      <c r="N2697" s="475">
        <f t="shared" si="137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35"/>
        <v>-31090385447.34383</v>
      </c>
      <c r="J2698" s="455">
        <f t="array" ref="J2698">IFERROR(INDEX('Retirement Calculator'!K:K,MATCH('Lorri 401b'!N2698,'Retirement Calculator'!A:A,0),0),0)</f>
        <v>0</v>
      </c>
      <c r="K2698" s="455">
        <f t="shared" ca="1" si="133"/>
        <v>-129543272.69726595</v>
      </c>
      <c r="L2698" s="455">
        <f t="shared" ca="1" si="134"/>
        <v>-31219928720.041096</v>
      </c>
      <c r="M2698" s="471">
        <f t="shared" si="136"/>
        <v>0.05</v>
      </c>
      <c r="N2698" s="475">
        <f t="shared" si="137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35"/>
        <v>-31219928720.041096</v>
      </c>
      <c r="J2699" s="455">
        <f t="array" ref="J2699">IFERROR(INDEX('Retirement Calculator'!K:K,MATCH('Lorri 401b'!N2699,'Retirement Calculator'!A:A,0),0),0)</f>
        <v>0</v>
      </c>
      <c r="K2699" s="455">
        <f t="shared" ca="1" si="133"/>
        <v>-130083036.33350457</v>
      </c>
      <c r="L2699" s="455">
        <f t="shared" ca="1" si="134"/>
        <v>-31350011756.374599</v>
      </c>
      <c r="M2699" s="471">
        <f t="shared" si="136"/>
        <v>0.05</v>
      </c>
      <c r="N2699" s="475">
        <f t="shared" si="137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35"/>
        <v>-31350011756.374599</v>
      </c>
      <c r="J2700" s="455">
        <f t="array" ref="J2700">IFERROR(INDEX('Retirement Calculator'!K:K,MATCH('Lorri 401b'!N2700,'Retirement Calculator'!A:A,0),0),0)</f>
        <v>0</v>
      </c>
      <c r="K2700" s="455">
        <f t="shared" ca="1" si="133"/>
        <v>-130625048.98489416</v>
      </c>
      <c r="L2700" s="455">
        <f t="shared" ca="1" si="134"/>
        <v>-31480636805.359493</v>
      </c>
      <c r="M2700" s="471">
        <f t="shared" si="136"/>
        <v>0.05</v>
      </c>
      <c r="N2700" s="475">
        <f t="shared" si="137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35"/>
        <v>-31480636805.359493</v>
      </c>
      <c r="J2701" s="455">
        <f t="array" ref="J2701">IFERROR(INDEX('Retirement Calculator'!K:K,MATCH('Lorri 401b'!N2701,'Retirement Calculator'!A:A,0),0),0)</f>
        <v>0</v>
      </c>
      <c r="K2701" s="455">
        <f t="shared" ca="1" si="133"/>
        <v>-131169320.02233124</v>
      </c>
      <c r="L2701" s="455">
        <f t="shared" ca="1" si="134"/>
        <v>-31611806125.381824</v>
      </c>
      <c r="M2701" s="471">
        <f t="shared" si="136"/>
        <v>0.05</v>
      </c>
      <c r="N2701" s="475">
        <f t="shared" si="137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35"/>
        <v>-31611806125.381824</v>
      </c>
      <c r="J2702" s="455">
        <f t="array" ref="J2702">IFERROR(INDEX('Retirement Calculator'!K:K,MATCH('Lorri 401b'!N2702,'Retirement Calculator'!A:A,0),0),0)</f>
        <v>0</v>
      </c>
      <c r="K2702" s="455">
        <f t="shared" ca="1" si="133"/>
        <v>-131715858.85575761</v>
      </c>
      <c r="L2702" s="455">
        <f t="shared" ca="1" si="134"/>
        <v>-31743521984.237583</v>
      </c>
      <c r="M2702" s="471">
        <f t="shared" si="136"/>
        <v>0.05</v>
      </c>
      <c r="N2702" s="475">
        <f t="shared" si="137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35"/>
        <v>-31743521984.237583</v>
      </c>
      <c r="J2703" s="455">
        <f t="array" ref="J2703">IFERROR(INDEX('Retirement Calculator'!K:K,MATCH('Lorri 401b'!N2703,'Retirement Calculator'!A:A,0),0),0)</f>
        <v>0</v>
      </c>
      <c r="K2703" s="455">
        <f t="shared" ca="1" si="133"/>
        <v>-132264674.93432328</v>
      </c>
      <c r="L2703" s="455">
        <f t="shared" ca="1" si="134"/>
        <v>-31875786659.171906</v>
      </c>
      <c r="M2703" s="471">
        <f t="shared" si="136"/>
        <v>0.05</v>
      </c>
      <c r="N2703" s="475">
        <f t="shared" si="137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35"/>
        <v>-31875786659.171906</v>
      </c>
      <c r="J2704" s="455">
        <f t="array" ref="J2704">IFERROR(INDEX('Retirement Calculator'!K:K,MATCH('Lorri 401b'!N2704,'Retirement Calculator'!A:A,0),0),0)</f>
        <v>0</v>
      </c>
      <c r="K2704" s="455">
        <f t="shared" ca="1" si="133"/>
        <v>-132815777.74654961</v>
      </c>
      <c r="L2704" s="455">
        <f t="shared" ca="1" si="134"/>
        <v>-32008602436.918457</v>
      </c>
      <c r="M2704" s="471">
        <f t="shared" si="136"/>
        <v>0.05</v>
      </c>
      <c r="N2704" s="475">
        <f t="shared" si="137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35"/>
        <v>-32008602436.918457</v>
      </c>
      <c r="J2705" s="455">
        <f t="array" ref="J2705">IFERROR(INDEX('Retirement Calculator'!K:K,MATCH('Lorri 401b'!N2705,'Retirement Calculator'!A:A,0),0),0)</f>
        <v>0</v>
      </c>
      <c r="K2705" s="455">
        <f t="shared" ca="1" si="133"/>
        <v>-133369176.82049358</v>
      </c>
      <c r="L2705" s="455">
        <f t="shared" ca="1" si="134"/>
        <v>-32141971613.738949</v>
      </c>
      <c r="M2705" s="471">
        <f t="shared" si="136"/>
        <v>0.05</v>
      </c>
      <c r="N2705" s="475">
        <f t="shared" si="137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35"/>
        <v>-32141971613.738949</v>
      </c>
      <c r="J2706" s="455">
        <f t="array" ref="J2706">IFERROR(INDEX('Retirement Calculator'!K:K,MATCH('Lorri 401b'!N2706,'Retirement Calculator'!A:A,0),0),0)</f>
        <v>0</v>
      </c>
      <c r="K2706" s="455">
        <f t="shared" ca="1" si="133"/>
        <v>-133924881.7239123</v>
      </c>
      <c r="L2706" s="455">
        <f t="shared" ca="1" si="134"/>
        <v>-32275896495.46286</v>
      </c>
      <c r="M2706" s="471">
        <f t="shared" si="136"/>
        <v>0.05</v>
      </c>
      <c r="N2706" s="475">
        <f t="shared" si="137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35"/>
        <v>-32275896495.46286</v>
      </c>
      <c r="J2707" s="455">
        <f t="array" ref="J2707">IFERROR(INDEX('Retirement Calculator'!K:K,MATCH('Lorri 401b'!N2707,'Retirement Calculator'!A:A,0),0),0)</f>
        <v>0</v>
      </c>
      <c r="K2707" s="455">
        <f t="shared" ca="1" si="133"/>
        <v>-134482902.06442857</v>
      </c>
      <c r="L2707" s="455">
        <f t="shared" ca="1" si="134"/>
        <v>-32410379397.52729</v>
      </c>
      <c r="M2707" s="471">
        <f t="shared" si="136"/>
        <v>0.05</v>
      </c>
      <c r="N2707" s="475">
        <f t="shared" si="137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35"/>
        <v>-32410379397.52729</v>
      </c>
      <c r="J2708" s="455">
        <f t="array" ref="J2708">IFERROR(INDEX('Retirement Calculator'!K:K,MATCH('Lorri 401b'!N2708,'Retirement Calculator'!A:A,0),0),0)</f>
        <v>0</v>
      </c>
      <c r="K2708" s="455">
        <f t="shared" ca="1" si="133"/>
        <v>-135043247.48969707</v>
      </c>
      <c r="L2708" s="455">
        <f t="shared" ca="1" si="134"/>
        <v>-32545422645.016987</v>
      </c>
      <c r="M2708" s="471">
        <f t="shared" si="136"/>
        <v>0.05</v>
      </c>
      <c r="N2708" s="475">
        <f t="shared" si="137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35"/>
        <v>-32545422645.016987</v>
      </c>
      <c r="J2709" s="455">
        <f t="array" ref="J2709">IFERROR(INDEX('Retirement Calculator'!K:K,MATCH('Lorri 401b'!N2709,'Retirement Calculator'!A:A,0),0),0)</f>
        <v>0</v>
      </c>
      <c r="K2709" s="455">
        <f t="shared" ca="1" si="133"/>
        <v>-135605927.68757078</v>
      </c>
      <c r="L2709" s="455">
        <f t="shared" ca="1" si="134"/>
        <v>-32681028572.704559</v>
      </c>
      <c r="M2709" s="471">
        <f t="shared" si="136"/>
        <v>0.05</v>
      </c>
      <c r="N2709" s="475">
        <f t="shared" si="137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35"/>
        <v>-32681028572.704559</v>
      </c>
      <c r="J2710" s="455">
        <f t="array" ref="J2710">IFERROR(INDEX('Retirement Calculator'!K:K,MATCH('Lorri 401b'!N2710,'Retirement Calculator'!A:A,0),0),0)</f>
        <v>0</v>
      </c>
      <c r="K2710" s="455">
        <f t="shared" ca="1" si="133"/>
        <v>-136170952.386269</v>
      </c>
      <c r="L2710" s="455">
        <f t="shared" ca="1" si="134"/>
        <v>-32817199525.090828</v>
      </c>
      <c r="M2710" s="471">
        <f t="shared" si="136"/>
        <v>0.05</v>
      </c>
      <c r="N2710" s="475">
        <f t="shared" si="137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35"/>
        <v>-32817199525.090828</v>
      </c>
      <c r="J2711" s="455">
        <f t="array" ref="J2711">IFERROR(INDEX('Retirement Calculator'!K:K,MATCH('Lorri 401b'!N2711,'Retirement Calculator'!A:A,0),0),0)</f>
        <v>0</v>
      </c>
      <c r="K2711" s="455">
        <f t="shared" ca="1" si="133"/>
        <v>-136738331.35454512</v>
      </c>
      <c r="L2711" s="455">
        <f t="shared" ca="1" si="134"/>
        <v>-32953937856.445374</v>
      </c>
      <c r="M2711" s="471">
        <f t="shared" si="136"/>
        <v>0.05</v>
      </c>
      <c r="N2711" s="475">
        <f t="shared" si="137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35"/>
        <v>-32953937856.445374</v>
      </c>
      <c r="J2712" s="455">
        <f t="array" ref="J2712">IFERROR(INDEX('Retirement Calculator'!K:K,MATCH('Lorri 401b'!N2712,'Retirement Calculator'!A:A,0),0),0)</f>
        <v>0</v>
      </c>
      <c r="K2712" s="455">
        <f t="shared" ca="1" si="133"/>
        <v>-137308074.40185574</v>
      </c>
      <c r="L2712" s="455">
        <f t="shared" ca="1" si="134"/>
        <v>-33091245930.847229</v>
      </c>
      <c r="M2712" s="471">
        <f t="shared" si="136"/>
        <v>0.05</v>
      </c>
      <c r="N2712" s="475">
        <f t="shared" si="137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35"/>
        <v>-33091245930.847229</v>
      </c>
      <c r="J2713" s="455">
        <f t="array" ref="J2713">IFERROR(INDEX('Retirement Calculator'!K:K,MATCH('Lorri 401b'!N2713,'Retirement Calculator'!A:A,0),0),0)</f>
        <v>0</v>
      </c>
      <c r="K2713" s="455">
        <f t="shared" ca="1" si="133"/>
        <v>-137880191.37853011</v>
      </c>
      <c r="L2713" s="455">
        <f t="shared" ca="1" si="134"/>
        <v>-33229126122.225758</v>
      </c>
      <c r="M2713" s="471">
        <f t="shared" si="136"/>
        <v>0.05</v>
      </c>
      <c r="N2713" s="475">
        <f t="shared" si="137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35"/>
        <v>-33229126122.225758</v>
      </c>
      <c r="J2714" s="455">
        <f t="array" ref="J2714">IFERROR(INDEX('Retirement Calculator'!K:K,MATCH('Lorri 401b'!N2714,'Retirement Calculator'!A:A,0),0),0)</f>
        <v>0</v>
      </c>
      <c r="K2714" s="455">
        <f t="shared" ca="1" si="133"/>
        <v>-138454692.17594066</v>
      </c>
      <c r="L2714" s="455">
        <f t="shared" ca="1" si="134"/>
        <v>-33367580814.401699</v>
      </c>
      <c r="M2714" s="471">
        <f t="shared" si="136"/>
        <v>0.05</v>
      </c>
      <c r="N2714" s="475">
        <f t="shared" si="137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35"/>
        <v>-33367580814.401699</v>
      </c>
      <c r="J2715" s="455">
        <f t="array" ref="J2715">IFERROR(INDEX('Retirement Calculator'!K:K,MATCH('Lorri 401b'!N2715,'Retirement Calculator'!A:A,0),0),0)</f>
        <v>0</v>
      </c>
      <c r="K2715" s="455">
        <f t="shared" ca="1" si="133"/>
        <v>-139031586.72667372</v>
      </c>
      <c r="L2715" s="455">
        <f t="shared" ca="1" si="134"/>
        <v>-33506612401.128372</v>
      </c>
      <c r="M2715" s="471">
        <f t="shared" si="136"/>
        <v>0.05</v>
      </c>
      <c r="N2715" s="475">
        <f t="shared" si="137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35"/>
        <v>-33506612401.128372</v>
      </c>
      <c r="J2716" s="455">
        <f t="array" ref="J2716">IFERROR(INDEX('Retirement Calculator'!K:K,MATCH('Lorri 401b'!N2716,'Retirement Calculator'!A:A,0),0),0)</f>
        <v>0</v>
      </c>
      <c r="K2716" s="455">
        <f t="shared" ca="1" si="133"/>
        <v>-139610885.00470155</v>
      </c>
      <c r="L2716" s="455">
        <f t="shared" ca="1" si="134"/>
        <v>-33646223286.133072</v>
      </c>
      <c r="M2716" s="471">
        <f t="shared" si="136"/>
        <v>0.05</v>
      </c>
      <c r="N2716" s="475">
        <f t="shared" si="137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35"/>
        <v>-33646223286.133072</v>
      </c>
      <c r="J2717" s="455">
        <f t="array" ref="J2717">IFERROR(INDEX('Retirement Calculator'!K:K,MATCH('Lorri 401b'!N2717,'Retirement Calculator'!A:A,0),0),0)</f>
        <v>0</v>
      </c>
      <c r="K2717" s="455">
        <f t="shared" ca="1" si="133"/>
        <v>-140192597.02555448</v>
      </c>
      <c r="L2717" s="455">
        <f t="shared" ca="1" si="134"/>
        <v>-33786415883.158627</v>
      </c>
      <c r="M2717" s="471">
        <f t="shared" si="136"/>
        <v>0.05</v>
      </c>
      <c r="N2717" s="475">
        <f t="shared" si="137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35"/>
        <v>-33786415883.158627</v>
      </c>
      <c r="J2718" s="455">
        <f t="array" ref="J2718">IFERROR(INDEX('Retirement Calculator'!K:K,MATCH('Lorri 401b'!N2718,'Retirement Calculator'!A:A,0),0),0)</f>
        <v>0</v>
      </c>
      <c r="K2718" s="455">
        <f t="shared" ca="1" si="133"/>
        <v>-140776732.84649429</v>
      </c>
      <c r="L2718" s="455">
        <f t="shared" ca="1" si="134"/>
        <v>-33927192616.005119</v>
      </c>
      <c r="M2718" s="471">
        <f t="shared" si="136"/>
        <v>0.05</v>
      </c>
      <c r="N2718" s="475">
        <f t="shared" si="137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35"/>
        <v>-33927192616.005119</v>
      </c>
      <c r="J2719" s="455">
        <f t="array" ref="J2719">IFERROR(INDEX('Retirement Calculator'!K:K,MATCH('Lorri 401b'!N2719,'Retirement Calculator'!A:A,0),0),0)</f>
        <v>0</v>
      </c>
      <c r="K2719" s="455">
        <f t="shared" ca="1" si="133"/>
        <v>-141363302.566688</v>
      </c>
      <c r="L2719" s="455">
        <f t="shared" ca="1" si="134"/>
        <v>-34068555918.571808</v>
      </c>
      <c r="M2719" s="471">
        <f t="shared" si="136"/>
        <v>0.05</v>
      </c>
      <c r="N2719" s="475">
        <f t="shared" si="137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35"/>
        <v>-34068555918.571808</v>
      </c>
      <c r="J2720" s="455">
        <f t="array" ref="J2720">IFERROR(INDEX('Retirement Calculator'!K:K,MATCH('Lorri 401b'!N2720,'Retirement Calculator'!A:A,0),0),0)</f>
        <v>0</v>
      </c>
      <c r="K2720" s="455">
        <f t="shared" ca="1" si="133"/>
        <v>-141952316.3273825</v>
      </c>
      <c r="L2720" s="455">
        <f t="shared" ca="1" si="134"/>
        <v>-34210508234.899189</v>
      </c>
      <c r="M2720" s="471">
        <f t="shared" si="136"/>
        <v>0.05</v>
      </c>
      <c r="N2720" s="475">
        <f t="shared" si="137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35"/>
        <v>-34210508234.899189</v>
      </c>
      <c r="J2721" s="455">
        <f t="array" ref="J2721">IFERROR(INDEX('Retirement Calculator'!K:K,MATCH('Lorri 401b'!N2721,'Retirement Calculator'!A:A,0),0),0)</f>
        <v>0</v>
      </c>
      <c r="K2721" s="455">
        <f t="shared" ca="1" si="133"/>
        <v>-142543784.31207997</v>
      </c>
      <c r="L2721" s="455">
        <f t="shared" ca="1" si="134"/>
        <v>-34353052019.211269</v>
      </c>
      <c r="M2721" s="471">
        <f t="shared" si="136"/>
        <v>0.05</v>
      </c>
      <c r="N2721" s="475">
        <f t="shared" si="137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35"/>
        <v>-34353052019.211269</v>
      </c>
      <c r="J2722" s="455">
        <f t="array" ref="J2722">IFERROR(INDEX('Retirement Calculator'!K:K,MATCH('Lorri 401b'!N2722,'Retirement Calculator'!A:A,0),0),0)</f>
        <v>0</v>
      </c>
      <c r="K2722" s="455">
        <f t="shared" ca="1" si="133"/>
        <v>-143137716.74671361</v>
      </c>
      <c r="L2722" s="455">
        <f t="shared" ca="1" si="134"/>
        <v>-34496189735.957985</v>
      </c>
      <c r="M2722" s="471">
        <f t="shared" si="136"/>
        <v>0.05</v>
      </c>
      <c r="N2722" s="475">
        <f t="shared" si="137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35"/>
        <v>-34496189735.957985</v>
      </c>
      <c r="J2723" s="455">
        <f t="array" ref="J2723">IFERROR(INDEX('Retirement Calculator'!K:K,MATCH('Lorri 401b'!N2723,'Retirement Calculator'!A:A,0),0),0)</f>
        <v>0</v>
      </c>
      <c r="K2723" s="455">
        <f t="shared" ca="1" si="133"/>
        <v>-143734123.89982495</v>
      </c>
      <c r="L2723" s="455">
        <f t="shared" ca="1" si="134"/>
        <v>-34639923859.857811</v>
      </c>
      <c r="M2723" s="471">
        <f t="shared" si="136"/>
        <v>0.05</v>
      </c>
      <c r="N2723" s="475">
        <f t="shared" si="137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35"/>
        <v>-34639923859.857811</v>
      </c>
      <c r="J2724" s="455">
        <f t="array" ref="J2724">IFERROR(INDEX('Retirement Calculator'!K:K,MATCH('Lorri 401b'!N2724,'Retirement Calculator'!A:A,0),0),0)</f>
        <v>0</v>
      </c>
      <c r="K2724" s="455">
        <f t="shared" ca="1" si="133"/>
        <v>-144333016.08274087</v>
      </c>
      <c r="L2724" s="455">
        <f t="shared" ca="1" si="134"/>
        <v>-34784256875.940552</v>
      </c>
      <c r="M2724" s="471">
        <f t="shared" si="136"/>
        <v>0.05</v>
      </c>
      <c r="N2724" s="475">
        <f t="shared" si="137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35"/>
        <v>-34784256875.940552</v>
      </c>
      <c r="J2725" s="455">
        <f t="array" ref="J2725">IFERROR(INDEX('Retirement Calculator'!K:K,MATCH('Lorri 401b'!N2725,'Retirement Calculator'!A:A,0),0),0)</f>
        <v>0</v>
      </c>
      <c r="K2725" s="455">
        <f t="shared" ca="1" si="133"/>
        <v>-144934403.64975229</v>
      </c>
      <c r="L2725" s="455">
        <f t="shared" ca="1" si="134"/>
        <v>-34929191279.590302</v>
      </c>
      <c r="M2725" s="471">
        <f t="shared" si="136"/>
        <v>0.05</v>
      </c>
      <c r="N2725" s="475">
        <f t="shared" si="137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35"/>
        <v>-34929191279.590302</v>
      </c>
      <c r="J2726" s="455">
        <f t="array" ref="J2726">IFERROR(INDEX('Retirement Calculator'!K:K,MATCH('Lorri 401b'!N2726,'Retirement Calculator'!A:A,0),0),0)</f>
        <v>0</v>
      </c>
      <c r="K2726" s="455">
        <f t="shared" ca="1" si="133"/>
        <v>-145538296.99829292</v>
      </c>
      <c r="L2726" s="455">
        <f t="shared" ca="1" si="134"/>
        <v>-35074729576.588593</v>
      </c>
      <c r="M2726" s="471">
        <f t="shared" si="136"/>
        <v>0.05</v>
      </c>
      <c r="N2726" s="475">
        <f t="shared" si="137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35"/>
        <v>-35074729576.588593</v>
      </c>
      <c r="J2727" s="455">
        <f t="array" ref="J2727">IFERROR(INDEX('Retirement Calculator'!K:K,MATCH('Lorri 401b'!N2727,'Retirement Calculator'!A:A,0),0),0)</f>
        <v>0</v>
      </c>
      <c r="K2727" s="455">
        <f t="shared" ca="1" si="133"/>
        <v>-146144706.56911913</v>
      </c>
      <c r="L2727" s="455">
        <f t="shared" ca="1" si="134"/>
        <v>-35220874283.157715</v>
      </c>
      <c r="M2727" s="471">
        <f t="shared" si="136"/>
        <v>0.05</v>
      </c>
      <c r="N2727" s="475">
        <f t="shared" si="137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35"/>
        <v>-35220874283.157715</v>
      </c>
      <c r="J2728" s="455">
        <f t="array" ref="J2728">IFERROR(INDEX('Retirement Calculator'!K:K,MATCH('Lorri 401b'!N2728,'Retirement Calculator'!A:A,0),0),0)</f>
        <v>0</v>
      </c>
      <c r="K2728" s="455">
        <f t="shared" ca="1" si="133"/>
        <v>-146753642.84649047</v>
      </c>
      <c r="L2728" s="455">
        <f t="shared" ca="1" si="134"/>
        <v>-35367627926.004204</v>
      </c>
      <c r="M2728" s="471">
        <f t="shared" si="136"/>
        <v>0.05</v>
      </c>
      <c r="N2728" s="475">
        <f t="shared" si="137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35"/>
        <v>-35367627926.004204</v>
      </c>
      <c r="J2729" s="455">
        <f t="array" ref="J2729">IFERROR(INDEX('Retirement Calculator'!K:K,MATCH('Lorri 401b'!N2729,'Retirement Calculator'!A:A,0),0),0)</f>
        <v>0</v>
      </c>
      <c r="K2729" s="455">
        <f t="shared" ca="1" si="133"/>
        <v>-147365116.35835084</v>
      </c>
      <c r="L2729" s="455">
        <f t="shared" ca="1" si="134"/>
        <v>-35514993042.362556</v>
      </c>
      <c r="M2729" s="471">
        <f t="shared" si="136"/>
        <v>0.05</v>
      </c>
      <c r="N2729" s="475">
        <f t="shared" si="137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35"/>
        <v>-35514993042.362556</v>
      </c>
      <c r="J2730" s="455">
        <f t="array" ref="J2730">IFERROR(INDEX('Retirement Calculator'!K:K,MATCH('Lorri 401b'!N2730,'Retirement Calculator'!A:A,0),0),0)</f>
        <v>0</v>
      </c>
      <c r="K2730" s="455">
        <f t="shared" ca="1" si="133"/>
        <v>-147979137.67651066</v>
      </c>
      <c r="L2730" s="455">
        <f t="shared" ca="1" si="134"/>
        <v>-35662972180.03907</v>
      </c>
      <c r="M2730" s="471">
        <f t="shared" si="136"/>
        <v>0.05</v>
      </c>
      <c r="N2730" s="475">
        <f t="shared" si="137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35"/>
        <v>-35662972180.03907</v>
      </c>
      <c r="J2731" s="455">
        <f t="array" ref="J2731">IFERROR(INDEX('Retirement Calculator'!K:K,MATCH('Lorri 401b'!N2731,'Retirement Calculator'!A:A,0),0),0)</f>
        <v>0</v>
      </c>
      <c r="K2731" s="455">
        <f t="shared" ca="1" si="133"/>
        <v>-148595717.41682947</v>
      </c>
      <c r="L2731" s="455">
        <f t="shared" ca="1" si="134"/>
        <v>-35811567897.455902</v>
      </c>
      <c r="M2731" s="471">
        <f t="shared" si="136"/>
        <v>0.05</v>
      </c>
      <c r="N2731" s="475">
        <f t="shared" si="137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35"/>
        <v>-35811567897.455902</v>
      </c>
      <c r="J2732" s="455">
        <f t="array" ref="J2732">IFERROR(INDEX('Retirement Calculator'!K:K,MATCH('Lorri 401b'!N2732,'Retirement Calculator'!A:A,0),0),0)</f>
        <v>0</v>
      </c>
      <c r="K2732" s="455">
        <f t="shared" ca="1" si="133"/>
        <v>-149214866.23939958</v>
      </c>
      <c r="L2732" s="455">
        <f t="shared" ca="1" si="134"/>
        <v>-35960782763.695305</v>
      </c>
      <c r="M2732" s="471">
        <f t="shared" si="136"/>
        <v>0.05</v>
      </c>
      <c r="N2732" s="475">
        <f t="shared" si="137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35"/>
        <v>-35960782763.695305</v>
      </c>
      <c r="J2733" s="455">
        <f t="array" ref="J2733">IFERROR(INDEX('Retirement Calculator'!K:K,MATCH('Lorri 401b'!N2733,'Retirement Calculator'!A:A,0),0),0)</f>
        <v>0</v>
      </c>
      <c r="K2733" s="455">
        <f t="shared" ca="1" si="133"/>
        <v>-149836594.84873044</v>
      </c>
      <c r="L2733" s="455">
        <f t="shared" ca="1" si="134"/>
        <v>-36110619358.544037</v>
      </c>
      <c r="M2733" s="471">
        <f t="shared" si="136"/>
        <v>0.05</v>
      </c>
      <c r="N2733" s="475">
        <f t="shared" si="137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35"/>
        <v>-36110619358.544037</v>
      </c>
      <c r="J2734" s="455">
        <f t="array" ref="J2734">IFERROR(INDEX('Retirement Calculator'!K:K,MATCH('Lorri 401b'!N2734,'Retirement Calculator'!A:A,0),0),0)</f>
        <v>0</v>
      </c>
      <c r="K2734" s="455">
        <f t="shared" ca="1" si="133"/>
        <v>-150460913.9939335</v>
      </c>
      <c r="L2734" s="455">
        <f t="shared" ca="1" si="134"/>
        <v>-36261080272.537971</v>
      </c>
      <c r="M2734" s="471">
        <f t="shared" si="136"/>
        <v>0.05</v>
      </c>
      <c r="N2734" s="475">
        <f t="shared" si="137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35"/>
        <v>-36261080272.537971</v>
      </c>
      <c r="J2735" s="455">
        <f t="array" ref="J2735">IFERROR(INDEX('Retirement Calculator'!K:K,MATCH('Lorri 401b'!N2735,'Retirement Calculator'!A:A,0),0),0)</f>
        <v>0</v>
      </c>
      <c r="K2735" s="455">
        <f t="shared" ca="1" si="133"/>
        <v>-151087834.46890822</v>
      </c>
      <c r="L2735" s="455">
        <f t="shared" ca="1" si="134"/>
        <v>-36412168107.006882</v>
      </c>
      <c r="M2735" s="471">
        <f t="shared" si="136"/>
        <v>0.05</v>
      </c>
      <c r="N2735" s="475">
        <f t="shared" si="137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35"/>
        <v>-36412168107.006882</v>
      </c>
      <c r="J2736" s="455">
        <f t="array" ref="J2736">IFERROR(INDEX('Retirement Calculator'!K:K,MATCH('Lorri 401b'!N2736,'Retirement Calculator'!A:A,0),0),0)</f>
        <v>0</v>
      </c>
      <c r="K2736" s="455">
        <f t="shared" ca="1" si="133"/>
        <v>-151717367.11252868</v>
      </c>
      <c r="L2736" s="455">
        <f t="shared" ca="1" si="134"/>
        <v>-36563885474.119408</v>
      </c>
      <c r="M2736" s="471">
        <f t="shared" si="136"/>
        <v>0.05</v>
      </c>
      <c r="N2736" s="475">
        <f t="shared" si="137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35"/>
        <v>-36563885474.119408</v>
      </c>
      <c r="J2737" s="455">
        <f t="array" ref="J2737">IFERROR(INDEX('Retirement Calculator'!K:K,MATCH('Lorri 401b'!N2737,'Retirement Calculator'!A:A,0),0),0)</f>
        <v>0</v>
      </c>
      <c r="K2737" s="455">
        <f t="shared" ca="1" si="133"/>
        <v>-152349522.80883086</v>
      </c>
      <c r="L2737" s="455">
        <f t="shared" ca="1" si="134"/>
        <v>-36716234996.928238</v>
      </c>
      <c r="M2737" s="471">
        <f t="shared" si="136"/>
        <v>0.05</v>
      </c>
      <c r="N2737" s="475">
        <f t="shared" si="137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35"/>
        <v>-36716234996.928238</v>
      </c>
      <c r="J2738" s="455">
        <f t="array" ref="J2738">IFERROR(INDEX('Retirement Calculator'!K:K,MATCH('Lorri 401b'!N2738,'Retirement Calculator'!A:A,0),0),0)</f>
        <v>0</v>
      </c>
      <c r="K2738" s="455">
        <f t="shared" ca="1" si="133"/>
        <v>-152984312.48720098</v>
      </c>
      <c r="L2738" s="455">
        <f t="shared" ca="1" si="134"/>
        <v>-36869219309.415436</v>
      </c>
      <c r="M2738" s="471">
        <f t="shared" si="136"/>
        <v>0.05</v>
      </c>
      <c r="N2738" s="475">
        <f t="shared" si="137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35"/>
        <v>-36869219309.415436</v>
      </c>
      <c r="J2739" s="455">
        <f t="array" ref="J2739">IFERROR(INDEX('Retirement Calculator'!K:K,MATCH('Lorri 401b'!N2739,'Retirement Calculator'!A:A,0),0),0)</f>
        <v>0</v>
      </c>
      <c r="K2739" s="455">
        <f t="shared" ca="1" si="133"/>
        <v>-153621747.12256432</v>
      </c>
      <c r="L2739" s="455">
        <f t="shared" ca="1" si="134"/>
        <v>-37022841056.538002</v>
      </c>
      <c r="M2739" s="471">
        <f t="shared" si="136"/>
        <v>0.05</v>
      </c>
      <c r="N2739" s="475">
        <f t="shared" si="137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35"/>
        <v>-37022841056.538002</v>
      </c>
      <c r="J2740" s="455">
        <f t="array" ref="J2740">IFERROR(INDEX('Retirement Calculator'!K:K,MATCH('Lorri 401b'!N2740,'Retirement Calculator'!A:A,0),0),0)</f>
        <v>0</v>
      </c>
      <c r="K2740" s="455">
        <f t="shared" ca="1" si="133"/>
        <v>-154261837.73557502</v>
      </c>
      <c r="L2740" s="455">
        <f t="shared" ca="1" si="134"/>
        <v>-37177102894.273575</v>
      </c>
      <c r="M2740" s="471">
        <f t="shared" si="136"/>
        <v>0.05</v>
      </c>
      <c r="N2740" s="475">
        <f t="shared" si="137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35"/>
        <v>-37177102894.273575</v>
      </c>
      <c r="J2741" s="455">
        <f t="array" ref="J2741">IFERROR(INDEX('Retirement Calculator'!K:K,MATCH('Lorri 401b'!N2741,'Retirement Calculator'!A:A,0),0),0)</f>
        <v>0</v>
      </c>
      <c r="K2741" s="455">
        <f t="shared" ca="1" si="133"/>
        <v>-154904595.39280656</v>
      </c>
      <c r="L2741" s="455">
        <f t="shared" ca="1" si="134"/>
        <v>-37332007489.666382</v>
      </c>
      <c r="M2741" s="471">
        <f t="shared" si="136"/>
        <v>0.05</v>
      </c>
      <c r="N2741" s="475">
        <f t="shared" si="137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35"/>
        <v>-37332007489.666382</v>
      </c>
      <c r="J2742" s="455">
        <f t="array" ref="J2742">IFERROR(INDEX('Retirement Calculator'!K:K,MATCH('Lorri 401b'!N2742,'Retirement Calculator'!A:A,0),0),0)</f>
        <v>0</v>
      </c>
      <c r="K2742" s="455">
        <f t="shared" ca="1" si="133"/>
        <v>-155550031.20694324</v>
      </c>
      <c r="L2742" s="455">
        <f t="shared" ca="1" si="134"/>
        <v>-37487557520.873322</v>
      </c>
      <c r="M2742" s="471">
        <f t="shared" si="136"/>
        <v>0.05</v>
      </c>
      <c r="N2742" s="475">
        <f t="shared" si="137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35"/>
        <v>-37487557520.873322</v>
      </c>
      <c r="J2743" s="455">
        <f t="array" ref="J2743">IFERROR(INDEX('Retirement Calculator'!K:K,MATCH('Lorri 401b'!N2743,'Retirement Calculator'!A:A,0),0),0)</f>
        <v>0</v>
      </c>
      <c r="K2743" s="455">
        <f t="shared" ca="1" si="133"/>
        <v>-156198156.33697218</v>
      </c>
      <c r="L2743" s="455">
        <f t="shared" ca="1" si="134"/>
        <v>-37643755677.210297</v>
      </c>
      <c r="M2743" s="471">
        <f t="shared" si="136"/>
        <v>0.05</v>
      </c>
      <c r="N2743" s="475">
        <f t="shared" si="137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35"/>
        <v>-37643755677.210297</v>
      </c>
      <c r="J2744" s="455">
        <f t="array" ref="J2744">IFERROR(INDEX('Retirement Calculator'!K:K,MATCH('Lorri 401b'!N2744,'Retirement Calculator'!A:A,0),0),0)</f>
        <v>0</v>
      </c>
      <c r="K2744" s="455">
        <f t="shared" ca="1" si="133"/>
        <v>-156848981.98837623</v>
      </c>
      <c r="L2744" s="455">
        <f t="shared" ca="1" si="134"/>
        <v>-37800604659.198669</v>
      </c>
      <c r="M2744" s="471">
        <f t="shared" si="136"/>
        <v>0.05</v>
      </c>
      <c r="N2744" s="475">
        <f t="shared" si="137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35"/>
        <v>-37800604659.198669</v>
      </c>
      <c r="J2745" s="455">
        <f t="array" ref="J2745">IFERROR(INDEX('Retirement Calculator'!K:K,MATCH('Lorri 401b'!N2745,'Retirement Calculator'!A:A,0),0),0)</f>
        <v>0</v>
      </c>
      <c r="K2745" s="455">
        <f t="shared" ca="1" si="133"/>
        <v>-157502519.41332778</v>
      </c>
      <c r="L2745" s="455">
        <f t="shared" ca="1" si="134"/>
        <v>-37958107178.612</v>
      </c>
      <c r="M2745" s="471">
        <f t="shared" si="136"/>
        <v>0.05</v>
      </c>
      <c r="N2745" s="475">
        <f t="shared" si="137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35"/>
        <v>-37958107178.612</v>
      </c>
      <c r="J2746" s="455">
        <f t="array" ref="J2746">IFERROR(INDEX('Retirement Calculator'!K:K,MATCH('Lorri 401b'!N2746,'Retirement Calculator'!A:A,0),0),0)</f>
        <v>0</v>
      </c>
      <c r="K2746" s="455">
        <f t="shared" ca="1" si="133"/>
        <v>-158158779.91088334</v>
      </c>
      <c r="L2746" s="455">
        <f t="shared" ca="1" si="134"/>
        <v>-38116265958.522881</v>
      </c>
      <c r="M2746" s="471">
        <f t="shared" si="136"/>
        <v>0.05</v>
      </c>
      <c r="N2746" s="475">
        <f t="shared" si="137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35"/>
        <v>-38116265958.522881</v>
      </c>
      <c r="J2747" s="455">
        <f t="array" ref="J2747">IFERROR(INDEX('Retirement Calculator'!K:K,MATCH('Lorri 401b'!N2747,'Retirement Calculator'!A:A,0),0),0)</f>
        <v>0</v>
      </c>
      <c r="K2747" s="455">
        <f t="shared" ca="1" si="133"/>
        <v>-158817774.82717866</v>
      </c>
      <c r="L2747" s="455">
        <f t="shared" ca="1" si="134"/>
        <v>-38275083733.35006</v>
      </c>
      <c r="M2747" s="471">
        <f t="shared" si="136"/>
        <v>0.05</v>
      </c>
      <c r="N2747" s="475">
        <f t="shared" si="137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35"/>
        <v>-38275083733.35006</v>
      </c>
      <c r="J2748" s="455">
        <f t="array" ref="J2748">IFERROR(INDEX('Retirement Calculator'!K:K,MATCH('Lorri 401b'!N2748,'Retirement Calculator'!A:A,0),0),0)</f>
        <v>0</v>
      </c>
      <c r="K2748" s="455">
        <f t="shared" ca="1" si="133"/>
        <v>-159479515.55562526</v>
      </c>
      <c r="L2748" s="455">
        <f t="shared" ca="1" si="134"/>
        <v>-38434563248.905685</v>
      </c>
      <c r="M2748" s="471">
        <f t="shared" si="136"/>
        <v>0.05</v>
      </c>
      <c r="N2748" s="475">
        <f t="shared" si="137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35"/>
        <v>-38434563248.905685</v>
      </c>
      <c r="J2749" s="455">
        <f t="array" ref="J2749">IFERROR(INDEX('Retirement Calculator'!K:K,MATCH('Lorri 401b'!N2749,'Retirement Calculator'!A:A,0),0),0)</f>
        <v>0</v>
      </c>
      <c r="K2749" s="455">
        <f t="shared" ca="1" si="133"/>
        <v>-160144013.53710702</v>
      </c>
      <c r="L2749" s="455">
        <f t="shared" ca="1" si="134"/>
        <v>-38594707262.442795</v>
      </c>
      <c r="M2749" s="471">
        <f t="shared" si="136"/>
        <v>0.05</v>
      </c>
      <c r="N2749" s="475">
        <f t="shared" si="137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35"/>
        <v>-38594707262.442795</v>
      </c>
      <c r="J2750" s="455">
        <f t="array" ref="J2750">IFERROR(INDEX('Retirement Calculator'!K:K,MATCH('Lorri 401b'!N2750,'Retirement Calculator'!A:A,0),0),0)</f>
        <v>0</v>
      </c>
      <c r="K2750" s="455">
        <f t="shared" ca="1" si="133"/>
        <v>-160811280.2601783</v>
      </c>
      <c r="L2750" s="455">
        <f t="shared" ca="1" si="134"/>
        <v>-38755518542.702972</v>
      </c>
      <c r="M2750" s="471">
        <f t="shared" si="136"/>
        <v>0.05</v>
      </c>
      <c r="N2750" s="475">
        <f t="shared" si="137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35"/>
        <v>-38755518542.702972</v>
      </c>
      <c r="J2751" s="455">
        <f t="array" ref="J2751">IFERROR(INDEX('Retirement Calculator'!K:K,MATCH('Lorri 401b'!N2751,'Retirement Calculator'!A:A,0),0),0)</f>
        <v>0</v>
      </c>
      <c r="K2751" s="455">
        <f t="shared" ca="1" si="133"/>
        <v>-161481327.26126239</v>
      </c>
      <c r="L2751" s="455">
        <f t="shared" ca="1" si="134"/>
        <v>-38916999869.964233</v>
      </c>
      <c r="M2751" s="471">
        <f t="shared" si="136"/>
        <v>0.05</v>
      </c>
      <c r="N2751" s="475">
        <f t="shared" si="137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35"/>
        <v>-38916999869.964233</v>
      </c>
      <c r="J2752" s="455">
        <f t="array" ref="J2752">IFERROR(INDEX('Retirement Calculator'!K:K,MATCH('Lorri 401b'!N2752,'Retirement Calculator'!A:A,0),0),0)</f>
        <v>0</v>
      </c>
      <c r="K2752" s="455">
        <f t="shared" ca="1" si="133"/>
        <v>-162154166.12485096</v>
      </c>
      <c r="L2752" s="455">
        <f t="shared" ca="1" si="134"/>
        <v>-39079154036.089081</v>
      </c>
      <c r="M2752" s="471">
        <f t="shared" si="136"/>
        <v>0.05</v>
      </c>
      <c r="N2752" s="475">
        <f t="shared" si="137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35"/>
        <v>-39079154036.089081</v>
      </c>
      <c r="J2753" s="455">
        <f t="array" ref="J2753">IFERROR(INDEX('Retirement Calculator'!K:K,MATCH('Lorri 401b'!N2753,'Retirement Calculator'!A:A,0),0),0)</f>
        <v>0</v>
      </c>
      <c r="K2753" s="455">
        <f t="shared" ca="1" si="133"/>
        <v>-162829808.48370451</v>
      </c>
      <c r="L2753" s="455">
        <f t="shared" ca="1" si="134"/>
        <v>-39241983844.572784</v>
      </c>
      <c r="M2753" s="471">
        <f t="shared" si="136"/>
        <v>0.05</v>
      </c>
      <c r="N2753" s="475">
        <f t="shared" si="137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35"/>
        <v>-39241983844.572784</v>
      </c>
      <c r="J2754" s="455">
        <f t="array" ref="J2754">IFERROR(INDEX('Retirement Calculator'!K:K,MATCH('Lorri 401b'!N2754,'Retirement Calculator'!A:A,0),0),0)</f>
        <v>0</v>
      </c>
      <c r="K2754" s="455">
        <f t="shared" ca="1" si="133"/>
        <v>-163508266.01905328</v>
      </c>
      <c r="L2754" s="455">
        <f t="shared" ca="1" si="134"/>
        <v>-39405492110.591835</v>
      </c>
      <c r="M2754" s="471">
        <f t="shared" si="136"/>
        <v>0.05</v>
      </c>
      <c r="N2754" s="475">
        <f t="shared" si="137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35"/>
        <v>-39405492110.591835</v>
      </c>
      <c r="J2755" s="455">
        <f t="array" ref="J2755">IFERROR(INDEX('Retirement Calculator'!K:K,MATCH('Lorri 401b'!N2755,'Retirement Calculator'!A:A,0),0),0)</f>
        <v>0</v>
      </c>
      <c r="K2755" s="455">
        <f t="shared" ca="1" si="133"/>
        <v>-164189550.46079931</v>
      </c>
      <c r="L2755" s="455">
        <f t="shared" ca="1" si="134"/>
        <v>-39569681661.052635</v>
      </c>
      <c r="M2755" s="471">
        <f t="shared" si="136"/>
        <v>0.05</v>
      </c>
      <c r="N2755" s="475">
        <f t="shared" si="137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35"/>
        <v>-39569681661.052635</v>
      </c>
      <c r="J2756" s="455">
        <f t="array" ref="J2756">IFERROR(INDEX('Retirement Calculator'!K:K,MATCH('Lorri 401b'!N2756,'Retirement Calculator'!A:A,0),0),0)</f>
        <v>0</v>
      </c>
      <c r="K2756" s="455">
        <f t="shared" ca="1" si="133"/>
        <v>-164873673.58771932</v>
      </c>
      <c r="L2756" s="455">
        <f t="shared" ca="1" si="134"/>
        <v>-39734555334.640358</v>
      </c>
      <c r="M2756" s="471">
        <f t="shared" si="136"/>
        <v>0.05</v>
      </c>
      <c r="N2756" s="475">
        <f t="shared" si="137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35"/>
        <v>-39734555334.640358</v>
      </c>
      <c r="J2757" s="455">
        <f t="array" ref="J2757">IFERROR(INDEX('Retirement Calculator'!K:K,MATCH('Lorri 401b'!N2757,'Retirement Calculator'!A:A,0),0),0)</f>
        <v>0</v>
      </c>
      <c r="K2757" s="455">
        <f t="shared" ca="1" si="133"/>
        <v>-165560647.22766817</v>
      </c>
      <c r="L2757" s="455">
        <f t="shared" ca="1" si="134"/>
        <v>-39900115981.868027</v>
      </c>
      <c r="M2757" s="471">
        <f t="shared" si="136"/>
        <v>0.05</v>
      </c>
      <c r="N2757" s="475">
        <f t="shared" si="137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35"/>
        <v>-39900115981.868027</v>
      </c>
      <c r="J2758" s="455">
        <f t="array" ref="J2758">IFERROR(INDEX('Retirement Calculator'!K:K,MATCH('Lorri 401b'!N2758,'Retirement Calculator'!A:A,0),0),0)</f>
        <v>0</v>
      </c>
      <c r="K2758" s="455">
        <f t="shared" ca="1" si="133"/>
        <v>-166250483.25778344</v>
      </c>
      <c r="L2758" s="455">
        <f t="shared" ca="1" si="134"/>
        <v>-40066366465.125809</v>
      </c>
      <c r="M2758" s="471">
        <f t="shared" si="136"/>
        <v>0.05</v>
      </c>
      <c r="N2758" s="475">
        <f t="shared" si="137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35"/>
        <v>-40066366465.125809</v>
      </c>
      <c r="J2759" s="455">
        <f t="array" ref="J2759">IFERROR(INDEX('Retirement Calculator'!K:K,MATCH('Lorri 401b'!N2759,'Retirement Calculator'!A:A,0),0),0)</f>
        <v>0</v>
      </c>
      <c r="K2759" s="455">
        <f t="shared" ca="1" si="133"/>
        <v>-166943193.60469088</v>
      </c>
      <c r="L2759" s="455">
        <f t="shared" ca="1" si="134"/>
        <v>-40233309658.730499</v>
      </c>
      <c r="M2759" s="471">
        <f t="shared" si="136"/>
        <v>0.05</v>
      </c>
      <c r="N2759" s="475">
        <f t="shared" si="137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35"/>
        <v>-40233309658.730499</v>
      </c>
      <c r="J2760" s="455">
        <f t="array" ref="J2760">IFERROR(INDEX('Retirement Calculator'!K:K,MATCH('Lorri 401b'!N2760,'Retirement Calculator'!A:A,0),0),0)</f>
        <v>0</v>
      </c>
      <c r="K2760" s="455">
        <f t="shared" ca="1" si="133"/>
        <v>-167638790.24471042</v>
      </c>
      <c r="L2760" s="455">
        <f t="shared" ca="1" si="134"/>
        <v>-40400948448.975212</v>
      </c>
      <c r="M2760" s="471">
        <f t="shared" si="136"/>
        <v>0.05</v>
      </c>
      <c r="N2760" s="475">
        <f t="shared" si="137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35"/>
        <v>-40400948448.975212</v>
      </c>
      <c r="J2761" s="455">
        <f t="array" ref="J2761">IFERROR(INDEX('Retirement Calculator'!K:K,MATCH('Lorri 401b'!N2761,'Retirement Calculator'!A:A,0),0),0)</f>
        <v>0</v>
      </c>
      <c r="K2761" s="455">
        <f t="shared" ca="1" si="133"/>
        <v>-168337285.20406339</v>
      </c>
      <c r="L2761" s="455">
        <f t="shared" ca="1" si="134"/>
        <v>-40569285734.179276</v>
      </c>
      <c r="M2761" s="471">
        <f t="shared" si="136"/>
        <v>0.05</v>
      </c>
      <c r="N2761" s="475">
        <f t="shared" si="137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35"/>
        <v>-40569285734.179276</v>
      </c>
      <c r="J2762" s="455">
        <f t="array" ref="J2762">IFERROR(INDEX('Retirement Calculator'!K:K,MATCH('Lorri 401b'!N2762,'Retirement Calculator'!A:A,0),0),0)</f>
        <v>0</v>
      </c>
      <c r="K2762" s="455">
        <f t="shared" ca="1" si="133"/>
        <v>-169038690.5590803</v>
      </c>
      <c r="L2762" s="455">
        <f t="shared" ca="1" si="134"/>
        <v>-40738324424.738358</v>
      </c>
      <c r="M2762" s="471">
        <f t="shared" si="136"/>
        <v>0.05</v>
      </c>
      <c r="N2762" s="475">
        <f t="shared" si="137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35"/>
        <v>-40738324424.738358</v>
      </c>
      <c r="J2763" s="455">
        <f t="array" ref="J2763">IFERROR(INDEX('Retirement Calculator'!K:K,MATCH('Lorri 401b'!N2763,'Retirement Calculator'!A:A,0),0),0)</f>
        <v>0</v>
      </c>
      <c r="K2763" s="455">
        <f t="shared" ca="1" si="133"/>
        <v>-169743018.43640983</v>
      </c>
      <c r="L2763" s="455">
        <f t="shared" ca="1" si="134"/>
        <v>-40908067443.174767</v>
      </c>
      <c r="M2763" s="471">
        <f t="shared" si="136"/>
        <v>0.05</v>
      </c>
      <c r="N2763" s="475">
        <f t="shared" si="137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35"/>
        <v>-40908067443.174767</v>
      </c>
      <c r="J2764" s="455">
        <f t="array" ref="J2764">IFERROR(INDEX('Retirement Calculator'!K:K,MATCH('Lorri 401b'!N2764,'Retirement Calculator'!A:A,0),0),0)</f>
        <v>0</v>
      </c>
      <c r="K2764" s="455">
        <f t="shared" ca="1" si="133"/>
        <v>-170450281.01322818</v>
      </c>
      <c r="L2764" s="455">
        <f t="shared" ca="1" si="134"/>
        <v>-41078517724.187996</v>
      </c>
      <c r="M2764" s="471">
        <f t="shared" si="136"/>
        <v>0.05</v>
      </c>
      <c r="N2764" s="475">
        <f t="shared" si="137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35"/>
        <v>-41078517724.187996</v>
      </c>
      <c r="J2765" s="455">
        <f t="array" ref="J2765">IFERROR(INDEX('Retirement Calculator'!K:K,MATCH('Lorri 401b'!N2765,'Retirement Calculator'!A:A,0),0),0)</f>
        <v>0</v>
      </c>
      <c r="K2765" s="455">
        <f t="shared" ca="1" si="133"/>
        <v>-171160490.51744998</v>
      </c>
      <c r="L2765" s="455">
        <f t="shared" ca="1" si="134"/>
        <v>-41249678214.705444</v>
      </c>
      <c r="M2765" s="471">
        <f t="shared" si="136"/>
        <v>0.05</v>
      </c>
      <c r="N2765" s="475">
        <f t="shared" si="137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35"/>
        <v>-41249678214.705444</v>
      </c>
      <c r="J2766" s="455">
        <f t="array" ref="J2766">IFERROR(INDEX('Retirement Calculator'!K:K,MATCH('Lorri 401b'!N2766,'Retirement Calculator'!A:A,0),0),0)</f>
        <v>0</v>
      </c>
      <c r="K2766" s="455">
        <f t="shared" ca="1" si="133"/>
        <v>-171873659.22793934</v>
      </c>
      <c r="L2766" s="455">
        <f t="shared" ca="1" si="134"/>
        <v>-41421551873.93338</v>
      </c>
      <c r="M2766" s="471">
        <f t="shared" si="136"/>
        <v>0.05</v>
      </c>
      <c r="N2766" s="475">
        <f t="shared" si="137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35"/>
        <v>-41421551873.93338</v>
      </c>
      <c r="J2767" s="455">
        <f t="array" ref="J2767">IFERROR(INDEX('Retirement Calculator'!K:K,MATCH('Lorri 401b'!N2767,'Retirement Calculator'!A:A,0),0),0)</f>
        <v>0</v>
      </c>
      <c r="K2767" s="455">
        <f t="shared" ca="1" si="133"/>
        <v>-172589799.47472242</v>
      </c>
      <c r="L2767" s="455">
        <f t="shared" ca="1" si="134"/>
        <v>-41594141673.408104</v>
      </c>
      <c r="M2767" s="471">
        <f t="shared" si="136"/>
        <v>0.05</v>
      </c>
      <c r="N2767" s="475">
        <f t="shared" si="137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35"/>
        <v>-41594141673.408104</v>
      </c>
      <c r="J2768" s="455">
        <f t="array" ref="J2768">IFERROR(INDEX('Retirement Calculator'!K:K,MATCH('Lorri 401b'!N2768,'Retirement Calculator'!A:A,0),0),0)</f>
        <v>0</v>
      </c>
      <c r="K2768" s="455">
        <f t="shared" ca="1" si="133"/>
        <v>-173308923.63920042</v>
      </c>
      <c r="L2768" s="455">
        <f t="shared" ca="1" si="134"/>
        <v>-41767450597.047302</v>
      </c>
      <c r="M2768" s="471">
        <f t="shared" si="136"/>
        <v>0.05</v>
      </c>
      <c r="N2768" s="475">
        <f t="shared" si="137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35"/>
        <v>-41767450597.047302</v>
      </c>
      <c r="J2769" s="455">
        <f t="array" ref="J2769">IFERROR(INDEX('Retirement Calculator'!K:K,MATCH('Lorri 401b'!N2769,'Retirement Calculator'!A:A,0),0),0)</f>
        <v>0</v>
      </c>
      <c r="K2769" s="455">
        <f t="shared" ca="1" si="133"/>
        <v>-174031044.15436375</v>
      </c>
      <c r="L2769" s="455">
        <f t="shared" ca="1" si="134"/>
        <v>-41941481641.201668</v>
      </c>
      <c r="M2769" s="471">
        <f t="shared" si="136"/>
        <v>0.05</v>
      </c>
      <c r="N2769" s="475">
        <f t="shared" si="137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35"/>
        <v>-41941481641.201668</v>
      </c>
      <c r="J2770" s="455">
        <f t="array" ref="J2770">IFERROR(INDEX('Retirement Calculator'!K:K,MATCH('Lorri 401b'!N2770,'Retirement Calculator'!A:A,0),0),0)</f>
        <v>0</v>
      </c>
      <c r="K2770" s="455">
        <f t="shared" ca="1" si="133"/>
        <v>-174756173.50500694</v>
      </c>
      <c r="L2770" s="455">
        <f t="shared" ca="1" si="134"/>
        <v>-42116237814.706673</v>
      </c>
      <c r="M2770" s="471">
        <f t="shared" si="136"/>
        <v>0.05</v>
      </c>
      <c r="N2770" s="475">
        <f t="shared" si="137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35"/>
        <v>-42116237814.706673</v>
      </c>
      <c r="J2771" s="455">
        <f t="array" ref="J2771">IFERROR(INDEX('Retirement Calculator'!K:K,MATCH('Lorri 401b'!N2771,'Retirement Calculator'!A:A,0),0),0)</f>
        <v>0</v>
      </c>
      <c r="K2771" s="455">
        <f t="shared" ca="1" si="133"/>
        <v>-175484324.22794446</v>
      </c>
      <c r="L2771" s="455">
        <f t="shared" ca="1" si="134"/>
        <v>-42291722138.934616</v>
      </c>
      <c r="M2771" s="471">
        <f t="shared" si="136"/>
        <v>0.05</v>
      </c>
      <c r="N2771" s="475">
        <f t="shared" si="137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35"/>
        <v>-42291722138.934616</v>
      </c>
      <c r="J2772" s="455">
        <f t="array" ref="J2772">IFERROR(INDEX('Retirement Calculator'!K:K,MATCH('Lorri 401b'!N2772,'Retirement Calculator'!A:A,0),0),0)</f>
        <v>0</v>
      </c>
      <c r="K2772" s="455">
        <f t="shared" ca="1" si="133"/>
        <v>-176215508.91222757</v>
      </c>
      <c r="L2772" s="455">
        <f t="shared" ca="1" si="134"/>
        <v>-42467937647.84684</v>
      </c>
      <c r="M2772" s="471">
        <f t="shared" si="136"/>
        <v>0.05</v>
      </c>
      <c r="N2772" s="475">
        <f t="shared" si="137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35"/>
        <v>-42467937647.84684</v>
      </c>
      <c r="J2773" s="455">
        <f t="array" ref="J2773">IFERROR(INDEX('Retirement Calculator'!K:K,MATCH('Lorri 401b'!N2773,'Retirement Calculator'!A:A,0),0),0)</f>
        <v>0</v>
      </c>
      <c r="K2773" s="455">
        <f t="shared" ca="1" si="133"/>
        <v>-176949740.19936183</v>
      </c>
      <c r="L2773" s="455">
        <f t="shared" ca="1" si="134"/>
        <v>-42644887388.046204</v>
      </c>
      <c r="M2773" s="471">
        <f t="shared" si="136"/>
        <v>0.05</v>
      </c>
      <c r="N2773" s="475">
        <f t="shared" si="137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35"/>
        <v>-42644887388.046204</v>
      </c>
      <c r="J2774" s="455">
        <f t="array" ref="J2774">IFERROR(INDEX('Retirement Calculator'!K:K,MATCH('Lorri 401b'!N2774,'Retirement Calculator'!A:A,0),0),0)</f>
        <v>0</v>
      </c>
      <c r="K2774" s="455">
        <f t="shared" ca="1" si="133"/>
        <v>-177687030.78352585</v>
      </c>
      <c r="L2774" s="455">
        <f t="shared" ca="1" si="134"/>
        <v>-42822574418.829727</v>
      </c>
      <c r="M2774" s="471">
        <f t="shared" si="136"/>
        <v>0.05</v>
      </c>
      <c r="N2774" s="475">
        <f t="shared" si="137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35"/>
        <v>-42822574418.829727</v>
      </c>
      <c r="J2775" s="455">
        <f t="array" ref="J2775">IFERROR(INDEX('Retirement Calculator'!K:K,MATCH('Lorri 401b'!N2775,'Retirement Calculator'!A:A,0),0),0)</f>
        <v>0</v>
      </c>
      <c r="K2775" s="455">
        <f t="shared" ca="1" si="133"/>
        <v>-178427393.41179052</v>
      </c>
      <c r="L2775" s="455">
        <f t="shared" ca="1" si="134"/>
        <v>-43001001812.241516</v>
      </c>
      <c r="M2775" s="471">
        <f t="shared" si="136"/>
        <v>0.05</v>
      </c>
      <c r="N2775" s="475">
        <f t="shared" si="137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35"/>
        <v>-43001001812.241516</v>
      </c>
      <c r="J2776" s="455">
        <f t="array" ref="J2776">IFERROR(INDEX('Retirement Calculator'!K:K,MATCH('Lorri 401b'!N2776,'Retirement Calculator'!A:A,0),0),0)</f>
        <v>0</v>
      </c>
      <c r="K2776" s="455">
        <f t="shared" ca="1" si="133"/>
        <v>-179170840.88433966</v>
      </c>
      <c r="L2776" s="455">
        <f t="shared" ca="1" si="134"/>
        <v>-43180172653.125854</v>
      </c>
      <c r="M2776" s="471">
        <f t="shared" si="136"/>
        <v>0.05</v>
      </c>
      <c r="N2776" s="475">
        <f t="shared" si="137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35"/>
        <v>-43180172653.125854</v>
      </c>
      <c r="J2777" s="455">
        <f t="array" ref="J2777">IFERROR(INDEX('Retirement Calculator'!K:K,MATCH('Lorri 401b'!N2777,'Retirement Calculator'!A:A,0),0),0)</f>
        <v>0</v>
      </c>
      <c r="K2777" s="455">
        <f t="shared" ca="1" si="133"/>
        <v>-179917386.05469105</v>
      </c>
      <c r="L2777" s="455">
        <f t="shared" ca="1" si="134"/>
        <v>-43360090039.180542</v>
      </c>
      <c r="M2777" s="471">
        <f t="shared" si="136"/>
        <v>0.05</v>
      </c>
      <c r="N2777" s="475">
        <f t="shared" si="137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35"/>
        <v>-43360090039.180542</v>
      </c>
      <c r="J2778" s="455">
        <f t="array" ref="J2778">IFERROR(INDEX('Retirement Calculator'!K:K,MATCH('Lorri 401b'!N2778,'Retirement Calculator'!A:A,0),0),0)</f>
        <v>0</v>
      </c>
      <c r="K2778" s="455">
        <f t="shared" ca="1" si="133"/>
        <v>-180667041.82991892</v>
      </c>
      <c r="L2778" s="455">
        <f t="shared" ca="1" si="134"/>
        <v>-43540757081.01046</v>
      </c>
      <c r="M2778" s="471">
        <f t="shared" si="136"/>
        <v>0.05</v>
      </c>
      <c r="N2778" s="475">
        <f t="shared" si="137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35"/>
        <v>-43540757081.01046</v>
      </c>
      <c r="J2779" s="455">
        <f t="array" ref="J2779">IFERROR(INDEX('Retirement Calculator'!K:K,MATCH('Lorri 401b'!N2779,'Retirement Calculator'!A:A,0),0),0)</f>
        <v>0</v>
      </c>
      <c r="K2779" s="455">
        <f t="shared" ca="1" si="133"/>
        <v>-181419821.17087692</v>
      </c>
      <c r="L2779" s="455">
        <f t="shared" ca="1" si="134"/>
        <v>-43722176902.181335</v>
      </c>
      <c r="M2779" s="471">
        <f t="shared" si="136"/>
        <v>0.05</v>
      </c>
      <c r="N2779" s="475">
        <f t="shared" si="137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35"/>
        <v>-43722176902.181335</v>
      </c>
      <c r="J2780" s="455">
        <f t="array" ref="J2780">IFERROR(INDEX('Retirement Calculator'!K:K,MATCH('Lorri 401b'!N2780,'Retirement Calculator'!A:A,0),0),0)</f>
        <v>0</v>
      </c>
      <c r="K2780" s="455">
        <f t="shared" ca="1" si="133"/>
        <v>-182175737.09242222</v>
      </c>
      <c r="L2780" s="455">
        <f t="shared" ca="1" si="134"/>
        <v>-43904352639.273758</v>
      </c>
      <c r="M2780" s="471">
        <f t="shared" si="136"/>
        <v>0.05</v>
      </c>
      <c r="N2780" s="475">
        <f t="shared" si="137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35"/>
        <v>-43904352639.273758</v>
      </c>
      <c r="J2781" s="455">
        <f t="array" ref="J2781">IFERROR(INDEX('Retirement Calculator'!K:K,MATCH('Lorri 401b'!N2781,'Retirement Calculator'!A:A,0),0),0)</f>
        <v>0</v>
      </c>
      <c r="K2781" s="455">
        <f t="shared" ca="1" si="133"/>
        <v>-182934802.66364065</v>
      </c>
      <c r="L2781" s="455">
        <f t="shared" ca="1" si="134"/>
        <v>-44087287441.937401</v>
      </c>
      <c r="M2781" s="471">
        <f t="shared" si="136"/>
        <v>0.05</v>
      </c>
      <c r="N2781" s="475">
        <f t="shared" si="137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35"/>
        <v>-44087287441.937401</v>
      </c>
      <c r="J2782" s="455">
        <f t="array" ref="J2782">IFERROR(INDEX('Retirement Calculator'!K:K,MATCH('Lorri 401b'!N2782,'Retirement Calculator'!A:A,0),0),0)</f>
        <v>0</v>
      </c>
      <c r="K2782" s="455">
        <f t="shared" ca="1" si="133"/>
        <v>-183697031.0080725</v>
      </c>
      <c r="L2782" s="455">
        <f t="shared" ca="1" si="134"/>
        <v>-44270984472.945473</v>
      </c>
      <c r="M2782" s="471">
        <f t="shared" si="136"/>
        <v>0.05</v>
      </c>
      <c r="N2782" s="475">
        <f t="shared" si="137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35"/>
        <v>-44270984472.945473</v>
      </c>
      <c r="J2783" s="455">
        <f t="array" ref="J2783">IFERROR(INDEX('Retirement Calculator'!K:K,MATCH('Lorri 401b'!N2783,'Retirement Calculator'!A:A,0),0),0)</f>
        <v>0</v>
      </c>
      <c r="K2783" s="455">
        <f t="shared" ca="1" si="133"/>
        <v>-184462435.30393946</v>
      </c>
      <c r="L2783" s="455">
        <f t="shared" ca="1" si="134"/>
        <v>-44455446908.249413</v>
      </c>
      <c r="M2783" s="471">
        <f t="shared" si="136"/>
        <v>0.05</v>
      </c>
      <c r="N2783" s="475">
        <f t="shared" si="137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35"/>
        <v>-44455446908.249413</v>
      </c>
      <c r="J2784" s="455">
        <f t="array" ref="J2784">IFERROR(INDEX('Retirement Calculator'!K:K,MATCH('Lorri 401b'!N2784,'Retirement Calculator'!A:A,0),0),0)</f>
        <v>0</v>
      </c>
      <c r="K2784" s="455">
        <f t="shared" ca="1" si="133"/>
        <v>-185231028.78437254</v>
      </c>
      <c r="L2784" s="455">
        <f t="shared" ca="1" si="134"/>
        <v>-44640677937.033783</v>
      </c>
      <c r="M2784" s="471">
        <f t="shared" si="136"/>
        <v>0.05</v>
      </c>
      <c r="N2784" s="475">
        <f t="shared" si="137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35"/>
        <v>-44640677937.033783</v>
      </c>
      <c r="J2785" s="455">
        <f t="array" ref="J2785">IFERROR(INDEX('Retirement Calculator'!K:K,MATCH('Lorri 401b'!N2785,'Retirement Calculator'!A:A,0),0),0)</f>
        <v>0</v>
      </c>
      <c r="K2785" s="455">
        <f t="shared" ca="1" si="133"/>
        <v>-186002824.73764077</v>
      </c>
      <c r="L2785" s="455">
        <f t="shared" ca="1" si="134"/>
        <v>-44826680761.771423</v>
      </c>
      <c r="M2785" s="471">
        <f t="shared" si="136"/>
        <v>0.05</v>
      </c>
      <c r="N2785" s="475">
        <f t="shared" si="137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35"/>
        <v>-44826680761.771423</v>
      </c>
      <c r="J2786" s="455">
        <f t="array" ref="J2786">IFERROR(INDEX('Retirement Calculator'!K:K,MATCH('Lorri 401b'!N2786,'Retirement Calculator'!A:A,0),0),0)</f>
        <v>0</v>
      </c>
      <c r="K2786" s="455">
        <f t="shared" ca="1" si="133"/>
        <v>-186777836.50738093</v>
      </c>
      <c r="L2786" s="455">
        <f t="shared" ca="1" si="134"/>
        <v>-45013458598.278801</v>
      </c>
      <c r="M2786" s="471">
        <f t="shared" si="136"/>
        <v>0.05</v>
      </c>
      <c r="N2786" s="475">
        <f t="shared" si="137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35"/>
        <v>-45013458598.278801</v>
      </c>
      <c r="J2787" s="455">
        <f t="array" ref="J2787">IFERROR(INDEX('Retirement Calculator'!K:K,MATCH('Lorri 401b'!N2787,'Retirement Calculator'!A:A,0),0),0)</f>
        <v>0</v>
      </c>
      <c r="K2787" s="455">
        <f t="shared" ca="1" si="133"/>
        <v>-187556077.49282834</v>
      </c>
      <c r="L2787" s="455">
        <f t="shared" ca="1" si="134"/>
        <v>-45201014675.771629</v>
      </c>
      <c r="M2787" s="471">
        <f t="shared" si="136"/>
        <v>0.05</v>
      </c>
      <c r="N2787" s="475">
        <f t="shared" si="137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35"/>
        <v>-45201014675.771629</v>
      </c>
      <c r="J2788" s="455">
        <f t="array" ref="J2788">IFERROR(INDEX('Retirement Calculator'!K:K,MATCH('Lorri 401b'!N2788,'Retirement Calculator'!A:A,0),0),0)</f>
        <v>0</v>
      </c>
      <c r="K2788" s="455">
        <f t="shared" ca="1" si="133"/>
        <v>-188337561.14904845</v>
      </c>
      <c r="L2788" s="455">
        <f t="shared" ca="1" si="134"/>
        <v>-45389352236.920677</v>
      </c>
      <c r="M2788" s="471">
        <f t="shared" si="136"/>
        <v>0.05</v>
      </c>
      <c r="N2788" s="475">
        <f t="shared" si="137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35"/>
        <v>-45389352236.920677</v>
      </c>
      <c r="J2789" s="455">
        <f t="array" ref="J2789">IFERROR(INDEX('Retirement Calculator'!K:K,MATCH('Lorri 401b'!N2789,'Retirement Calculator'!A:A,0),0),0)</f>
        <v>0</v>
      </c>
      <c r="K2789" s="455">
        <f t="shared" ca="1" si="133"/>
        <v>-189122300.98716947</v>
      </c>
      <c r="L2789" s="455">
        <f t="shared" ca="1" si="134"/>
        <v>-45578474537.907845</v>
      </c>
      <c r="M2789" s="471">
        <f t="shared" si="136"/>
        <v>0.05</v>
      </c>
      <c r="N2789" s="475">
        <f t="shared" si="137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35"/>
        <v>-45578474537.907845</v>
      </c>
      <c r="J2790" s="455">
        <f t="array" ref="J2790">IFERROR(INDEX('Retirement Calculator'!K:K,MATCH('Lorri 401b'!N2790,'Retirement Calculator'!A:A,0),0),0)</f>
        <v>0</v>
      </c>
      <c r="K2790" s="455">
        <f t="shared" ca="1" si="133"/>
        <v>-189910310.57461601</v>
      </c>
      <c r="L2790" s="455">
        <f t="shared" ca="1" si="134"/>
        <v>-45768384848.48246</v>
      </c>
      <c r="M2790" s="471">
        <f t="shared" si="136"/>
        <v>0.05</v>
      </c>
      <c r="N2790" s="475">
        <f t="shared" si="137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35"/>
        <v>-45768384848.48246</v>
      </c>
      <c r="J2791" s="455">
        <f t="array" ref="J2791">IFERROR(INDEX('Retirement Calculator'!K:K,MATCH('Lorri 401b'!N2791,'Retirement Calculator'!A:A,0),0),0)</f>
        <v>0</v>
      </c>
      <c r="K2791" s="455">
        <f t="shared" ca="1" si="133"/>
        <v>-190701603.53534359</v>
      </c>
      <c r="L2791" s="455">
        <f t="shared" ca="1" si="134"/>
        <v>-45959086452.017807</v>
      </c>
      <c r="M2791" s="471">
        <f t="shared" si="136"/>
        <v>0.05</v>
      </c>
      <c r="N2791" s="475">
        <f t="shared" si="137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35"/>
        <v>-45959086452.017807</v>
      </c>
      <c r="J2792" s="455">
        <f t="array" ref="J2792">IFERROR(INDEX('Retirement Calculator'!K:K,MATCH('Lorri 401b'!N2792,'Retirement Calculator'!A:A,0),0),0)</f>
        <v>0</v>
      </c>
      <c r="K2792" s="455">
        <f t="shared" ca="1" si="133"/>
        <v>-191496193.55007419</v>
      </c>
      <c r="L2792" s="455">
        <f t="shared" ca="1" si="134"/>
        <v>-46150582645.567879</v>
      </c>
      <c r="M2792" s="471">
        <f t="shared" si="136"/>
        <v>0.05</v>
      </c>
      <c r="N2792" s="475">
        <f t="shared" si="137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35"/>
        <v>-46150582645.567879</v>
      </c>
      <c r="J2793" s="455">
        <f t="array" ref="J2793">IFERROR(INDEX('Retirement Calculator'!K:K,MATCH('Lorri 401b'!N2793,'Retirement Calculator'!A:A,0),0),0)</f>
        <v>0</v>
      </c>
      <c r="K2793" s="455">
        <f t="shared" ca="1" si="133"/>
        <v>-192294094.35653281</v>
      </c>
      <c r="L2793" s="455">
        <f t="shared" ca="1" si="134"/>
        <v>-46342876739.924408</v>
      </c>
      <c r="M2793" s="471">
        <f t="shared" si="136"/>
        <v>0.05</v>
      </c>
      <c r="N2793" s="475">
        <f t="shared" si="137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35"/>
        <v>-46342876739.924408</v>
      </c>
      <c r="J2794" s="455">
        <f t="array" ref="J2794">IFERROR(INDEX('Retirement Calculator'!K:K,MATCH('Lorri 401b'!N2794,'Retirement Calculator'!A:A,0),0),0)</f>
        <v>0</v>
      </c>
      <c r="K2794" s="455">
        <f t="shared" ca="1" si="133"/>
        <v>-193095319.74968502</v>
      </c>
      <c r="L2794" s="455">
        <f t="shared" ca="1" si="134"/>
        <v>-46535972059.674095</v>
      </c>
      <c r="M2794" s="471">
        <f t="shared" si="136"/>
        <v>0.05</v>
      </c>
      <c r="N2794" s="475">
        <f t="shared" si="137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35"/>
        <v>-46535972059.674095</v>
      </c>
      <c r="J2795" s="455">
        <f t="array" ref="J2795">IFERROR(INDEX('Retirement Calculator'!K:K,MATCH('Lorri 401b'!N2795,'Retirement Calculator'!A:A,0),0),0)</f>
        <v>0</v>
      </c>
      <c r="K2795" s="455">
        <f t="shared" ca="1" si="133"/>
        <v>-193899883.5819754</v>
      </c>
      <c r="L2795" s="455">
        <f t="shared" ca="1" si="134"/>
        <v>-46729871943.256073</v>
      </c>
      <c r="M2795" s="471">
        <f t="shared" si="136"/>
        <v>0.05</v>
      </c>
      <c r="N2795" s="475">
        <f t="shared" si="137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35"/>
        <v>-46729871943.256073</v>
      </c>
      <c r="J2796" s="455">
        <f t="array" ref="J2796">IFERROR(INDEX('Retirement Calculator'!K:K,MATCH('Lorri 401b'!N2796,'Retirement Calculator'!A:A,0),0),0)</f>
        <v>0</v>
      </c>
      <c r="K2796" s="455">
        <f t="shared" ca="1" si="133"/>
        <v>-194707799.76356697</v>
      </c>
      <c r="L2796" s="455">
        <f t="shared" ca="1" si="134"/>
        <v>-46924579743.019638</v>
      </c>
      <c r="M2796" s="471">
        <f t="shared" si="136"/>
        <v>0.05</v>
      </c>
      <c r="N2796" s="475">
        <f t="shared" si="137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35"/>
        <v>-46924579743.019638</v>
      </c>
      <c r="J2797" s="455">
        <f t="array" ref="J2797">IFERROR(INDEX('Retirement Calculator'!K:K,MATCH('Lorri 401b'!N2797,'Retirement Calculator'!A:A,0),0),0)</f>
        <v>0</v>
      </c>
      <c r="K2797" s="455">
        <f t="shared" ca="1" si="133"/>
        <v>-195519082.26258183</v>
      </c>
      <c r="L2797" s="455">
        <f t="shared" ca="1" si="134"/>
        <v>-47120098825.282219</v>
      </c>
      <c r="M2797" s="471">
        <f t="shared" si="136"/>
        <v>0.05</v>
      </c>
      <c r="N2797" s="475">
        <f t="shared" si="137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35"/>
        <v>-47120098825.282219</v>
      </c>
      <c r="J2798" s="455">
        <f t="array" ref="J2798">IFERROR(INDEX('Retirement Calculator'!K:K,MATCH('Lorri 401b'!N2798,'Retirement Calculator'!A:A,0),0),0)</f>
        <v>0</v>
      </c>
      <c r="K2798" s="455">
        <f t="shared" ca="1" si="133"/>
        <v>-196333745.10534257</v>
      </c>
      <c r="L2798" s="455">
        <f t="shared" ca="1" si="134"/>
        <v>-47316432570.387558</v>
      </c>
      <c r="M2798" s="471">
        <f t="shared" si="136"/>
        <v>0.05</v>
      </c>
      <c r="N2798" s="475">
        <f t="shared" si="137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35"/>
        <v>-47316432570.387558</v>
      </c>
      <c r="J2799" s="455">
        <f t="array" ref="J2799">IFERROR(INDEX('Retirement Calculator'!K:K,MATCH('Lorri 401b'!N2799,'Retirement Calculator'!A:A,0),0),0)</f>
        <v>0</v>
      </c>
      <c r="K2799" s="455">
        <f t="shared" ca="1" si="133"/>
        <v>-197151802.37661481</v>
      </c>
      <c r="L2799" s="455">
        <f t="shared" ca="1" si="134"/>
        <v>-47513584372.764175</v>
      </c>
      <c r="M2799" s="471">
        <f t="shared" si="136"/>
        <v>0.05</v>
      </c>
      <c r="N2799" s="475">
        <f t="shared" si="137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35"/>
        <v>-47513584372.764175</v>
      </c>
      <c r="J2800" s="455">
        <f t="array" ref="J2800">IFERROR(INDEX('Retirement Calculator'!K:K,MATCH('Lorri 401b'!N2800,'Retirement Calculator'!A:A,0),0),0)</f>
        <v>0</v>
      </c>
      <c r="K2800" s="455">
        <f t="shared" ca="1" si="133"/>
        <v>-197973268.21985072</v>
      </c>
      <c r="L2800" s="455">
        <f t="shared" ca="1" si="134"/>
        <v>-47711557640.984024</v>
      </c>
      <c r="M2800" s="471">
        <f t="shared" si="136"/>
        <v>0.05</v>
      </c>
      <c r="N2800" s="475">
        <f t="shared" si="137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35"/>
        <v>-47711557640.984024</v>
      </c>
      <c r="J2801" s="455">
        <f t="array" ref="J2801">IFERROR(INDEX('Retirement Calculator'!K:K,MATCH('Lorri 401b'!N2801,'Retirement Calculator'!A:A,0),0),0)</f>
        <v>0</v>
      </c>
      <c r="K2801" s="455">
        <f t="shared" ca="1" si="133"/>
        <v>-198798156.83743343</v>
      </c>
      <c r="L2801" s="455">
        <f t="shared" ca="1" si="134"/>
        <v>-47910355797.821457</v>
      </c>
      <c r="M2801" s="471">
        <f t="shared" si="136"/>
        <v>0.05</v>
      </c>
      <c r="N2801" s="475">
        <f t="shared" si="137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35"/>
        <v>-47910355797.821457</v>
      </c>
      <c r="J2802" s="455">
        <f t="array" ref="J2802">IFERROR(INDEX('Retirement Calculator'!K:K,MATCH('Lorri 401b'!N2802,'Retirement Calculator'!A:A,0),0),0)</f>
        <v>0</v>
      </c>
      <c r="K2802" s="455">
        <f t="shared" ca="1" si="133"/>
        <v>-199626482.49092275</v>
      </c>
      <c r="L2802" s="455">
        <f t="shared" ca="1" si="134"/>
        <v>-48109982280.312378</v>
      </c>
      <c r="M2802" s="471">
        <f t="shared" si="136"/>
        <v>0.05</v>
      </c>
      <c r="N2802" s="475">
        <f t="shared" si="137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35"/>
        <v>-48109982280.312378</v>
      </c>
      <c r="J2803" s="455">
        <f t="array" ref="J2803">IFERROR(INDEX('Retirement Calculator'!K:K,MATCH('Lorri 401b'!N2803,'Retirement Calculator'!A:A,0),0),0)</f>
        <v>0</v>
      </c>
      <c r="K2803" s="455">
        <f t="shared" ca="1" si="133"/>
        <v>-200458259.50130159</v>
      </c>
      <c r="L2803" s="455">
        <f t="shared" ca="1" si="134"/>
        <v>-48310440539.813683</v>
      </c>
      <c r="M2803" s="471">
        <f t="shared" si="136"/>
        <v>0.05</v>
      </c>
      <c r="N2803" s="475">
        <f t="shared" si="137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35"/>
        <v>-48310440539.813683</v>
      </c>
      <c r="J2804" s="455">
        <f t="array" ref="J2804">IFERROR(INDEX('Retirement Calculator'!K:K,MATCH('Lorri 401b'!N2804,'Retirement Calculator'!A:A,0),0),0)</f>
        <v>0</v>
      </c>
      <c r="K2804" s="455">
        <f t="shared" ca="1" si="133"/>
        <v>-201293502.24922368</v>
      </c>
      <c r="L2804" s="455">
        <f t="shared" ca="1" si="134"/>
        <v>-48511734042.062904</v>
      </c>
      <c r="M2804" s="471">
        <f t="shared" si="136"/>
        <v>0.05</v>
      </c>
      <c r="N2804" s="475">
        <f t="shared" si="137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35"/>
        <v>-48511734042.062904</v>
      </c>
      <c r="J2805" s="455">
        <f t="array" ref="J2805">IFERROR(INDEX('Retirement Calculator'!K:K,MATCH('Lorri 401b'!N2805,'Retirement Calculator'!A:A,0),0),0)</f>
        <v>0</v>
      </c>
      <c r="K2805" s="455">
        <f t="shared" ca="1" si="133"/>
        <v>-202132225.17526209</v>
      </c>
      <c r="L2805" s="455">
        <f t="shared" ca="1" si="134"/>
        <v>-48713866267.238167</v>
      </c>
      <c r="M2805" s="471">
        <f t="shared" si="136"/>
        <v>0.05</v>
      </c>
      <c r="N2805" s="475">
        <f t="shared" si="137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35"/>
        <v>-48713866267.238167</v>
      </c>
      <c r="J2806" s="455">
        <f t="array" ref="J2806">IFERROR(INDEX('Retirement Calculator'!K:K,MATCH('Lorri 401b'!N2806,'Retirement Calculator'!A:A,0),0),0)</f>
        <v>0</v>
      </c>
      <c r="K2806" s="455">
        <f t="shared" ca="1" si="133"/>
        <v>-202974442.78015903</v>
      </c>
      <c r="L2806" s="455">
        <f t="shared" ca="1" si="134"/>
        <v>-48916840710.018326</v>
      </c>
      <c r="M2806" s="471">
        <f t="shared" si="136"/>
        <v>0.05</v>
      </c>
      <c r="N2806" s="475">
        <f t="shared" si="137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35"/>
        <v>-48916840710.018326</v>
      </c>
      <c r="J2807" s="455">
        <f t="array" ref="J2807">IFERROR(INDEX('Retirement Calculator'!K:K,MATCH('Lorri 401b'!N2807,'Retirement Calculator'!A:A,0),0),0)</f>
        <v>0</v>
      </c>
      <c r="K2807" s="455">
        <f t="shared" ca="1" si="133"/>
        <v>-203820169.62507635</v>
      </c>
      <c r="L2807" s="455">
        <f t="shared" ca="1" si="134"/>
        <v>-49120660879.643402</v>
      </c>
      <c r="M2807" s="471">
        <f t="shared" si="136"/>
        <v>0.05</v>
      </c>
      <c r="N2807" s="475">
        <f t="shared" si="137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35"/>
        <v>-49120660879.643402</v>
      </c>
      <c r="J2808" s="455">
        <f t="array" ref="J2808">IFERROR(INDEX('Retirement Calculator'!K:K,MATCH('Lorri 401b'!N2808,'Retirement Calculator'!A:A,0),0),0)</f>
        <v>0</v>
      </c>
      <c r="K2808" s="455">
        <f t="shared" ca="1" si="133"/>
        <v>-204669420.33184752</v>
      </c>
      <c r="L2808" s="455">
        <f t="shared" ca="1" si="134"/>
        <v>-49325330299.97525</v>
      </c>
      <c r="M2808" s="471">
        <f t="shared" si="136"/>
        <v>0.05</v>
      </c>
      <c r="N2808" s="475">
        <f t="shared" si="137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35"/>
        <v>-49325330299.97525</v>
      </c>
      <c r="J2809" s="455">
        <f t="array" ref="J2809">IFERROR(INDEX('Retirement Calculator'!K:K,MATCH('Lorri 401b'!N2809,'Retirement Calculator'!A:A,0),0),0)</f>
        <v>0</v>
      </c>
      <c r="K2809" s="455">
        <f t="shared" ca="1" si="133"/>
        <v>-205522209.5832302</v>
      </c>
      <c r="L2809" s="455">
        <f t="shared" ca="1" si="134"/>
        <v>-49530852509.558479</v>
      </c>
      <c r="M2809" s="471">
        <f t="shared" si="136"/>
        <v>0.05</v>
      </c>
      <c r="N2809" s="475">
        <f t="shared" si="137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35"/>
        <v>-49530852509.558479</v>
      </c>
      <c r="J2810" s="455">
        <f t="array" ref="J2810">IFERROR(INDEX('Retirement Calculator'!K:K,MATCH('Lorri 401b'!N2810,'Retirement Calculator'!A:A,0),0),0)</f>
        <v>0</v>
      </c>
      <c r="K2810" s="455">
        <f t="shared" ca="1" si="133"/>
        <v>-206378552.12316033</v>
      </c>
      <c r="L2810" s="455">
        <f t="shared" ca="1" si="134"/>
        <v>-49737231061.681641</v>
      </c>
      <c r="M2810" s="471">
        <f t="shared" si="136"/>
        <v>0.05</v>
      </c>
      <c r="N2810" s="475">
        <f t="shared" si="137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35"/>
        <v>-49737231061.681641</v>
      </c>
      <c r="J2811" s="455">
        <f t="array" ref="J2811">IFERROR(INDEX('Retirement Calculator'!K:K,MATCH('Lorri 401b'!N2811,'Retirement Calculator'!A:A,0),0),0)</f>
        <v>0</v>
      </c>
      <c r="K2811" s="455">
        <f t="shared" ca="1" si="133"/>
        <v>-207238462.75700682</v>
      </c>
      <c r="L2811" s="455">
        <f t="shared" ca="1" si="134"/>
        <v>-49944469524.438644</v>
      </c>
      <c r="M2811" s="471">
        <f t="shared" si="136"/>
        <v>0.05</v>
      </c>
      <c r="N2811" s="475">
        <f t="shared" si="137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35"/>
        <v>-49944469524.438644</v>
      </c>
      <c r="J2812" s="455">
        <f t="array" ref="J2812">IFERROR(INDEX('Retirement Calculator'!K:K,MATCH('Lorri 401b'!N2812,'Retirement Calculator'!A:A,0),0),0)</f>
        <v>0</v>
      </c>
      <c r="K2812" s="455">
        <f t="shared" ca="1" si="133"/>
        <v>-208101956.35182768</v>
      </c>
      <c r="L2812" s="455">
        <f t="shared" ca="1" si="134"/>
        <v>-50152571480.790474</v>
      </c>
      <c r="M2812" s="471">
        <f t="shared" si="136"/>
        <v>0.05</v>
      </c>
      <c r="N2812" s="475">
        <f t="shared" si="137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35"/>
        <v>-50152571480.790474</v>
      </c>
      <c r="J2813" s="455">
        <f t="array" ref="J2813">IFERROR(INDEX('Retirement Calculator'!K:K,MATCH('Lorri 401b'!N2813,'Retirement Calculator'!A:A,0),0),0)</f>
        <v>0</v>
      </c>
      <c r="K2813" s="455">
        <f t="shared" ref="K2813:K3067" ca="1" si="138">IPMT(M2813/12,1,12,-I2813+J2813,,0)</f>
        <v>-208969047.83662698</v>
      </c>
      <c r="L2813" s="455">
        <f t="shared" ref="L2813:L3067" ca="1" si="139">I2813-J2813+K2813</f>
        <v>-50361540528.627098</v>
      </c>
      <c r="M2813" s="471">
        <f t="shared" si="136"/>
        <v>0.05</v>
      </c>
      <c r="N2813" s="475">
        <f t="shared" si="137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40">L2813</f>
        <v>-50361540528.627098</v>
      </c>
      <c r="J2814" s="455">
        <f t="array" ref="J2814">IFERROR(INDEX('Retirement Calculator'!K:K,MATCH('Lorri 401b'!N2814,'Retirement Calculator'!A:A,0),0),0)</f>
        <v>0</v>
      </c>
      <c r="K2814" s="455">
        <f t="shared" ca="1" si="138"/>
        <v>-209839752.20261291</v>
      </c>
      <c r="L2814" s="455">
        <f t="shared" ca="1" si="139"/>
        <v>-50571380280.829712</v>
      </c>
      <c r="M2814" s="471">
        <f t="shared" ref="M2814:M3068" si="141">M2813</f>
        <v>0.05</v>
      </c>
      <c r="N2814" s="475">
        <f t="shared" ref="N2814:N3068" si="142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40"/>
        <v>-50571380280.829712</v>
      </c>
      <c r="J2815" s="455">
        <f t="array" ref="J2815">IFERROR(INDEX('Retirement Calculator'!K:K,MATCH('Lorri 401b'!N2815,'Retirement Calculator'!A:A,0),0),0)</f>
        <v>0</v>
      </c>
      <c r="K2815" s="455">
        <f t="shared" ca="1" si="138"/>
        <v>-210714084.50345713</v>
      </c>
      <c r="L2815" s="455">
        <f t="shared" ca="1" si="139"/>
        <v>-50782094365.333168</v>
      </c>
      <c r="M2815" s="471">
        <f t="shared" si="141"/>
        <v>0.05</v>
      </c>
      <c r="N2815" s="475">
        <f t="shared" si="142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40"/>
        <v>-50782094365.333168</v>
      </c>
      <c r="J2816" s="455">
        <f t="array" ref="J2816">IFERROR(INDEX('Retirement Calculator'!K:K,MATCH('Lorri 401b'!N2816,'Retirement Calculator'!A:A,0),0),0)</f>
        <v>0</v>
      </c>
      <c r="K2816" s="455">
        <f t="shared" ca="1" si="138"/>
        <v>-211592059.85555488</v>
      </c>
      <c r="L2816" s="455">
        <f t="shared" ca="1" si="139"/>
        <v>-50993686425.188721</v>
      </c>
      <c r="M2816" s="471">
        <f t="shared" si="141"/>
        <v>0.05</v>
      </c>
      <c r="N2816" s="475">
        <f t="shared" si="142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40"/>
        <v>-50993686425.188721</v>
      </c>
      <c r="J2817" s="455">
        <f t="array" ref="J2817">IFERROR(INDEX('Retirement Calculator'!K:K,MATCH('Lorri 401b'!N2817,'Retirement Calculator'!A:A,0),0),0)</f>
        <v>0</v>
      </c>
      <c r="K2817" s="455">
        <f t="shared" ca="1" si="138"/>
        <v>-212473693.43828633</v>
      </c>
      <c r="L2817" s="455">
        <f t="shared" ca="1" si="139"/>
        <v>-51206160118.627007</v>
      </c>
      <c r="M2817" s="471">
        <f t="shared" si="141"/>
        <v>0.05</v>
      </c>
      <c r="N2817" s="475">
        <f t="shared" si="142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40"/>
        <v>-51206160118.627007</v>
      </c>
      <c r="J2818" s="455">
        <f t="array" ref="J2818">IFERROR(INDEX('Retirement Calculator'!K:K,MATCH('Lorri 401b'!N2818,'Retirement Calculator'!A:A,0),0),0)</f>
        <v>0</v>
      </c>
      <c r="K2818" s="455">
        <f t="shared" ca="1" si="138"/>
        <v>-213359000.49427921</v>
      </c>
      <c r="L2818" s="455">
        <f t="shared" ca="1" si="139"/>
        <v>-51419519119.121284</v>
      </c>
      <c r="M2818" s="471">
        <f t="shared" si="141"/>
        <v>0.05</v>
      </c>
      <c r="N2818" s="475">
        <f t="shared" si="142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40"/>
        <v>-51419519119.121284</v>
      </c>
      <c r="J2819" s="455">
        <f t="array" ref="J2819">IFERROR(INDEX('Retirement Calculator'!K:K,MATCH('Lorri 401b'!N2819,'Retirement Calculator'!A:A,0),0),0)</f>
        <v>0</v>
      </c>
      <c r="K2819" s="455">
        <f t="shared" ca="1" si="138"/>
        <v>-214247996.32967201</v>
      </c>
      <c r="L2819" s="455">
        <f t="shared" ca="1" si="139"/>
        <v>-51633767115.450958</v>
      </c>
      <c r="M2819" s="471">
        <f t="shared" si="141"/>
        <v>0.05</v>
      </c>
      <c r="N2819" s="475">
        <f t="shared" si="142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40"/>
        <v>-51633767115.450958</v>
      </c>
      <c r="J2820" s="455">
        <f t="array" ref="J2820">IFERROR(INDEX('Retirement Calculator'!K:K,MATCH('Lorri 401b'!N2820,'Retirement Calculator'!A:A,0),0),0)</f>
        <v>0</v>
      </c>
      <c r="K2820" s="455">
        <f t="shared" ca="1" si="138"/>
        <v>-215140696.31437898</v>
      </c>
      <c r="L2820" s="455">
        <f t="shared" ca="1" si="139"/>
        <v>-51848907811.765335</v>
      </c>
      <c r="M2820" s="471">
        <f t="shared" si="141"/>
        <v>0.05</v>
      </c>
      <c r="N2820" s="475">
        <f t="shared" si="142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40"/>
        <v>-51848907811.765335</v>
      </c>
      <c r="J2821" s="455">
        <f t="array" ref="J2821">IFERROR(INDEX('Retirement Calculator'!K:K,MATCH('Lorri 401b'!N2821,'Retirement Calculator'!A:A,0),0),0)</f>
        <v>0</v>
      </c>
      <c r="K2821" s="455">
        <f t="shared" ca="1" si="138"/>
        <v>-216037115.88235557</v>
      </c>
      <c r="L2821" s="455">
        <f t="shared" ca="1" si="139"/>
        <v>-52064944927.64769</v>
      </c>
      <c r="M2821" s="471">
        <f t="shared" si="141"/>
        <v>0.05</v>
      </c>
      <c r="N2821" s="475">
        <f t="shared" si="142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40"/>
        <v>-52064944927.64769</v>
      </c>
      <c r="J2822" s="455">
        <f t="array" ref="J2822">IFERROR(INDEX('Retirement Calculator'!K:K,MATCH('Lorri 401b'!N2822,'Retirement Calculator'!A:A,0),0),0)</f>
        <v>0</v>
      </c>
      <c r="K2822" s="455">
        <f t="shared" ca="1" si="138"/>
        <v>-216937270.53186536</v>
      </c>
      <c r="L2822" s="455">
        <f t="shared" ca="1" si="139"/>
        <v>-52281882198.179558</v>
      </c>
      <c r="M2822" s="471">
        <f t="shared" si="141"/>
        <v>0.05</v>
      </c>
      <c r="N2822" s="475">
        <f t="shared" si="142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40"/>
        <v>-52281882198.179558</v>
      </c>
      <c r="J2823" s="455">
        <f t="array" ref="J2823">IFERROR(INDEX('Retirement Calculator'!K:K,MATCH('Lorri 401b'!N2823,'Retirement Calculator'!A:A,0),0),0)</f>
        <v>0</v>
      </c>
      <c r="K2823" s="455">
        <f t="shared" ca="1" si="138"/>
        <v>-217841175.82574815</v>
      </c>
      <c r="L2823" s="455">
        <f t="shared" ca="1" si="139"/>
        <v>-52499723374.005302</v>
      </c>
      <c r="M2823" s="471">
        <f t="shared" si="141"/>
        <v>0.05</v>
      </c>
      <c r="N2823" s="475">
        <f t="shared" si="142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40"/>
        <v>-52499723374.005302</v>
      </c>
      <c r="J2824" s="455">
        <f t="array" ref="J2824">IFERROR(INDEX('Retirement Calculator'!K:K,MATCH('Lorri 401b'!N2824,'Retirement Calculator'!A:A,0),0),0)</f>
        <v>0</v>
      </c>
      <c r="K2824" s="455">
        <f t="shared" ca="1" si="138"/>
        <v>-218748847.39168876</v>
      </c>
      <c r="L2824" s="455">
        <f t="shared" ca="1" si="139"/>
        <v>-52718472221.396988</v>
      </c>
      <c r="M2824" s="471">
        <f t="shared" si="141"/>
        <v>0.05</v>
      </c>
      <c r="N2824" s="475">
        <f t="shared" si="142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40"/>
        <v>-52718472221.396988</v>
      </c>
      <c r="J2825" s="455">
        <f t="array" ref="J2825">IFERROR(INDEX('Retirement Calculator'!K:K,MATCH('Lorri 401b'!N2825,'Retirement Calculator'!A:A,0),0),0)</f>
        <v>0</v>
      </c>
      <c r="K2825" s="455">
        <f t="shared" ca="1" si="138"/>
        <v>-219660300.92248744</v>
      </c>
      <c r="L2825" s="455">
        <f t="shared" ca="1" si="139"/>
        <v>-52938132522.319473</v>
      </c>
      <c r="M2825" s="471">
        <f t="shared" si="141"/>
        <v>0.05</v>
      </c>
      <c r="N2825" s="475">
        <f t="shared" si="142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40"/>
        <v>-52938132522.319473</v>
      </c>
      <c r="J2826" s="455">
        <f t="array" ref="J2826">IFERROR(INDEX('Retirement Calculator'!K:K,MATCH('Lorri 401b'!N2826,'Retirement Calculator'!A:A,0),0),0)</f>
        <v>0</v>
      </c>
      <c r="K2826" s="455">
        <f t="shared" ca="1" si="138"/>
        <v>-220575552.17633113</v>
      </c>
      <c r="L2826" s="455">
        <f t="shared" ca="1" si="139"/>
        <v>-53158708074.495804</v>
      </c>
      <c r="M2826" s="471">
        <f t="shared" si="141"/>
        <v>0.05</v>
      </c>
      <c r="N2826" s="475">
        <f t="shared" si="142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40"/>
        <v>-53158708074.495804</v>
      </c>
      <c r="J2827" s="455">
        <f t="array" ref="J2827">IFERROR(INDEX('Retirement Calculator'!K:K,MATCH('Lorri 401b'!N2827,'Retirement Calculator'!A:A,0),0),0)</f>
        <v>0</v>
      </c>
      <c r="K2827" s="455">
        <f t="shared" ca="1" si="138"/>
        <v>-221494616.97706583</v>
      </c>
      <c r="L2827" s="455">
        <f t="shared" ca="1" si="139"/>
        <v>-53380202691.47287</v>
      </c>
      <c r="M2827" s="471">
        <f t="shared" si="141"/>
        <v>0.05</v>
      </c>
      <c r="N2827" s="475">
        <f t="shared" si="142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40"/>
        <v>-53380202691.47287</v>
      </c>
      <c r="J2828" s="455">
        <f t="array" ref="J2828">IFERROR(INDEX('Retirement Calculator'!K:K,MATCH('Lorri 401b'!N2828,'Retirement Calculator'!A:A,0),0),0)</f>
        <v>0</v>
      </c>
      <c r="K2828" s="455">
        <f t="shared" ca="1" si="138"/>
        <v>-222417511.2144703</v>
      </c>
      <c r="L2828" s="455">
        <f t="shared" ca="1" si="139"/>
        <v>-53602620202.68734</v>
      </c>
      <c r="M2828" s="471">
        <f t="shared" si="141"/>
        <v>0.05</v>
      </c>
      <c r="N2828" s="475">
        <f t="shared" si="142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40"/>
        <v>-53602620202.68734</v>
      </c>
      <c r="J2829" s="455">
        <f t="array" ref="J2829">IFERROR(INDEX('Retirement Calculator'!K:K,MATCH('Lorri 401b'!N2829,'Retirement Calculator'!A:A,0),0),0)</f>
        <v>0</v>
      </c>
      <c r="K2829" s="455">
        <f t="shared" ca="1" si="138"/>
        <v>-223344250.84453058</v>
      </c>
      <c r="L2829" s="455">
        <f t="shared" ca="1" si="139"/>
        <v>-53825964453.531868</v>
      </c>
      <c r="M2829" s="471">
        <f t="shared" si="141"/>
        <v>0.05</v>
      </c>
      <c r="N2829" s="475">
        <f t="shared" si="142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40"/>
        <v>-53825964453.531868</v>
      </c>
      <c r="J2830" s="455">
        <f t="array" ref="J2830">IFERROR(INDEX('Retirement Calculator'!K:K,MATCH('Lorri 401b'!N2830,'Retirement Calculator'!A:A,0),0),0)</f>
        <v>0</v>
      </c>
      <c r="K2830" s="455">
        <f t="shared" ca="1" si="138"/>
        <v>-224274851.88971615</v>
      </c>
      <c r="L2830" s="455">
        <f t="shared" ca="1" si="139"/>
        <v>-54050239305.421585</v>
      </c>
      <c r="M2830" s="471">
        <f t="shared" si="141"/>
        <v>0.05</v>
      </c>
      <c r="N2830" s="475">
        <f t="shared" si="142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40"/>
        <v>-54050239305.421585</v>
      </c>
      <c r="J2831" s="455">
        <f t="array" ref="J2831">IFERROR(INDEX('Retirement Calculator'!K:K,MATCH('Lorri 401b'!N2831,'Retirement Calculator'!A:A,0),0),0)</f>
        <v>0</v>
      </c>
      <c r="K2831" s="455">
        <f t="shared" ca="1" si="138"/>
        <v>-225209330.43925661</v>
      </c>
      <c r="L2831" s="455">
        <f t="shared" ca="1" si="139"/>
        <v>-54275448635.86084</v>
      </c>
      <c r="M2831" s="471">
        <f t="shared" si="141"/>
        <v>0.05</v>
      </c>
      <c r="N2831" s="475">
        <f t="shared" si="142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40"/>
        <v>-54275448635.86084</v>
      </c>
      <c r="J2832" s="455">
        <f t="array" ref="J2832">IFERROR(INDEX('Retirement Calculator'!K:K,MATCH('Lorri 401b'!N2832,'Retirement Calculator'!A:A,0),0),0)</f>
        <v>0</v>
      </c>
      <c r="K2832" s="455">
        <f t="shared" ca="1" si="138"/>
        <v>-226147702.64942014</v>
      </c>
      <c r="L2832" s="455">
        <f t="shared" ca="1" si="139"/>
        <v>-54501596338.510262</v>
      </c>
      <c r="M2832" s="471">
        <f t="shared" si="141"/>
        <v>0.05</v>
      </c>
      <c r="N2832" s="475">
        <f t="shared" si="142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40"/>
        <v>-54501596338.510262</v>
      </c>
      <c r="J2833" s="455">
        <f t="array" ref="J2833">IFERROR(INDEX('Retirement Calculator'!K:K,MATCH('Lorri 401b'!N2833,'Retirement Calculator'!A:A,0),0),0)</f>
        <v>0</v>
      </c>
      <c r="K2833" s="455">
        <f t="shared" ca="1" si="138"/>
        <v>-227089984.74379274</v>
      </c>
      <c r="L2833" s="455">
        <f t="shared" ca="1" si="139"/>
        <v>-54728686323.254051</v>
      </c>
      <c r="M2833" s="471">
        <f t="shared" si="141"/>
        <v>0.05</v>
      </c>
      <c r="N2833" s="475">
        <f t="shared" si="142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40"/>
        <v>-54728686323.254051</v>
      </c>
      <c r="J2834" s="455">
        <f t="array" ref="J2834">IFERROR(INDEX('Retirement Calculator'!K:K,MATCH('Lorri 401b'!N2834,'Retirement Calculator'!A:A,0),0),0)</f>
        <v>0</v>
      </c>
      <c r="K2834" s="455">
        <f t="shared" ca="1" si="138"/>
        <v>-228036193.01355854</v>
      </c>
      <c r="L2834" s="455">
        <f t="shared" ca="1" si="139"/>
        <v>-54956722516.267609</v>
      </c>
      <c r="M2834" s="471">
        <f t="shared" si="141"/>
        <v>0.05</v>
      </c>
      <c r="N2834" s="475">
        <f t="shared" si="142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40"/>
        <v>-54956722516.267609</v>
      </c>
      <c r="J2835" s="455">
        <f t="array" ref="J2835">IFERROR(INDEX('Retirement Calculator'!K:K,MATCH('Lorri 401b'!N2835,'Retirement Calculator'!A:A,0),0),0)</f>
        <v>0</v>
      </c>
      <c r="K2835" s="455">
        <f t="shared" ca="1" si="138"/>
        <v>-228986343.81778172</v>
      </c>
      <c r="L2835" s="455">
        <f t="shared" ca="1" si="139"/>
        <v>-55185708860.085388</v>
      </c>
      <c r="M2835" s="471">
        <f t="shared" si="141"/>
        <v>0.05</v>
      </c>
      <c r="N2835" s="475">
        <f t="shared" si="142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40"/>
        <v>-55185708860.085388</v>
      </c>
      <c r="J2836" s="455">
        <f t="array" ref="J2836">IFERROR(INDEX('Retirement Calculator'!K:K,MATCH('Lorri 401b'!N2836,'Retirement Calculator'!A:A,0),0),0)</f>
        <v>0</v>
      </c>
      <c r="K2836" s="455">
        <f t="shared" ca="1" si="138"/>
        <v>-229940453.58368912</v>
      </c>
      <c r="L2836" s="455">
        <f t="shared" ca="1" si="139"/>
        <v>-55415649313.669075</v>
      </c>
      <c r="M2836" s="471">
        <f t="shared" si="141"/>
        <v>0.05</v>
      </c>
      <c r="N2836" s="475">
        <f t="shared" si="142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40"/>
        <v>-55415649313.669075</v>
      </c>
      <c r="J2837" s="455">
        <f t="array" ref="J2837">IFERROR(INDEX('Retirement Calculator'!K:K,MATCH('Lorri 401b'!N2837,'Retirement Calculator'!A:A,0),0),0)</f>
        <v>0</v>
      </c>
      <c r="K2837" s="455">
        <f t="shared" ca="1" si="138"/>
        <v>-230898538.80695447</v>
      </c>
      <c r="L2837" s="455">
        <f t="shared" ca="1" si="139"/>
        <v>-55646547852.476028</v>
      </c>
      <c r="M2837" s="471">
        <f t="shared" si="141"/>
        <v>0.05</v>
      </c>
      <c r="N2837" s="475">
        <f t="shared" si="142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40"/>
        <v>-55646547852.476028</v>
      </c>
      <c r="J2838" s="455">
        <f t="array" ref="J2838">IFERROR(INDEX('Retirement Calculator'!K:K,MATCH('Lorri 401b'!N2838,'Retirement Calculator'!A:A,0),0),0)</f>
        <v>0</v>
      </c>
      <c r="K2838" s="455">
        <f t="shared" ca="1" si="138"/>
        <v>-231860616.05198345</v>
      </c>
      <c r="L2838" s="455">
        <f t="shared" ca="1" si="139"/>
        <v>-55878408468.528015</v>
      </c>
      <c r="M2838" s="471">
        <f t="shared" si="141"/>
        <v>0.05</v>
      </c>
      <c r="N2838" s="475">
        <f t="shared" si="142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40"/>
        <v>-55878408468.528015</v>
      </c>
      <c r="J2839" s="455">
        <f t="array" ref="J2839">IFERROR(INDEX('Retirement Calculator'!K:K,MATCH('Lorri 401b'!N2839,'Retirement Calculator'!A:A,0),0),0)</f>
        <v>0</v>
      </c>
      <c r="K2839" s="455">
        <f t="shared" ca="1" si="138"/>
        <v>-232826701.95220003</v>
      </c>
      <c r="L2839" s="455">
        <f t="shared" ca="1" si="139"/>
        <v>-56111235170.480217</v>
      </c>
      <c r="M2839" s="471">
        <f t="shared" si="141"/>
        <v>0.05</v>
      </c>
      <c r="N2839" s="475">
        <f t="shared" si="142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40"/>
        <v>-56111235170.480217</v>
      </c>
      <c r="J2840" s="455">
        <f t="array" ref="J2840">IFERROR(INDEX('Retirement Calculator'!K:K,MATCH('Lorri 401b'!N2840,'Retirement Calculator'!A:A,0),0),0)</f>
        <v>0</v>
      </c>
      <c r="K2840" s="455">
        <f t="shared" ca="1" si="138"/>
        <v>-233796813.21033424</v>
      </c>
      <c r="L2840" s="455">
        <f t="shared" ca="1" si="139"/>
        <v>-56345031983.690552</v>
      </c>
      <c r="M2840" s="471">
        <f t="shared" si="141"/>
        <v>0.05</v>
      </c>
      <c r="N2840" s="475">
        <f t="shared" si="142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40"/>
        <v>-56345031983.690552</v>
      </c>
      <c r="J2841" s="455">
        <f t="array" ref="J2841">IFERROR(INDEX('Retirement Calculator'!K:K,MATCH('Lorri 401b'!N2841,'Retirement Calculator'!A:A,0),0),0)</f>
        <v>0</v>
      </c>
      <c r="K2841" s="455">
        <f t="shared" ca="1" si="138"/>
        <v>-234770966.59871063</v>
      </c>
      <c r="L2841" s="455">
        <f t="shared" ca="1" si="139"/>
        <v>-56579802950.289261</v>
      </c>
      <c r="M2841" s="471">
        <f t="shared" si="141"/>
        <v>0.05</v>
      </c>
      <c r="N2841" s="475">
        <f t="shared" si="142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40"/>
        <v>-56579802950.289261</v>
      </c>
      <c r="J2842" s="455">
        <f t="array" ref="J2842">IFERROR(INDEX('Retirement Calculator'!K:K,MATCH('Lorri 401b'!N2842,'Retirement Calculator'!A:A,0),0),0)</f>
        <v>0</v>
      </c>
      <c r="K2842" s="455">
        <f t="shared" ca="1" si="138"/>
        <v>-235749178.95953858</v>
      </c>
      <c r="L2842" s="455">
        <f t="shared" ca="1" si="139"/>
        <v>-56815552129.248802</v>
      </c>
      <c r="M2842" s="471">
        <f t="shared" si="141"/>
        <v>0.05</v>
      </c>
      <c r="N2842" s="475">
        <f t="shared" si="142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40"/>
        <v>-56815552129.248802</v>
      </c>
      <c r="J2843" s="455">
        <f t="array" ref="J2843">IFERROR(INDEX('Retirement Calculator'!K:K,MATCH('Lorri 401b'!N2843,'Retirement Calculator'!A:A,0),0),0)</f>
        <v>0</v>
      </c>
      <c r="K2843" s="455">
        <f t="shared" ca="1" si="138"/>
        <v>-236731467.20520338</v>
      </c>
      <c r="L2843" s="455">
        <f t="shared" ca="1" si="139"/>
        <v>-57052283596.454002</v>
      </c>
      <c r="M2843" s="471">
        <f t="shared" si="141"/>
        <v>0.05</v>
      </c>
      <c r="N2843" s="475">
        <f t="shared" si="142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40"/>
        <v>-57052283596.454002</v>
      </c>
      <c r="J2844" s="455">
        <f t="array" ref="J2844">IFERROR(INDEX('Retirement Calculator'!K:K,MATCH('Lorri 401b'!N2844,'Retirement Calculator'!A:A,0),0),0)</f>
        <v>0</v>
      </c>
      <c r="K2844" s="455">
        <f t="shared" ca="1" si="138"/>
        <v>-237717848.31855837</v>
      </c>
      <c r="L2844" s="455">
        <f t="shared" ca="1" si="139"/>
        <v>-57290001444.77256</v>
      </c>
      <c r="M2844" s="471">
        <f t="shared" si="141"/>
        <v>0.05</v>
      </c>
      <c r="N2844" s="475">
        <f t="shared" si="142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40"/>
        <v>-57290001444.77256</v>
      </c>
      <c r="J2845" s="455">
        <f t="array" ref="J2845">IFERROR(INDEX('Retirement Calculator'!K:K,MATCH('Lorri 401b'!N2845,'Retirement Calculator'!A:A,0),0),0)</f>
        <v>0</v>
      </c>
      <c r="K2845" s="455">
        <f t="shared" ca="1" si="138"/>
        <v>-238708339.35321903</v>
      </c>
      <c r="L2845" s="455">
        <f t="shared" ca="1" si="139"/>
        <v>-57528709784.125778</v>
      </c>
      <c r="M2845" s="471">
        <f t="shared" si="141"/>
        <v>0.05</v>
      </c>
      <c r="N2845" s="475">
        <f t="shared" si="142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40"/>
        <v>-57528709784.125778</v>
      </c>
      <c r="J2846" s="455">
        <f t="array" ref="J2846">IFERROR(INDEX('Retirement Calculator'!K:K,MATCH('Lorri 401b'!N2846,'Retirement Calculator'!A:A,0),0),0)</f>
        <v>0</v>
      </c>
      <c r="K2846" s="455">
        <f t="shared" ca="1" si="138"/>
        <v>-239702957.43385741</v>
      </c>
      <c r="L2846" s="455">
        <f t="shared" ca="1" si="139"/>
        <v>-57768412741.559639</v>
      </c>
      <c r="M2846" s="471">
        <f t="shared" si="141"/>
        <v>0.05</v>
      </c>
      <c r="N2846" s="475">
        <f t="shared" si="142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40"/>
        <v>-57768412741.559639</v>
      </c>
      <c r="J2847" s="455">
        <f t="array" ref="J2847">IFERROR(INDEX('Retirement Calculator'!K:K,MATCH('Lorri 401b'!N2847,'Retirement Calculator'!A:A,0),0),0)</f>
        <v>0</v>
      </c>
      <c r="K2847" s="455">
        <f t="shared" ca="1" si="138"/>
        <v>-240701719.75649849</v>
      </c>
      <c r="L2847" s="455">
        <f t="shared" ca="1" si="139"/>
        <v>-58009114461.316139</v>
      </c>
      <c r="M2847" s="471">
        <f t="shared" si="141"/>
        <v>0.05</v>
      </c>
      <c r="N2847" s="475">
        <f t="shared" si="142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40"/>
        <v>-58009114461.316139</v>
      </c>
      <c r="J2848" s="455">
        <f t="array" ref="J2848">IFERROR(INDEX('Retirement Calculator'!K:K,MATCH('Lorri 401b'!N2848,'Retirement Calculator'!A:A,0),0),0)</f>
        <v>0</v>
      </c>
      <c r="K2848" s="455">
        <f t="shared" ca="1" si="138"/>
        <v>-241704643.58881724</v>
      </c>
      <c r="L2848" s="455">
        <f t="shared" ca="1" si="139"/>
        <v>-58250819104.904953</v>
      </c>
      <c r="M2848" s="471">
        <f t="shared" si="141"/>
        <v>0.05</v>
      </c>
      <c r="N2848" s="475">
        <f t="shared" si="142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40"/>
        <v>-58250819104.904953</v>
      </c>
      <c r="J2849" s="455">
        <f t="array" ref="J2849">IFERROR(INDEX('Retirement Calculator'!K:K,MATCH('Lorri 401b'!N2849,'Retirement Calculator'!A:A,0),0),0)</f>
        <v>0</v>
      </c>
      <c r="K2849" s="455">
        <f t="shared" ca="1" si="138"/>
        <v>-242711746.2704373</v>
      </c>
      <c r="L2849" s="455">
        <f t="shared" ca="1" si="139"/>
        <v>-58493530851.175392</v>
      </c>
      <c r="M2849" s="471">
        <f t="shared" si="141"/>
        <v>0.05</v>
      </c>
      <c r="N2849" s="475">
        <f t="shared" si="142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40"/>
        <v>-58493530851.175392</v>
      </c>
      <c r="J2850" s="455">
        <f t="array" ref="J2850">IFERROR(INDEX('Retirement Calculator'!K:K,MATCH('Lorri 401b'!N2850,'Retirement Calculator'!A:A,0),0),0)</f>
        <v>0</v>
      </c>
      <c r="K2850" s="455">
        <f t="shared" ca="1" si="138"/>
        <v>-243723045.21323082</v>
      </c>
      <c r="L2850" s="455">
        <f t="shared" ca="1" si="139"/>
        <v>-58737253896.388626</v>
      </c>
      <c r="M2850" s="471">
        <f t="shared" si="141"/>
        <v>0.05</v>
      </c>
      <c r="N2850" s="475">
        <f t="shared" si="142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40"/>
        <v>-58737253896.388626</v>
      </c>
      <c r="J2851" s="455">
        <f t="array" ref="J2851">IFERROR(INDEX('Retirement Calculator'!K:K,MATCH('Lorri 401b'!N2851,'Retirement Calculator'!A:A,0),0),0)</f>
        <v>0</v>
      </c>
      <c r="K2851" s="455">
        <f t="shared" ca="1" si="138"/>
        <v>-244738557.90161932</v>
      </c>
      <c r="L2851" s="455">
        <f t="shared" ca="1" si="139"/>
        <v>-58981992454.290245</v>
      </c>
      <c r="M2851" s="471">
        <f t="shared" si="141"/>
        <v>0.05</v>
      </c>
      <c r="N2851" s="475">
        <f t="shared" si="142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40"/>
        <v>-58981992454.290245</v>
      </c>
      <c r="J2852" s="455">
        <f t="array" ref="J2852">IFERROR(INDEX('Retirement Calculator'!K:K,MATCH('Lorri 401b'!N2852,'Retirement Calculator'!A:A,0),0),0)</f>
        <v>0</v>
      </c>
      <c r="K2852" s="455">
        <f t="shared" ca="1" si="138"/>
        <v>-245758301.89287603</v>
      </c>
      <c r="L2852" s="455">
        <f t="shared" ca="1" si="139"/>
        <v>-59227750756.183121</v>
      </c>
      <c r="M2852" s="471">
        <f t="shared" si="141"/>
        <v>0.05</v>
      </c>
      <c r="N2852" s="475">
        <f t="shared" si="142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40"/>
        <v>-59227750756.183121</v>
      </c>
      <c r="J2853" s="455">
        <f t="array" ref="J2853">IFERROR(INDEX('Retirement Calculator'!K:K,MATCH('Lorri 401b'!N2853,'Retirement Calculator'!A:A,0),0),0)</f>
        <v>0</v>
      </c>
      <c r="K2853" s="455">
        <f t="shared" ca="1" si="138"/>
        <v>-246782294.81742966</v>
      </c>
      <c r="L2853" s="455">
        <f t="shared" ca="1" si="139"/>
        <v>-59474533051.000549</v>
      </c>
      <c r="M2853" s="471">
        <f t="shared" si="141"/>
        <v>0.05</v>
      </c>
      <c r="N2853" s="475">
        <f t="shared" si="142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40"/>
        <v>-59474533051.000549</v>
      </c>
      <c r="J2854" s="455">
        <f t="array" ref="J2854">IFERROR(INDEX('Retirement Calculator'!K:K,MATCH('Lorri 401b'!N2854,'Retirement Calculator'!A:A,0),0),0)</f>
        <v>0</v>
      </c>
      <c r="K2854" s="455">
        <f t="shared" ca="1" si="138"/>
        <v>-247810554.37916899</v>
      </c>
      <c r="L2854" s="455">
        <f t="shared" ca="1" si="139"/>
        <v>-59722343605.379715</v>
      </c>
      <c r="M2854" s="471">
        <f t="shared" si="141"/>
        <v>0.05</v>
      </c>
      <c r="N2854" s="475">
        <f t="shared" si="142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40"/>
        <v>-59722343605.379715</v>
      </c>
      <c r="J2855" s="455">
        <f t="array" ref="J2855">IFERROR(INDEX('Retirement Calculator'!K:K,MATCH('Lorri 401b'!N2855,'Retirement Calculator'!A:A,0),0),0)</f>
        <v>0</v>
      </c>
      <c r="K2855" s="455">
        <f t="shared" ca="1" si="138"/>
        <v>-248843098.3557488</v>
      </c>
      <c r="L2855" s="455">
        <f t="shared" ca="1" si="139"/>
        <v>-59971186703.735466</v>
      </c>
      <c r="M2855" s="471">
        <f t="shared" si="141"/>
        <v>0.05</v>
      </c>
      <c r="N2855" s="475">
        <f t="shared" si="142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40"/>
        <v>-59971186703.735466</v>
      </c>
      <c r="J2856" s="455">
        <f t="array" ref="J2856">IFERROR(INDEX('Retirement Calculator'!K:K,MATCH('Lorri 401b'!N2856,'Retirement Calculator'!A:A,0),0),0)</f>
        <v>0</v>
      </c>
      <c r="K2856" s="455">
        <f t="shared" ca="1" si="138"/>
        <v>-249879944.59889773</v>
      </c>
      <c r="L2856" s="455">
        <f t="shared" ca="1" si="139"/>
        <v>-60221066648.334366</v>
      </c>
      <c r="M2856" s="471">
        <f t="shared" si="141"/>
        <v>0.05</v>
      </c>
      <c r="N2856" s="475">
        <f t="shared" si="142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40"/>
        <v>-60221066648.334366</v>
      </c>
      <c r="J2857" s="455">
        <f t="array" ref="J2857">IFERROR(INDEX('Retirement Calculator'!K:K,MATCH('Lorri 401b'!N2857,'Retirement Calculator'!A:A,0),0),0)</f>
        <v>0</v>
      </c>
      <c r="K2857" s="455">
        <f t="shared" ca="1" si="138"/>
        <v>-250921111.03472653</v>
      </c>
      <c r="L2857" s="455">
        <f t="shared" ca="1" si="139"/>
        <v>-60471987759.369095</v>
      </c>
      <c r="M2857" s="471">
        <f t="shared" si="141"/>
        <v>0.05</v>
      </c>
      <c r="N2857" s="475">
        <f t="shared" si="142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40"/>
        <v>-60471987759.369095</v>
      </c>
      <c r="J2858" s="455">
        <f t="array" ref="J2858">IFERROR(INDEX('Retirement Calculator'!K:K,MATCH('Lorri 401b'!N2858,'Retirement Calculator'!A:A,0),0),0)</f>
        <v>0</v>
      </c>
      <c r="K2858" s="455">
        <f t="shared" ca="1" si="138"/>
        <v>-251966615.66403788</v>
      </c>
      <c r="L2858" s="455">
        <f t="shared" ca="1" si="139"/>
        <v>-60723954375.033134</v>
      </c>
      <c r="M2858" s="471">
        <f t="shared" si="141"/>
        <v>0.05</v>
      </c>
      <c r="N2858" s="475">
        <f t="shared" si="142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40"/>
        <v>-60723954375.033134</v>
      </c>
      <c r="J2859" s="455">
        <f t="array" ref="J2859">IFERROR(INDEX('Retirement Calculator'!K:K,MATCH('Lorri 401b'!N2859,'Retirement Calculator'!A:A,0),0),0)</f>
        <v>0</v>
      </c>
      <c r="K2859" s="455">
        <f t="shared" ca="1" si="138"/>
        <v>-253016476.56263804</v>
      </c>
      <c r="L2859" s="455">
        <f t="shared" ca="1" si="139"/>
        <v>-60976970851.595772</v>
      </c>
      <c r="M2859" s="471">
        <f t="shared" si="141"/>
        <v>0.05</v>
      </c>
      <c r="N2859" s="475">
        <f t="shared" si="142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40"/>
        <v>-60976970851.595772</v>
      </c>
      <c r="J2860" s="455">
        <f t="array" ref="J2860">IFERROR(INDEX('Retirement Calculator'!K:K,MATCH('Lorri 401b'!N2860,'Retirement Calculator'!A:A,0),0),0)</f>
        <v>0</v>
      </c>
      <c r="K2860" s="455">
        <f t="shared" ca="1" si="138"/>
        <v>-254070711.88164905</v>
      </c>
      <c r="L2860" s="455">
        <f t="shared" ca="1" si="139"/>
        <v>-61231041563.477425</v>
      </c>
      <c r="M2860" s="471">
        <f t="shared" si="141"/>
        <v>0.05</v>
      </c>
      <c r="N2860" s="475">
        <f t="shared" si="142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40"/>
        <v>-61231041563.477425</v>
      </c>
      <c r="J2861" s="455">
        <f t="array" ref="J2861">IFERROR(INDEX('Retirement Calculator'!K:K,MATCH('Lorri 401b'!N2861,'Retirement Calculator'!A:A,0),0),0)</f>
        <v>0</v>
      </c>
      <c r="K2861" s="455">
        <f t="shared" ca="1" si="138"/>
        <v>-255129339.84782261</v>
      </c>
      <c r="L2861" s="455">
        <f t="shared" ca="1" si="139"/>
        <v>-61486170903.325249</v>
      </c>
      <c r="M2861" s="471">
        <f t="shared" si="141"/>
        <v>0.05</v>
      </c>
      <c r="N2861" s="475">
        <f t="shared" si="142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40"/>
        <v>-61486170903.325249</v>
      </c>
      <c r="J2862" s="455">
        <f t="array" ref="J2862">IFERROR(INDEX('Retirement Calculator'!K:K,MATCH('Lorri 401b'!N2862,'Retirement Calculator'!A:A,0),0),0)</f>
        <v>0</v>
      </c>
      <c r="K2862" s="455">
        <f t="shared" ca="1" si="138"/>
        <v>-256192378.76385519</v>
      </c>
      <c r="L2862" s="455">
        <f t="shared" ca="1" si="139"/>
        <v>-61742363282.089104</v>
      </c>
      <c r="M2862" s="471">
        <f t="shared" si="141"/>
        <v>0.05</v>
      </c>
      <c r="N2862" s="475">
        <f t="shared" si="142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40"/>
        <v>-61742363282.089104</v>
      </c>
      <c r="J2863" s="455">
        <f t="array" ref="J2863">IFERROR(INDEX('Retirement Calculator'!K:K,MATCH('Lorri 401b'!N2863,'Retirement Calculator'!A:A,0),0),0)</f>
        <v>0</v>
      </c>
      <c r="K2863" s="455">
        <f t="shared" ca="1" si="138"/>
        <v>-257259847.0087046</v>
      </c>
      <c r="L2863" s="455">
        <f t="shared" ca="1" si="139"/>
        <v>-61999623129.097809</v>
      </c>
      <c r="M2863" s="471">
        <f t="shared" si="141"/>
        <v>0.05</v>
      </c>
      <c r="N2863" s="475">
        <f t="shared" si="142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40"/>
        <v>-61999623129.097809</v>
      </c>
      <c r="J2864" s="455">
        <f t="array" ref="J2864">IFERROR(INDEX('Retirement Calculator'!K:K,MATCH('Lorri 401b'!N2864,'Retirement Calculator'!A:A,0),0),0)</f>
        <v>0</v>
      </c>
      <c r="K2864" s="455">
        <f t="shared" ca="1" si="138"/>
        <v>-258331763.03790757</v>
      </c>
      <c r="L2864" s="455">
        <f t="shared" ca="1" si="139"/>
        <v>-62257954892.135719</v>
      </c>
      <c r="M2864" s="471">
        <f t="shared" si="141"/>
        <v>0.05</v>
      </c>
      <c r="N2864" s="475">
        <f t="shared" si="142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40"/>
        <v>-62257954892.135719</v>
      </c>
      <c r="J2865" s="455">
        <f t="array" ref="J2865">IFERROR(INDEX('Retirement Calculator'!K:K,MATCH('Lorri 401b'!N2865,'Retirement Calculator'!A:A,0),0),0)</f>
        <v>0</v>
      </c>
      <c r="K2865" s="455">
        <f t="shared" ca="1" si="138"/>
        <v>-259408145.38389882</v>
      </c>
      <c r="L2865" s="455">
        <f t="shared" ca="1" si="139"/>
        <v>-62517363037.519615</v>
      </c>
      <c r="M2865" s="471">
        <f t="shared" si="141"/>
        <v>0.05</v>
      </c>
      <c r="N2865" s="475">
        <f t="shared" si="142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40"/>
        <v>-62517363037.519615</v>
      </c>
      <c r="J2866" s="455">
        <f t="array" ref="J2866">IFERROR(INDEX('Retirement Calculator'!K:K,MATCH('Lorri 401b'!N2866,'Retirement Calculator'!A:A,0),0),0)</f>
        <v>0</v>
      </c>
      <c r="K2866" s="455">
        <f t="shared" ca="1" si="138"/>
        <v>-260489012.65633172</v>
      </c>
      <c r="L2866" s="455">
        <f t="shared" ca="1" si="139"/>
        <v>-62777852050.175949</v>
      </c>
      <c r="M2866" s="471">
        <f t="shared" si="141"/>
        <v>0.05</v>
      </c>
      <c r="N2866" s="475">
        <f t="shared" si="142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40"/>
        <v>-62777852050.175949</v>
      </c>
      <c r="J2867" s="455">
        <f t="array" ref="J2867">IFERROR(INDEX('Retirement Calculator'!K:K,MATCH('Lorri 401b'!N2867,'Retirement Calculator'!A:A,0),0),0)</f>
        <v>0</v>
      </c>
      <c r="K2867" s="455">
        <f t="shared" ca="1" si="138"/>
        <v>-261574383.54239979</v>
      </c>
      <c r="L2867" s="455">
        <f t="shared" ca="1" si="139"/>
        <v>-63039426433.718346</v>
      </c>
      <c r="M2867" s="471">
        <f t="shared" si="141"/>
        <v>0.05</v>
      </c>
      <c r="N2867" s="475">
        <f t="shared" si="142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40"/>
        <v>-63039426433.718346</v>
      </c>
      <c r="J2868" s="455">
        <f t="array" ref="J2868">IFERROR(INDEX('Retirement Calculator'!K:K,MATCH('Lorri 401b'!N2868,'Retirement Calculator'!A:A,0),0),0)</f>
        <v>0</v>
      </c>
      <c r="K2868" s="455">
        <f t="shared" ca="1" si="138"/>
        <v>-262664276.80715981</v>
      </c>
      <c r="L2868" s="455">
        <f t="shared" ca="1" si="139"/>
        <v>-63302090710.525505</v>
      </c>
      <c r="M2868" s="471">
        <f t="shared" si="141"/>
        <v>0.05</v>
      </c>
      <c r="N2868" s="475">
        <f t="shared" si="142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40"/>
        <v>-63302090710.525505</v>
      </c>
      <c r="J2869" s="455">
        <f t="array" ref="J2869">IFERROR(INDEX('Retirement Calculator'!K:K,MATCH('Lorri 401b'!N2869,'Retirement Calculator'!A:A,0),0),0)</f>
        <v>0</v>
      </c>
      <c r="K2869" s="455">
        <f t="shared" ca="1" si="138"/>
        <v>-263758711.29385626</v>
      </c>
      <c r="L2869" s="455">
        <f t="shared" ca="1" si="139"/>
        <v>-63565849421.819359</v>
      </c>
      <c r="M2869" s="471">
        <f t="shared" si="141"/>
        <v>0.05</v>
      </c>
      <c r="N2869" s="475">
        <f t="shared" si="142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40"/>
        <v>-63565849421.819359</v>
      </c>
      <c r="J2870" s="455">
        <f t="array" ref="J2870">IFERROR(INDEX('Retirement Calculator'!K:K,MATCH('Lorri 401b'!N2870,'Retirement Calculator'!A:A,0),0),0)</f>
        <v>0</v>
      </c>
      <c r="K2870" s="455">
        <f t="shared" ca="1" si="138"/>
        <v>-264857705.92424732</v>
      </c>
      <c r="L2870" s="455">
        <f t="shared" ca="1" si="139"/>
        <v>-63830707127.743607</v>
      </c>
      <c r="M2870" s="471">
        <f t="shared" si="141"/>
        <v>0.05</v>
      </c>
      <c r="N2870" s="475">
        <f t="shared" si="142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40"/>
        <v>-63830707127.743607</v>
      </c>
      <c r="J2871" s="455">
        <f t="array" ref="J2871">IFERROR(INDEX('Retirement Calculator'!K:K,MATCH('Lorri 401b'!N2871,'Retirement Calculator'!A:A,0),0),0)</f>
        <v>0</v>
      </c>
      <c r="K2871" s="455">
        <f t="shared" ca="1" si="138"/>
        <v>-265961279.69893169</v>
      </c>
      <c r="L2871" s="455">
        <f t="shared" ca="1" si="139"/>
        <v>-64096668407.442535</v>
      </c>
      <c r="M2871" s="471">
        <f t="shared" si="141"/>
        <v>0.05</v>
      </c>
      <c r="N2871" s="475">
        <f t="shared" si="142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40"/>
        <v>-64096668407.442535</v>
      </c>
      <c r="J2872" s="455">
        <f t="array" ref="J2872">IFERROR(INDEX('Retirement Calculator'!K:K,MATCH('Lorri 401b'!N2872,'Retirement Calculator'!A:A,0),0),0)</f>
        <v>0</v>
      </c>
      <c r="K2872" s="455">
        <f t="shared" ca="1" si="138"/>
        <v>-267069451.69767725</v>
      </c>
      <c r="L2872" s="455">
        <f t="shared" ca="1" si="139"/>
        <v>-64363737859.140213</v>
      </c>
      <c r="M2872" s="471">
        <f t="shared" si="141"/>
        <v>0.05</v>
      </c>
      <c r="N2872" s="475">
        <f t="shared" si="142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40"/>
        <v>-64363737859.140213</v>
      </c>
      <c r="J2873" s="455">
        <f t="array" ref="J2873">IFERROR(INDEX('Retirement Calculator'!K:K,MATCH('Lorri 401b'!N2873,'Retirement Calculator'!A:A,0),0),0)</f>
        <v>0</v>
      </c>
      <c r="K2873" s="455">
        <f t="shared" ca="1" si="138"/>
        <v>-268182241.07975087</v>
      </c>
      <c r="L2873" s="455">
        <f t="shared" ca="1" si="139"/>
        <v>-64631920100.219963</v>
      </c>
      <c r="M2873" s="471">
        <f t="shared" si="141"/>
        <v>0.05</v>
      </c>
      <c r="N2873" s="475">
        <f t="shared" si="142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40"/>
        <v>-64631920100.219963</v>
      </c>
      <c r="J2874" s="455">
        <f t="array" ref="J2874">IFERROR(INDEX('Retirement Calculator'!K:K,MATCH('Lorri 401b'!N2874,'Retirement Calculator'!A:A,0),0),0)</f>
        <v>0</v>
      </c>
      <c r="K2874" s="455">
        <f t="shared" ca="1" si="138"/>
        <v>-269299667.08424985</v>
      </c>
      <c r="L2874" s="455">
        <f t="shared" ca="1" si="139"/>
        <v>-64901219767.304214</v>
      </c>
      <c r="M2874" s="471">
        <f t="shared" si="141"/>
        <v>0.05</v>
      </c>
      <c r="N2874" s="475">
        <f t="shared" si="142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40"/>
        <v>-64901219767.304214</v>
      </c>
      <c r="J2875" s="455">
        <f t="array" ref="J2875">IFERROR(INDEX('Retirement Calculator'!K:K,MATCH('Lorri 401b'!N2875,'Retirement Calculator'!A:A,0),0),0)</f>
        <v>0</v>
      </c>
      <c r="K2875" s="455">
        <f t="shared" ca="1" si="138"/>
        <v>-270421749.03043425</v>
      </c>
      <c r="L2875" s="455">
        <f t="shared" ca="1" si="139"/>
        <v>-65171641516.334648</v>
      </c>
      <c r="M2875" s="471">
        <f t="shared" si="141"/>
        <v>0.05</v>
      </c>
      <c r="N2875" s="475">
        <f t="shared" si="142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40"/>
        <v>-65171641516.334648</v>
      </c>
      <c r="J2876" s="455">
        <f t="array" ref="J2876">IFERROR(INDEX('Retirement Calculator'!K:K,MATCH('Lorri 401b'!N2876,'Retirement Calculator'!A:A,0),0),0)</f>
        <v>0</v>
      </c>
      <c r="K2876" s="455">
        <f t="shared" ca="1" si="138"/>
        <v>-271548506.31806105</v>
      </c>
      <c r="L2876" s="455">
        <f t="shared" ca="1" si="139"/>
        <v>-65443190022.65271</v>
      </c>
      <c r="M2876" s="471">
        <f t="shared" si="141"/>
        <v>0.05</v>
      </c>
      <c r="N2876" s="475">
        <f t="shared" si="142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40"/>
        <v>-65443190022.65271</v>
      </c>
      <c r="J2877" s="455">
        <f t="array" ref="J2877">IFERROR(INDEX('Retirement Calculator'!K:K,MATCH('Lorri 401b'!N2877,'Retirement Calculator'!A:A,0),0),0)</f>
        <v>0</v>
      </c>
      <c r="K2877" s="455">
        <f t="shared" ca="1" si="138"/>
        <v>-272679958.42771959</v>
      </c>
      <c r="L2877" s="455">
        <f t="shared" ca="1" si="139"/>
        <v>-65715869981.080429</v>
      </c>
      <c r="M2877" s="471">
        <f t="shared" si="141"/>
        <v>0.05</v>
      </c>
      <c r="N2877" s="475">
        <f t="shared" si="142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40"/>
        <v>-65715869981.080429</v>
      </c>
      <c r="J2878" s="455">
        <f t="array" ref="J2878">IFERROR(INDEX('Retirement Calculator'!K:K,MATCH('Lorri 401b'!N2878,'Retirement Calculator'!A:A,0),0),0)</f>
        <v>0</v>
      </c>
      <c r="K2878" s="455">
        <f t="shared" ca="1" si="138"/>
        <v>-273816124.92116845</v>
      </c>
      <c r="L2878" s="455">
        <f t="shared" ca="1" si="139"/>
        <v>-65989686106.001595</v>
      </c>
      <c r="M2878" s="471">
        <f t="shared" si="141"/>
        <v>0.05</v>
      </c>
      <c r="N2878" s="475">
        <f t="shared" si="142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40"/>
        <v>-65989686106.001595</v>
      </c>
      <c r="J2879" s="455">
        <f t="array" ref="J2879">IFERROR(INDEX('Retirement Calculator'!K:K,MATCH('Lorri 401b'!N2879,'Retirement Calculator'!A:A,0),0),0)</f>
        <v>0</v>
      </c>
      <c r="K2879" s="455">
        <f t="shared" ca="1" si="138"/>
        <v>-274957025.44167328</v>
      </c>
      <c r="L2879" s="455">
        <f t="shared" ca="1" si="139"/>
        <v>-66264643131.443268</v>
      </c>
      <c r="M2879" s="471">
        <f t="shared" si="141"/>
        <v>0.05</v>
      </c>
      <c r="N2879" s="475">
        <f t="shared" si="142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40"/>
        <v>-66264643131.443268</v>
      </c>
      <c r="J2880" s="455">
        <f t="array" ref="J2880">IFERROR(INDEX('Retirement Calculator'!K:K,MATCH('Lorri 401b'!N2880,'Retirement Calculator'!A:A,0),0),0)</f>
        <v>0</v>
      </c>
      <c r="K2880" s="455">
        <f t="shared" ca="1" si="138"/>
        <v>-276102679.714347</v>
      </c>
      <c r="L2880" s="455">
        <f t="shared" ca="1" si="139"/>
        <v>-66540745811.157616</v>
      </c>
      <c r="M2880" s="471">
        <f t="shared" si="141"/>
        <v>0.05</v>
      </c>
      <c r="N2880" s="475">
        <f t="shared" si="142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40"/>
        <v>-66540745811.157616</v>
      </c>
      <c r="J2881" s="455">
        <f t="array" ref="J2881">IFERROR(INDEX('Retirement Calculator'!K:K,MATCH('Lorri 401b'!N2881,'Retirement Calculator'!A:A,0),0),0)</f>
        <v>0</v>
      </c>
      <c r="K2881" s="455">
        <f t="shared" ca="1" si="138"/>
        <v>-277253107.54649007</v>
      </c>
      <c r="L2881" s="455">
        <f t="shared" ca="1" si="139"/>
        <v>-66817998918.704109</v>
      </c>
      <c r="M2881" s="471">
        <f t="shared" si="141"/>
        <v>0.05</v>
      </c>
      <c r="N2881" s="475">
        <f t="shared" si="142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40"/>
        <v>-66817998918.704109</v>
      </c>
      <c r="J2882" s="455">
        <f t="array" ref="J2882">IFERROR(INDEX('Retirement Calculator'!K:K,MATCH('Lorri 401b'!N2882,'Retirement Calculator'!A:A,0),0),0)</f>
        <v>0</v>
      </c>
      <c r="K2882" s="455">
        <f t="shared" ca="1" si="138"/>
        <v>-278408328.82793379</v>
      </c>
      <c r="L2882" s="455">
        <f t="shared" ca="1" si="139"/>
        <v>-67096407247.532043</v>
      </c>
      <c r="M2882" s="471">
        <f t="shared" si="141"/>
        <v>0.05</v>
      </c>
      <c r="N2882" s="475">
        <f t="shared" si="142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40"/>
        <v>-67096407247.532043</v>
      </c>
      <c r="J2883" s="455">
        <f t="array" ref="J2883">IFERROR(INDEX('Retirement Calculator'!K:K,MATCH('Lorri 401b'!N2883,'Retirement Calculator'!A:A,0),0),0)</f>
        <v>0</v>
      </c>
      <c r="K2883" s="455">
        <f t="shared" ca="1" si="138"/>
        <v>-279568363.53138345</v>
      </c>
      <c r="L2883" s="455">
        <f t="shared" ca="1" si="139"/>
        <v>-67375975611.063423</v>
      </c>
      <c r="M2883" s="471">
        <f t="shared" si="141"/>
        <v>0.05</v>
      </c>
      <c r="N2883" s="475">
        <f t="shared" si="142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40"/>
        <v>-67375975611.063423</v>
      </c>
      <c r="J2884" s="455">
        <f t="array" ref="J2884">IFERROR(INDEX('Retirement Calculator'!K:K,MATCH('Lorri 401b'!N2884,'Retirement Calculator'!A:A,0),0),0)</f>
        <v>0</v>
      </c>
      <c r="K2884" s="455">
        <f t="shared" ca="1" si="138"/>
        <v>-280733231.71276426</v>
      </c>
      <c r="L2884" s="455">
        <f t="shared" ca="1" si="139"/>
        <v>-67656708842.776184</v>
      </c>
      <c r="M2884" s="471">
        <f t="shared" si="141"/>
        <v>0.05</v>
      </c>
      <c r="N2884" s="475">
        <f t="shared" si="142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40"/>
        <v>-67656708842.776184</v>
      </c>
      <c r="J2885" s="455">
        <f t="array" ref="J2885">IFERROR(INDEX('Retirement Calculator'!K:K,MATCH('Lorri 401b'!N2885,'Retirement Calculator'!A:A,0),0),0)</f>
        <v>0</v>
      </c>
      <c r="K2885" s="455">
        <f t="shared" ca="1" si="138"/>
        <v>-281902953.51156741</v>
      </c>
      <c r="L2885" s="455">
        <f t="shared" ca="1" si="139"/>
        <v>-67938611796.28775</v>
      </c>
      <c r="M2885" s="471">
        <f t="shared" si="141"/>
        <v>0.05</v>
      </c>
      <c r="N2885" s="475">
        <f t="shared" si="142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40"/>
        <v>-67938611796.28775</v>
      </c>
      <c r="J2886" s="455">
        <f t="array" ref="J2886">IFERROR(INDEX('Retirement Calculator'!K:K,MATCH('Lorri 401b'!N2886,'Retirement Calculator'!A:A,0),0),0)</f>
        <v>0</v>
      </c>
      <c r="K2886" s="455">
        <f t="shared" ca="1" si="138"/>
        <v>-283077549.15119898</v>
      </c>
      <c r="L2886" s="455">
        <f t="shared" ca="1" si="139"/>
        <v>-68221689345.43895</v>
      </c>
      <c r="M2886" s="471">
        <f t="shared" si="141"/>
        <v>0.05</v>
      </c>
      <c r="N2886" s="475">
        <f t="shared" si="142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40"/>
        <v>-68221689345.43895</v>
      </c>
      <c r="J2887" s="455">
        <f t="array" ref="J2887">IFERROR(INDEX('Retirement Calculator'!K:K,MATCH('Lorri 401b'!N2887,'Retirement Calculator'!A:A,0),0),0)</f>
        <v>0</v>
      </c>
      <c r="K2887" s="455">
        <f t="shared" ca="1" si="138"/>
        <v>-284257038.93932891</v>
      </c>
      <c r="L2887" s="455">
        <f t="shared" ca="1" si="139"/>
        <v>-68505946384.378281</v>
      </c>
      <c r="M2887" s="471">
        <f t="shared" si="141"/>
        <v>0.05</v>
      </c>
      <c r="N2887" s="475">
        <f t="shared" si="142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40"/>
        <v>-68505946384.378281</v>
      </c>
      <c r="J2888" s="455">
        <f t="array" ref="J2888">IFERROR(INDEX('Retirement Calculator'!K:K,MATCH('Lorri 401b'!N2888,'Retirement Calculator'!A:A,0),0),0)</f>
        <v>0</v>
      </c>
      <c r="K2888" s="455">
        <f t="shared" ca="1" si="138"/>
        <v>-285441443.26824284</v>
      </c>
      <c r="L2888" s="455">
        <f t="shared" ca="1" si="139"/>
        <v>-68791387827.64653</v>
      </c>
      <c r="M2888" s="471">
        <f t="shared" si="141"/>
        <v>0.05</v>
      </c>
      <c r="N2888" s="475">
        <f t="shared" si="142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40"/>
        <v>-68791387827.64653</v>
      </c>
      <c r="J2889" s="455">
        <f t="array" ref="J2889">IFERROR(INDEX('Retirement Calculator'!K:K,MATCH('Lorri 401b'!N2889,'Retirement Calculator'!A:A,0),0),0)</f>
        <v>0</v>
      </c>
      <c r="K2889" s="455">
        <f t="shared" ca="1" si="138"/>
        <v>-286630782.61519384</v>
      </c>
      <c r="L2889" s="455">
        <f t="shared" ca="1" si="139"/>
        <v>-69078018610.261719</v>
      </c>
      <c r="M2889" s="471">
        <f t="shared" si="141"/>
        <v>0.05</v>
      </c>
      <c r="N2889" s="475">
        <f t="shared" si="142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40"/>
        <v>-69078018610.261719</v>
      </c>
      <c r="J2890" s="455">
        <f t="array" ref="J2890">IFERROR(INDEX('Retirement Calculator'!K:K,MATCH('Lorri 401b'!N2890,'Retirement Calculator'!A:A,0),0),0)</f>
        <v>0</v>
      </c>
      <c r="K2890" s="455">
        <f t="shared" ca="1" si="138"/>
        <v>-287825077.54275715</v>
      </c>
      <c r="L2890" s="455">
        <f t="shared" ca="1" si="139"/>
        <v>-69365843687.804474</v>
      </c>
      <c r="M2890" s="471">
        <f t="shared" si="141"/>
        <v>0.05</v>
      </c>
      <c r="N2890" s="475">
        <f t="shared" si="142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40"/>
        <v>-69365843687.804474</v>
      </c>
      <c r="J2891" s="455">
        <f t="array" ref="J2891">IFERROR(INDEX('Retirement Calculator'!K:K,MATCH('Lorri 401b'!N2891,'Retirement Calculator'!A:A,0),0),0)</f>
        <v>0</v>
      </c>
      <c r="K2891" s="455">
        <f t="shared" ca="1" si="138"/>
        <v>-289024348.69918531</v>
      </c>
      <c r="L2891" s="455">
        <f t="shared" ca="1" si="139"/>
        <v>-69654868036.503662</v>
      </c>
      <c r="M2891" s="471">
        <f t="shared" si="141"/>
        <v>0.05</v>
      </c>
      <c r="N2891" s="475">
        <f t="shared" si="142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40"/>
        <v>-69654868036.503662</v>
      </c>
      <c r="J2892" s="455">
        <f t="array" ref="J2892">IFERROR(INDEX('Retirement Calculator'!K:K,MATCH('Lorri 401b'!N2892,'Retirement Calculator'!A:A,0),0),0)</f>
        <v>0</v>
      </c>
      <c r="K2892" s="455">
        <f t="shared" ca="1" si="138"/>
        <v>-290228616.81876528</v>
      </c>
      <c r="L2892" s="455">
        <f t="shared" ca="1" si="139"/>
        <v>-69945096653.322433</v>
      </c>
      <c r="M2892" s="471">
        <f t="shared" si="141"/>
        <v>0.05</v>
      </c>
      <c r="N2892" s="475">
        <f t="shared" si="142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40"/>
        <v>-69945096653.322433</v>
      </c>
      <c r="J2893" s="455">
        <f t="array" ref="J2893">IFERROR(INDEX('Retirement Calculator'!K:K,MATCH('Lorri 401b'!N2893,'Retirement Calculator'!A:A,0),0),0)</f>
        <v>0</v>
      </c>
      <c r="K2893" s="455">
        <f t="shared" ca="1" si="138"/>
        <v>-291437902.72217679</v>
      </c>
      <c r="L2893" s="455">
        <f t="shared" ca="1" si="139"/>
        <v>-70236534556.044617</v>
      </c>
      <c r="M2893" s="471">
        <f t="shared" si="141"/>
        <v>0.05</v>
      </c>
      <c r="N2893" s="475">
        <f t="shared" si="142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40"/>
        <v>-70236534556.044617</v>
      </c>
      <c r="J2894" s="455">
        <f t="array" ref="J2894">IFERROR(INDEX('Retirement Calculator'!K:K,MATCH('Lorri 401b'!N2894,'Retirement Calculator'!A:A,0),0),0)</f>
        <v>0</v>
      </c>
      <c r="K2894" s="455">
        <f t="shared" ca="1" si="138"/>
        <v>-292652227.31685257</v>
      </c>
      <c r="L2894" s="455">
        <f t="shared" ca="1" si="139"/>
        <v>-70529186783.361465</v>
      </c>
      <c r="M2894" s="471">
        <f t="shared" si="141"/>
        <v>0.05</v>
      </c>
      <c r="N2894" s="475">
        <f t="shared" si="142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40"/>
        <v>-70529186783.361465</v>
      </c>
      <c r="J2895" s="455">
        <f t="array" ref="J2895">IFERROR(INDEX('Retirement Calculator'!K:K,MATCH('Lorri 401b'!N2895,'Retirement Calculator'!A:A,0),0),0)</f>
        <v>0</v>
      </c>
      <c r="K2895" s="455">
        <f t="shared" ca="1" si="138"/>
        <v>-293871611.59733945</v>
      </c>
      <c r="L2895" s="455">
        <f t="shared" ca="1" si="139"/>
        <v>-70823058394.958801</v>
      </c>
      <c r="M2895" s="471">
        <f t="shared" si="141"/>
        <v>0.05</v>
      </c>
      <c r="N2895" s="475">
        <f t="shared" si="142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40"/>
        <v>-70823058394.958801</v>
      </c>
      <c r="J2896" s="455">
        <f t="array" ref="J2896">IFERROR(INDEX('Retirement Calculator'!K:K,MATCH('Lorri 401b'!N2896,'Retirement Calculator'!A:A,0),0),0)</f>
        <v>0</v>
      </c>
      <c r="K2896" s="455">
        <f t="shared" ca="1" si="138"/>
        <v>-295096076.64566165</v>
      </c>
      <c r="L2896" s="455">
        <f t="shared" ca="1" si="139"/>
        <v>-71118154471.604462</v>
      </c>
      <c r="M2896" s="471">
        <f t="shared" si="141"/>
        <v>0.05</v>
      </c>
      <c r="N2896" s="475">
        <f t="shared" si="142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40"/>
        <v>-71118154471.604462</v>
      </c>
      <c r="J2897" s="455">
        <f t="array" ref="J2897">IFERROR(INDEX('Retirement Calculator'!K:K,MATCH('Lorri 401b'!N2897,'Retirement Calculator'!A:A,0),0),0)</f>
        <v>0</v>
      </c>
      <c r="K2897" s="455">
        <f t="shared" ca="1" si="138"/>
        <v>-296325643.63168526</v>
      </c>
      <c r="L2897" s="455">
        <f t="shared" ca="1" si="139"/>
        <v>-71414480115.236145</v>
      </c>
      <c r="M2897" s="471">
        <f t="shared" si="141"/>
        <v>0.05</v>
      </c>
      <c r="N2897" s="475">
        <f t="shared" si="142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40"/>
        <v>-71414480115.236145</v>
      </c>
      <c r="J2898" s="455">
        <f t="array" ref="J2898">IFERROR(INDEX('Retirement Calculator'!K:K,MATCH('Lorri 401b'!N2898,'Retirement Calculator'!A:A,0),0),0)</f>
        <v>0</v>
      </c>
      <c r="K2898" s="455">
        <f t="shared" ca="1" si="138"/>
        <v>-297560333.81348395</v>
      </c>
      <c r="L2898" s="455">
        <f t="shared" ca="1" si="139"/>
        <v>-71712040449.049622</v>
      </c>
      <c r="M2898" s="471">
        <f t="shared" si="141"/>
        <v>0.05</v>
      </c>
      <c r="N2898" s="475">
        <f t="shared" si="142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40"/>
        <v>-71712040449.049622</v>
      </c>
      <c r="J2899" s="455">
        <f t="array" ref="J2899">IFERROR(INDEX('Retirement Calculator'!K:K,MATCH('Lorri 401b'!N2899,'Retirement Calculator'!A:A,0),0),0)</f>
        <v>0</v>
      </c>
      <c r="K2899" s="455">
        <f t="shared" ca="1" si="138"/>
        <v>-298800168.53770673</v>
      </c>
      <c r="L2899" s="455">
        <f t="shared" ca="1" si="139"/>
        <v>-72010840617.587326</v>
      </c>
      <c r="M2899" s="471">
        <f t="shared" si="141"/>
        <v>0.05</v>
      </c>
      <c r="N2899" s="475">
        <f t="shared" si="142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40"/>
        <v>-72010840617.587326</v>
      </c>
      <c r="J2900" s="455">
        <f t="array" ref="J2900">IFERROR(INDEX('Retirement Calculator'!K:K,MATCH('Lorri 401b'!N2900,'Retirement Calculator'!A:A,0),0),0)</f>
        <v>0</v>
      </c>
      <c r="K2900" s="455">
        <f t="shared" ca="1" si="138"/>
        <v>-300045169.2399472</v>
      </c>
      <c r="L2900" s="455">
        <f t="shared" ca="1" si="139"/>
        <v>-72310885786.827271</v>
      </c>
      <c r="M2900" s="471">
        <f t="shared" si="141"/>
        <v>0.05</v>
      </c>
      <c r="N2900" s="475">
        <f t="shared" si="142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40"/>
        <v>-72310885786.827271</v>
      </c>
      <c r="J2901" s="455">
        <f t="array" ref="J2901">IFERROR(INDEX('Retirement Calculator'!K:K,MATCH('Lorri 401b'!N2901,'Retirement Calculator'!A:A,0),0),0)</f>
        <v>0</v>
      </c>
      <c r="K2901" s="455">
        <f t="shared" ca="1" si="138"/>
        <v>-301295357.4451136</v>
      </c>
      <c r="L2901" s="455">
        <f t="shared" ca="1" si="139"/>
        <v>-72612181144.272385</v>
      </c>
      <c r="M2901" s="471">
        <f t="shared" si="141"/>
        <v>0.05</v>
      </c>
      <c r="N2901" s="475">
        <f t="shared" si="142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40"/>
        <v>-72612181144.272385</v>
      </c>
      <c r="J2902" s="455">
        <f t="array" ref="J2902">IFERROR(INDEX('Retirement Calculator'!K:K,MATCH('Lorri 401b'!N2902,'Retirement Calculator'!A:A,0),0),0)</f>
        <v>0</v>
      </c>
      <c r="K2902" s="455">
        <f t="shared" ca="1" si="138"/>
        <v>-302550754.76780158</v>
      </c>
      <c r="L2902" s="455">
        <f t="shared" ca="1" si="139"/>
        <v>-72914731899.040192</v>
      </c>
      <c r="M2902" s="471">
        <f t="shared" si="141"/>
        <v>0.05</v>
      </c>
      <c r="N2902" s="475">
        <f t="shared" si="142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40"/>
        <v>-72914731899.040192</v>
      </c>
      <c r="J2903" s="455">
        <f t="array" ref="J2903">IFERROR(INDEX('Retirement Calculator'!K:K,MATCH('Lorri 401b'!N2903,'Retirement Calculator'!A:A,0),0),0)</f>
        <v>0</v>
      </c>
      <c r="K2903" s="455">
        <f t="shared" ca="1" si="138"/>
        <v>-303811382.91266745</v>
      </c>
      <c r="L2903" s="455">
        <f t="shared" ca="1" si="139"/>
        <v>-73218543281.952866</v>
      </c>
      <c r="M2903" s="471">
        <f t="shared" si="141"/>
        <v>0.05</v>
      </c>
      <c r="N2903" s="475">
        <f t="shared" si="142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40"/>
        <v>-73218543281.952866</v>
      </c>
      <c r="J2904" s="455">
        <f t="array" ref="J2904">IFERROR(INDEX('Retirement Calculator'!K:K,MATCH('Lorri 401b'!N2904,'Retirement Calculator'!A:A,0),0),0)</f>
        <v>0</v>
      </c>
      <c r="K2904" s="455">
        <f t="shared" ca="1" si="138"/>
        <v>-305077263.67480361</v>
      </c>
      <c r="L2904" s="455">
        <f t="shared" ca="1" si="139"/>
        <v>-73523620545.62767</v>
      </c>
      <c r="M2904" s="471">
        <f t="shared" si="141"/>
        <v>0.05</v>
      </c>
      <c r="N2904" s="475">
        <f t="shared" si="142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40"/>
        <v>-73523620545.62767</v>
      </c>
      <c r="J2905" s="455">
        <f t="array" ref="J2905">IFERROR(INDEX('Retirement Calculator'!K:K,MATCH('Lorri 401b'!N2905,'Retirement Calculator'!A:A,0),0),0)</f>
        <v>0</v>
      </c>
      <c r="K2905" s="455">
        <f t="shared" ca="1" si="138"/>
        <v>-306348418.94011527</v>
      </c>
      <c r="L2905" s="455">
        <f t="shared" ca="1" si="139"/>
        <v>-73829968964.56778</v>
      </c>
      <c r="M2905" s="471">
        <f t="shared" si="141"/>
        <v>0.05</v>
      </c>
      <c r="N2905" s="475">
        <f t="shared" si="142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40"/>
        <v>-73829968964.56778</v>
      </c>
      <c r="J2906" s="455">
        <f t="array" ref="J2906">IFERROR(INDEX('Retirement Calculator'!K:K,MATCH('Lorri 401b'!N2906,'Retirement Calculator'!A:A,0),0),0)</f>
        <v>0</v>
      </c>
      <c r="K2906" s="455">
        <f t="shared" ca="1" si="138"/>
        <v>-307624870.68569911</v>
      </c>
      <c r="L2906" s="455">
        <f t="shared" ca="1" si="139"/>
        <v>-74137593835.253479</v>
      </c>
      <c r="M2906" s="471">
        <f t="shared" si="141"/>
        <v>0.05</v>
      </c>
      <c r="N2906" s="475">
        <f t="shared" si="142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40"/>
        <v>-74137593835.253479</v>
      </c>
      <c r="J2907" s="455">
        <f t="array" ref="J2907">IFERROR(INDEX('Retirement Calculator'!K:K,MATCH('Lorri 401b'!N2907,'Retirement Calculator'!A:A,0),0),0)</f>
        <v>0</v>
      </c>
      <c r="K2907" s="455">
        <f t="shared" ca="1" si="138"/>
        <v>-308906640.98022282</v>
      </c>
      <c r="L2907" s="455">
        <f t="shared" ca="1" si="139"/>
        <v>-74446500476.233704</v>
      </c>
      <c r="M2907" s="471">
        <f t="shared" si="141"/>
        <v>0.05</v>
      </c>
      <c r="N2907" s="475">
        <f t="shared" si="142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40"/>
        <v>-74446500476.233704</v>
      </c>
      <c r="J2908" s="455">
        <f t="array" ref="J2908">IFERROR(INDEX('Retirement Calculator'!K:K,MATCH('Lorri 401b'!N2908,'Retirement Calculator'!A:A,0),0),0)</f>
        <v>0</v>
      </c>
      <c r="K2908" s="455">
        <f t="shared" ca="1" si="138"/>
        <v>-310193751.98430711</v>
      </c>
      <c r="L2908" s="455">
        <f t="shared" ca="1" si="139"/>
        <v>-74756694228.218018</v>
      </c>
      <c r="M2908" s="471">
        <f t="shared" si="141"/>
        <v>0.05</v>
      </c>
      <c r="N2908" s="475">
        <f t="shared" si="142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40"/>
        <v>-74756694228.218018</v>
      </c>
      <c r="J2909" s="455">
        <f t="array" ref="J2909">IFERROR(INDEX('Retirement Calculator'!K:K,MATCH('Lorri 401b'!N2909,'Retirement Calculator'!A:A,0),0),0)</f>
        <v>0</v>
      </c>
      <c r="K2909" s="455">
        <f t="shared" ca="1" si="138"/>
        <v>-311486225.95090842</v>
      </c>
      <c r="L2909" s="455">
        <f t="shared" ca="1" si="139"/>
        <v>-75068180454.16893</v>
      </c>
      <c r="M2909" s="471">
        <f t="shared" si="141"/>
        <v>0.05</v>
      </c>
      <c r="N2909" s="475">
        <f t="shared" si="142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40"/>
        <v>-75068180454.16893</v>
      </c>
      <c r="J2910" s="455">
        <f t="array" ref="J2910">IFERROR(INDEX('Retirement Calculator'!K:K,MATCH('Lorri 401b'!N2910,'Retirement Calculator'!A:A,0),0),0)</f>
        <v>0</v>
      </c>
      <c r="K2910" s="455">
        <f t="shared" ca="1" si="138"/>
        <v>-312784085.2257039</v>
      </c>
      <c r="L2910" s="455">
        <f t="shared" ca="1" si="139"/>
        <v>-75380964539.394638</v>
      </c>
      <c r="M2910" s="471">
        <f t="shared" si="141"/>
        <v>0.05</v>
      </c>
      <c r="N2910" s="475">
        <f t="shared" si="142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40"/>
        <v>-75380964539.394638</v>
      </c>
      <c r="J2911" s="455">
        <f t="array" ref="J2911">IFERROR(INDEX('Retirement Calculator'!K:K,MATCH('Lorri 401b'!N2911,'Retirement Calculator'!A:A,0),0),0)</f>
        <v>0</v>
      </c>
      <c r="K2911" s="455">
        <f t="shared" ca="1" si="138"/>
        <v>-314087352.24747765</v>
      </c>
      <c r="L2911" s="455">
        <f t="shared" ca="1" si="139"/>
        <v>-75695051891.64212</v>
      </c>
      <c r="M2911" s="471">
        <f t="shared" si="141"/>
        <v>0.05</v>
      </c>
      <c r="N2911" s="475">
        <f t="shared" si="142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40"/>
        <v>-75695051891.64212</v>
      </c>
      <c r="J2912" s="455">
        <f t="array" ref="J2912">IFERROR(INDEX('Retirement Calculator'!K:K,MATCH('Lorri 401b'!N2912,'Retirement Calculator'!A:A,0),0),0)</f>
        <v>0</v>
      </c>
      <c r="K2912" s="455">
        <f t="shared" ca="1" si="138"/>
        <v>-315396049.54850882</v>
      </c>
      <c r="L2912" s="455">
        <f t="shared" ca="1" si="139"/>
        <v>-76010447941.190628</v>
      </c>
      <c r="M2912" s="471">
        <f t="shared" si="141"/>
        <v>0.05</v>
      </c>
      <c r="N2912" s="475">
        <f t="shared" si="142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40"/>
        <v>-76010447941.190628</v>
      </c>
      <c r="J2913" s="455">
        <f t="array" ref="J2913">IFERROR(INDEX('Retirement Calculator'!K:K,MATCH('Lorri 401b'!N2913,'Retirement Calculator'!A:A,0),0),0)</f>
        <v>0</v>
      </c>
      <c r="K2913" s="455">
        <f t="shared" ca="1" si="138"/>
        <v>-316710199.75496095</v>
      </c>
      <c r="L2913" s="455">
        <f t="shared" ca="1" si="139"/>
        <v>-76327158140.945587</v>
      </c>
      <c r="M2913" s="471">
        <f t="shared" si="141"/>
        <v>0.05</v>
      </c>
      <c r="N2913" s="475">
        <f t="shared" si="142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40"/>
        <v>-76327158140.945587</v>
      </c>
      <c r="J2914" s="455">
        <f t="array" ref="J2914">IFERROR(INDEX('Retirement Calculator'!K:K,MATCH('Lorri 401b'!N2914,'Retirement Calculator'!A:A,0),0),0)</f>
        <v>0</v>
      </c>
      <c r="K2914" s="455">
        <f t="shared" ca="1" si="138"/>
        <v>-318029825.5872733</v>
      </c>
      <c r="L2914" s="455">
        <f t="shared" ca="1" si="139"/>
        <v>-76645187966.532867</v>
      </c>
      <c r="M2914" s="471">
        <f t="shared" si="141"/>
        <v>0.05</v>
      </c>
      <c r="N2914" s="475">
        <f t="shared" si="142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40"/>
        <v>-76645187966.532867</v>
      </c>
      <c r="J2915" s="455">
        <f t="array" ref="J2915">IFERROR(INDEX('Retirement Calculator'!K:K,MATCH('Lorri 401b'!N2915,'Retirement Calculator'!A:A,0),0),0)</f>
        <v>0</v>
      </c>
      <c r="K2915" s="455">
        <f t="shared" ca="1" si="138"/>
        <v>-319354949.86055362</v>
      </c>
      <c r="L2915" s="455">
        <f t="shared" ca="1" si="139"/>
        <v>-76964542916.393417</v>
      </c>
      <c r="M2915" s="471">
        <f t="shared" si="141"/>
        <v>0.05</v>
      </c>
      <c r="N2915" s="475">
        <f t="shared" si="142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40"/>
        <v>-76964542916.393417</v>
      </c>
      <c r="J2916" s="455">
        <f t="array" ref="J2916">IFERROR(INDEX('Retirement Calculator'!K:K,MATCH('Lorri 401b'!N2916,'Retirement Calculator'!A:A,0),0),0)</f>
        <v>0</v>
      </c>
      <c r="K2916" s="455">
        <f t="shared" ca="1" si="138"/>
        <v>-320685595.4849726</v>
      </c>
      <c r="L2916" s="455">
        <f t="shared" ca="1" si="139"/>
        <v>-77285228511.878387</v>
      </c>
      <c r="M2916" s="471">
        <f t="shared" si="141"/>
        <v>0.05</v>
      </c>
      <c r="N2916" s="475">
        <f t="shared" si="142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40"/>
        <v>-77285228511.878387</v>
      </c>
      <c r="J2917" s="455">
        <f t="array" ref="J2917">IFERROR(INDEX('Retirement Calculator'!K:K,MATCH('Lorri 401b'!N2917,'Retirement Calculator'!A:A,0),0),0)</f>
        <v>0</v>
      </c>
      <c r="K2917" s="455">
        <f t="shared" ca="1" si="138"/>
        <v>-322021785.46615994</v>
      </c>
      <c r="L2917" s="455">
        <f t="shared" ca="1" si="139"/>
        <v>-77607250297.344543</v>
      </c>
      <c r="M2917" s="471">
        <f t="shared" si="141"/>
        <v>0.05</v>
      </c>
      <c r="N2917" s="475">
        <f t="shared" si="142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40"/>
        <v>-77607250297.344543</v>
      </c>
      <c r="J2918" s="455">
        <f t="array" ref="J2918">IFERROR(INDEX('Retirement Calculator'!K:K,MATCH('Lorri 401b'!N2918,'Retirement Calculator'!A:A,0),0),0)</f>
        <v>0</v>
      </c>
      <c r="K2918" s="455">
        <f t="shared" ca="1" si="138"/>
        <v>-323363542.90560228</v>
      </c>
      <c r="L2918" s="455">
        <f t="shared" ca="1" si="139"/>
        <v>-77930613840.250153</v>
      </c>
      <c r="M2918" s="471">
        <f t="shared" si="141"/>
        <v>0.05</v>
      </c>
      <c r="N2918" s="475">
        <f t="shared" si="142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40"/>
        <v>-77930613840.250153</v>
      </c>
      <c r="J2919" s="455">
        <f t="array" ref="J2919">IFERROR(INDEX('Retirement Calculator'!K:K,MATCH('Lorri 401b'!N2919,'Retirement Calculator'!A:A,0),0),0)</f>
        <v>0</v>
      </c>
      <c r="K2919" s="455">
        <f t="shared" ca="1" si="138"/>
        <v>-324710891.00104231</v>
      </c>
      <c r="L2919" s="455">
        <f t="shared" ca="1" si="139"/>
        <v>-78255324731.25119</v>
      </c>
      <c r="M2919" s="471">
        <f t="shared" si="141"/>
        <v>0.05</v>
      </c>
      <c r="N2919" s="475">
        <f t="shared" si="142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40"/>
        <v>-78255324731.25119</v>
      </c>
      <c r="J2920" s="455">
        <f t="array" ref="J2920">IFERROR(INDEX('Retirement Calculator'!K:K,MATCH('Lorri 401b'!N2920,'Retirement Calculator'!A:A,0),0),0)</f>
        <v>0</v>
      </c>
      <c r="K2920" s="455">
        <f t="shared" ca="1" si="138"/>
        <v>-326063853.04687995</v>
      </c>
      <c r="L2920" s="455">
        <f t="shared" ca="1" si="139"/>
        <v>-78581388584.298065</v>
      </c>
      <c r="M2920" s="471">
        <f t="shared" si="141"/>
        <v>0.05</v>
      </c>
      <c r="N2920" s="475">
        <f t="shared" si="142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40"/>
        <v>-78581388584.298065</v>
      </c>
      <c r="J2921" s="455">
        <f t="array" ref="J2921">IFERROR(INDEX('Retirement Calculator'!K:K,MATCH('Lorri 401b'!N2921,'Retirement Calculator'!A:A,0),0),0)</f>
        <v>0</v>
      </c>
      <c r="K2921" s="455">
        <f t="shared" ca="1" si="138"/>
        <v>-327422452.43457526</v>
      </c>
      <c r="L2921" s="455">
        <f t="shared" ca="1" si="139"/>
        <v>-78908811036.732635</v>
      </c>
      <c r="M2921" s="471">
        <f t="shared" si="141"/>
        <v>0.05</v>
      </c>
      <c r="N2921" s="475">
        <f t="shared" si="142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40"/>
        <v>-78908811036.732635</v>
      </c>
      <c r="J2922" s="455">
        <f t="array" ref="J2922">IFERROR(INDEX('Retirement Calculator'!K:K,MATCH('Lorri 401b'!N2922,'Retirement Calculator'!A:A,0),0),0)</f>
        <v>0</v>
      </c>
      <c r="K2922" s="455">
        <f t="shared" ca="1" si="138"/>
        <v>-328786712.65305263</v>
      </c>
      <c r="L2922" s="455">
        <f t="shared" ca="1" si="139"/>
        <v>-79237597749.385681</v>
      </c>
      <c r="M2922" s="471">
        <f t="shared" si="141"/>
        <v>0.05</v>
      </c>
      <c r="N2922" s="475">
        <f t="shared" si="142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40"/>
        <v>-79237597749.385681</v>
      </c>
      <c r="J2923" s="455">
        <f t="array" ref="J2923">IFERROR(INDEX('Retirement Calculator'!K:K,MATCH('Lorri 401b'!N2923,'Retirement Calculator'!A:A,0),0),0)</f>
        <v>0</v>
      </c>
      <c r="K2923" s="455">
        <f t="shared" ca="1" si="138"/>
        <v>-330156657.28910702</v>
      </c>
      <c r="L2923" s="455">
        <f t="shared" ca="1" si="139"/>
        <v>-79567754406.674789</v>
      </c>
      <c r="M2923" s="471">
        <f t="shared" si="141"/>
        <v>0.05</v>
      </c>
      <c r="N2923" s="475">
        <f t="shared" si="142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40"/>
        <v>-79567754406.674789</v>
      </c>
      <c r="J2924" s="455">
        <f t="array" ref="J2924">IFERROR(INDEX('Retirement Calculator'!K:K,MATCH('Lorri 401b'!N2924,'Retirement Calculator'!A:A,0),0),0)</f>
        <v>0</v>
      </c>
      <c r="K2924" s="455">
        <f t="shared" ca="1" si="138"/>
        <v>-331532310.02781165</v>
      </c>
      <c r="L2924" s="455">
        <f t="shared" ca="1" si="139"/>
        <v>-79899286716.702606</v>
      </c>
      <c r="M2924" s="471">
        <f t="shared" si="141"/>
        <v>0.05</v>
      </c>
      <c r="N2924" s="475">
        <f t="shared" si="142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40"/>
        <v>-79899286716.702606</v>
      </c>
      <c r="J2925" s="455">
        <f t="array" ref="J2925">IFERROR(INDEX('Retirement Calculator'!K:K,MATCH('Lorri 401b'!N2925,'Retirement Calculator'!A:A,0),0),0)</f>
        <v>0</v>
      </c>
      <c r="K2925" s="455">
        <f t="shared" ca="1" si="138"/>
        <v>-332913694.65292752</v>
      </c>
      <c r="L2925" s="455">
        <f t="shared" ca="1" si="139"/>
        <v>-80232200411.35553</v>
      </c>
      <c r="M2925" s="471">
        <f t="shared" si="141"/>
        <v>0.05</v>
      </c>
      <c r="N2925" s="475">
        <f t="shared" si="142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40"/>
        <v>-80232200411.35553</v>
      </c>
      <c r="J2926" s="455">
        <f t="array" ref="J2926">IFERROR(INDEX('Retirement Calculator'!K:K,MATCH('Lorri 401b'!N2926,'Retirement Calculator'!A:A,0),0),0)</f>
        <v>0</v>
      </c>
      <c r="K2926" s="455">
        <f t="shared" ca="1" si="138"/>
        <v>-334300835.0473147</v>
      </c>
      <c r="L2926" s="455">
        <f t="shared" ca="1" si="139"/>
        <v>-80566501246.402847</v>
      </c>
      <c r="M2926" s="471">
        <f t="shared" si="141"/>
        <v>0.05</v>
      </c>
      <c r="N2926" s="475">
        <f t="shared" si="142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40"/>
        <v>-80566501246.402847</v>
      </c>
      <c r="J2927" s="455">
        <f t="array" ref="J2927">IFERROR(INDEX('Retirement Calculator'!K:K,MATCH('Lorri 401b'!N2927,'Retirement Calculator'!A:A,0),0),0)</f>
        <v>0</v>
      </c>
      <c r="K2927" s="455">
        <f t="shared" ca="1" si="138"/>
        <v>-335693755.19334519</v>
      </c>
      <c r="L2927" s="455">
        <f t="shared" ca="1" si="139"/>
        <v>-80902195001.596191</v>
      </c>
      <c r="M2927" s="471">
        <f t="shared" si="141"/>
        <v>0.05</v>
      </c>
      <c r="N2927" s="475">
        <f t="shared" si="142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40"/>
        <v>-80902195001.596191</v>
      </c>
      <c r="J2928" s="455">
        <f t="array" ref="J2928">IFERROR(INDEX('Retirement Calculator'!K:K,MATCH('Lorri 401b'!N2928,'Retirement Calculator'!A:A,0),0),0)</f>
        <v>0</v>
      </c>
      <c r="K2928" s="455">
        <f t="shared" ca="1" si="138"/>
        <v>-337092479.17331743</v>
      </c>
      <c r="L2928" s="455">
        <f t="shared" ca="1" si="139"/>
        <v>-81239287480.769516</v>
      </c>
      <c r="M2928" s="471">
        <f t="shared" si="141"/>
        <v>0.05</v>
      </c>
      <c r="N2928" s="475">
        <f t="shared" si="142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40"/>
        <v>-81239287480.769516</v>
      </c>
      <c r="J2929" s="455">
        <f t="array" ref="J2929">IFERROR(INDEX('Retirement Calculator'!K:K,MATCH('Lorri 401b'!N2929,'Retirement Calculator'!A:A,0),0),0)</f>
        <v>0</v>
      </c>
      <c r="K2929" s="455">
        <f t="shared" ca="1" si="138"/>
        <v>-338497031.169873</v>
      </c>
      <c r="L2929" s="455">
        <f t="shared" ca="1" si="139"/>
        <v>-81577784511.939392</v>
      </c>
      <c r="M2929" s="471">
        <f t="shared" si="141"/>
        <v>0.05</v>
      </c>
      <c r="N2929" s="475">
        <f t="shared" si="142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40"/>
        <v>-81577784511.939392</v>
      </c>
      <c r="J2930" s="455">
        <f t="array" ref="J2930">IFERROR(INDEX('Retirement Calculator'!K:K,MATCH('Lorri 401b'!N2930,'Retirement Calculator'!A:A,0),0),0)</f>
        <v>0</v>
      </c>
      <c r="K2930" s="455">
        <f t="shared" ca="1" si="138"/>
        <v>-339907435.46641415</v>
      </c>
      <c r="L2930" s="455">
        <f t="shared" ca="1" si="139"/>
        <v>-81917691947.405807</v>
      </c>
      <c r="M2930" s="471">
        <f t="shared" si="141"/>
        <v>0.05</v>
      </c>
      <c r="N2930" s="475">
        <f t="shared" si="142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40"/>
        <v>-81917691947.405807</v>
      </c>
      <c r="J2931" s="455">
        <f t="array" ref="J2931">IFERROR(INDEX('Retirement Calculator'!K:K,MATCH('Lorri 401b'!N2931,'Retirement Calculator'!A:A,0),0),0)</f>
        <v>0</v>
      </c>
      <c r="K2931" s="455">
        <f t="shared" ca="1" si="138"/>
        <v>-341323716.44752419</v>
      </c>
      <c r="L2931" s="455">
        <f t="shared" ca="1" si="139"/>
        <v>-82259015663.853333</v>
      </c>
      <c r="M2931" s="471">
        <f t="shared" si="141"/>
        <v>0.05</v>
      </c>
      <c r="N2931" s="475">
        <f t="shared" si="142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40"/>
        <v>-82259015663.853333</v>
      </c>
      <c r="J2932" s="455">
        <f t="array" ref="J2932">IFERROR(INDEX('Retirement Calculator'!K:K,MATCH('Lorri 401b'!N2932,'Retirement Calculator'!A:A,0),0),0)</f>
        <v>0</v>
      </c>
      <c r="K2932" s="455">
        <f t="shared" ca="1" si="138"/>
        <v>-342745898.5993889</v>
      </c>
      <c r="L2932" s="455">
        <f t="shared" ca="1" si="139"/>
        <v>-82601761562.452728</v>
      </c>
      <c r="M2932" s="471">
        <f t="shared" si="141"/>
        <v>0.05</v>
      </c>
      <c r="N2932" s="475">
        <f t="shared" si="142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40"/>
        <v>-82601761562.452728</v>
      </c>
      <c r="J2933" s="455">
        <f t="array" ref="J2933">IFERROR(INDEX('Retirement Calculator'!K:K,MATCH('Lorri 401b'!N2933,'Retirement Calculator'!A:A,0),0),0)</f>
        <v>0</v>
      </c>
      <c r="K2933" s="455">
        <f t="shared" ca="1" si="138"/>
        <v>-344174006.51021969</v>
      </c>
      <c r="L2933" s="455">
        <f t="shared" ca="1" si="139"/>
        <v>-82945935568.962952</v>
      </c>
      <c r="M2933" s="471">
        <f t="shared" si="141"/>
        <v>0.05</v>
      </c>
      <c r="N2933" s="475">
        <f t="shared" si="142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40"/>
        <v>-82945935568.962952</v>
      </c>
      <c r="J2934" s="455">
        <f t="array" ref="J2934">IFERROR(INDEX('Retirement Calculator'!K:K,MATCH('Lorri 401b'!N2934,'Retirement Calculator'!A:A,0),0),0)</f>
        <v>0</v>
      </c>
      <c r="K2934" s="455">
        <f t="shared" ca="1" si="138"/>
        <v>-345608064.87067896</v>
      </c>
      <c r="L2934" s="455">
        <f t="shared" ca="1" si="139"/>
        <v>-83291543633.833633</v>
      </c>
      <c r="M2934" s="471">
        <f t="shared" si="141"/>
        <v>0.05</v>
      </c>
      <c r="N2934" s="475">
        <f t="shared" si="142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40"/>
        <v>-83291543633.833633</v>
      </c>
      <c r="J2935" s="455">
        <f t="array" ref="J2935">IFERROR(INDEX('Retirement Calculator'!K:K,MATCH('Lorri 401b'!N2935,'Retirement Calculator'!A:A,0),0),0)</f>
        <v>0</v>
      </c>
      <c r="K2935" s="455">
        <f t="shared" ca="1" si="138"/>
        <v>-347048098.47430682</v>
      </c>
      <c r="L2935" s="455">
        <f t="shared" ca="1" si="139"/>
        <v>-83638591732.307938</v>
      </c>
      <c r="M2935" s="471">
        <f t="shared" si="141"/>
        <v>0.05</v>
      </c>
      <c r="N2935" s="475">
        <f t="shared" si="142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40"/>
        <v>-83638591732.307938</v>
      </c>
      <c r="J2936" s="455">
        <f t="array" ref="J2936">IFERROR(INDEX('Retirement Calculator'!K:K,MATCH('Lorri 401b'!N2936,'Retirement Calculator'!A:A,0),0),0)</f>
        <v>0</v>
      </c>
      <c r="K2936" s="455">
        <f t="shared" ca="1" si="138"/>
        <v>-348494132.21794975</v>
      </c>
      <c r="L2936" s="455">
        <f t="shared" ca="1" si="139"/>
        <v>-83987085864.525894</v>
      </c>
      <c r="M2936" s="471">
        <f t="shared" si="141"/>
        <v>0.05</v>
      </c>
      <c r="N2936" s="475">
        <f t="shared" si="142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40"/>
        <v>-83987085864.525894</v>
      </c>
      <c r="J2937" s="455">
        <f t="array" ref="J2937">IFERROR(INDEX('Retirement Calculator'!K:K,MATCH('Lorri 401b'!N2937,'Retirement Calculator'!A:A,0),0),0)</f>
        <v>0</v>
      </c>
      <c r="K2937" s="455">
        <f t="shared" ca="1" si="138"/>
        <v>-349946191.10219121</v>
      </c>
      <c r="L2937" s="455">
        <f t="shared" ca="1" si="139"/>
        <v>-84337032055.628082</v>
      </c>
      <c r="M2937" s="471">
        <f t="shared" si="141"/>
        <v>0.05</v>
      </c>
      <c r="N2937" s="475">
        <f t="shared" si="142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40"/>
        <v>-84337032055.628082</v>
      </c>
      <c r="J2938" s="455">
        <f t="array" ref="J2938">IFERROR(INDEX('Retirement Calculator'!K:K,MATCH('Lorri 401b'!N2938,'Retirement Calculator'!A:A,0),0),0)</f>
        <v>0</v>
      </c>
      <c r="K2938" s="455">
        <f t="shared" ca="1" si="138"/>
        <v>-351404300.23178369</v>
      </c>
      <c r="L2938" s="455">
        <f t="shared" ca="1" si="139"/>
        <v>-84688436355.859863</v>
      </c>
      <c r="M2938" s="471">
        <f t="shared" si="141"/>
        <v>0.05</v>
      </c>
      <c r="N2938" s="475">
        <f t="shared" si="142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40"/>
        <v>-84688436355.859863</v>
      </c>
      <c r="J2939" s="455">
        <f t="array" ref="J2939">IFERROR(INDEX('Retirement Calculator'!K:K,MATCH('Lorri 401b'!N2939,'Retirement Calculator'!A:A,0),0),0)</f>
        <v>0</v>
      </c>
      <c r="K2939" s="455">
        <f t="shared" ca="1" si="138"/>
        <v>-352868484.81608278</v>
      </c>
      <c r="L2939" s="455">
        <f t="shared" ca="1" si="139"/>
        <v>-85041304840.675949</v>
      </c>
      <c r="M2939" s="471">
        <f t="shared" si="141"/>
        <v>0.05</v>
      </c>
      <c r="N2939" s="475">
        <f t="shared" si="142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40"/>
        <v>-85041304840.675949</v>
      </c>
      <c r="J2940" s="455">
        <f t="array" ref="J2940">IFERROR(INDEX('Retirement Calculator'!K:K,MATCH('Lorri 401b'!N2940,'Retirement Calculator'!A:A,0),0),0)</f>
        <v>0</v>
      </c>
      <c r="K2940" s="455">
        <f t="shared" ca="1" si="138"/>
        <v>-354338770.16948313</v>
      </c>
      <c r="L2940" s="455">
        <f t="shared" ca="1" si="139"/>
        <v>-85395643610.845428</v>
      </c>
      <c r="M2940" s="471">
        <f t="shared" si="141"/>
        <v>0.05</v>
      </c>
      <c r="N2940" s="475">
        <f t="shared" si="142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40"/>
        <v>-85395643610.845428</v>
      </c>
      <c r="J2941" s="455">
        <f t="array" ref="J2941">IFERROR(INDEX('Retirement Calculator'!K:K,MATCH('Lorri 401b'!N2941,'Retirement Calculator'!A:A,0),0),0)</f>
        <v>0</v>
      </c>
      <c r="K2941" s="455">
        <f t="shared" ca="1" si="138"/>
        <v>-355815181.71185595</v>
      </c>
      <c r="L2941" s="455">
        <f t="shared" ca="1" si="139"/>
        <v>-85751458792.557281</v>
      </c>
      <c r="M2941" s="471">
        <f t="shared" si="141"/>
        <v>0.05</v>
      </c>
      <c r="N2941" s="475">
        <f t="shared" si="142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40"/>
        <v>-85751458792.557281</v>
      </c>
      <c r="J2942" s="455">
        <f t="array" ref="J2942">IFERROR(INDEX('Retirement Calculator'!K:K,MATCH('Lorri 401b'!N2942,'Retirement Calculator'!A:A,0),0),0)</f>
        <v>0</v>
      </c>
      <c r="K2942" s="455">
        <f t="shared" ca="1" si="138"/>
        <v>-357297744.96898866</v>
      </c>
      <c r="L2942" s="455">
        <f t="shared" ca="1" si="139"/>
        <v>-86108756537.526276</v>
      </c>
      <c r="M2942" s="471">
        <f t="shared" si="141"/>
        <v>0.05</v>
      </c>
      <c r="N2942" s="475">
        <f t="shared" si="142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40"/>
        <v>-86108756537.526276</v>
      </c>
      <c r="J2943" s="455">
        <f t="array" ref="J2943">IFERROR(INDEX('Retirement Calculator'!K:K,MATCH('Lorri 401b'!N2943,'Retirement Calculator'!A:A,0),0),0)</f>
        <v>0</v>
      </c>
      <c r="K2943" s="455">
        <f t="shared" ca="1" si="138"/>
        <v>-358786485.57302612</v>
      </c>
      <c r="L2943" s="455">
        <f t="shared" ca="1" si="139"/>
        <v>-86467543023.099304</v>
      </c>
      <c r="M2943" s="471">
        <f t="shared" si="141"/>
        <v>0.05</v>
      </c>
      <c r="N2943" s="475">
        <f t="shared" si="142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40"/>
        <v>-86467543023.099304</v>
      </c>
      <c r="J2944" s="455">
        <f t="array" ref="J2944">IFERROR(INDEX('Retirement Calculator'!K:K,MATCH('Lorri 401b'!N2944,'Retirement Calculator'!A:A,0),0),0)</f>
        <v>0</v>
      </c>
      <c r="K2944" s="455">
        <f t="shared" ca="1" si="138"/>
        <v>-360281429.26291376</v>
      </c>
      <c r="L2944" s="455">
        <f t="shared" ca="1" si="139"/>
        <v>-86827824452.362213</v>
      </c>
      <c r="M2944" s="471">
        <f t="shared" si="141"/>
        <v>0.05</v>
      </c>
      <c r="N2944" s="475">
        <f t="shared" si="142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40"/>
        <v>-86827824452.362213</v>
      </c>
      <c r="J2945" s="455">
        <f t="array" ref="J2945">IFERROR(INDEX('Retirement Calculator'!K:K,MATCH('Lorri 401b'!N2945,'Retirement Calculator'!A:A,0),0),0)</f>
        <v>0</v>
      </c>
      <c r="K2945" s="455">
        <f t="shared" ca="1" si="138"/>
        <v>-361782601.88484257</v>
      </c>
      <c r="L2945" s="455">
        <f t="shared" ca="1" si="139"/>
        <v>-87189607054.247055</v>
      </c>
      <c r="M2945" s="471">
        <f t="shared" si="141"/>
        <v>0.05</v>
      </c>
      <c r="N2945" s="475">
        <f t="shared" si="142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40"/>
        <v>-87189607054.247055</v>
      </c>
      <c r="J2946" s="455">
        <f t="array" ref="J2946">IFERROR(INDEX('Retirement Calculator'!K:K,MATCH('Lorri 401b'!N2946,'Retirement Calculator'!A:A,0),0),0)</f>
        <v>0</v>
      </c>
      <c r="K2946" s="455">
        <f t="shared" ca="1" si="138"/>
        <v>-363290029.39269608</v>
      </c>
      <c r="L2946" s="455">
        <f t="shared" ca="1" si="139"/>
        <v>-87552897083.639755</v>
      </c>
      <c r="M2946" s="471">
        <f t="shared" si="141"/>
        <v>0.05</v>
      </c>
      <c r="N2946" s="475">
        <f t="shared" si="142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40"/>
        <v>-87552897083.639755</v>
      </c>
      <c r="J2947" s="455">
        <f t="array" ref="J2947">IFERROR(INDEX('Retirement Calculator'!K:K,MATCH('Lorri 401b'!N2947,'Retirement Calculator'!A:A,0),0),0)</f>
        <v>0</v>
      </c>
      <c r="K2947" s="455">
        <f t="shared" ca="1" si="138"/>
        <v>-364803737.848499</v>
      </c>
      <c r="L2947" s="455">
        <f t="shared" ca="1" si="139"/>
        <v>-87917700821.488251</v>
      </c>
      <c r="M2947" s="471">
        <f t="shared" si="141"/>
        <v>0.05</v>
      </c>
      <c r="N2947" s="475">
        <f t="shared" si="142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40"/>
        <v>-87917700821.488251</v>
      </c>
      <c r="J2948" s="455">
        <f t="array" ref="J2948">IFERROR(INDEX('Retirement Calculator'!K:K,MATCH('Lorri 401b'!N2948,'Retirement Calculator'!A:A,0),0),0)</f>
        <v>0</v>
      </c>
      <c r="K2948" s="455">
        <f t="shared" ca="1" si="138"/>
        <v>-366323753.42286772</v>
      </c>
      <c r="L2948" s="455">
        <f t="shared" ca="1" si="139"/>
        <v>-88284024574.911118</v>
      </c>
      <c r="M2948" s="471">
        <f t="shared" si="141"/>
        <v>0.05</v>
      </c>
      <c r="N2948" s="475">
        <f t="shared" si="142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40"/>
        <v>-88284024574.911118</v>
      </c>
      <c r="J2949" s="455">
        <f t="array" ref="J2949">IFERROR(INDEX('Retirement Calculator'!K:K,MATCH('Lorri 401b'!N2949,'Retirement Calculator'!A:A,0),0),0)</f>
        <v>0</v>
      </c>
      <c r="K2949" s="455">
        <f t="shared" ca="1" si="138"/>
        <v>-367850102.39546299</v>
      </c>
      <c r="L2949" s="455">
        <f t="shared" ca="1" si="139"/>
        <v>-88651874677.30658</v>
      </c>
      <c r="M2949" s="471">
        <f t="shared" si="141"/>
        <v>0.05</v>
      </c>
      <c r="N2949" s="475">
        <f t="shared" si="142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40"/>
        <v>-88651874677.30658</v>
      </c>
      <c r="J2950" s="455">
        <f t="array" ref="J2950">IFERROR(INDEX('Retirement Calculator'!K:K,MATCH('Lorri 401b'!N2950,'Retirement Calculator'!A:A,0),0),0)</f>
        <v>0</v>
      </c>
      <c r="K2950" s="455">
        <f t="shared" ca="1" si="138"/>
        <v>-369382811.15544409</v>
      </c>
      <c r="L2950" s="455">
        <f t="shared" ca="1" si="139"/>
        <v>-89021257488.462021</v>
      </c>
      <c r="M2950" s="471">
        <f t="shared" si="141"/>
        <v>0.05</v>
      </c>
      <c r="N2950" s="475">
        <f t="shared" si="142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40"/>
        <v>-89021257488.462021</v>
      </c>
      <c r="J2951" s="455">
        <f t="array" ref="J2951">IFERROR(INDEX('Retirement Calculator'!K:K,MATCH('Lorri 401b'!N2951,'Retirement Calculator'!A:A,0),0),0)</f>
        <v>0</v>
      </c>
      <c r="K2951" s="455">
        <f t="shared" ca="1" si="138"/>
        <v>-370921906.2019251</v>
      </c>
      <c r="L2951" s="455">
        <f t="shared" ca="1" si="139"/>
        <v>-89392179394.66394</v>
      </c>
      <c r="M2951" s="471">
        <f t="shared" si="141"/>
        <v>0.05</v>
      </c>
      <c r="N2951" s="475">
        <f t="shared" si="142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40"/>
        <v>-89392179394.66394</v>
      </c>
      <c r="J2952" s="455">
        <f t="array" ref="J2952">IFERROR(INDEX('Retirement Calculator'!K:K,MATCH('Lorri 401b'!N2952,'Retirement Calculator'!A:A,0),0),0)</f>
        <v>0</v>
      </c>
      <c r="K2952" s="455">
        <f t="shared" ca="1" si="138"/>
        <v>-372467414.14443308</v>
      </c>
      <c r="L2952" s="455">
        <f t="shared" ca="1" si="139"/>
        <v>-89764646808.80838</v>
      </c>
      <c r="M2952" s="471">
        <f t="shared" si="141"/>
        <v>0.05</v>
      </c>
      <c r="N2952" s="475">
        <f t="shared" si="142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40"/>
        <v>-89764646808.80838</v>
      </c>
      <c r="J2953" s="455">
        <f t="array" ref="J2953">IFERROR(INDEX('Retirement Calculator'!K:K,MATCH('Lorri 401b'!N2953,'Retirement Calculator'!A:A,0),0),0)</f>
        <v>0</v>
      </c>
      <c r="K2953" s="455">
        <f t="shared" ca="1" si="138"/>
        <v>-374019361.70336825</v>
      </c>
      <c r="L2953" s="455">
        <f t="shared" ca="1" si="139"/>
        <v>-90138666170.511749</v>
      </c>
      <c r="M2953" s="471">
        <f t="shared" si="141"/>
        <v>0.05</v>
      </c>
      <c r="N2953" s="475">
        <f t="shared" si="142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40"/>
        <v>-90138666170.511749</v>
      </c>
      <c r="J2954" s="455">
        <f t="array" ref="J2954">IFERROR(INDEX('Retirement Calculator'!K:K,MATCH('Lorri 401b'!N2954,'Retirement Calculator'!A:A,0),0),0)</f>
        <v>0</v>
      </c>
      <c r="K2954" s="455">
        <f t="shared" ca="1" si="138"/>
        <v>-375577775.71046561</v>
      </c>
      <c r="L2954" s="455">
        <f t="shared" ca="1" si="139"/>
        <v>-90514243946.222214</v>
      </c>
      <c r="M2954" s="471">
        <f t="shared" si="141"/>
        <v>0.05</v>
      </c>
      <c r="N2954" s="475">
        <f t="shared" si="142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40"/>
        <v>-90514243946.222214</v>
      </c>
      <c r="J2955" s="455">
        <f t="array" ref="J2955">IFERROR(INDEX('Retirement Calculator'!K:K,MATCH('Lorri 401b'!N2955,'Retirement Calculator'!A:A,0),0),0)</f>
        <v>0</v>
      </c>
      <c r="K2955" s="455">
        <f t="shared" ca="1" si="138"/>
        <v>-377142683.10925925</v>
      </c>
      <c r="L2955" s="455">
        <f t="shared" ca="1" si="139"/>
        <v>-90891386629.331467</v>
      </c>
      <c r="M2955" s="471">
        <f t="shared" si="141"/>
        <v>0.05</v>
      </c>
      <c r="N2955" s="475">
        <f t="shared" si="142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40"/>
        <v>-90891386629.331467</v>
      </c>
      <c r="J2956" s="455">
        <f t="array" ref="J2956">IFERROR(INDEX('Retirement Calculator'!K:K,MATCH('Lorri 401b'!N2956,'Retirement Calculator'!A:A,0),0),0)</f>
        <v>0</v>
      </c>
      <c r="K2956" s="455">
        <f t="shared" ca="1" si="138"/>
        <v>-378714110.95554775</v>
      </c>
      <c r="L2956" s="455">
        <f t="shared" ca="1" si="139"/>
        <v>-91270100740.287018</v>
      </c>
      <c r="M2956" s="471">
        <f t="shared" si="141"/>
        <v>0.05</v>
      </c>
      <c r="N2956" s="475">
        <f t="shared" si="142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40"/>
        <v>-91270100740.287018</v>
      </c>
      <c r="J2957" s="455">
        <f t="array" ref="J2957">IFERROR(INDEX('Retirement Calculator'!K:K,MATCH('Lorri 401b'!N2957,'Retirement Calculator'!A:A,0),0),0)</f>
        <v>0</v>
      </c>
      <c r="K2957" s="455">
        <f t="shared" ca="1" si="138"/>
        <v>-380292086.41786259</v>
      </c>
      <c r="L2957" s="455">
        <f t="shared" ca="1" si="139"/>
        <v>-91650392826.70488</v>
      </c>
      <c r="M2957" s="471">
        <f t="shared" si="141"/>
        <v>0.05</v>
      </c>
      <c r="N2957" s="475">
        <f t="shared" si="142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40"/>
        <v>-91650392826.70488</v>
      </c>
      <c r="J2958" s="455">
        <f t="array" ref="J2958">IFERROR(INDEX('Retirement Calculator'!K:K,MATCH('Lorri 401b'!N2958,'Retirement Calculator'!A:A,0),0),0)</f>
        <v>0</v>
      </c>
      <c r="K2958" s="455">
        <f t="shared" ca="1" si="138"/>
        <v>-381876636.777937</v>
      </c>
      <c r="L2958" s="455">
        <f t="shared" ca="1" si="139"/>
        <v>-92032269463.482819</v>
      </c>
      <c r="M2958" s="471">
        <f t="shared" si="141"/>
        <v>0.05</v>
      </c>
      <c r="N2958" s="475">
        <f t="shared" si="142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40"/>
        <v>-92032269463.482819</v>
      </c>
      <c r="J2959" s="455">
        <f t="array" ref="J2959">IFERROR(INDEX('Retirement Calculator'!K:K,MATCH('Lorri 401b'!N2959,'Retirement Calculator'!A:A,0),0),0)</f>
        <v>0</v>
      </c>
      <c r="K2959" s="455">
        <f t="shared" ca="1" si="138"/>
        <v>-383467789.43117839</v>
      </c>
      <c r="L2959" s="455">
        <f t="shared" ca="1" si="139"/>
        <v>-92415737252.914001</v>
      </c>
      <c r="M2959" s="471">
        <f t="shared" si="141"/>
        <v>0.05</v>
      </c>
      <c r="N2959" s="475">
        <f t="shared" si="142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40"/>
        <v>-92415737252.914001</v>
      </c>
      <c r="J2960" s="455">
        <f t="array" ref="J2960">IFERROR(INDEX('Retirement Calculator'!K:K,MATCH('Lorri 401b'!N2960,'Retirement Calculator'!A:A,0),0),0)</f>
        <v>0</v>
      </c>
      <c r="K2960" s="455">
        <f t="shared" ca="1" si="138"/>
        <v>-385065571.88714164</v>
      </c>
      <c r="L2960" s="455">
        <f t="shared" ca="1" si="139"/>
        <v>-92800802824.801147</v>
      </c>
      <c r="M2960" s="471">
        <f t="shared" si="141"/>
        <v>0.05</v>
      </c>
      <c r="N2960" s="475">
        <f t="shared" si="142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40"/>
        <v>-92800802824.801147</v>
      </c>
      <c r="J2961" s="455">
        <f t="array" ref="J2961">IFERROR(INDEX('Retirement Calculator'!K:K,MATCH('Lorri 401b'!N2961,'Retirement Calculator'!A:A,0),0),0)</f>
        <v>0</v>
      </c>
      <c r="K2961" s="455">
        <f t="shared" ca="1" si="138"/>
        <v>-386670011.77000475</v>
      </c>
      <c r="L2961" s="455">
        <f t="shared" ca="1" si="139"/>
        <v>-93187472836.571152</v>
      </c>
      <c r="M2961" s="471">
        <f t="shared" si="141"/>
        <v>0.05</v>
      </c>
      <c r="N2961" s="475">
        <f t="shared" si="142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40"/>
        <v>-93187472836.571152</v>
      </c>
      <c r="J2962" s="455">
        <f t="array" ref="J2962">IFERROR(INDEX('Retirement Calculator'!K:K,MATCH('Lorri 401b'!N2962,'Retirement Calculator'!A:A,0),0),0)</f>
        <v>0</v>
      </c>
      <c r="K2962" s="455">
        <f t="shared" ca="1" si="138"/>
        <v>-388281136.81904644</v>
      </c>
      <c r="L2962" s="455">
        <f t="shared" ca="1" si="139"/>
        <v>-93575753973.390198</v>
      </c>
      <c r="M2962" s="471">
        <f t="shared" si="141"/>
        <v>0.05</v>
      </c>
      <c r="N2962" s="475">
        <f t="shared" si="142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40"/>
        <v>-93575753973.390198</v>
      </c>
      <c r="J2963" s="455">
        <f t="array" ref="J2963">IFERROR(INDEX('Retirement Calculator'!K:K,MATCH('Lorri 401b'!N2963,'Retirement Calculator'!A:A,0),0),0)</f>
        <v>0</v>
      </c>
      <c r="K2963" s="455">
        <f t="shared" ca="1" si="138"/>
        <v>-389898974.88912582</v>
      </c>
      <c r="L2963" s="455">
        <f t="shared" ca="1" si="139"/>
        <v>-93965652948.279327</v>
      </c>
      <c r="M2963" s="471">
        <f t="shared" si="141"/>
        <v>0.05</v>
      </c>
      <c r="N2963" s="475">
        <f t="shared" si="142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40"/>
        <v>-93965652948.279327</v>
      </c>
      <c r="J2964" s="455">
        <f t="array" ref="J2964">IFERROR(INDEX('Retirement Calculator'!K:K,MATCH('Lorri 401b'!N2964,'Retirement Calculator'!A:A,0),0),0)</f>
        <v>0</v>
      </c>
      <c r="K2964" s="455">
        <f t="shared" ca="1" si="138"/>
        <v>-391523553.95116389</v>
      </c>
      <c r="L2964" s="455">
        <f t="shared" ca="1" si="139"/>
        <v>-94357176502.230484</v>
      </c>
      <c r="M2964" s="471">
        <f t="shared" si="141"/>
        <v>0.05</v>
      </c>
      <c r="N2964" s="475">
        <f t="shared" si="142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40"/>
        <v>-94357176502.230484</v>
      </c>
      <c r="J2965" s="455">
        <f t="array" ref="J2965">IFERROR(INDEX('Retirement Calculator'!K:K,MATCH('Lorri 401b'!N2965,'Retirement Calculator'!A:A,0),0),0)</f>
        <v>0</v>
      </c>
      <c r="K2965" s="455">
        <f t="shared" ca="1" si="138"/>
        <v>-393154902.09262699</v>
      </c>
      <c r="L2965" s="455">
        <f t="shared" ca="1" si="139"/>
        <v>-94750331404.323105</v>
      </c>
      <c r="M2965" s="471">
        <f t="shared" si="141"/>
        <v>0.05</v>
      </c>
      <c r="N2965" s="475">
        <f t="shared" si="142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40"/>
        <v>-94750331404.323105</v>
      </c>
      <c r="J2966" s="455">
        <f t="array" ref="J2966">IFERROR(INDEX('Retirement Calculator'!K:K,MATCH('Lorri 401b'!N2966,'Retirement Calculator'!A:A,0),0),0)</f>
        <v>0</v>
      </c>
      <c r="K2966" s="455">
        <f t="shared" ca="1" si="138"/>
        <v>-394793047.51801294</v>
      </c>
      <c r="L2966" s="455">
        <f t="shared" ca="1" si="139"/>
        <v>-95145124451.84111</v>
      </c>
      <c r="M2966" s="471">
        <f t="shared" si="141"/>
        <v>0.05</v>
      </c>
      <c r="N2966" s="475">
        <f t="shared" si="142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40"/>
        <v>-95145124451.84111</v>
      </c>
      <c r="J2967" s="455">
        <f t="array" ref="J2967">IFERROR(INDEX('Retirement Calculator'!K:K,MATCH('Lorri 401b'!N2967,'Retirement Calculator'!A:A,0),0),0)</f>
        <v>0</v>
      </c>
      <c r="K2967" s="455">
        <f t="shared" ca="1" si="138"/>
        <v>-396438018.54933798</v>
      </c>
      <c r="L2967" s="455">
        <f t="shared" ca="1" si="139"/>
        <v>-95541562470.390442</v>
      </c>
      <c r="M2967" s="471">
        <f t="shared" si="141"/>
        <v>0.05</v>
      </c>
      <c r="N2967" s="475">
        <f t="shared" si="142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40"/>
        <v>-95541562470.390442</v>
      </c>
      <c r="J2968" s="455">
        <f t="array" ref="J2968">IFERROR(INDEX('Retirement Calculator'!K:K,MATCH('Lorri 401b'!N2968,'Retirement Calculator'!A:A,0),0),0)</f>
        <v>0</v>
      </c>
      <c r="K2968" s="455">
        <f t="shared" ca="1" si="138"/>
        <v>-398089843.62662685</v>
      </c>
      <c r="L2968" s="455">
        <f t="shared" ca="1" si="139"/>
        <v>-95939652314.017075</v>
      </c>
      <c r="M2968" s="471">
        <f t="shared" si="141"/>
        <v>0.05</v>
      </c>
      <c r="N2968" s="475">
        <f t="shared" si="142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40"/>
        <v>-95939652314.017075</v>
      </c>
      <c r="J2969" s="455">
        <f t="array" ref="J2969">IFERROR(INDEX('Retirement Calculator'!K:K,MATCH('Lorri 401b'!N2969,'Retirement Calculator'!A:A,0),0),0)</f>
        <v>0</v>
      </c>
      <c r="K2969" s="455">
        <f t="shared" ca="1" si="138"/>
        <v>-399748551.30840445</v>
      </c>
      <c r="L2969" s="455">
        <f t="shared" ca="1" si="139"/>
        <v>-96339400865.325485</v>
      </c>
      <c r="M2969" s="471">
        <f t="shared" si="141"/>
        <v>0.05</v>
      </c>
      <c r="N2969" s="475">
        <f t="shared" si="142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40"/>
        <v>-96339400865.325485</v>
      </c>
      <c r="J2970" s="455">
        <f t="array" ref="J2970">IFERROR(INDEX('Retirement Calculator'!K:K,MATCH('Lorri 401b'!N2970,'Retirement Calculator'!A:A,0),0),0)</f>
        <v>0</v>
      </c>
      <c r="K2970" s="455">
        <f t="shared" ca="1" si="138"/>
        <v>-401414170.2721895</v>
      </c>
      <c r="L2970" s="455">
        <f t="shared" ca="1" si="139"/>
        <v>-96740815035.597672</v>
      </c>
      <c r="M2970" s="471">
        <f t="shared" si="141"/>
        <v>0.05</v>
      </c>
      <c r="N2970" s="475">
        <f t="shared" si="142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40"/>
        <v>-96740815035.597672</v>
      </c>
      <c r="J2971" s="455">
        <f t="array" ref="J2971">IFERROR(INDEX('Retirement Calculator'!K:K,MATCH('Lorri 401b'!N2971,'Retirement Calculator'!A:A,0),0),0)</f>
        <v>0</v>
      </c>
      <c r="K2971" s="455">
        <f t="shared" ca="1" si="138"/>
        <v>-403086729.31499028</v>
      </c>
      <c r="L2971" s="455">
        <f t="shared" ca="1" si="139"/>
        <v>-97143901764.912659</v>
      </c>
      <c r="M2971" s="471">
        <f t="shared" si="141"/>
        <v>0.05</v>
      </c>
      <c r="N2971" s="475">
        <f t="shared" si="142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40"/>
        <v>-97143901764.912659</v>
      </c>
      <c r="J2972" s="455">
        <f t="array" ref="J2972">IFERROR(INDEX('Retirement Calculator'!K:K,MATCH('Lorri 401b'!N2972,'Retirement Calculator'!A:A,0),0),0)</f>
        <v>0</v>
      </c>
      <c r="K2972" s="455">
        <f t="shared" ca="1" si="138"/>
        <v>-404766257.35380274</v>
      </c>
      <c r="L2972" s="455">
        <f t="shared" ca="1" si="139"/>
        <v>-97548668022.266464</v>
      </c>
      <c r="M2972" s="471">
        <f t="shared" si="141"/>
        <v>0.05</v>
      </c>
      <c r="N2972" s="475">
        <f t="shared" si="142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40"/>
        <v>-97548668022.266464</v>
      </c>
      <c r="J2973" s="455">
        <f t="array" ref="J2973">IFERROR(INDEX('Retirement Calculator'!K:K,MATCH('Lorri 401b'!N2973,'Retirement Calculator'!A:A,0),0),0)</f>
        <v>0</v>
      </c>
      <c r="K2973" s="455">
        <f t="shared" ca="1" si="138"/>
        <v>-406452783.42611027</v>
      </c>
      <c r="L2973" s="455">
        <f t="shared" ca="1" si="139"/>
        <v>-97955120805.692581</v>
      </c>
      <c r="M2973" s="471">
        <f t="shared" si="141"/>
        <v>0.05</v>
      </c>
      <c r="N2973" s="475">
        <f t="shared" si="142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40"/>
        <v>-97955120805.692581</v>
      </c>
      <c r="J2974" s="455">
        <f t="array" ref="J2974">IFERROR(INDEX('Retirement Calculator'!K:K,MATCH('Lorri 401b'!N2974,'Retirement Calculator'!A:A,0),0),0)</f>
        <v>0</v>
      </c>
      <c r="K2974" s="455">
        <f t="shared" ca="1" si="138"/>
        <v>-408146336.69038576</v>
      </c>
      <c r="L2974" s="455">
        <f t="shared" ca="1" si="139"/>
        <v>-98363267142.382965</v>
      </c>
      <c r="M2974" s="471">
        <f t="shared" si="141"/>
        <v>0.05</v>
      </c>
      <c r="N2974" s="475">
        <f t="shared" si="142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40"/>
        <v>-98363267142.382965</v>
      </c>
      <c r="J2975" s="455">
        <f t="array" ref="J2975">IFERROR(INDEX('Retirement Calculator'!K:K,MATCH('Lorri 401b'!N2975,'Retirement Calculator'!A:A,0),0),0)</f>
        <v>0</v>
      </c>
      <c r="K2975" s="455">
        <f t="shared" ca="1" si="138"/>
        <v>-409846946.42659569</v>
      </c>
      <c r="L2975" s="455">
        <f t="shared" ca="1" si="139"/>
        <v>-98773114088.809555</v>
      </c>
      <c r="M2975" s="471">
        <f t="shared" si="141"/>
        <v>0.05</v>
      </c>
      <c r="N2975" s="475">
        <f t="shared" si="142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40"/>
        <v>-98773114088.809555</v>
      </c>
      <c r="J2976" s="455">
        <f t="array" ref="J2976">IFERROR(INDEX('Retirement Calculator'!K:K,MATCH('Lorri 401b'!N2976,'Retirement Calculator'!A:A,0),0),0)</f>
        <v>0</v>
      </c>
      <c r="K2976" s="455">
        <f t="shared" ca="1" si="138"/>
        <v>-411554642.03670645</v>
      </c>
      <c r="L2976" s="455">
        <f t="shared" ca="1" si="139"/>
        <v>-99184668730.846268</v>
      </c>
      <c r="M2976" s="471">
        <f t="shared" si="141"/>
        <v>0.05</v>
      </c>
      <c r="N2976" s="475">
        <f t="shared" si="142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40"/>
        <v>-99184668730.846268</v>
      </c>
      <c r="J2977" s="455">
        <f t="array" ref="J2977">IFERROR(INDEX('Retirement Calculator'!K:K,MATCH('Lorri 401b'!N2977,'Retirement Calculator'!A:A,0),0),0)</f>
        <v>0</v>
      </c>
      <c r="K2977" s="455">
        <f t="shared" ca="1" si="138"/>
        <v>-413269453.04519278</v>
      </c>
      <c r="L2977" s="455">
        <f t="shared" ca="1" si="139"/>
        <v>-99597938183.891464</v>
      </c>
      <c r="M2977" s="471">
        <f t="shared" si="141"/>
        <v>0.05</v>
      </c>
      <c r="N2977" s="475">
        <f t="shared" si="142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40"/>
        <v>-99597938183.891464</v>
      </c>
      <c r="J2978" s="455">
        <f t="array" ref="J2978">IFERROR(INDEX('Retirement Calculator'!K:K,MATCH('Lorri 401b'!N2978,'Retirement Calculator'!A:A,0),0),0)</f>
        <v>0</v>
      </c>
      <c r="K2978" s="455">
        <f t="shared" ca="1" si="138"/>
        <v>-414991409.09954774</v>
      </c>
      <c r="L2978" s="455">
        <f t="shared" ca="1" si="139"/>
        <v>-100012929592.99101</v>
      </c>
      <c r="M2978" s="471">
        <f t="shared" si="141"/>
        <v>0.05</v>
      </c>
      <c r="N2978" s="475">
        <f t="shared" si="142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40"/>
        <v>-100012929592.99101</v>
      </c>
      <c r="J2979" s="455">
        <f t="array" ref="J2979">IFERROR(INDEX('Retirement Calculator'!K:K,MATCH('Lorri 401b'!N2979,'Retirement Calculator'!A:A,0),0),0)</f>
        <v>0</v>
      </c>
      <c r="K2979" s="455">
        <f t="shared" ca="1" si="138"/>
        <v>-416720539.97079587</v>
      </c>
      <c r="L2979" s="455">
        <f t="shared" ca="1" si="139"/>
        <v>-100429650132.96181</v>
      </c>
      <c r="M2979" s="471">
        <f t="shared" si="141"/>
        <v>0.05</v>
      </c>
      <c r="N2979" s="475">
        <f t="shared" si="142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40"/>
        <v>-100429650132.96181</v>
      </c>
      <c r="J2980" s="455">
        <f t="array" ref="J2980">IFERROR(INDEX('Retirement Calculator'!K:K,MATCH('Lorri 401b'!N2980,'Retirement Calculator'!A:A,0),0),0)</f>
        <v>0</v>
      </c>
      <c r="K2980" s="455">
        <f t="shared" ca="1" si="138"/>
        <v>-418456875.55400753</v>
      </c>
      <c r="L2980" s="455">
        <f t="shared" ca="1" si="139"/>
        <v>-100848107008.51581</v>
      </c>
      <c r="M2980" s="471">
        <f t="shared" si="141"/>
        <v>0.05</v>
      </c>
      <c r="N2980" s="475">
        <f t="shared" si="142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40"/>
        <v>-100848107008.51581</v>
      </c>
      <c r="J2981" s="455">
        <f t="array" ref="J2981">IFERROR(INDEX('Retirement Calculator'!K:K,MATCH('Lorri 401b'!N2981,'Retirement Calculator'!A:A,0),0),0)</f>
        <v>0</v>
      </c>
      <c r="K2981" s="455">
        <f t="shared" ca="1" si="138"/>
        <v>-420200445.86881584</v>
      </c>
      <c r="L2981" s="455">
        <f t="shared" ca="1" si="139"/>
        <v>-101268307454.38463</v>
      </c>
      <c r="M2981" s="471">
        <f t="shared" si="141"/>
        <v>0.05</v>
      </c>
      <c r="N2981" s="475">
        <f t="shared" si="142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40"/>
        <v>-101268307454.38463</v>
      </c>
      <c r="J2982" s="455">
        <f t="array" ref="J2982">IFERROR(INDEX('Retirement Calculator'!K:K,MATCH('Lorri 401b'!N2982,'Retirement Calculator'!A:A,0),0),0)</f>
        <v>0</v>
      </c>
      <c r="K2982" s="455">
        <f t="shared" ca="1" si="138"/>
        <v>-421951281.05993593</v>
      </c>
      <c r="L2982" s="455">
        <f t="shared" ca="1" si="139"/>
        <v>-101690258735.44456</v>
      </c>
      <c r="M2982" s="471">
        <f t="shared" si="141"/>
        <v>0.05</v>
      </c>
      <c r="N2982" s="475">
        <f t="shared" si="142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40"/>
        <v>-101690258735.44456</v>
      </c>
      <c r="J2983" s="455">
        <f t="array" ref="J2983">IFERROR(INDEX('Retirement Calculator'!K:K,MATCH('Lorri 401b'!N2983,'Retirement Calculator'!A:A,0),0),0)</f>
        <v>0</v>
      </c>
      <c r="K2983" s="455">
        <f t="shared" ca="1" si="138"/>
        <v>-423709411.39768571</v>
      </c>
      <c r="L2983" s="455">
        <f t="shared" ca="1" si="139"/>
        <v>-102113968146.84225</v>
      </c>
      <c r="M2983" s="471">
        <f t="shared" si="141"/>
        <v>0.05</v>
      </c>
      <c r="N2983" s="475">
        <f t="shared" si="142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40"/>
        <v>-102113968146.84225</v>
      </c>
      <c r="J2984" s="455">
        <f t="array" ref="J2984">IFERROR(INDEX('Retirement Calculator'!K:K,MATCH('Lorri 401b'!N2984,'Retirement Calculator'!A:A,0),0),0)</f>
        <v>0</v>
      </c>
      <c r="K2984" s="455">
        <f t="shared" ca="1" si="138"/>
        <v>-425474867.27850938</v>
      </c>
      <c r="L2984" s="455">
        <f t="shared" ca="1" si="139"/>
        <v>-102539443014.12076</v>
      </c>
      <c r="M2984" s="471">
        <f t="shared" si="141"/>
        <v>0.05</v>
      </c>
      <c r="N2984" s="475">
        <f t="shared" si="142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40"/>
        <v>-102539443014.12076</v>
      </c>
      <c r="J2985" s="455">
        <f t="array" ref="J2985">IFERROR(INDEX('Retirement Calculator'!K:K,MATCH('Lorri 401b'!N2985,'Retirement Calculator'!A:A,0),0),0)</f>
        <v>0</v>
      </c>
      <c r="K2985" s="455">
        <f t="shared" ca="1" si="138"/>
        <v>-427247679.22550315</v>
      </c>
      <c r="L2985" s="455">
        <f t="shared" ca="1" si="139"/>
        <v>-102966690693.34627</v>
      </c>
      <c r="M2985" s="471">
        <f t="shared" si="141"/>
        <v>0.05</v>
      </c>
      <c r="N2985" s="475">
        <f t="shared" si="142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40"/>
        <v>-102966690693.34627</v>
      </c>
      <c r="J2986" s="455">
        <f t="array" ref="J2986">IFERROR(INDEX('Retirement Calculator'!K:K,MATCH('Lorri 401b'!N2986,'Retirement Calculator'!A:A,0),0),0)</f>
        <v>0</v>
      </c>
      <c r="K2986" s="455">
        <f t="shared" ca="1" si="138"/>
        <v>-429027877.88894278</v>
      </c>
      <c r="L2986" s="455">
        <f t="shared" ca="1" si="139"/>
        <v>-103395718571.23521</v>
      </c>
      <c r="M2986" s="471">
        <f t="shared" si="141"/>
        <v>0.05</v>
      </c>
      <c r="N2986" s="475">
        <f t="shared" si="142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40"/>
        <v>-103395718571.23521</v>
      </c>
      <c r="J2987" s="455">
        <f t="array" ref="J2987">IFERROR(INDEX('Retirement Calculator'!K:K,MATCH('Lorri 401b'!N2987,'Retirement Calculator'!A:A,0),0),0)</f>
        <v>0</v>
      </c>
      <c r="K2987" s="455">
        <f t="shared" ca="1" si="138"/>
        <v>-430815494.04681337</v>
      </c>
      <c r="L2987" s="455">
        <f t="shared" ca="1" si="139"/>
        <v>-103826534065.28203</v>
      </c>
      <c r="M2987" s="471">
        <f t="shared" si="141"/>
        <v>0.05</v>
      </c>
      <c r="N2987" s="475">
        <f t="shared" si="142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40"/>
        <v>-103826534065.28203</v>
      </c>
      <c r="J2988" s="455">
        <f t="array" ref="J2988">IFERROR(INDEX('Retirement Calculator'!K:K,MATCH('Lorri 401b'!N2988,'Retirement Calculator'!A:A,0),0),0)</f>
        <v>0</v>
      </c>
      <c r="K2988" s="455">
        <f t="shared" ca="1" si="138"/>
        <v>-432610558.60534179</v>
      </c>
      <c r="L2988" s="455">
        <f t="shared" ca="1" si="139"/>
        <v>-104259144623.88737</v>
      </c>
      <c r="M2988" s="471">
        <f t="shared" si="141"/>
        <v>0.05</v>
      </c>
      <c r="N2988" s="475">
        <f t="shared" si="142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40"/>
        <v>-104259144623.88737</v>
      </c>
      <c r="J2989" s="455">
        <f t="array" ref="J2989">IFERROR(INDEX('Retirement Calculator'!K:K,MATCH('Lorri 401b'!N2989,'Retirement Calculator'!A:A,0),0),0)</f>
        <v>0</v>
      </c>
      <c r="K2989" s="455">
        <f t="shared" ca="1" si="138"/>
        <v>-434413102.5995307</v>
      </c>
      <c r="L2989" s="455">
        <f t="shared" ca="1" si="139"/>
        <v>-104693557726.48691</v>
      </c>
      <c r="M2989" s="471">
        <f t="shared" si="141"/>
        <v>0.05</v>
      </c>
      <c r="N2989" s="475">
        <f t="shared" si="142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40"/>
        <v>-104693557726.48691</v>
      </c>
      <c r="J2990" s="455">
        <f t="array" ref="J2990">IFERROR(INDEX('Retirement Calculator'!K:K,MATCH('Lorri 401b'!N2990,'Retirement Calculator'!A:A,0),0),0)</f>
        <v>0</v>
      </c>
      <c r="K2990" s="455">
        <f t="shared" ca="1" si="138"/>
        <v>-436223157.19369543</v>
      </c>
      <c r="L2990" s="455">
        <f t="shared" ca="1" si="139"/>
        <v>-105129780883.6806</v>
      </c>
      <c r="M2990" s="471">
        <f t="shared" si="141"/>
        <v>0.05</v>
      </c>
      <c r="N2990" s="475">
        <f t="shared" si="142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40"/>
        <v>-105129780883.6806</v>
      </c>
      <c r="J2991" s="455">
        <f t="array" ref="J2991">IFERROR(INDEX('Retirement Calculator'!K:K,MATCH('Lorri 401b'!N2991,'Retirement Calculator'!A:A,0),0),0)</f>
        <v>0</v>
      </c>
      <c r="K2991" s="455">
        <f t="shared" ca="1" si="138"/>
        <v>-438040753.68200248</v>
      </c>
      <c r="L2991" s="455">
        <f t="shared" ca="1" si="139"/>
        <v>-105567821637.36261</v>
      </c>
      <c r="M2991" s="471">
        <f t="shared" si="141"/>
        <v>0.05</v>
      </c>
      <c r="N2991" s="475">
        <f t="shared" si="142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40"/>
        <v>-105567821637.36261</v>
      </c>
      <c r="J2992" s="455">
        <f t="array" ref="J2992">IFERROR(INDEX('Retirement Calculator'!K:K,MATCH('Lorri 401b'!N2992,'Retirement Calculator'!A:A,0),0),0)</f>
        <v>0</v>
      </c>
      <c r="K2992" s="455">
        <f t="shared" ca="1" si="138"/>
        <v>-439865923.48901087</v>
      </c>
      <c r="L2992" s="455">
        <f t="shared" ca="1" si="139"/>
        <v>-106007687560.85162</v>
      </c>
      <c r="M2992" s="471">
        <f t="shared" si="141"/>
        <v>0.05</v>
      </c>
      <c r="N2992" s="475">
        <f t="shared" si="142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40"/>
        <v>-106007687560.85162</v>
      </c>
      <c r="J2993" s="455">
        <f t="array" ref="J2993">IFERROR(INDEX('Retirement Calculator'!K:K,MATCH('Lorri 401b'!N2993,'Retirement Calculator'!A:A,0),0),0)</f>
        <v>0</v>
      </c>
      <c r="K2993" s="455">
        <f t="shared" ca="1" si="138"/>
        <v>-441698698.17021507</v>
      </c>
      <c r="L2993" s="455">
        <f t="shared" ca="1" si="139"/>
        <v>-106449386259.02184</v>
      </c>
      <c r="M2993" s="471">
        <f t="shared" si="141"/>
        <v>0.05</v>
      </c>
      <c r="N2993" s="475">
        <f t="shared" si="142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40"/>
        <v>-106449386259.02184</v>
      </c>
      <c r="J2994" s="455">
        <f t="array" ref="J2994">IFERROR(INDEX('Retirement Calculator'!K:K,MATCH('Lorri 401b'!N2994,'Retirement Calculator'!A:A,0),0),0)</f>
        <v>0</v>
      </c>
      <c r="K2994" s="455">
        <f t="shared" ca="1" si="138"/>
        <v>-443539109.41259098</v>
      </c>
      <c r="L2994" s="455">
        <f t="shared" ca="1" si="139"/>
        <v>-106892925368.43443</v>
      </c>
      <c r="M2994" s="471">
        <f t="shared" si="141"/>
        <v>0.05</v>
      </c>
      <c r="N2994" s="475">
        <f t="shared" si="142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40"/>
        <v>-106892925368.43443</v>
      </c>
      <c r="J2995" s="455">
        <f t="array" ref="J2995">IFERROR(INDEX('Retirement Calculator'!K:K,MATCH('Lorri 401b'!N2995,'Retirement Calculator'!A:A,0),0),0)</f>
        <v>0</v>
      </c>
      <c r="K2995" s="455">
        <f t="shared" ca="1" si="138"/>
        <v>-445387189.03514344</v>
      </c>
      <c r="L2995" s="455">
        <f t="shared" ca="1" si="139"/>
        <v>-107338312557.46957</v>
      </c>
      <c r="M2995" s="471">
        <f t="shared" si="141"/>
        <v>0.05</v>
      </c>
      <c r="N2995" s="475">
        <f t="shared" si="142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40"/>
        <v>-107338312557.46957</v>
      </c>
      <c r="J2996" s="455">
        <f t="array" ref="J2996">IFERROR(INDEX('Retirement Calculator'!K:K,MATCH('Lorri 401b'!N2996,'Retirement Calculator'!A:A,0),0),0)</f>
        <v>0</v>
      </c>
      <c r="K2996" s="455">
        <f t="shared" ca="1" si="138"/>
        <v>-447242968.98945653</v>
      </c>
      <c r="L2996" s="455">
        <f t="shared" ca="1" si="139"/>
        <v>-107785555526.45903</v>
      </c>
      <c r="M2996" s="471">
        <f t="shared" si="141"/>
        <v>0.05</v>
      </c>
      <c r="N2996" s="475">
        <f t="shared" si="142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40"/>
        <v>-107785555526.45903</v>
      </c>
      <c r="J2997" s="455">
        <f t="array" ref="J2997">IFERROR(INDEX('Retirement Calculator'!K:K,MATCH('Lorri 401b'!N2997,'Retirement Calculator'!A:A,0),0),0)</f>
        <v>0</v>
      </c>
      <c r="K2997" s="455">
        <f t="shared" ca="1" si="138"/>
        <v>-449106481.36024594</v>
      </c>
      <c r="L2997" s="455">
        <f t="shared" ca="1" si="139"/>
        <v>-108234662007.81927</v>
      </c>
      <c r="M2997" s="471">
        <f t="shared" si="141"/>
        <v>0.05</v>
      </c>
      <c r="N2997" s="475">
        <f t="shared" si="142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40"/>
        <v>-108234662007.81927</v>
      </c>
      <c r="J2998" s="455">
        <f t="array" ref="J2998">IFERROR(INDEX('Retirement Calculator'!K:K,MATCH('Lorri 401b'!N2998,'Retirement Calculator'!A:A,0),0),0)</f>
        <v>0</v>
      </c>
      <c r="K2998" s="455">
        <f t="shared" ca="1" si="138"/>
        <v>-450977758.36591363</v>
      </c>
      <c r="L2998" s="455">
        <f t="shared" ca="1" si="139"/>
        <v>-108685639766.1852</v>
      </c>
      <c r="M2998" s="471">
        <f t="shared" si="141"/>
        <v>0.05</v>
      </c>
      <c r="N2998" s="475">
        <f t="shared" si="142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40"/>
        <v>-108685639766.1852</v>
      </c>
      <c r="J2999" s="455">
        <f t="array" ref="J2999">IFERROR(INDEX('Retirement Calculator'!K:K,MATCH('Lorri 401b'!N2999,'Retirement Calculator'!A:A,0),0),0)</f>
        <v>0</v>
      </c>
      <c r="K2999" s="455">
        <f t="shared" ca="1" si="138"/>
        <v>-452856832.35910493</v>
      </c>
      <c r="L2999" s="455">
        <f t="shared" ca="1" si="139"/>
        <v>-109138496598.5443</v>
      </c>
      <c r="M2999" s="471">
        <f t="shared" si="141"/>
        <v>0.05</v>
      </c>
      <c r="N2999" s="475">
        <f t="shared" si="142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40"/>
        <v>-109138496598.5443</v>
      </c>
      <c r="J3000" s="455">
        <f t="array" ref="J3000">IFERROR(INDEX('Retirement Calculator'!K:K,MATCH('Lorri 401b'!N3000,'Retirement Calculator'!A:A,0),0),0)</f>
        <v>0</v>
      </c>
      <c r="K3000" s="455">
        <f t="shared" ca="1" si="138"/>
        <v>-454743735.82726789</v>
      </c>
      <c r="L3000" s="455">
        <f t="shared" ca="1" si="139"/>
        <v>-109593240334.37157</v>
      </c>
      <c r="M3000" s="471">
        <f t="shared" si="141"/>
        <v>0.05</v>
      </c>
      <c r="N3000" s="475">
        <f t="shared" si="142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40"/>
        <v>-109593240334.37157</v>
      </c>
      <c r="J3001" s="455">
        <f t="array" ref="J3001">IFERROR(INDEX('Retirement Calculator'!K:K,MATCH('Lorri 401b'!N3001,'Retirement Calculator'!A:A,0),0),0)</f>
        <v>0</v>
      </c>
      <c r="K3001" s="455">
        <f t="shared" ca="1" si="138"/>
        <v>-456638501.39321476</v>
      </c>
      <c r="L3001" s="455">
        <f t="shared" ca="1" si="139"/>
        <v>-110049878835.76479</v>
      </c>
      <c r="M3001" s="471">
        <f t="shared" si="141"/>
        <v>0.05</v>
      </c>
      <c r="N3001" s="475">
        <f t="shared" si="142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40"/>
        <v>-110049878835.76479</v>
      </c>
      <c r="J3002" s="455">
        <f t="array" ref="J3002">IFERROR(INDEX('Retirement Calculator'!K:K,MATCH('Lorri 401b'!N3002,'Retirement Calculator'!A:A,0),0),0)</f>
        <v>0</v>
      </c>
      <c r="K3002" s="455">
        <f t="shared" ca="1" si="138"/>
        <v>-458541161.81568658</v>
      </c>
      <c r="L3002" s="455">
        <f t="shared" ca="1" si="139"/>
        <v>-110508419997.58047</v>
      </c>
      <c r="M3002" s="471">
        <f t="shared" si="141"/>
        <v>0.05</v>
      </c>
      <c r="N3002" s="475">
        <f t="shared" si="142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40"/>
        <v>-110508419997.58047</v>
      </c>
      <c r="J3003" s="455">
        <f t="array" ref="J3003">IFERROR(INDEX('Retirement Calculator'!K:K,MATCH('Lorri 401b'!N3003,'Retirement Calculator'!A:A,0),0),0)</f>
        <v>0</v>
      </c>
      <c r="K3003" s="455">
        <f t="shared" ca="1" si="138"/>
        <v>-460451749.98991865</v>
      </c>
      <c r="L3003" s="455">
        <f t="shared" ca="1" si="139"/>
        <v>-110968871747.57039</v>
      </c>
      <c r="M3003" s="471">
        <f t="shared" si="141"/>
        <v>0.05</v>
      </c>
      <c r="N3003" s="475">
        <f t="shared" si="142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40"/>
        <v>-110968871747.57039</v>
      </c>
      <c r="J3004" s="455">
        <f t="array" ref="J3004">IFERROR(INDEX('Retirement Calculator'!K:K,MATCH('Lorri 401b'!N3004,'Retirement Calculator'!A:A,0),0),0)</f>
        <v>0</v>
      </c>
      <c r="K3004" s="455">
        <f t="shared" ca="1" si="138"/>
        <v>-462370298.94820994</v>
      </c>
      <c r="L3004" s="455">
        <f t="shared" ca="1" si="139"/>
        <v>-111431242046.5186</v>
      </c>
      <c r="M3004" s="471">
        <f t="shared" si="141"/>
        <v>0.05</v>
      </c>
      <c r="N3004" s="475">
        <f t="shared" si="142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40"/>
        <v>-111431242046.5186</v>
      </c>
      <c r="J3005" s="455">
        <f t="array" ref="J3005">IFERROR(INDEX('Retirement Calculator'!K:K,MATCH('Lorri 401b'!N3005,'Retirement Calculator'!A:A,0),0),0)</f>
        <v>0</v>
      </c>
      <c r="K3005" s="455">
        <f t="shared" ca="1" si="138"/>
        <v>-464296841.86049408</v>
      </c>
      <c r="L3005" s="455">
        <f t="shared" ca="1" si="139"/>
        <v>-111895538888.37909</v>
      </c>
      <c r="M3005" s="471">
        <f t="shared" si="141"/>
        <v>0.05</v>
      </c>
      <c r="N3005" s="475">
        <f t="shared" si="142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40"/>
        <v>-111895538888.37909</v>
      </c>
      <c r="J3006" s="455">
        <f t="array" ref="J3006">IFERROR(INDEX('Retirement Calculator'!K:K,MATCH('Lorri 401b'!N3006,'Retirement Calculator'!A:A,0),0),0)</f>
        <v>0</v>
      </c>
      <c r="K3006" s="455">
        <f t="shared" ca="1" si="138"/>
        <v>-466231412.03491288</v>
      </c>
      <c r="L3006" s="455">
        <f t="shared" ca="1" si="139"/>
        <v>-112361770300.414</v>
      </c>
      <c r="M3006" s="471">
        <f t="shared" si="141"/>
        <v>0.05</v>
      </c>
      <c r="N3006" s="475">
        <f t="shared" si="142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40"/>
        <v>-112361770300.414</v>
      </c>
      <c r="J3007" s="455">
        <f t="array" ref="J3007">IFERROR(INDEX('Retirement Calculator'!K:K,MATCH('Lorri 401b'!N3007,'Retirement Calculator'!A:A,0),0),0)</f>
        <v>0</v>
      </c>
      <c r="K3007" s="455">
        <f t="shared" ca="1" si="138"/>
        <v>-468174042.91839164</v>
      </c>
      <c r="L3007" s="455">
        <f t="shared" ca="1" si="139"/>
        <v>-112829944343.3324</v>
      </c>
      <c r="M3007" s="471">
        <f t="shared" si="141"/>
        <v>0.05</v>
      </c>
      <c r="N3007" s="475">
        <f t="shared" si="142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40"/>
        <v>-112829944343.3324</v>
      </c>
      <c r="J3008" s="455">
        <f t="array" ref="J3008">IFERROR(INDEX('Retirement Calculator'!K:K,MATCH('Lorri 401b'!N3008,'Retirement Calculator'!A:A,0),0),0)</f>
        <v>0</v>
      </c>
      <c r="K3008" s="455">
        <f t="shared" ca="1" si="138"/>
        <v>-470124768.09721833</v>
      </c>
      <c r="L3008" s="455">
        <f t="shared" ca="1" si="139"/>
        <v>-113300069111.42961</v>
      </c>
      <c r="M3008" s="471">
        <f t="shared" si="141"/>
        <v>0.05</v>
      </c>
      <c r="N3008" s="475">
        <f t="shared" si="142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40"/>
        <v>-113300069111.42961</v>
      </c>
      <c r="J3009" s="455">
        <f t="array" ref="J3009">IFERROR(INDEX('Retirement Calculator'!K:K,MATCH('Lorri 401b'!N3009,'Retirement Calculator'!A:A,0),0),0)</f>
        <v>0</v>
      </c>
      <c r="K3009" s="455">
        <f t="shared" ca="1" si="138"/>
        <v>-472083621.2976234</v>
      </c>
      <c r="L3009" s="455">
        <f t="shared" ca="1" si="139"/>
        <v>-113772152732.72723</v>
      </c>
      <c r="M3009" s="471">
        <f t="shared" si="141"/>
        <v>0.05</v>
      </c>
      <c r="N3009" s="475">
        <f t="shared" si="142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40"/>
        <v>-113772152732.72723</v>
      </c>
      <c r="J3010" s="455">
        <f t="array" ref="J3010">IFERROR(INDEX('Retirement Calculator'!K:K,MATCH('Lorri 401b'!N3010,'Retirement Calculator'!A:A,0),0),0)</f>
        <v>0</v>
      </c>
      <c r="K3010" s="455">
        <f t="shared" ca="1" si="138"/>
        <v>-474050636.38636345</v>
      </c>
      <c r="L3010" s="455">
        <f t="shared" ca="1" si="139"/>
        <v>-114246203369.1136</v>
      </c>
      <c r="M3010" s="471">
        <f t="shared" si="141"/>
        <v>0.05</v>
      </c>
      <c r="N3010" s="475">
        <f t="shared" si="142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40"/>
        <v>-114246203369.1136</v>
      </c>
      <c r="J3011" s="455">
        <f t="array" ref="J3011">IFERROR(INDEX('Retirement Calculator'!K:K,MATCH('Lorri 401b'!N3011,'Retirement Calculator'!A:A,0),0),0)</f>
        <v>0</v>
      </c>
      <c r="K3011" s="455">
        <f t="shared" ca="1" si="138"/>
        <v>-476025847.37130666</v>
      </c>
      <c r="L3011" s="455">
        <f t="shared" ca="1" si="139"/>
        <v>-114722229216.48491</v>
      </c>
      <c r="M3011" s="471">
        <f t="shared" si="141"/>
        <v>0.05</v>
      </c>
      <c r="N3011" s="475">
        <f t="shared" si="142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40"/>
        <v>-114722229216.48491</v>
      </c>
      <c r="J3012" s="455">
        <f t="array" ref="J3012">IFERROR(INDEX('Retirement Calculator'!K:K,MATCH('Lorri 401b'!N3012,'Retirement Calculator'!A:A,0),0),0)</f>
        <v>0</v>
      </c>
      <c r="K3012" s="455">
        <f t="shared" ca="1" si="138"/>
        <v>-478009288.40202039</v>
      </c>
      <c r="L3012" s="455">
        <f t="shared" ca="1" si="139"/>
        <v>-115200238504.88693</v>
      </c>
      <c r="M3012" s="471">
        <f t="shared" si="141"/>
        <v>0.05</v>
      </c>
      <c r="N3012" s="475">
        <f t="shared" si="142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40"/>
        <v>-115200238504.88693</v>
      </c>
      <c r="J3013" s="455">
        <f t="array" ref="J3013">IFERROR(INDEX('Retirement Calculator'!K:K,MATCH('Lorri 401b'!N3013,'Retirement Calculator'!A:A,0),0),0)</f>
        <v>0</v>
      </c>
      <c r="K3013" s="455">
        <f t="shared" ca="1" si="138"/>
        <v>-480000993.7703622</v>
      </c>
      <c r="L3013" s="455">
        <f t="shared" ca="1" si="139"/>
        <v>-115680239498.65729</v>
      </c>
      <c r="M3013" s="471">
        <f t="shared" si="141"/>
        <v>0.05</v>
      </c>
      <c r="N3013" s="475">
        <f t="shared" si="142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40"/>
        <v>-115680239498.65729</v>
      </c>
      <c r="J3014" s="455">
        <f t="array" ref="J3014">IFERROR(INDEX('Retirement Calculator'!K:K,MATCH('Lorri 401b'!N3014,'Retirement Calculator'!A:A,0),0),0)</f>
        <v>0</v>
      </c>
      <c r="K3014" s="455">
        <f t="shared" ca="1" si="138"/>
        <v>-482000997.91107202</v>
      </c>
      <c r="L3014" s="455">
        <f t="shared" ca="1" si="139"/>
        <v>-116162240496.56836</v>
      </c>
      <c r="M3014" s="471">
        <f t="shared" si="141"/>
        <v>0.05</v>
      </c>
      <c r="N3014" s="475">
        <f t="shared" si="142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40"/>
        <v>-116162240496.56836</v>
      </c>
      <c r="J3015" s="455">
        <f t="array" ref="J3015">IFERROR(INDEX('Retirement Calculator'!K:K,MATCH('Lorri 401b'!N3015,'Retirement Calculator'!A:A,0),0),0)</f>
        <v>0</v>
      </c>
      <c r="K3015" s="455">
        <f t="shared" ca="1" si="138"/>
        <v>-484009335.40236813</v>
      </c>
      <c r="L3015" s="455">
        <f t="shared" ca="1" si="139"/>
        <v>-116646249831.97073</v>
      </c>
      <c r="M3015" s="471">
        <f t="shared" si="141"/>
        <v>0.05</v>
      </c>
      <c r="N3015" s="475">
        <f t="shared" si="142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40"/>
        <v>-116646249831.97073</v>
      </c>
      <c r="J3016" s="455">
        <f t="array" ref="J3016">IFERROR(INDEX('Retirement Calculator'!K:K,MATCH('Lorri 401b'!N3016,'Retirement Calculator'!A:A,0),0),0)</f>
        <v>0</v>
      </c>
      <c r="K3016" s="455">
        <f t="shared" ca="1" si="138"/>
        <v>-486026040.96654463</v>
      </c>
      <c r="L3016" s="455">
        <f t="shared" ca="1" si="139"/>
        <v>-117132275872.93727</v>
      </c>
      <c r="M3016" s="471">
        <f t="shared" si="141"/>
        <v>0.05</v>
      </c>
      <c r="N3016" s="475">
        <f t="shared" si="142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40"/>
        <v>-117132275872.93727</v>
      </c>
      <c r="J3017" s="455">
        <f t="array" ref="J3017">IFERROR(INDEX('Retirement Calculator'!K:K,MATCH('Lorri 401b'!N3017,'Retirement Calculator'!A:A,0),0),0)</f>
        <v>0</v>
      </c>
      <c r="K3017" s="455">
        <f t="shared" ca="1" si="138"/>
        <v>-488051149.47057194</v>
      </c>
      <c r="L3017" s="455">
        <f t="shared" ca="1" si="139"/>
        <v>-117620327022.40784</v>
      </c>
      <c r="M3017" s="471">
        <f t="shared" si="141"/>
        <v>0.05</v>
      </c>
      <c r="N3017" s="475">
        <f t="shared" si="142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40"/>
        <v>-117620327022.40784</v>
      </c>
      <c r="J3018" s="455">
        <f t="array" ref="J3018">IFERROR(INDEX('Retirement Calculator'!K:K,MATCH('Lorri 401b'!N3018,'Retirement Calculator'!A:A,0),0),0)</f>
        <v>0</v>
      </c>
      <c r="K3018" s="455">
        <f t="shared" ca="1" si="138"/>
        <v>-490084695.92669934</v>
      </c>
      <c r="L3018" s="455">
        <f t="shared" ca="1" si="139"/>
        <v>-118110411718.33453</v>
      </c>
      <c r="M3018" s="471">
        <f t="shared" si="141"/>
        <v>0.05</v>
      </c>
      <c r="N3018" s="475">
        <f t="shared" si="142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40"/>
        <v>-118110411718.33453</v>
      </c>
      <c r="J3019" s="455">
        <f t="array" ref="J3019">IFERROR(INDEX('Retirement Calculator'!K:K,MATCH('Lorri 401b'!N3019,'Retirement Calculator'!A:A,0),0),0)</f>
        <v>0</v>
      </c>
      <c r="K3019" s="455">
        <f t="shared" ca="1" si="138"/>
        <v>-492126715.49306053</v>
      </c>
      <c r="L3019" s="455">
        <f t="shared" ca="1" si="139"/>
        <v>-118602538433.82759</v>
      </c>
      <c r="M3019" s="471">
        <f t="shared" si="141"/>
        <v>0.05</v>
      </c>
      <c r="N3019" s="475">
        <f t="shared" si="142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40"/>
        <v>-118602538433.82759</v>
      </c>
      <c r="J3020" s="455">
        <f t="array" ref="J3020">IFERROR(INDEX('Retirement Calculator'!K:K,MATCH('Lorri 401b'!N3020,'Retirement Calculator'!A:A,0),0),0)</f>
        <v>0</v>
      </c>
      <c r="K3020" s="455">
        <f t="shared" ca="1" si="138"/>
        <v>-494177243.47428161</v>
      </c>
      <c r="L3020" s="455">
        <f t="shared" ca="1" si="139"/>
        <v>-119096715677.30188</v>
      </c>
      <c r="M3020" s="471">
        <f t="shared" si="141"/>
        <v>0.05</v>
      </c>
      <c r="N3020" s="475">
        <f t="shared" si="142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40"/>
        <v>-119096715677.30188</v>
      </c>
      <c r="J3021" s="455">
        <f t="array" ref="J3021">IFERROR(INDEX('Retirement Calculator'!K:K,MATCH('Lorri 401b'!N3021,'Retirement Calculator'!A:A,0),0),0)</f>
        <v>0</v>
      </c>
      <c r="K3021" s="455">
        <f t="shared" ca="1" si="138"/>
        <v>-496236315.32209116</v>
      </c>
      <c r="L3021" s="455">
        <f t="shared" ca="1" si="139"/>
        <v>-119592951992.62398</v>
      </c>
      <c r="M3021" s="471">
        <f t="shared" si="141"/>
        <v>0.05</v>
      </c>
      <c r="N3021" s="475">
        <f t="shared" si="142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40"/>
        <v>-119592951992.62398</v>
      </c>
      <c r="J3022" s="455">
        <f t="array" ref="J3022">IFERROR(INDEX('Retirement Calculator'!K:K,MATCH('Lorri 401b'!N3022,'Retirement Calculator'!A:A,0),0),0)</f>
        <v>0</v>
      </c>
      <c r="K3022" s="455">
        <f t="shared" ca="1" si="138"/>
        <v>-498303966.63593322</v>
      </c>
      <c r="L3022" s="455">
        <f t="shared" ca="1" si="139"/>
        <v>-120091255959.25992</v>
      </c>
      <c r="M3022" s="471">
        <f t="shared" si="141"/>
        <v>0.05</v>
      </c>
      <c r="N3022" s="475">
        <f t="shared" si="142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40"/>
        <v>-120091255959.25992</v>
      </c>
      <c r="J3023" s="455">
        <f t="array" ref="J3023">IFERROR(INDEX('Retirement Calculator'!K:K,MATCH('Lorri 401b'!N3023,'Retirement Calculator'!A:A,0),0),0)</f>
        <v>0</v>
      </c>
      <c r="K3023" s="455">
        <f t="shared" ca="1" si="138"/>
        <v>-500380233.16358304</v>
      </c>
      <c r="L3023" s="455">
        <f t="shared" ca="1" si="139"/>
        <v>-120591636192.42351</v>
      </c>
      <c r="M3023" s="471">
        <f t="shared" si="141"/>
        <v>0.05</v>
      </c>
      <c r="N3023" s="475">
        <f t="shared" si="142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40"/>
        <v>-120591636192.42351</v>
      </c>
      <c r="J3024" s="455">
        <f t="array" ref="J3024">IFERROR(INDEX('Retirement Calculator'!K:K,MATCH('Lorri 401b'!N3024,'Retirement Calculator'!A:A,0),0),0)</f>
        <v>0</v>
      </c>
      <c r="K3024" s="455">
        <f t="shared" ca="1" si="138"/>
        <v>-502465150.80176461</v>
      </c>
      <c r="L3024" s="455">
        <f t="shared" ca="1" si="139"/>
        <v>-121094101343.22527</v>
      </c>
      <c r="M3024" s="471">
        <f t="shared" si="141"/>
        <v>0.05</v>
      </c>
      <c r="N3024" s="475">
        <f t="shared" si="142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40"/>
        <v>-121094101343.22527</v>
      </c>
      <c r="J3025" s="455">
        <f t="array" ref="J3025">IFERROR(INDEX('Retirement Calculator'!K:K,MATCH('Lorri 401b'!N3025,'Retirement Calculator'!A:A,0),0),0)</f>
        <v>0</v>
      </c>
      <c r="K3025" s="455">
        <f t="shared" ca="1" si="138"/>
        <v>-504558755.5967719</v>
      </c>
      <c r="L3025" s="455">
        <f t="shared" ca="1" si="139"/>
        <v>-121598660098.82204</v>
      </c>
      <c r="M3025" s="471">
        <f t="shared" si="141"/>
        <v>0.05</v>
      </c>
      <c r="N3025" s="475">
        <f t="shared" si="142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40"/>
        <v>-121598660098.82204</v>
      </c>
      <c r="J3026" s="455">
        <f t="array" ref="J3026">IFERROR(INDEX('Retirement Calculator'!K:K,MATCH('Lorri 401b'!N3026,'Retirement Calculator'!A:A,0),0),0)</f>
        <v>0</v>
      </c>
      <c r="K3026" s="455">
        <f t="shared" ca="1" si="138"/>
        <v>-506661083.7450918</v>
      </c>
      <c r="L3026" s="455">
        <f t="shared" ca="1" si="139"/>
        <v>-122105321182.56712</v>
      </c>
      <c r="M3026" s="471">
        <f t="shared" si="141"/>
        <v>0.05</v>
      </c>
      <c r="N3026" s="475">
        <f t="shared" si="142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40"/>
        <v>-122105321182.56712</v>
      </c>
      <c r="J3027" s="455">
        <f t="array" ref="J3027">IFERROR(INDEX('Retirement Calculator'!K:K,MATCH('Lorri 401b'!N3027,'Retirement Calculator'!A:A,0),0),0)</f>
        <v>0</v>
      </c>
      <c r="K3027" s="455">
        <f t="shared" ca="1" si="138"/>
        <v>-508772171.59402961</v>
      </c>
      <c r="L3027" s="455">
        <f t="shared" ca="1" si="139"/>
        <v>-122614093354.16115</v>
      </c>
      <c r="M3027" s="471">
        <f t="shared" si="141"/>
        <v>0.05</v>
      </c>
      <c r="N3027" s="475">
        <f t="shared" si="142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40"/>
        <v>-122614093354.16115</v>
      </c>
      <c r="J3028" s="455">
        <f t="array" ref="J3028">IFERROR(INDEX('Retirement Calculator'!K:K,MATCH('Lorri 401b'!N3028,'Retirement Calculator'!A:A,0),0),0)</f>
        <v>0</v>
      </c>
      <c r="K3028" s="455">
        <f t="shared" ca="1" si="138"/>
        <v>-510892055.6423381</v>
      </c>
      <c r="L3028" s="455">
        <f t="shared" ca="1" si="139"/>
        <v>-123124985409.80348</v>
      </c>
      <c r="M3028" s="471">
        <f t="shared" si="141"/>
        <v>0.05</v>
      </c>
      <c r="N3028" s="475">
        <f t="shared" si="142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40"/>
        <v>-123124985409.80348</v>
      </c>
      <c r="J3029" s="455">
        <f t="array" ref="J3029">IFERROR(INDEX('Retirement Calculator'!K:K,MATCH('Lorri 401b'!N3029,'Retirement Calculator'!A:A,0),0),0)</f>
        <v>0</v>
      </c>
      <c r="K3029" s="455">
        <f t="shared" ca="1" si="138"/>
        <v>-513020772.54084784</v>
      </c>
      <c r="L3029" s="455">
        <f t="shared" ca="1" si="139"/>
        <v>-123638006182.34433</v>
      </c>
      <c r="M3029" s="471">
        <f t="shared" si="141"/>
        <v>0.05</v>
      </c>
      <c r="N3029" s="475">
        <f t="shared" si="142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40"/>
        <v>-123638006182.34433</v>
      </c>
      <c r="J3030" s="455">
        <f t="array" ref="J3030">IFERROR(INDEX('Retirement Calculator'!K:K,MATCH('Lorri 401b'!N3030,'Retirement Calculator'!A:A,0),0),0)</f>
        <v>0</v>
      </c>
      <c r="K3030" s="455">
        <f t="shared" ca="1" si="138"/>
        <v>-515158359.09310132</v>
      </c>
      <c r="L3030" s="455">
        <f t="shared" ca="1" si="139"/>
        <v>-124153164541.43742</v>
      </c>
      <c r="M3030" s="471">
        <f t="shared" si="141"/>
        <v>0.05</v>
      </c>
      <c r="N3030" s="475">
        <f t="shared" si="142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40"/>
        <v>-124153164541.43742</v>
      </c>
      <c r="J3031" s="455">
        <f t="array" ref="J3031">IFERROR(INDEX('Retirement Calculator'!K:K,MATCH('Lorri 401b'!N3031,'Retirement Calculator'!A:A,0),0),0)</f>
        <v>0</v>
      </c>
      <c r="K3031" s="455">
        <f t="shared" ca="1" si="138"/>
        <v>-517304852.25598931</v>
      </c>
      <c r="L3031" s="455">
        <f t="shared" ca="1" si="139"/>
        <v>-124670469393.69342</v>
      </c>
      <c r="M3031" s="471">
        <f t="shared" si="141"/>
        <v>0.05</v>
      </c>
      <c r="N3031" s="475">
        <f t="shared" si="142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40"/>
        <v>-124670469393.69342</v>
      </c>
      <c r="J3032" s="455">
        <f t="array" ref="J3032">IFERROR(INDEX('Retirement Calculator'!K:K,MATCH('Lorri 401b'!N3032,'Retirement Calculator'!A:A,0),0),0)</f>
        <v>0</v>
      </c>
      <c r="K3032" s="455">
        <f t="shared" ca="1" si="138"/>
        <v>-519460289.1403892</v>
      </c>
      <c r="L3032" s="455">
        <f t="shared" ca="1" si="139"/>
        <v>-125189929682.83382</v>
      </c>
      <c r="M3032" s="471">
        <f t="shared" si="141"/>
        <v>0.05</v>
      </c>
      <c r="N3032" s="475">
        <f t="shared" si="142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40"/>
        <v>-125189929682.83382</v>
      </c>
      <c r="J3033" s="455">
        <f t="array" ref="J3033">IFERROR(INDEX('Retirement Calculator'!K:K,MATCH('Lorri 401b'!N3033,'Retirement Calculator'!A:A,0),0),0)</f>
        <v>0</v>
      </c>
      <c r="K3033" s="455">
        <f t="shared" ca="1" si="138"/>
        <v>-521624707.01180756</v>
      </c>
      <c r="L3033" s="455">
        <f t="shared" ca="1" si="139"/>
        <v>-125711554389.84563</v>
      </c>
      <c r="M3033" s="471">
        <f t="shared" si="141"/>
        <v>0.05</v>
      </c>
      <c r="N3033" s="475">
        <f t="shared" si="142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40"/>
        <v>-125711554389.84563</v>
      </c>
      <c r="J3034" s="455">
        <f t="array" ref="J3034">IFERROR(INDEX('Retirement Calculator'!K:K,MATCH('Lorri 401b'!N3034,'Retirement Calculator'!A:A,0),0),0)</f>
        <v>0</v>
      </c>
      <c r="K3034" s="455">
        <f t="shared" ca="1" si="138"/>
        <v>-523798143.29102343</v>
      </c>
      <c r="L3034" s="455">
        <f t="shared" ca="1" si="139"/>
        <v>-126235352533.13666</v>
      </c>
      <c r="M3034" s="471">
        <f t="shared" si="141"/>
        <v>0.05</v>
      </c>
      <c r="N3034" s="475">
        <f t="shared" si="142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40"/>
        <v>-126235352533.13666</v>
      </c>
      <c r="J3035" s="455">
        <f t="array" ref="J3035">IFERROR(INDEX('Retirement Calculator'!K:K,MATCH('Lorri 401b'!N3035,'Retirement Calculator'!A:A,0),0),0)</f>
        <v>0</v>
      </c>
      <c r="K3035" s="455">
        <f t="shared" ca="1" si="138"/>
        <v>-525980635.55473614</v>
      </c>
      <c r="L3035" s="455">
        <f t="shared" ca="1" si="139"/>
        <v>-126761333168.69139</v>
      </c>
      <c r="M3035" s="471">
        <f t="shared" si="141"/>
        <v>0.05</v>
      </c>
      <c r="N3035" s="475">
        <f t="shared" si="142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40"/>
        <v>-126761333168.69139</v>
      </c>
      <c r="J3036" s="455">
        <f t="array" ref="J3036">IFERROR(INDEX('Retirement Calculator'!K:K,MATCH('Lorri 401b'!N3036,'Retirement Calculator'!A:A,0),0),0)</f>
        <v>0</v>
      </c>
      <c r="K3036" s="455">
        <f t="shared" ca="1" si="138"/>
        <v>-528172221.53621411</v>
      </c>
      <c r="L3036" s="455">
        <f t="shared" ca="1" si="139"/>
        <v>-127289505390.2276</v>
      </c>
      <c r="M3036" s="471">
        <f t="shared" si="141"/>
        <v>0.05</v>
      </c>
      <c r="N3036" s="475">
        <f t="shared" si="142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40"/>
        <v>-127289505390.2276</v>
      </c>
      <c r="J3037" s="455">
        <f t="array" ref="J3037">IFERROR(INDEX('Retirement Calculator'!K:K,MATCH('Lorri 401b'!N3037,'Retirement Calculator'!A:A,0),0),0)</f>
        <v>0</v>
      </c>
      <c r="K3037" s="455">
        <f t="shared" ca="1" si="138"/>
        <v>-530372939.12594825</v>
      </c>
      <c r="L3037" s="455">
        <f t="shared" ca="1" si="139"/>
        <v>-127819878329.35355</v>
      </c>
      <c r="M3037" s="471">
        <f t="shared" si="141"/>
        <v>0.05</v>
      </c>
      <c r="N3037" s="475">
        <f t="shared" si="142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40"/>
        <v>-127819878329.35355</v>
      </c>
      <c r="J3038" s="455">
        <f t="array" ref="J3038">IFERROR(INDEX('Retirement Calculator'!K:K,MATCH('Lorri 401b'!N3038,'Retirement Calculator'!A:A,0),0),0)</f>
        <v>0</v>
      </c>
      <c r="K3038" s="455">
        <f t="shared" ca="1" si="138"/>
        <v>-532582826.37230641</v>
      </c>
      <c r="L3038" s="455">
        <f t="shared" ca="1" si="139"/>
        <v>-128352461155.72585</v>
      </c>
      <c r="M3038" s="471">
        <f t="shared" si="141"/>
        <v>0.05</v>
      </c>
      <c r="N3038" s="475">
        <f t="shared" si="142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40"/>
        <v>-128352461155.72585</v>
      </c>
      <c r="J3039" s="455">
        <f t="array" ref="J3039">IFERROR(INDEX('Retirement Calculator'!K:K,MATCH('Lorri 401b'!N3039,'Retirement Calculator'!A:A,0),0),0)</f>
        <v>0</v>
      </c>
      <c r="K3039" s="455">
        <f t="shared" ca="1" si="138"/>
        <v>-534801921.48219109</v>
      </c>
      <c r="L3039" s="455">
        <f t="shared" ca="1" si="139"/>
        <v>-128887263077.20804</v>
      </c>
      <c r="M3039" s="471">
        <f t="shared" si="141"/>
        <v>0.05</v>
      </c>
      <c r="N3039" s="475">
        <f t="shared" si="142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40"/>
        <v>-128887263077.20804</v>
      </c>
      <c r="J3040" s="455">
        <f t="array" ref="J3040">IFERROR(INDEX('Retirement Calculator'!K:K,MATCH('Lorri 401b'!N3040,'Retirement Calculator'!A:A,0),0),0)</f>
        <v>0</v>
      </c>
      <c r="K3040" s="455">
        <f t="shared" ca="1" si="138"/>
        <v>-537030262.8217001</v>
      </c>
      <c r="L3040" s="455">
        <f t="shared" ca="1" si="139"/>
        <v>-129424293340.02974</v>
      </c>
      <c r="M3040" s="471">
        <f t="shared" si="141"/>
        <v>0.05</v>
      </c>
      <c r="N3040" s="475">
        <f t="shared" si="142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40"/>
        <v>-129424293340.02974</v>
      </c>
      <c r="J3041" s="455">
        <f t="array" ref="J3041">IFERROR(INDEX('Retirement Calculator'!K:K,MATCH('Lorri 401b'!N3041,'Retirement Calculator'!A:A,0),0),0)</f>
        <v>0</v>
      </c>
      <c r="K3041" s="455">
        <f t="shared" ca="1" si="138"/>
        <v>-539267888.9167906</v>
      </c>
      <c r="L3041" s="455">
        <f t="shared" ca="1" si="139"/>
        <v>-129963561228.94653</v>
      </c>
      <c r="M3041" s="471">
        <f t="shared" si="141"/>
        <v>0.05</v>
      </c>
      <c r="N3041" s="475">
        <f t="shared" si="142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40"/>
        <v>-129963561228.94653</v>
      </c>
      <c r="J3042" s="455">
        <f t="array" ref="J3042">IFERROR(INDEX('Retirement Calculator'!K:K,MATCH('Lorri 401b'!N3042,'Retirement Calculator'!A:A,0),0),0)</f>
        <v>0</v>
      </c>
      <c r="K3042" s="455">
        <f t="shared" ca="1" si="138"/>
        <v>-541514838.45394385</v>
      </c>
      <c r="L3042" s="455">
        <f t="shared" ca="1" si="139"/>
        <v>-130505076067.40048</v>
      </c>
      <c r="M3042" s="471">
        <f t="shared" si="141"/>
        <v>0.05</v>
      </c>
      <c r="N3042" s="475">
        <f t="shared" si="142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40"/>
        <v>-130505076067.40048</v>
      </c>
      <c r="J3043" s="455">
        <f t="array" ref="J3043">IFERROR(INDEX('Retirement Calculator'!K:K,MATCH('Lorri 401b'!N3043,'Retirement Calculator'!A:A,0),0),0)</f>
        <v>0</v>
      </c>
      <c r="K3043" s="455">
        <f t="shared" ca="1" si="138"/>
        <v>-543771150.28083539</v>
      </c>
      <c r="L3043" s="455">
        <f t="shared" ca="1" si="139"/>
        <v>-131048847217.68132</v>
      </c>
      <c r="M3043" s="471">
        <f t="shared" si="141"/>
        <v>0.05</v>
      </c>
      <c r="N3043" s="475">
        <f t="shared" si="142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40"/>
        <v>-131048847217.68132</v>
      </c>
      <c r="J3044" s="455">
        <f t="array" ref="J3044">IFERROR(INDEX('Retirement Calculator'!K:K,MATCH('Lorri 401b'!N3044,'Retirement Calculator'!A:A,0),0),0)</f>
        <v>0</v>
      </c>
      <c r="K3044" s="455">
        <f t="shared" ca="1" si="138"/>
        <v>-546036863.40700543</v>
      </c>
      <c r="L3044" s="455">
        <f t="shared" ca="1" si="139"/>
        <v>-131594884081.08833</v>
      </c>
      <c r="M3044" s="471">
        <f t="shared" si="141"/>
        <v>0.05</v>
      </c>
      <c r="N3044" s="475">
        <f t="shared" si="142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40"/>
        <v>-131594884081.08833</v>
      </c>
      <c r="J3045" s="455">
        <f t="array" ref="J3045">IFERROR(INDEX('Retirement Calculator'!K:K,MATCH('Lorri 401b'!N3045,'Retirement Calculator'!A:A,0),0),0)</f>
        <v>0</v>
      </c>
      <c r="K3045" s="455">
        <f t="shared" ca="1" si="138"/>
        <v>-548312017.0045346</v>
      </c>
      <c r="L3045" s="455">
        <f t="shared" ca="1" si="139"/>
        <v>-132143196098.09286</v>
      </c>
      <c r="M3045" s="471">
        <f t="shared" si="141"/>
        <v>0.05</v>
      </c>
      <c r="N3045" s="475">
        <f t="shared" si="142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40"/>
        <v>-132143196098.09286</v>
      </c>
      <c r="J3046" s="455">
        <f t="array" ref="J3046">IFERROR(INDEX('Retirement Calculator'!K:K,MATCH('Lorri 401b'!N3046,'Retirement Calculator'!A:A,0),0),0)</f>
        <v>0</v>
      </c>
      <c r="K3046" s="455">
        <f t="shared" ca="1" si="138"/>
        <v>-550596650.40872025</v>
      </c>
      <c r="L3046" s="455">
        <f t="shared" ca="1" si="139"/>
        <v>-132693792748.50159</v>
      </c>
      <c r="M3046" s="471">
        <f t="shared" si="141"/>
        <v>0.05</v>
      </c>
      <c r="N3046" s="475">
        <f t="shared" si="142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40"/>
        <v>-132693792748.50159</v>
      </c>
      <c r="J3047" s="455">
        <f t="array" ref="J3047">IFERROR(INDEX('Retirement Calculator'!K:K,MATCH('Lorri 401b'!N3047,'Retirement Calculator'!A:A,0),0),0)</f>
        <v>0</v>
      </c>
      <c r="K3047" s="455">
        <f t="shared" ca="1" si="138"/>
        <v>-552890803.11875665</v>
      </c>
      <c r="L3047" s="455">
        <f t="shared" ca="1" si="139"/>
        <v>-133246683551.62035</v>
      </c>
      <c r="M3047" s="471">
        <f t="shared" si="141"/>
        <v>0.05</v>
      </c>
      <c r="N3047" s="475">
        <f t="shared" si="142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40"/>
        <v>-133246683551.62035</v>
      </c>
      <c r="J3048" s="455">
        <f t="array" ref="J3048">IFERROR(INDEX('Retirement Calculator'!K:K,MATCH('Lorri 401b'!N3048,'Retirement Calculator'!A:A,0),0),0)</f>
        <v>0</v>
      </c>
      <c r="K3048" s="455">
        <f t="shared" ca="1" si="138"/>
        <v>-555194514.79841805</v>
      </c>
      <c r="L3048" s="455">
        <f t="shared" ca="1" si="139"/>
        <v>-133801878066.41876</v>
      </c>
      <c r="M3048" s="471">
        <f t="shared" si="141"/>
        <v>0.05</v>
      </c>
      <c r="N3048" s="475">
        <f t="shared" si="142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40"/>
        <v>-133801878066.41876</v>
      </c>
      <c r="J3049" s="455">
        <f t="array" ref="J3049">IFERROR(INDEX('Retirement Calculator'!K:K,MATCH('Lorri 401b'!N3049,'Retirement Calculator'!A:A,0),0),0)</f>
        <v>0</v>
      </c>
      <c r="K3049" s="455">
        <f t="shared" ca="1" si="138"/>
        <v>-557507825.27674484</v>
      </c>
      <c r="L3049" s="455">
        <f t="shared" ca="1" si="139"/>
        <v>-134359385891.69551</v>
      </c>
      <c r="M3049" s="471">
        <f t="shared" si="141"/>
        <v>0.05</v>
      </c>
      <c r="N3049" s="475">
        <f t="shared" si="142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40"/>
        <v>-134359385891.69551</v>
      </c>
      <c r="J3050" s="455">
        <f t="array" ref="J3050">IFERROR(INDEX('Retirement Calculator'!K:K,MATCH('Lorri 401b'!N3050,'Retirement Calculator'!A:A,0),0),0)</f>
        <v>0</v>
      </c>
      <c r="K3050" s="455">
        <f t="shared" ca="1" si="138"/>
        <v>-559830774.54873133</v>
      </c>
      <c r="L3050" s="455">
        <f t="shared" ca="1" si="139"/>
        <v>-134919216666.24425</v>
      </c>
      <c r="M3050" s="471">
        <f t="shared" si="141"/>
        <v>0.05</v>
      </c>
      <c r="N3050" s="475">
        <f t="shared" si="142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40"/>
        <v>-134919216666.24425</v>
      </c>
      <c r="J3051" s="455">
        <f t="array" ref="J3051">IFERROR(INDEX('Retirement Calculator'!K:K,MATCH('Lorri 401b'!N3051,'Retirement Calculator'!A:A,0),0),0)</f>
        <v>0</v>
      </c>
      <c r="K3051" s="455">
        <f t="shared" ca="1" si="138"/>
        <v>-562163402.77601767</v>
      </c>
      <c r="L3051" s="455">
        <f t="shared" ca="1" si="139"/>
        <v>-135481380069.02026</v>
      </c>
      <c r="M3051" s="471">
        <f t="shared" si="141"/>
        <v>0.05</v>
      </c>
      <c r="N3051" s="475">
        <f t="shared" si="142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40"/>
        <v>-135481380069.02026</v>
      </c>
      <c r="J3052" s="455">
        <f t="array" ref="J3052">IFERROR(INDEX('Retirement Calculator'!K:K,MATCH('Lorri 401b'!N3052,'Retirement Calculator'!A:A,0),0),0)</f>
        <v>0</v>
      </c>
      <c r="K3052" s="455">
        <f t="shared" ca="1" si="138"/>
        <v>-564505750.28758442</v>
      </c>
      <c r="L3052" s="455">
        <f t="shared" ca="1" si="139"/>
        <v>-136045885819.30785</v>
      </c>
      <c r="M3052" s="471">
        <f t="shared" si="141"/>
        <v>0.05</v>
      </c>
      <c r="N3052" s="475">
        <f t="shared" si="142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40"/>
        <v>-136045885819.30785</v>
      </c>
      <c r="J3053" s="455">
        <f t="array" ref="J3053">IFERROR(INDEX('Retirement Calculator'!K:K,MATCH('Lorri 401b'!N3053,'Retirement Calculator'!A:A,0),0),0)</f>
        <v>0</v>
      </c>
      <c r="K3053" s="455">
        <f t="shared" ca="1" si="138"/>
        <v>-566857857.58044946</v>
      </c>
      <c r="L3053" s="455">
        <f t="shared" ca="1" si="139"/>
        <v>-136612743676.88829</v>
      </c>
      <c r="M3053" s="471">
        <f t="shared" si="141"/>
        <v>0.05</v>
      </c>
      <c r="N3053" s="475">
        <f t="shared" si="142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40"/>
        <v>-136612743676.88829</v>
      </c>
      <c r="J3054" s="455">
        <f t="array" ref="J3054">IFERROR(INDEX('Retirement Calculator'!K:K,MATCH('Lorri 401b'!N3054,'Retirement Calculator'!A:A,0),0),0)</f>
        <v>0</v>
      </c>
      <c r="K3054" s="455">
        <f t="shared" ca="1" si="138"/>
        <v>-569219765.32036781</v>
      </c>
      <c r="L3054" s="455">
        <f t="shared" ca="1" si="139"/>
        <v>-137181963442.20866</v>
      </c>
      <c r="M3054" s="471">
        <f t="shared" si="141"/>
        <v>0.05</v>
      </c>
      <c r="N3054" s="475">
        <f t="shared" si="142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40"/>
        <v>-137181963442.20866</v>
      </c>
      <c r="J3055" s="455">
        <f t="array" ref="J3055">IFERROR(INDEX('Retirement Calculator'!K:K,MATCH('Lorri 401b'!N3055,'Retirement Calculator'!A:A,0),0),0)</f>
        <v>0</v>
      </c>
      <c r="K3055" s="455">
        <f t="shared" ca="1" si="138"/>
        <v>-571591514.34253609</v>
      </c>
      <c r="L3055" s="455">
        <f t="shared" ca="1" si="139"/>
        <v>-137753554956.55121</v>
      </c>
      <c r="M3055" s="471">
        <f t="shared" si="141"/>
        <v>0.05</v>
      </c>
      <c r="N3055" s="475">
        <f t="shared" si="142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40"/>
        <v>-137753554956.55121</v>
      </c>
      <c r="J3056" s="455">
        <f t="array" ref="J3056">IFERROR(INDEX('Retirement Calculator'!K:K,MATCH('Lorri 401b'!N3056,'Retirement Calculator'!A:A,0),0),0)</f>
        <v>0</v>
      </c>
      <c r="K3056" s="455">
        <f t="shared" ca="1" si="138"/>
        <v>-573973145.65229666</v>
      </c>
      <c r="L3056" s="455">
        <f t="shared" ca="1" si="139"/>
        <v>-138327528102.20349</v>
      </c>
      <c r="M3056" s="471">
        <f t="shared" si="141"/>
        <v>0.05</v>
      </c>
      <c r="N3056" s="475">
        <f t="shared" si="142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40"/>
        <v>-138327528102.20349</v>
      </c>
      <c r="J3057" s="455">
        <f t="array" ref="J3057">IFERROR(INDEX('Retirement Calculator'!K:K,MATCH('Lorri 401b'!N3057,'Retirement Calculator'!A:A,0),0),0)</f>
        <v>0</v>
      </c>
      <c r="K3057" s="455">
        <f t="shared" ca="1" si="138"/>
        <v>-576364700.42584789</v>
      </c>
      <c r="L3057" s="455">
        <f t="shared" ca="1" si="139"/>
        <v>-138903892802.62933</v>
      </c>
      <c r="M3057" s="471">
        <f t="shared" si="141"/>
        <v>0.05</v>
      </c>
      <c r="N3057" s="475">
        <f t="shared" si="142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40"/>
        <v>-138903892802.62933</v>
      </c>
      <c r="J3058" s="455">
        <f t="array" ref="J3058">IFERROR(INDEX('Retirement Calculator'!K:K,MATCH('Lorri 401b'!N3058,'Retirement Calculator'!A:A,0),0),0)</f>
        <v>0</v>
      </c>
      <c r="K3058" s="455">
        <f t="shared" ca="1" si="138"/>
        <v>-578766220.01095557</v>
      </c>
      <c r="L3058" s="455">
        <f t="shared" ca="1" si="139"/>
        <v>-139482659022.64029</v>
      </c>
      <c r="M3058" s="471">
        <f t="shared" si="141"/>
        <v>0.05</v>
      </c>
      <c r="N3058" s="475">
        <f t="shared" si="142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40"/>
        <v>-139482659022.64029</v>
      </c>
      <c r="J3059" s="455">
        <f t="array" ref="J3059">IFERROR(INDEX('Retirement Calculator'!K:K,MATCH('Lorri 401b'!N3059,'Retirement Calculator'!A:A,0),0),0)</f>
        <v>0</v>
      </c>
      <c r="K3059" s="455">
        <f t="shared" ca="1" si="138"/>
        <v>-581177745.92766786</v>
      </c>
      <c r="L3059" s="455">
        <f t="shared" ca="1" si="139"/>
        <v>-140063836768.56796</v>
      </c>
      <c r="M3059" s="471">
        <f t="shared" si="141"/>
        <v>0.05</v>
      </c>
      <c r="N3059" s="475">
        <f t="shared" si="142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40"/>
        <v>-140063836768.56796</v>
      </c>
      <c r="J3060" s="455">
        <f t="array" ref="J3060">IFERROR(INDEX('Retirement Calculator'!K:K,MATCH('Lorri 401b'!N3060,'Retirement Calculator'!A:A,0),0),0)</f>
        <v>0</v>
      </c>
      <c r="K3060" s="455">
        <f t="shared" ca="1" si="138"/>
        <v>-583599319.86903322</v>
      </c>
      <c r="L3060" s="455">
        <f t="shared" ca="1" si="139"/>
        <v>-140647436088.43698</v>
      </c>
      <c r="M3060" s="471">
        <f t="shared" si="141"/>
        <v>0.05</v>
      </c>
      <c r="N3060" s="475">
        <f t="shared" si="142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40"/>
        <v>-140647436088.43698</v>
      </c>
      <c r="J3061" s="455">
        <f t="array" ref="J3061">IFERROR(INDEX('Retirement Calculator'!K:K,MATCH('Lorri 401b'!N3061,'Retirement Calculator'!A:A,0),0),0)</f>
        <v>0</v>
      </c>
      <c r="K3061" s="455">
        <f t="shared" ca="1" si="138"/>
        <v>-586030983.70182073</v>
      </c>
      <c r="L3061" s="455">
        <f t="shared" ca="1" si="139"/>
        <v>-141233467072.13879</v>
      </c>
      <c r="M3061" s="471">
        <f t="shared" si="141"/>
        <v>0.05</v>
      </c>
      <c r="N3061" s="475">
        <f t="shared" si="142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40"/>
        <v>-141233467072.13879</v>
      </c>
      <c r="J3062" s="455">
        <f t="array" ref="J3062">IFERROR(INDEX('Retirement Calculator'!K:K,MATCH('Lorri 401b'!N3062,'Retirement Calculator'!A:A,0),0),0)</f>
        <v>0</v>
      </c>
      <c r="K3062" s="455">
        <f t="shared" ca="1" si="138"/>
        <v>-588472779.46724498</v>
      </c>
      <c r="L3062" s="455">
        <f t="shared" ca="1" si="139"/>
        <v>-141821939851.60605</v>
      </c>
      <c r="M3062" s="471">
        <f t="shared" si="141"/>
        <v>0.05</v>
      </c>
      <c r="N3062" s="475">
        <f t="shared" si="142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40"/>
        <v>-141821939851.60605</v>
      </c>
      <c r="J3063" s="455">
        <f t="array" ref="J3063">IFERROR(INDEX('Retirement Calculator'!K:K,MATCH('Lorri 401b'!N3063,'Retirement Calculator'!A:A,0),0),0)</f>
        <v>0</v>
      </c>
      <c r="K3063" s="455">
        <f t="shared" ca="1" si="138"/>
        <v>-590924749.38169181</v>
      </c>
      <c r="L3063" s="455">
        <f t="shared" ca="1" si="139"/>
        <v>-142412864600.98773</v>
      </c>
      <c r="M3063" s="471">
        <f t="shared" si="141"/>
        <v>0.05</v>
      </c>
      <c r="N3063" s="475">
        <f t="shared" si="142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40"/>
        <v>-142412864600.98773</v>
      </c>
      <c r="J3064" s="455">
        <f t="array" ref="J3064">IFERROR(INDEX('Retirement Calculator'!K:K,MATCH('Lorri 401b'!N3064,'Retirement Calculator'!A:A,0),0),0)</f>
        <v>0</v>
      </c>
      <c r="K3064" s="455">
        <f t="shared" ca="1" si="138"/>
        <v>-593386935.83744884</v>
      </c>
      <c r="L3064" s="455">
        <f t="shared" ca="1" si="139"/>
        <v>-143006251536.8252</v>
      </c>
      <c r="M3064" s="471">
        <f t="shared" si="141"/>
        <v>0.05</v>
      </c>
      <c r="N3064" s="475">
        <f t="shared" si="142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40"/>
        <v>-143006251536.8252</v>
      </c>
      <c r="J3065" s="455">
        <f t="array" ref="J3065">IFERROR(INDEX('Retirement Calculator'!K:K,MATCH('Lorri 401b'!N3065,'Retirement Calculator'!A:A,0),0),0)</f>
        <v>0</v>
      </c>
      <c r="K3065" s="455">
        <f t="shared" ca="1" si="138"/>
        <v>-595859381.40343833</v>
      </c>
      <c r="L3065" s="455">
        <f t="shared" ca="1" si="139"/>
        <v>-143602110918.22864</v>
      </c>
      <c r="M3065" s="471">
        <f t="shared" si="141"/>
        <v>0.05</v>
      </c>
      <c r="N3065" s="475">
        <f t="shared" si="142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40"/>
        <v>-143602110918.22864</v>
      </c>
      <c r="J3066" s="455">
        <f t="array" ref="J3066">IFERROR(INDEX('Retirement Calculator'!K:K,MATCH('Lorri 401b'!N3066,'Retirement Calculator'!A:A,0),0),0)</f>
        <v>0</v>
      </c>
      <c r="K3066" s="455">
        <f t="shared" ca="1" si="138"/>
        <v>-598342128.82595265</v>
      </c>
      <c r="L3066" s="455">
        <f t="shared" ca="1" si="139"/>
        <v>-144200453047.0546</v>
      </c>
      <c r="M3066" s="471">
        <f t="shared" si="141"/>
        <v>0.05</v>
      </c>
      <c r="N3066" s="475">
        <f t="shared" si="142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40"/>
        <v>-144200453047.0546</v>
      </c>
      <c r="J3067" s="455">
        <f t="array" ref="J3067">IFERROR(INDEX('Retirement Calculator'!K:K,MATCH('Lorri 401b'!N3067,'Retirement Calculator'!A:A,0),0),0)</f>
        <v>0</v>
      </c>
      <c r="K3067" s="455">
        <f t="shared" ca="1" si="138"/>
        <v>-600835221.02939415</v>
      </c>
      <c r="L3067" s="455">
        <f t="shared" ca="1" si="139"/>
        <v>-144801288268.08398</v>
      </c>
      <c r="M3067" s="471">
        <f t="shared" si="141"/>
        <v>0.05</v>
      </c>
      <c r="N3067" s="475">
        <f t="shared" si="142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40"/>
        <v>-144801288268.08398</v>
      </c>
      <c r="J3068" s="455">
        <f t="array" ref="J3068">IFERROR(INDEX('Retirement Calculator'!K:K,MATCH('Lorri 401b'!N3068,'Retirement Calculator'!A:A,0),0),0)</f>
        <v>0</v>
      </c>
      <c r="K3068" s="455">
        <f t="shared" ref="K3068:K3322" ca="1" si="143">IPMT(M3068/12,1,12,-I3068+J3068,,0)</f>
        <v>-603338701.11701655</v>
      </c>
      <c r="L3068" s="455">
        <f t="shared" ref="L3068:L3322" ca="1" si="144">I3068-J3068+K3068</f>
        <v>-145404626969.20099</v>
      </c>
      <c r="M3068" s="471">
        <f t="shared" si="141"/>
        <v>0.05</v>
      </c>
      <c r="N3068" s="475">
        <f t="shared" si="142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45">L3068</f>
        <v>-145404626969.20099</v>
      </c>
      <c r="J3069" s="455">
        <f t="array" ref="J3069">IFERROR(INDEX('Retirement Calculator'!K:K,MATCH('Lorri 401b'!N3069,'Retirement Calculator'!A:A,0),0),0)</f>
        <v>0</v>
      </c>
      <c r="K3069" s="455">
        <f t="shared" ca="1" si="143"/>
        <v>-605852612.37167072</v>
      </c>
      <c r="L3069" s="455">
        <f t="shared" ca="1" si="144"/>
        <v>-146010479581.57266</v>
      </c>
      <c r="M3069" s="471">
        <f t="shared" ref="M3069:M3323" si="146">M3068</f>
        <v>0.05</v>
      </c>
      <c r="N3069" s="475">
        <f t="shared" ref="N3069:N3323" si="147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45"/>
        <v>-146010479581.57266</v>
      </c>
      <c r="J3070" s="455">
        <f t="array" ref="J3070">IFERROR(INDEX('Retirement Calculator'!K:K,MATCH('Lorri 401b'!N3070,'Retirement Calculator'!A:A,0),0),0)</f>
        <v>0</v>
      </c>
      <c r="K3070" s="455">
        <f t="shared" ca="1" si="143"/>
        <v>-608376998.2565527</v>
      </c>
      <c r="L3070" s="455">
        <f t="shared" ca="1" si="144"/>
        <v>-146618856579.82922</v>
      </c>
      <c r="M3070" s="471">
        <f t="shared" si="146"/>
        <v>0.05</v>
      </c>
      <c r="N3070" s="475">
        <f t="shared" si="147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45"/>
        <v>-146618856579.82922</v>
      </c>
      <c r="J3071" s="455">
        <f t="array" ref="J3071">IFERROR(INDEX('Retirement Calculator'!K:K,MATCH('Lorri 401b'!N3071,'Retirement Calculator'!A:A,0),0),0)</f>
        <v>0</v>
      </c>
      <c r="K3071" s="455">
        <f t="shared" ca="1" si="143"/>
        <v>-610911902.41595507</v>
      </c>
      <c r="L3071" s="455">
        <f t="shared" ca="1" si="144"/>
        <v>-147229768482.24518</v>
      </c>
      <c r="M3071" s="471">
        <f t="shared" si="146"/>
        <v>0.05</v>
      </c>
      <c r="N3071" s="475">
        <f t="shared" si="147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45"/>
        <v>-147229768482.24518</v>
      </c>
      <c r="J3072" s="455">
        <f t="array" ref="J3072">IFERROR(INDEX('Retirement Calculator'!K:K,MATCH('Lorri 401b'!N3072,'Retirement Calculator'!A:A,0),0),0)</f>
        <v>0</v>
      </c>
      <c r="K3072" s="455">
        <f t="shared" ca="1" si="143"/>
        <v>-613457368.67602158</v>
      </c>
      <c r="L3072" s="455">
        <f t="shared" ca="1" si="144"/>
        <v>-147843225850.9212</v>
      </c>
      <c r="M3072" s="471">
        <f t="shared" si="146"/>
        <v>0.05</v>
      </c>
      <c r="N3072" s="475">
        <f t="shared" si="147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45"/>
        <v>-147843225850.9212</v>
      </c>
      <c r="J3073" s="455">
        <f t="array" ref="J3073">IFERROR(INDEX('Retirement Calculator'!K:K,MATCH('Lorri 401b'!N3073,'Retirement Calculator'!A:A,0),0),0)</f>
        <v>0</v>
      </c>
      <c r="K3073" s="455">
        <f t="shared" ca="1" si="143"/>
        <v>-616013441.04550505</v>
      </c>
      <c r="L3073" s="455">
        <f t="shared" ca="1" si="144"/>
        <v>-148459239291.96671</v>
      </c>
      <c r="M3073" s="471">
        <f t="shared" si="146"/>
        <v>0.05</v>
      </c>
      <c r="N3073" s="475">
        <f t="shared" si="147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45"/>
        <v>-148459239291.96671</v>
      </c>
      <c r="J3074" s="455">
        <f t="array" ref="J3074">IFERROR(INDEX('Retirement Calculator'!K:K,MATCH('Lorri 401b'!N3074,'Retirement Calculator'!A:A,0),0),0)</f>
        <v>0</v>
      </c>
      <c r="K3074" s="455">
        <f t="shared" ca="1" si="143"/>
        <v>-618580163.71652794</v>
      </c>
      <c r="L3074" s="455">
        <f t="shared" ca="1" si="144"/>
        <v>-149077819455.68323</v>
      </c>
      <c r="M3074" s="471">
        <f t="shared" si="146"/>
        <v>0.05</v>
      </c>
      <c r="N3074" s="475">
        <f t="shared" si="147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45"/>
        <v>-149077819455.68323</v>
      </c>
      <c r="J3075" s="455">
        <f t="array" ref="J3075">IFERROR(INDEX('Retirement Calculator'!K:K,MATCH('Lorri 401b'!N3075,'Retirement Calculator'!A:A,0),0),0)</f>
        <v>0</v>
      </c>
      <c r="K3075" s="455">
        <f t="shared" ca="1" si="143"/>
        <v>-621157581.06534672</v>
      </c>
      <c r="L3075" s="455">
        <f t="shared" ca="1" si="144"/>
        <v>-149698977036.74857</v>
      </c>
      <c r="M3075" s="471">
        <f t="shared" si="146"/>
        <v>0.05</v>
      </c>
      <c r="N3075" s="475">
        <f t="shared" si="147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45"/>
        <v>-149698977036.74857</v>
      </c>
      <c r="J3076" s="455">
        <f t="array" ref="J3076">IFERROR(INDEX('Retirement Calculator'!K:K,MATCH('Lorri 401b'!N3076,'Retirement Calculator'!A:A,0),0),0)</f>
        <v>0</v>
      </c>
      <c r="K3076" s="455">
        <f t="shared" ca="1" si="143"/>
        <v>-623745737.65311897</v>
      </c>
      <c r="L3076" s="455">
        <f t="shared" ca="1" si="144"/>
        <v>-150322722774.40167</v>
      </c>
      <c r="M3076" s="471">
        <f t="shared" si="146"/>
        <v>0.05</v>
      </c>
      <c r="N3076" s="475">
        <f t="shared" si="147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45"/>
        <v>-150322722774.40167</v>
      </c>
      <c r="J3077" s="455">
        <f t="array" ref="J3077">IFERROR(INDEX('Retirement Calculator'!K:K,MATCH('Lorri 401b'!N3077,'Retirement Calculator'!A:A,0),0),0)</f>
        <v>0</v>
      </c>
      <c r="K3077" s="455">
        <f t="shared" ca="1" si="143"/>
        <v>-626344678.2266736</v>
      </c>
      <c r="L3077" s="455">
        <f t="shared" ca="1" si="144"/>
        <v>-150949067452.62836</v>
      </c>
      <c r="M3077" s="471">
        <f t="shared" si="146"/>
        <v>0.05</v>
      </c>
      <c r="N3077" s="475">
        <f t="shared" si="147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45"/>
        <v>-150949067452.62836</v>
      </c>
      <c r="J3078" s="455">
        <f t="array" ref="J3078">IFERROR(INDEX('Retirement Calculator'!K:K,MATCH('Lorri 401b'!N3078,'Retirement Calculator'!A:A,0),0),0)</f>
        <v>0</v>
      </c>
      <c r="K3078" s="455">
        <f t="shared" ca="1" si="143"/>
        <v>-628954447.71928477</v>
      </c>
      <c r="L3078" s="455">
        <f t="shared" ca="1" si="144"/>
        <v>-151578021900.34766</v>
      </c>
      <c r="M3078" s="471">
        <f t="shared" si="146"/>
        <v>0.05</v>
      </c>
      <c r="N3078" s="475">
        <f t="shared" si="147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45"/>
        <v>-151578021900.34766</v>
      </c>
      <c r="J3079" s="455">
        <f t="array" ref="J3079">IFERROR(INDEX('Retirement Calculator'!K:K,MATCH('Lorri 401b'!N3079,'Retirement Calculator'!A:A,0),0),0)</f>
        <v>0</v>
      </c>
      <c r="K3079" s="455">
        <f t="shared" ca="1" si="143"/>
        <v>-631575091.25144851</v>
      </c>
      <c r="L3079" s="455">
        <f t="shared" ca="1" si="144"/>
        <v>-152209596991.59909</v>
      </c>
      <c r="M3079" s="471">
        <f t="shared" si="146"/>
        <v>0.05</v>
      </c>
      <c r="N3079" s="475">
        <f t="shared" si="147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45"/>
        <v>-152209596991.59909</v>
      </c>
      <c r="J3080" s="455">
        <f t="array" ref="J3080">IFERROR(INDEX('Retirement Calculator'!K:K,MATCH('Lorri 401b'!N3080,'Retirement Calculator'!A:A,0),0),0)</f>
        <v>0</v>
      </c>
      <c r="K3080" s="455">
        <f t="shared" ca="1" si="143"/>
        <v>-634206654.13166285</v>
      </c>
      <c r="L3080" s="455">
        <f t="shared" ca="1" si="144"/>
        <v>-152843803645.73074</v>
      </c>
      <c r="M3080" s="471">
        <f t="shared" si="146"/>
        <v>0.05</v>
      </c>
      <c r="N3080" s="475">
        <f t="shared" si="147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45"/>
        <v>-152843803645.73074</v>
      </c>
      <c r="J3081" s="455">
        <f t="array" ref="J3081">IFERROR(INDEX('Retirement Calculator'!K:K,MATCH('Lorri 401b'!N3081,'Retirement Calculator'!A:A,0),0),0)</f>
        <v>0</v>
      </c>
      <c r="K3081" s="455">
        <f t="shared" ca="1" si="143"/>
        <v>-636849181.85721147</v>
      </c>
      <c r="L3081" s="455">
        <f t="shared" ca="1" si="144"/>
        <v>-153480652827.58795</v>
      </c>
      <c r="M3081" s="471">
        <f t="shared" si="146"/>
        <v>0.05</v>
      </c>
      <c r="N3081" s="475">
        <f t="shared" si="147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45"/>
        <v>-153480652827.58795</v>
      </c>
      <c r="J3082" s="455">
        <f t="array" ref="J3082">IFERROR(INDEX('Retirement Calculator'!K:K,MATCH('Lorri 401b'!N3082,'Retirement Calculator'!A:A,0),0),0)</f>
        <v>0</v>
      </c>
      <c r="K3082" s="455">
        <f t="shared" ca="1" si="143"/>
        <v>-639502720.11494982</v>
      </c>
      <c r="L3082" s="455">
        <f t="shared" ca="1" si="144"/>
        <v>-154120155547.70291</v>
      </c>
      <c r="M3082" s="471">
        <f t="shared" si="146"/>
        <v>0.05</v>
      </c>
      <c r="N3082" s="475">
        <f t="shared" si="147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45"/>
        <v>-154120155547.70291</v>
      </c>
      <c r="J3083" s="455">
        <f t="array" ref="J3083">IFERROR(INDEX('Retirement Calculator'!K:K,MATCH('Lorri 401b'!N3083,'Retirement Calculator'!A:A,0),0),0)</f>
        <v>0</v>
      </c>
      <c r="K3083" s="455">
        <f t="shared" ca="1" si="143"/>
        <v>-642167314.78209543</v>
      </c>
      <c r="L3083" s="455">
        <f t="shared" ca="1" si="144"/>
        <v>-154762322862.48502</v>
      </c>
      <c r="M3083" s="471">
        <f t="shared" si="146"/>
        <v>0.05</v>
      </c>
      <c r="N3083" s="475">
        <f t="shared" si="147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45"/>
        <v>-154762322862.48502</v>
      </c>
      <c r="J3084" s="455">
        <f t="array" ref="J3084">IFERROR(INDEX('Retirement Calculator'!K:K,MATCH('Lorri 401b'!N3084,'Retirement Calculator'!A:A,0),0),0)</f>
        <v>0</v>
      </c>
      <c r="K3084" s="455">
        <f t="shared" ca="1" si="143"/>
        <v>-644843011.92702091</v>
      </c>
      <c r="L3084" s="455">
        <f t="shared" ca="1" si="144"/>
        <v>-155407165874.41205</v>
      </c>
      <c r="M3084" s="471">
        <f t="shared" si="146"/>
        <v>0.05</v>
      </c>
      <c r="N3084" s="475">
        <f t="shared" si="147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45"/>
        <v>-155407165874.41205</v>
      </c>
      <c r="J3085" s="455">
        <f t="array" ref="J3085">IFERROR(INDEX('Retirement Calculator'!K:K,MATCH('Lorri 401b'!N3085,'Retirement Calculator'!A:A,0),0),0)</f>
        <v>0</v>
      </c>
      <c r="K3085" s="455">
        <f t="shared" ca="1" si="143"/>
        <v>-647529857.81005025</v>
      </c>
      <c r="L3085" s="455">
        <f t="shared" ca="1" si="144"/>
        <v>-156054695732.22211</v>
      </c>
      <c r="M3085" s="471">
        <f t="shared" si="146"/>
        <v>0.05</v>
      </c>
      <c r="N3085" s="475">
        <f t="shared" si="147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45"/>
        <v>-156054695732.22211</v>
      </c>
      <c r="J3086" s="455">
        <f t="array" ref="J3086">IFERROR(INDEX('Retirement Calculator'!K:K,MATCH('Lorri 401b'!N3086,'Retirement Calculator'!A:A,0),0),0)</f>
        <v>0</v>
      </c>
      <c r="K3086" s="455">
        <f t="shared" ca="1" si="143"/>
        <v>-650227898.88425875</v>
      </c>
      <c r="L3086" s="455">
        <f t="shared" ca="1" si="144"/>
        <v>-156704923631.10635</v>
      </c>
      <c r="M3086" s="471">
        <f t="shared" si="146"/>
        <v>0.05</v>
      </c>
      <c r="N3086" s="475">
        <f t="shared" si="147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45"/>
        <v>-156704923631.10635</v>
      </c>
      <c r="J3087" s="455">
        <f t="array" ref="J3087">IFERROR(INDEX('Retirement Calculator'!K:K,MATCH('Lorri 401b'!N3087,'Retirement Calculator'!A:A,0),0),0)</f>
        <v>0</v>
      </c>
      <c r="K3087" s="455">
        <f t="shared" ca="1" si="143"/>
        <v>-652937181.79627645</v>
      </c>
      <c r="L3087" s="455">
        <f t="shared" ca="1" si="144"/>
        <v>-157357860812.90262</v>
      </c>
      <c r="M3087" s="471">
        <f t="shared" si="146"/>
        <v>0.05</v>
      </c>
      <c r="N3087" s="475">
        <f t="shared" si="147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45"/>
        <v>-157357860812.90262</v>
      </c>
      <c r="J3088" s="455">
        <f t="array" ref="J3088">IFERROR(INDEX('Retirement Calculator'!K:K,MATCH('Lorri 401b'!N3088,'Retirement Calculator'!A:A,0),0),0)</f>
        <v>0</v>
      </c>
      <c r="K3088" s="455">
        <f t="shared" ca="1" si="143"/>
        <v>-655657753.38709426</v>
      </c>
      <c r="L3088" s="455">
        <f t="shared" ca="1" si="144"/>
        <v>-158013518566.2897</v>
      </c>
      <c r="M3088" s="471">
        <f t="shared" si="146"/>
        <v>0.05</v>
      </c>
      <c r="N3088" s="475">
        <f t="shared" si="147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45"/>
        <v>-158013518566.2897</v>
      </c>
      <c r="J3089" s="455">
        <f t="array" ref="J3089">IFERROR(INDEX('Retirement Calculator'!K:K,MATCH('Lorri 401b'!N3089,'Retirement Calculator'!A:A,0),0),0)</f>
        <v>0</v>
      </c>
      <c r="K3089" s="455">
        <f t="shared" ca="1" si="143"/>
        <v>-658389660.69287372</v>
      </c>
      <c r="L3089" s="455">
        <f t="shared" ca="1" si="144"/>
        <v>-158671908226.98257</v>
      </c>
      <c r="M3089" s="471">
        <f t="shared" si="146"/>
        <v>0.05</v>
      </c>
      <c r="N3089" s="475">
        <f t="shared" si="147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45"/>
        <v>-158671908226.98257</v>
      </c>
      <c r="J3090" s="455">
        <f t="array" ref="J3090">IFERROR(INDEX('Retirement Calculator'!K:K,MATCH('Lorri 401b'!N3090,'Retirement Calculator'!A:A,0),0),0)</f>
        <v>0</v>
      </c>
      <c r="K3090" s="455">
        <f t="shared" ca="1" si="143"/>
        <v>-661132950.94576073</v>
      </c>
      <c r="L3090" s="455">
        <f t="shared" ca="1" si="144"/>
        <v>-159333041177.92834</v>
      </c>
      <c r="M3090" s="471">
        <f t="shared" si="146"/>
        <v>0.05</v>
      </c>
      <c r="N3090" s="475">
        <f t="shared" si="147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45"/>
        <v>-159333041177.92834</v>
      </c>
      <c r="J3091" s="455">
        <f t="array" ref="J3091">IFERROR(INDEX('Retirement Calculator'!K:K,MATCH('Lorri 401b'!N3091,'Retirement Calculator'!A:A,0),0),0)</f>
        <v>0</v>
      </c>
      <c r="K3091" s="455">
        <f t="shared" ca="1" si="143"/>
        <v>-663887671.57470143</v>
      </c>
      <c r="L3091" s="455">
        <f t="shared" ca="1" si="144"/>
        <v>-159996928849.50305</v>
      </c>
      <c r="M3091" s="471">
        <f t="shared" si="146"/>
        <v>0.05</v>
      </c>
      <c r="N3091" s="475">
        <f t="shared" si="147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45"/>
        <v>-159996928849.50305</v>
      </c>
      <c r="J3092" s="455">
        <f t="array" ref="J3092">IFERROR(INDEX('Retirement Calculator'!K:K,MATCH('Lorri 401b'!N3092,'Retirement Calculator'!A:A,0),0),0)</f>
        <v>0</v>
      </c>
      <c r="K3092" s="455">
        <f t="shared" ca="1" si="143"/>
        <v>-666653870.20626271</v>
      </c>
      <c r="L3092" s="455">
        <f t="shared" ca="1" si="144"/>
        <v>-160663582719.70932</v>
      </c>
      <c r="M3092" s="471">
        <f t="shared" si="146"/>
        <v>0.05</v>
      </c>
      <c r="N3092" s="475">
        <f t="shared" si="147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45"/>
        <v>-160663582719.70932</v>
      </c>
      <c r="J3093" s="455">
        <f t="array" ref="J3093">IFERROR(INDEX('Retirement Calculator'!K:K,MATCH('Lorri 401b'!N3093,'Retirement Calculator'!A:A,0),0),0)</f>
        <v>0</v>
      </c>
      <c r="K3093" s="455">
        <f t="shared" ca="1" si="143"/>
        <v>-669431594.66545546</v>
      </c>
      <c r="L3093" s="455">
        <f t="shared" ca="1" si="144"/>
        <v>-161333014314.37479</v>
      </c>
      <c r="M3093" s="471">
        <f t="shared" si="146"/>
        <v>0.05</v>
      </c>
      <c r="N3093" s="475">
        <f t="shared" si="147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45"/>
        <v>-161333014314.37479</v>
      </c>
      <c r="J3094" s="455">
        <f t="array" ref="J3094">IFERROR(INDEX('Retirement Calculator'!K:K,MATCH('Lorri 401b'!N3094,'Retirement Calculator'!A:A,0),0),0)</f>
        <v>0</v>
      </c>
      <c r="K3094" s="455">
        <f t="shared" ca="1" si="143"/>
        <v>-672220892.97656155</v>
      </c>
      <c r="L3094" s="455">
        <f t="shared" ca="1" si="144"/>
        <v>-162005235207.35135</v>
      </c>
      <c r="M3094" s="471">
        <f t="shared" si="146"/>
        <v>0.05</v>
      </c>
      <c r="N3094" s="475">
        <f t="shared" si="147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45"/>
        <v>-162005235207.35135</v>
      </c>
      <c r="J3095" s="455">
        <f t="array" ref="J3095">IFERROR(INDEX('Retirement Calculator'!K:K,MATCH('Lorri 401b'!N3095,'Retirement Calculator'!A:A,0),0),0)</f>
        <v>0</v>
      </c>
      <c r="K3095" s="455">
        <f t="shared" ca="1" si="143"/>
        <v>-675021813.36396396</v>
      </c>
      <c r="L3095" s="455">
        <f t="shared" ca="1" si="144"/>
        <v>-162680257020.7153</v>
      </c>
      <c r="M3095" s="471">
        <f t="shared" si="146"/>
        <v>0.05</v>
      </c>
      <c r="N3095" s="475">
        <f t="shared" si="147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45"/>
        <v>-162680257020.7153</v>
      </c>
      <c r="J3096" s="455">
        <f t="array" ref="J3096">IFERROR(INDEX('Retirement Calculator'!K:K,MATCH('Lorri 401b'!N3096,'Retirement Calculator'!A:A,0),0),0)</f>
        <v>0</v>
      </c>
      <c r="K3096" s="455">
        <f t="shared" ca="1" si="143"/>
        <v>-677834404.25298047</v>
      </c>
      <c r="L3096" s="455">
        <f t="shared" ca="1" si="144"/>
        <v>-163358091424.96829</v>
      </c>
      <c r="M3096" s="471">
        <f t="shared" si="146"/>
        <v>0.05</v>
      </c>
      <c r="N3096" s="475">
        <f t="shared" si="147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45"/>
        <v>-163358091424.96829</v>
      </c>
      <c r="J3097" s="455">
        <f t="array" ref="J3097">IFERROR(INDEX('Retirement Calculator'!K:K,MATCH('Lorri 401b'!N3097,'Retirement Calculator'!A:A,0),0),0)</f>
        <v>0</v>
      </c>
      <c r="K3097" s="455">
        <f t="shared" ca="1" si="143"/>
        <v>-680658714.27070117</v>
      </c>
      <c r="L3097" s="455">
        <f t="shared" ca="1" si="144"/>
        <v>-164038750139.23898</v>
      </c>
      <c r="M3097" s="471">
        <f t="shared" si="146"/>
        <v>0.05</v>
      </c>
      <c r="N3097" s="475">
        <f t="shared" si="147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45"/>
        <v>-164038750139.23898</v>
      </c>
      <c r="J3098" s="455">
        <f t="array" ref="J3098">IFERROR(INDEX('Retirement Calculator'!K:K,MATCH('Lorri 401b'!N3098,'Retirement Calculator'!A:A,0),0),0)</f>
        <v>0</v>
      </c>
      <c r="K3098" s="455">
        <f t="shared" ca="1" si="143"/>
        <v>-683494792.24682903</v>
      </c>
      <c r="L3098" s="455">
        <f t="shared" ca="1" si="144"/>
        <v>-164722244931.48581</v>
      </c>
      <c r="M3098" s="471">
        <f t="shared" si="146"/>
        <v>0.05</v>
      </c>
      <c r="N3098" s="475">
        <f t="shared" si="147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45"/>
        <v>-164722244931.48581</v>
      </c>
      <c r="J3099" s="455">
        <f t="array" ref="J3099">IFERROR(INDEX('Retirement Calculator'!K:K,MATCH('Lorri 401b'!N3099,'Retirement Calculator'!A:A,0),0),0)</f>
        <v>0</v>
      </c>
      <c r="K3099" s="455">
        <f t="shared" ca="1" si="143"/>
        <v>-686342687.21452415</v>
      </c>
      <c r="L3099" s="455">
        <f t="shared" ca="1" si="144"/>
        <v>-165408587618.70035</v>
      </c>
      <c r="M3099" s="471">
        <f t="shared" si="146"/>
        <v>0.05</v>
      </c>
      <c r="N3099" s="475">
        <f t="shared" si="147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45"/>
        <v>-165408587618.70035</v>
      </c>
      <c r="J3100" s="455">
        <f t="array" ref="J3100">IFERROR(INDEX('Retirement Calculator'!K:K,MATCH('Lorri 401b'!N3100,'Retirement Calculator'!A:A,0),0),0)</f>
        <v>0</v>
      </c>
      <c r="K3100" s="455">
        <f t="shared" ca="1" si="143"/>
        <v>-689202448.41125143</v>
      </c>
      <c r="L3100" s="455">
        <f t="shared" ca="1" si="144"/>
        <v>-166097790067.1116</v>
      </c>
      <c r="M3100" s="471">
        <f t="shared" si="146"/>
        <v>0.05</v>
      </c>
      <c r="N3100" s="475">
        <f t="shared" si="147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45"/>
        <v>-166097790067.1116</v>
      </c>
      <c r="J3101" s="455">
        <f t="array" ref="J3101">IFERROR(INDEX('Retirement Calculator'!K:K,MATCH('Lorri 401b'!N3101,'Retirement Calculator'!A:A,0),0),0)</f>
        <v>0</v>
      </c>
      <c r="K3101" s="455">
        <f t="shared" ca="1" si="143"/>
        <v>-692074125.27963161</v>
      </c>
      <c r="L3101" s="455">
        <f t="shared" ca="1" si="144"/>
        <v>-166789864192.39124</v>
      </c>
      <c r="M3101" s="471">
        <f t="shared" si="146"/>
        <v>0.05</v>
      </c>
      <c r="N3101" s="475">
        <f t="shared" si="147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45"/>
        <v>-166789864192.39124</v>
      </c>
      <c r="J3102" s="455">
        <f t="array" ref="J3102">IFERROR(INDEX('Retirement Calculator'!K:K,MATCH('Lorri 401b'!N3102,'Retirement Calculator'!A:A,0),0),0)</f>
        <v>0</v>
      </c>
      <c r="K3102" s="455">
        <f t="shared" ca="1" si="143"/>
        <v>-694957767.46829677</v>
      </c>
      <c r="L3102" s="455">
        <f t="shared" ca="1" si="144"/>
        <v>-167484821959.85953</v>
      </c>
      <c r="M3102" s="471">
        <f t="shared" si="146"/>
        <v>0.05</v>
      </c>
      <c r="N3102" s="475">
        <f t="shared" si="147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45"/>
        <v>-167484821959.85953</v>
      </c>
      <c r="J3103" s="455">
        <f t="array" ref="J3103">IFERROR(INDEX('Retirement Calculator'!K:K,MATCH('Lorri 401b'!N3103,'Retirement Calculator'!A:A,0),0),0)</f>
        <v>0</v>
      </c>
      <c r="K3103" s="455">
        <f t="shared" ca="1" si="143"/>
        <v>-697853424.83274806</v>
      </c>
      <c r="L3103" s="455">
        <f t="shared" ca="1" si="144"/>
        <v>-168182675384.69226</v>
      </c>
      <c r="M3103" s="471">
        <f t="shared" si="146"/>
        <v>0.05</v>
      </c>
      <c r="N3103" s="475">
        <f t="shared" si="147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45"/>
        <v>-168182675384.69226</v>
      </c>
      <c r="J3104" s="455">
        <f t="array" ref="J3104">IFERROR(INDEX('Retirement Calculator'!K:K,MATCH('Lorri 401b'!N3104,'Retirement Calculator'!A:A,0),0),0)</f>
        <v>0</v>
      </c>
      <c r="K3104" s="455">
        <f t="shared" ca="1" si="143"/>
        <v>-700761147.43621778</v>
      </c>
      <c r="L3104" s="455">
        <f t="shared" ca="1" si="144"/>
        <v>-168883436532.12848</v>
      </c>
      <c r="M3104" s="471">
        <f t="shared" si="146"/>
        <v>0.05</v>
      </c>
      <c r="N3104" s="475">
        <f t="shared" si="147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45"/>
        <v>-168883436532.12848</v>
      </c>
      <c r="J3105" s="455">
        <f t="array" ref="J3105">IFERROR(INDEX('Retirement Calculator'!K:K,MATCH('Lorri 401b'!N3105,'Retirement Calculator'!A:A,0),0),0)</f>
        <v>0</v>
      </c>
      <c r="K3105" s="455">
        <f t="shared" ca="1" si="143"/>
        <v>-703680985.55053532</v>
      </c>
      <c r="L3105" s="455">
        <f t="shared" ca="1" si="144"/>
        <v>-169587117517.67902</v>
      </c>
      <c r="M3105" s="471">
        <f t="shared" si="146"/>
        <v>0.05</v>
      </c>
      <c r="N3105" s="475">
        <f t="shared" si="147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45"/>
        <v>-169587117517.67902</v>
      </c>
      <c r="J3106" s="455">
        <f t="array" ref="J3106">IFERROR(INDEX('Retirement Calculator'!K:K,MATCH('Lorri 401b'!N3106,'Retirement Calculator'!A:A,0),0),0)</f>
        <v>0</v>
      </c>
      <c r="K3106" s="455">
        <f t="shared" ca="1" si="143"/>
        <v>-706612989.65699589</v>
      </c>
      <c r="L3106" s="455">
        <f t="shared" ca="1" si="144"/>
        <v>-170293730507.336</v>
      </c>
      <c r="M3106" s="471">
        <f t="shared" si="146"/>
        <v>0.05</v>
      </c>
      <c r="N3106" s="475">
        <f t="shared" si="147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45"/>
        <v>-170293730507.336</v>
      </c>
      <c r="J3107" s="455">
        <f t="array" ref="J3107">IFERROR(INDEX('Retirement Calculator'!K:K,MATCH('Lorri 401b'!N3107,'Retirement Calculator'!A:A,0),0),0)</f>
        <v>0</v>
      </c>
      <c r="K3107" s="455">
        <f t="shared" ca="1" si="143"/>
        <v>-709557210.44723332</v>
      </c>
      <c r="L3107" s="455">
        <f t="shared" ca="1" si="144"/>
        <v>-171003287717.78323</v>
      </c>
      <c r="M3107" s="471">
        <f t="shared" si="146"/>
        <v>0.05</v>
      </c>
      <c r="N3107" s="475">
        <f t="shared" si="147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45"/>
        <v>-171003287717.78323</v>
      </c>
      <c r="J3108" s="455">
        <f t="array" ref="J3108">IFERROR(INDEX('Retirement Calculator'!K:K,MATCH('Lorri 401b'!N3108,'Retirement Calculator'!A:A,0),0),0)</f>
        <v>0</v>
      </c>
      <c r="K3108" s="455">
        <f t="shared" ca="1" si="143"/>
        <v>-712513698.8240968</v>
      </c>
      <c r="L3108" s="455">
        <f t="shared" ca="1" si="144"/>
        <v>-171715801416.60733</v>
      </c>
      <c r="M3108" s="471">
        <f t="shared" si="146"/>
        <v>0.05</v>
      </c>
      <c r="N3108" s="475">
        <f t="shared" si="147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45"/>
        <v>-171715801416.60733</v>
      </c>
      <c r="J3109" s="455">
        <f t="array" ref="J3109">IFERROR(INDEX('Retirement Calculator'!K:K,MATCH('Lorri 401b'!N3109,'Retirement Calculator'!A:A,0),0),0)</f>
        <v>0</v>
      </c>
      <c r="K3109" s="455">
        <f t="shared" ca="1" si="143"/>
        <v>-715482505.90253055</v>
      </c>
      <c r="L3109" s="455">
        <f t="shared" ca="1" si="144"/>
        <v>-172431283922.50986</v>
      </c>
      <c r="M3109" s="471">
        <f t="shared" si="146"/>
        <v>0.05</v>
      </c>
      <c r="N3109" s="475">
        <f t="shared" si="147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45"/>
        <v>-172431283922.50986</v>
      </c>
      <c r="J3110" s="455">
        <f t="array" ref="J3110">IFERROR(INDEX('Retirement Calculator'!K:K,MATCH('Lorri 401b'!N3110,'Retirement Calculator'!A:A,0),0),0)</f>
        <v>0</v>
      </c>
      <c r="K3110" s="455">
        <f t="shared" ca="1" si="143"/>
        <v>-718463683.01045775</v>
      </c>
      <c r="L3110" s="455">
        <f t="shared" ca="1" si="144"/>
        <v>-173149747605.52032</v>
      </c>
      <c r="M3110" s="471">
        <f t="shared" si="146"/>
        <v>0.05</v>
      </c>
      <c r="N3110" s="475">
        <f t="shared" si="147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45"/>
        <v>-173149747605.52032</v>
      </c>
      <c r="J3111" s="455">
        <f t="array" ref="J3111">IFERROR(INDEX('Retirement Calculator'!K:K,MATCH('Lorri 401b'!N3111,'Retirement Calculator'!A:A,0),0),0)</f>
        <v>0</v>
      </c>
      <c r="K3111" s="455">
        <f t="shared" ca="1" si="143"/>
        <v>-721457281.68966806</v>
      </c>
      <c r="L3111" s="455">
        <f t="shared" ca="1" si="144"/>
        <v>-173871204887.20999</v>
      </c>
      <c r="M3111" s="471">
        <f t="shared" si="146"/>
        <v>0.05</v>
      </c>
      <c r="N3111" s="475">
        <f t="shared" si="147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45"/>
        <v>-173871204887.20999</v>
      </c>
      <c r="J3112" s="455">
        <f t="array" ref="J3112">IFERROR(INDEX('Retirement Calculator'!K:K,MATCH('Lorri 401b'!N3112,'Retirement Calculator'!A:A,0),0),0)</f>
        <v>0</v>
      </c>
      <c r="K3112" s="455">
        <f t="shared" ca="1" si="143"/>
        <v>-724463353.69670832</v>
      </c>
      <c r="L3112" s="455">
        <f t="shared" ca="1" si="144"/>
        <v>-174595668240.90671</v>
      </c>
      <c r="M3112" s="471">
        <f t="shared" si="146"/>
        <v>0.05</v>
      </c>
      <c r="N3112" s="475">
        <f t="shared" si="147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45"/>
        <v>-174595668240.90671</v>
      </c>
      <c r="J3113" s="455">
        <f t="array" ref="J3113">IFERROR(INDEX('Retirement Calculator'!K:K,MATCH('Lorri 401b'!N3113,'Retirement Calculator'!A:A,0),0),0)</f>
        <v>0</v>
      </c>
      <c r="K3113" s="455">
        <f t="shared" ca="1" si="143"/>
        <v>-727481951.00377798</v>
      </c>
      <c r="L3113" s="455">
        <f t="shared" ca="1" si="144"/>
        <v>-175323150191.91049</v>
      </c>
      <c r="M3113" s="471">
        <f t="shared" si="146"/>
        <v>0.05</v>
      </c>
      <c r="N3113" s="475">
        <f t="shared" si="147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45"/>
        <v>-175323150191.91049</v>
      </c>
      <c r="J3114" s="455">
        <f t="array" ref="J3114">IFERROR(INDEX('Retirement Calculator'!K:K,MATCH('Lorri 401b'!N3114,'Retirement Calculator'!A:A,0),0),0)</f>
        <v>0</v>
      </c>
      <c r="K3114" s="455">
        <f t="shared" ca="1" si="143"/>
        <v>-730513125.79962707</v>
      </c>
      <c r="L3114" s="455">
        <f t="shared" ca="1" si="144"/>
        <v>-176053663317.71011</v>
      </c>
      <c r="M3114" s="471">
        <f t="shared" si="146"/>
        <v>0.05</v>
      </c>
      <c r="N3114" s="475">
        <f t="shared" si="147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45"/>
        <v>-176053663317.71011</v>
      </c>
      <c r="J3115" s="455">
        <f t="array" ref="J3115">IFERROR(INDEX('Retirement Calculator'!K:K,MATCH('Lorri 401b'!N3115,'Retirement Calculator'!A:A,0),0),0)</f>
        <v>0</v>
      </c>
      <c r="K3115" s="455">
        <f t="shared" ca="1" si="143"/>
        <v>-733556930.49045885</v>
      </c>
      <c r="L3115" s="455">
        <f t="shared" ca="1" si="144"/>
        <v>-176787220248.20056</v>
      </c>
      <c r="M3115" s="471">
        <f t="shared" si="146"/>
        <v>0.05</v>
      </c>
      <c r="N3115" s="475">
        <f t="shared" si="147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45"/>
        <v>-176787220248.20056</v>
      </c>
      <c r="J3116" s="455">
        <f t="array" ref="J3116">IFERROR(INDEX('Retirement Calculator'!K:K,MATCH('Lorri 401b'!N3116,'Retirement Calculator'!A:A,0),0),0)</f>
        <v>0</v>
      </c>
      <c r="K3116" s="455">
        <f t="shared" ca="1" si="143"/>
        <v>-736613417.7008357</v>
      </c>
      <c r="L3116" s="455">
        <f t="shared" ca="1" si="144"/>
        <v>-177523833665.9014</v>
      </c>
      <c r="M3116" s="471">
        <f t="shared" si="146"/>
        <v>0.05</v>
      </c>
      <c r="N3116" s="475">
        <f t="shared" si="147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45"/>
        <v>-177523833665.9014</v>
      </c>
      <c r="J3117" s="455">
        <f t="array" ref="J3117">IFERROR(INDEX('Retirement Calculator'!K:K,MATCH('Lorri 401b'!N3117,'Retirement Calculator'!A:A,0),0),0)</f>
        <v>0</v>
      </c>
      <c r="K3117" s="455">
        <f t="shared" ca="1" si="143"/>
        <v>-739682640.27458918</v>
      </c>
      <c r="L3117" s="455">
        <f t="shared" ca="1" si="144"/>
        <v>-178263516306.17599</v>
      </c>
      <c r="M3117" s="471">
        <f t="shared" si="146"/>
        <v>0.05</v>
      </c>
      <c r="N3117" s="475">
        <f t="shared" si="147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45"/>
        <v>-178263516306.17599</v>
      </c>
      <c r="J3118" s="455">
        <f t="array" ref="J3118">IFERROR(INDEX('Retirement Calculator'!K:K,MATCH('Lorri 401b'!N3118,'Retirement Calculator'!A:A,0),0),0)</f>
        <v>0</v>
      </c>
      <c r="K3118" s="455">
        <f t="shared" ca="1" si="143"/>
        <v>-742764651.27573335</v>
      </c>
      <c r="L3118" s="455">
        <f t="shared" ca="1" si="144"/>
        <v>-179006280957.45172</v>
      </c>
      <c r="M3118" s="471">
        <f t="shared" si="146"/>
        <v>0.05</v>
      </c>
      <c r="N3118" s="475">
        <f t="shared" si="147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45"/>
        <v>-179006280957.45172</v>
      </c>
      <c r="J3119" s="455">
        <f t="array" ref="J3119">IFERROR(INDEX('Retirement Calculator'!K:K,MATCH('Lorri 401b'!N3119,'Retirement Calculator'!A:A,0),0),0)</f>
        <v>0</v>
      </c>
      <c r="K3119" s="455">
        <f t="shared" ca="1" si="143"/>
        <v>-745859503.98938215</v>
      </c>
      <c r="L3119" s="455">
        <f t="shared" ca="1" si="144"/>
        <v>-179752140461.4411</v>
      </c>
      <c r="M3119" s="471">
        <f t="shared" si="146"/>
        <v>0.05</v>
      </c>
      <c r="N3119" s="475">
        <f t="shared" si="147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45"/>
        <v>-179752140461.4411</v>
      </c>
      <c r="J3120" s="455">
        <f t="array" ref="J3120">IFERROR(INDEX('Retirement Calculator'!K:K,MATCH('Lorri 401b'!N3120,'Retirement Calculator'!A:A,0),0),0)</f>
        <v>0</v>
      </c>
      <c r="K3120" s="455">
        <f t="shared" ca="1" si="143"/>
        <v>-748967251.9226712</v>
      </c>
      <c r="L3120" s="455">
        <f t="shared" ca="1" si="144"/>
        <v>-180501107713.36377</v>
      </c>
      <c r="M3120" s="471">
        <f t="shared" si="146"/>
        <v>0.05</v>
      </c>
      <c r="N3120" s="475">
        <f t="shared" si="147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45"/>
        <v>-180501107713.36377</v>
      </c>
      <c r="J3121" s="455">
        <f t="array" ref="J3121">IFERROR(INDEX('Retirement Calculator'!K:K,MATCH('Lorri 401b'!N3121,'Retirement Calculator'!A:A,0),0),0)</f>
        <v>0</v>
      </c>
      <c r="K3121" s="455">
        <f t="shared" ca="1" si="143"/>
        <v>-752087948.80568242</v>
      </c>
      <c r="L3121" s="455">
        <f t="shared" ca="1" si="144"/>
        <v>-181253195662.16946</v>
      </c>
      <c r="M3121" s="471">
        <f t="shared" si="146"/>
        <v>0.05</v>
      </c>
      <c r="N3121" s="475">
        <f t="shared" si="147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45"/>
        <v>-181253195662.16946</v>
      </c>
      <c r="J3122" s="455">
        <f t="array" ref="J3122">IFERROR(INDEX('Retirement Calculator'!K:K,MATCH('Lorri 401b'!N3122,'Retirement Calculator'!A:A,0),0),0)</f>
        <v>0</v>
      </c>
      <c r="K3122" s="455">
        <f t="shared" ca="1" si="143"/>
        <v>-755221648.59237278</v>
      </c>
      <c r="L3122" s="455">
        <f t="shared" ca="1" si="144"/>
        <v>-182008417310.76184</v>
      </c>
      <c r="M3122" s="471">
        <f t="shared" si="146"/>
        <v>0.05</v>
      </c>
      <c r="N3122" s="475">
        <f t="shared" si="147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45"/>
        <v>-182008417310.76184</v>
      </c>
      <c r="J3123" s="455">
        <f t="array" ref="J3123">IFERROR(INDEX('Retirement Calculator'!K:K,MATCH('Lorri 401b'!N3123,'Retirement Calculator'!A:A,0),0),0)</f>
        <v>0</v>
      </c>
      <c r="K3123" s="455">
        <f t="shared" ca="1" si="143"/>
        <v>-758368405.46150768</v>
      </c>
      <c r="L3123" s="455">
        <f t="shared" ca="1" si="144"/>
        <v>-182766785716.22336</v>
      </c>
      <c r="M3123" s="471">
        <f t="shared" si="146"/>
        <v>0.05</v>
      </c>
      <c r="N3123" s="475">
        <f t="shared" si="147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45"/>
        <v>-182766785716.22336</v>
      </c>
      <c r="J3124" s="455">
        <f t="array" ref="J3124">IFERROR(INDEX('Retirement Calculator'!K:K,MATCH('Lorri 401b'!N3124,'Retirement Calculator'!A:A,0),0),0)</f>
        <v>0</v>
      </c>
      <c r="K3124" s="455">
        <f t="shared" ca="1" si="143"/>
        <v>-761528273.81759727</v>
      </c>
      <c r="L3124" s="455">
        <f t="shared" ca="1" si="144"/>
        <v>-183528313990.04095</v>
      </c>
      <c r="M3124" s="471">
        <f t="shared" si="146"/>
        <v>0.05</v>
      </c>
      <c r="N3124" s="475">
        <f t="shared" si="147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45"/>
        <v>-183528313990.04095</v>
      </c>
      <c r="J3125" s="455">
        <f t="array" ref="J3125">IFERROR(INDEX('Retirement Calculator'!K:K,MATCH('Lorri 401b'!N3125,'Retirement Calculator'!A:A,0),0),0)</f>
        <v>0</v>
      </c>
      <c r="K3125" s="455">
        <f t="shared" ca="1" si="143"/>
        <v>-764701308.29183733</v>
      </c>
      <c r="L3125" s="455">
        <f t="shared" ca="1" si="144"/>
        <v>-184293015298.33279</v>
      </c>
      <c r="M3125" s="471">
        <f t="shared" si="146"/>
        <v>0.05</v>
      </c>
      <c r="N3125" s="475">
        <f t="shared" si="147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45"/>
        <v>-184293015298.33279</v>
      </c>
      <c r="J3126" s="455">
        <f t="array" ref="J3126">IFERROR(INDEX('Retirement Calculator'!K:K,MATCH('Lorri 401b'!N3126,'Retirement Calculator'!A:A,0),0),0)</f>
        <v>0</v>
      </c>
      <c r="K3126" s="455">
        <f t="shared" ca="1" si="143"/>
        <v>-767887563.74305332</v>
      </c>
      <c r="L3126" s="455">
        <f t="shared" ca="1" si="144"/>
        <v>-185060902862.07584</v>
      </c>
      <c r="M3126" s="471">
        <f t="shared" si="146"/>
        <v>0.05</v>
      </c>
      <c r="N3126" s="475">
        <f t="shared" si="147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45"/>
        <v>-185060902862.07584</v>
      </c>
      <c r="J3127" s="455">
        <f t="array" ref="J3127">IFERROR(INDEX('Retirement Calculator'!K:K,MATCH('Lorri 401b'!N3127,'Retirement Calculator'!A:A,0),0),0)</f>
        <v>0</v>
      </c>
      <c r="K3127" s="455">
        <f t="shared" ca="1" si="143"/>
        <v>-771087095.25864935</v>
      </c>
      <c r="L3127" s="455">
        <f t="shared" ca="1" si="144"/>
        <v>-185831989957.33447</v>
      </c>
      <c r="M3127" s="471">
        <f t="shared" si="146"/>
        <v>0.05</v>
      </c>
      <c r="N3127" s="475">
        <f t="shared" si="147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45"/>
        <v>-185831989957.33447</v>
      </c>
      <c r="J3128" s="455">
        <f t="array" ref="J3128">IFERROR(INDEX('Retirement Calculator'!K:K,MATCH('Lorri 401b'!N3128,'Retirement Calculator'!A:A,0),0),0)</f>
        <v>0</v>
      </c>
      <c r="K3128" s="455">
        <f t="shared" ca="1" si="143"/>
        <v>-774299958.15556026</v>
      </c>
      <c r="L3128" s="455">
        <f t="shared" ca="1" si="144"/>
        <v>-186606289915.49002</v>
      </c>
      <c r="M3128" s="471">
        <f t="shared" si="146"/>
        <v>0.05</v>
      </c>
      <c r="N3128" s="475">
        <f t="shared" si="147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45"/>
        <v>-186606289915.49002</v>
      </c>
      <c r="J3129" s="455">
        <f t="array" ref="J3129">IFERROR(INDEX('Retirement Calculator'!K:K,MATCH('Lorri 401b'!N3129,'Retirement Calculator'!A:A,0),0),0)</f>
        <v>0</v>
      </c>
      <c r="K3129" s="455">
        <f t="shared" ca="1" si="143"/>
        <v>-777526207.98120844</v>
      </c>
      <c r="L3129" s="455">
        <f t="shared" ca="1" si="144"/>
        <v>-187383816123.47122</v>
      </c>
      <c r="M3129" s="471">
        <f t="shared" si="146"/>
        <v>0.05</v>
      </c>
      <c r="N3129" s="475">
        <f t="shared" si="147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45"/>
        <v>-187383816123.47122</v>
      </c>
      <c r="J3130" s="455">
        <f t="array" ref="J3130">IFERROR(INDEX('Retirement Calculator'!K:K,MATCH('Lorri 401b'!N3130,'Retirement Calculator'!A:A,0),0),0)</f>
        <v>0</v>
      </c>
      <c r="K3130" s="455">
        <f t="shared" ca="1" si="143"/>
        <v>-780765900.51446342</v>
      </c>
      <c r="L3130" s="455">
        <f t="shared" ca="1" si="144"/>
        <v>-188164582023.98569</v>
      </c>
      <c r="M3130" s="471">
        <f t="shared" si="146"/>
        <v>0.05</v>
      </c>
      <c r="N3130" s="475">
        <f t="shared" si="147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45"/>
        <v>-188164582023.98569</v>
      </c>
      <c r="J3131" s="455">
        <f t="array" ref="J3131">IFERROR(INDEX('Retirement Calculator'!K:K,MATCH('Lorri 401b'!N3131,'Retirement Calculator'!A:A,0),0),0)</f>
        <v>0</v>
      </c>
      <c r="K3131" s="455">
        <f t="shared" ca="1" si="143"/>
        <v>-784019091.76660705</v>
      </c>
      <c r="L3131" s="455">
        <f t="shared" ca="1" si="144"/>
        <v>-188948601115.75229</v>
      </c>
      <c r="M3131" s="471">
        <f t="shared" si="146"/>
        <v>0.05</v>
      </c>
      <c r="N3131" s="475">
        <f t="shared" si="147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45"/>
        <v>-188948601115.75229</v>
      </c>
      <c r="J3132" s="455">
        <f t="array" ref="J3132">IFERROR(INDEX('Retirement Calculator'!K:K,MATCH('Lorri 401b'!N3132,'Retirement Calculator'!A:A,0),0),0)</f>
        <v>0</v>
      </c>
      <c r="K3132" s="455">
        <f t="shared" ca="1" si="143"/>
        <v>-787285837.98230124</v>
      </c>
      <c r="L3132" s="455">
        <f t="shared" ca="1" si="144"/>
        <v>-189735886953.73459</v>
      </c>
      <c r="M3132" s="471">
        <f t="shared" si="146"/>
        <v>0.05</v>
      </c>
      <c r="N3132" s="475">
        <f t="shared" si="147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45"/>
        <v>-189735886953.73459</v>
      </c>
      <c r="J3133" s="455">
        <f t="array" ref="J3133">IFERROR(INDEX('Retirement Calculator'!K:K,MATCH('Lorri 401b'!N3133,'Retirement Calculator'!A:A,0),0),0)</f>
        <v>0</v>
      </c>
      <c r="K3133" s="455">
        <f t="shared" ca="1" si="143"/>
        <v>-790566195.64056075</v>
      </c>
      <c r="L3133" s="455">
        <f t="shared" ca="1" si="144"/>
        <v>-190526453149.37515</v>
      </c>
      <c r="M3133" s="471">
        <f t="shared" si="146"/>
        <v>0.05</v>
      </c>
      <c r="N3133" s="475">
        <f t="shared" si="147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45"/>
        <v>-190526453149.37515</v>
      </c>
      <c r="J3134" s="455">
        <f t="array" ref="J3134">IFERROR(INDEX('Retirement Calculator'!K:K,MATCH('Lorri 401b'!N3134,'Retirement Calculator'!A:A,0),0),0)</f>
        <v>0</v>
      </c>
      <c r="K3134" s="455">
        <f t="shared" ca="1" si="143"/>
        <v>-793860221.45572984</v>
      </c>
      <c r="L3134" s="455">
        <f t="shared" ca="1" si="144"/>
        <v>-191320313370.83087</v>
      </c>
      <c r="M3134" s="471">
        <f t="shared" si="146"/>
        <v>0.05</v>
      </c>
      <c r="N3134" s="475">
        <f t="shared" si="147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45"/>
        <v>-191320313370.83087</v>
      </c>
      <c r="J3135" s="455">
        <f t="array" ref="J3135">IFERROR(INDEX('Retirement Calculator'!K:K,MATCH('Lorri 401b'!N3135,'Retirement Calculator'!A:A,0),0),0)</f>
        <v>0</v>
      </c>
      <c r="K3135" s="455">
        <f t="shared" ca="1" si="143"/>
        <v>-797167972.37846196</v>
      </c>
      <c r="L3135" s="455">
        <f t="shared" ca="1" si="144"/>
        <v>-192117481343.20932</v>
      </c>
      <c r="M3135" s="471">
        <f t="shared" si="146"/>
        <v>0.05</v>
      </c>
      <c r="N3135" s="475">
        <f t="shared" si="147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45"/>
        <v>-192117481343.20932</v>
      </c>
      <c r="J3136" s="455">
        <f t="array" ref="J3136">IFERROR(INDEX('Retirement Calculator'!K:K,MATCH('Lorri 401b'!N3136,'Retirement Calculator'!A:A,0),0),0)</f>
        <v>0</v>
      </c>
      <c r="K3136" s="455">
        <f t="shared" ca="1" si="143"/>
        <v>-800489505.59670544</v>
      </c>
      <c r="L3136" s="455">
        <f t="shared" ca="1" si="144"/>
        <v>-192917970848.80603</v>
      </c>
      <c r="M3136" s="471">
        <f t="shared" si="146"/>
        <v>0.05</v>
      </c>
      <c r="N3136" s="475">
        <f t="shared" si="147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45"/>
        <v>-192917970848.80603</v>
      </c>
      <c r="J3137" s="455">
        <f t="array" ref="J3137">IFERROR(INDEX('Retirement Calculator'!K:K,MATCH('Lorri 401b'!N3137,'Retirement Calculator'!A:A,0),0),0)</f>
        <v>0</v>
      </c>
      <c r="K3137" s="455">
        <f t="shared" ca="1" si="143"/>
        <v>-803824878.53669178</v>
      </c>
      <c r="L3137" s="455">
        <f t="shared" ca="1" si="144"/>
        <v>-193721795727.34271</v>
      </c>
      <c r="M3137" s="471">
        <f t="shared" si="146"/>
        <v>0.05</v>
      </c>
      <c r="N3137" s="475">
        <f t="shared" si="147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45"/>
        <v>-193721795727.34271</v>
      </c>
      <c r="J3138" s="455">
        <f t="array" ref="J3138">IFERROR(INDEX('Retirement Calculator'!K:K,MATCH('Lorri 401b'!N3138,'Retirement Calculator'!A:A,0),0),0)</f>
        <v>0</v>
      </c>
      <c r="K3138" s="455">
        <f t="shared" ca="1" si="143"/>
        <v>-807174148.86392796</v>
      </c>
      <c r="L3138" s="455">
        <f t="shared" ca="1" si="144"/>
        <v>-194528969876.20663</v>
      </c>
      <c r="M3138" s="471">
        <f t="shared" si="146"/>
        <v>0.05</v>
      </c>
      <c r="N3138" s="475">
        <f t="shared" si="147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45"/>
        <v>-194528969876.20663</v>
      </c>
      <c r="J3139" s="455">
        <f t="array" ref="J3139">IFERROR(INDEX('Retirement Calculator'!K:K,MATCH('Lorri 401b'!N3139,'Retirement Calculator'!A:A,0),0),0)</f>
        <v>0</v>
      </c>
      <c r="K3139" s="455">
        <f t="shared" ca="1" si="143"/>
        <v>-810537374.48419428</v>
      </c>
      <c r="L3139" s="455">
        <f t="shared" ca="1" si="144"/>
        <v>-195339507250.69083</v>
      </c>
      <c r="M3139" s="471">
        <f t="shared" si="146"/>
        <v>0.05</v>
      </c>
      <c r="N3139" s="475">
        <f t="shared" si="147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45"/>
        <v>-195339507250.69083</v>
      </c>
      <c r="J3140" s="455">
        <f t="array" ref="J3140">IFERROR(INDEX('Retirement Calculator'!K:K,MATCH('Lorri 401b'!N3140,'Retirement Calculator'!A:A,0),0),0)</f>
        <v>0</v>
      </c>
      <c r="K3140" s="455">
        <f t="shared" ca="1" si="143"/>
        <v>-813914613.54454505</v>
      </c>
      <c r="L3140" s="455">
        <f t="shared" ca="1" si="144"/>
        <v>-196153421864.23538</v>
      </c>
      <c r="M3140" s="471">
        <f t="shared" si="146"/>
        <v>0.05</v>
      </c>
      <c r="N3140" s="475">
        <f t="shared" si="147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45"/>
        <v>-196153421864.23538</v>
      </c>
      <c r="J3141" s="455">
        <f t="array" ref="J3141">IFERROR(INDEX('Retirement Calculator'!K:K,MATCH('Lorri 401b'!N3141,'Retirement Calculator'!A:A,0),0),0)</f>
        <v>0</v>
      </c>
      <c r="K3141" s="455">
        <f t="shared" ca="1" si="143"/>
        <v>-817305924.43431413</v>
      </c>
      <c r="L3141" s="455">
        <f t="shared" ca="1" si="144"/>
        <v>-196970727788.66971</v>
      </c>
      <c r="M3141" s="471">
        <f t="shared" si="146"/>
        <v>0.05</v>
      </c>
      <c r="N3141" s="475">
        <f t="shared" si="147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45"/>
        <v>-196970727788.66971</v>
      </c>
      <c r="J3142" s="455">
        <f t="array" ref="J3142">IFERROR(INDEX('Retirement Calculator'!K:K,MATCH('Lorri 401b'!N3142,'Retirement Calculator'!A:A,0),0),0)</f>
        <v>0</v>
      </c>
      <c r="K3142" s="455">
        <f t="shared" ca="1" si="143"/>
        <v>-820711365.78612375</v>
      </c>
      <c r="L3142" s="455">
        <f t="shared" ca="1" si="144"/>
        <v>-197791439154.45584</v>
      </c>
      <c r="M3142" s="471">
        <f t="shared" si="146"/>
        <v>0.05</v>
      </c>
      <c r="N3142" s="475">
        <f t="shared" si="147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45"/>
        <v>-197791439154.45584</v>
      </c>
      <c r="J3143" s="455">
        <f t="array" ref="J3143">IFERROR(INDEX('Retirement Calculator'!K:K,MATCH('Lorri 401b'!N3143,'Retirement Calculator'!A:A,0),0),0)</f>
        <v>0</v>
      </c>
      <c r="K3143" s="455">
        <f t="shared" ca="1" si="143"/>
        <v>-824130996.47689939</v>
      </c>
      <c r="L3143" s="455">
        <f t="shared" ca="1" si="144"/>
        <v>-198615570150.93274</v>
      </c>
      <c r="M3143" s="471">
        <f t="shared" si="146"/>
        <v>0.05</v>
      </c>
      <c r="N3143" s="475">
        <f t="shared" si="147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45"/>
        <v>-198615570150.93274</v>
      </c>
      <c r="J3144" s="455">
        <f t="array" ref="J3144">IFERROR(INDEX('Retirement Calculator'!K:K,MATCH('Lorri 401b'!N3144,'Retirement Calculator'!A:A,0),0),0)</f>
        <v>0</v>
      </c>
      <c r="K3144" s="455">
        <f t="shared" ca="1" si="143"/>
        <v>-827564875.62888646</v>
      </c>
      <c r="L3144" s="455">
        <f t="shared" ca="1" si="144"/>
        <v>-199443135026.56161</v>
      </c>
      <c r="M3144" s="471">
        <f t="shared" si="146"/>
        <v>0.05</v>
      </c>
      <c r="N3144" s="475">
        <f t="shared" si="147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45"/>
        <v>-199443135026.56161</v>
      </c>
      <c r="J3145" s="455">
        <f t="array" ref="J3145">IFERROR(INDEX('Retirement Calculator'!K:K,MATCH('Lorri 401b'!N3145,'Retirement Calculator'!A:A,0),0),0)</f>
        <v>0</v>
      </c>
      <c r="K3145" s="455">
        <f t="shared" ca="1" si="143"/>
        <v>-831013062.61067343</v>
      </c>
      <c r="L3145" s="455">
        <f t="shared" ca="1" si="144"/>
        <v>-200274148089.1723</v>
      </c>
      <c r="M3145" s="471">
        <f t="shared" si="146"/>
        <v>0.05</v>
      </c>
      <c r="N3145" s="475">
        <f t="shared" si="147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45"/>
        <v>-200274148089.1723</v>
      </c>
      <c r="J3146" s="455">
        <f t="array" ref="J3146">IFERROR(INDEX('Retirement Calculator'!K:K,MATCH('Lorri 401b'!N3146,'Retirement Calculator'!A:A,0),0),0)</f>
        <v>0</v>
      </c>
      <c r="K3146" s="455">
        <f t="shared" ca="1" si="143"/>
        <v>-834475617.0382179</v>
      </c>
      <c r="L3146" s="455">
        <f t="shared" ca="1" si="144"/>
        <v>-201108623706.21051</v>
      </c>
      <c r="M3146" s="471">
        <f t="shared" si="146"/>
        <v>0.05</v>
      </c>
      <c r="N3146" s="475">
        <f t="shared" si="147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45"/>
        <v>-201108623706.21051</v>
      </c>
      <c r="J3147" s="455">
        <f t="array" ref="J3147">IFERROR(INDEX('Retirement Calculator'!K:K,MATCH('Lorri 401b'!N3147,'Retirement Calculator'!A:A,0),0),0)</f>
        <v>0</v>
      </c>
      <c r="K3147" s="455">
        <f t="shared" ca="1" si="143"/>
        <v>-837952598.77587712</v>
      </c>
      <c r="L3147" s="455">
        <f t="shared" ca="1" si="144"/>
        <v>-201946576304.98639</v>
      </c>
      <c r="M3147" s="471">
        <f t="shared" si="146"/>
        <v>0.05</v>
      </c>
      <c r="N3147" s="475">
        <f t="shared" si="147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45"/>
        <v>-201946576304.98639</v>
      </c>
      <c r="J3148" s="455">
        <f t="array" ref="J3148">IFERROR(INDEX('Retirement Calculator'!K:K,MATCH('Lorri 401b'!N3148,'Retirement Calculator'!A:A,0),0),0)</f>
        <v>0</v>
      </c>
      <c r="K3148" s="455">
        <f t="shared" ca="1" si="143"/>
        <v>-841444067.93744326</v>
      </c>
      <c r="L3148" s="455">
        <f t="shared" ca="1" si="144"/>
        <v>-202788020372.92383</v>
      </c>
      <c r="M3148" s="471">
        <f t="shared" si="146"/>
        <v>0.05</v>
      </c>
      <c r="N3148" s="475">
        <f t="shared" si="147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45"/>
        <v>-202788020372.92383</v>
      </c>
      <c r="J3149" s="455">
        <f t="array" ref="J3149">IFERROR(INDEX('Retirement Calculator'!K:K,MATCH('Lorri 401b'!N3149,'Retirement Calculator'!A:A,0),0),0)</f>
        <v>0</v>
      </c>
      <c r="K3149" s="455">
        <f t="shared" ca="1" si="143"/>
        <v>-844950084.88718259</v>
      </c>
      <c r="L3149" s="455">
        <f t="shared" ca="1" si="144"/>
        <v>-203632970457.811</v>
      </c>
      <c r="M3149" s="471">
        <f t="shared" si="146"/>
        <v>0.05</v>
      </c>
      <c r="N3149" s="475">
        <f t="shared" si="147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45"/>
        <v>-203632970457.811</v>
      </c>
      <c r="J3150" s="455">
        <f t="array" ref="J3150">IFERROR(INDEX('Retirement Calculator'!K:K,MATCH('Lorri 401b'!N3150,'Retirement Calculator'!A:A,0),0),0)</f>
        <v>0</v>
      </c>
      <c r="K3150" s="455">
        <f t="shared" ca="1" si="143"/>
        <v>-848470710.24087918</v>
      </c>
      <c r="L3150" s="455">
        <f t="shared" ca="1" si="144"/>
        <v>-204481441168.05188</v>
      </c>
      <c r="M3150" s="471">
        <f t="shared" si="146"/>
        <v>0.05</v>
      </c>
      <c r="N3150" s="475">
        <f t="shared" si="147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45"/>
        <v>-204481441168.05188</v>
      </c>
      <c r="J3151" s="455">
        <f t="array" ref="J3151">IFERROR(INDEX('Retirement Calculator'!K:K,MATCH('Lorri 401b'!N3151,'Retirement Calculator'!A:A,0),0),0)</f>
        <v>0</v>
      </c>
      <c r="K3151" s="455">
        <f t="shared" ca="1" si="143"/>
        <v>-852006004.8668828</v>
      </c>
      <c r="L3151" s="455">
        <f t="shared" ca="1" si="144"/>
        <v>-205333447172.91876</v>
      </c>
      <c r="M3151" s="471">
        <f t="shared" si="146"/>
        <v>0.05</v>
      </c>
      <c r="N3151" s="475">
        <f t="shared" si="147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45"/>
        <v>-205333447172.91876</v>
      </c>
      <c r="J3152" s="455">
        <f t="array" ref="J3152">IFERROR(INDEX('Retirement Calculator'!K:K,MATCH('Lorri 401b'!N3152,'Retirement Calculator'!A:A,0),0),0)</f>
        <v>0</v>
      </c>
      <c r="K3152" s="455">
        <f t="shared" ca="1" si="143"/>
        <v>-855556029.88716149</v>
      </c>
      <c r="L3152" s="455">
        <f t="shared" ca="1" si="144"/>
        <v>-206189003202.80594</v>
      </c>
      <c r="M3152" s="471">
        <f t="shared" si="146"/>
        <v>0.05</v>
      </c>
      <c r="N3152" s="475">
        <f t="shared" si="147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45"/>
        <v>-206189003202.80594</v>
      </c>
      <c r="J3153" s="455">
        <f t="array" ref="J3153">IFERROR(INDEX('Retirement Calculator'!K:K,MATCH('Lorri 401b'!N3153,'Retirement Calculator'!A:A,0),0),0)</f>
        <v>0</v>
      </c>
      <c r="K3153" s="455">
        <f t="shared" ca="1" si="143"/>
        <v>-859120846.67835808</v>
      </c>
      <c r="L3153" s="455">
        <f t="shared" ca="1" si="144"/>
        <v>-207048124049.48428</v>
      </c>
      <c r="M3153" s="471">
        <f t="shared" si="146"/>
        <v>0.05</v>
      </c>
      <c r="N3153" s="475">
        <f t="shared" si="147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45"/>
        <v>-207048124049.48428</v>
      </c>
      <c r="J3154" s="455">
        <f t="array" ref="J3154">IFERROR(INDEX('Retirement Calculator'!K:K,MATCH('Lorri 401b'!N3154,'Retirement Calculator'!A:A,0),0),0)</f>
        <v>0</v>
      </c>
      <c r="K3154" s="455">
        <f t="shared" ca="1" si="143"/>
        <v>-862700516.87285113</v>
      </c>
      <c r="L3154" s="455">
        <f t="shared" ca="1" si="144"/>
        <v>-207910824566.35715</v>
      </c>
      <c r="M3154" s="471">
        <f t="shared" si="146"/>
        <v>0.05</v>
      </c>
      <c r="N3154" s="475">
        <f t="shared" si="147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45"/>
        <v>-207910824566.35715</v>
      </c>
      <c r="J3155" s="455">
        <f t="array" ref="J3155">IFERROR(INDEX('Retirement Calculator'!K:K,MATCH('Lorri 401b'!N3155,'Retirement Calculator'!A:A,0),0),0)</f>
        <v>0</v>
      </c>
      <c r="K3155" s="455">
        <f t="shared" ca="1" si="143"/>
        <v>-866295102.35982144</v>
      </c>
      <c r="L3155" s="455">
        <f t="shared" ca="1" si="144"/>
        <v>-208777119668.71698</v>
      </c>
      <c r="M3155" s="471">
        <f t="shared" si="146"/>
        <v>0.05</v>
      </c>
      <c r="N3155" s="475">
        <f t="shared" si="147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45"/>
        <v>-208777119668.71698</v>
      </c>
      <c r="J3156" s="455">
        <f t="array" ref="J3156">IFERROR(INDEX('Retirement Calculator'!K:K,MATCH('Lorri 401b'!N3156,'Retirement Calculator'!A:A,0),0),0)</f>
        <v>0</v>
      </c>
      <c r="K3156" s="455">
        <f t="shared" ca="1" si="143"/>
        <v>-869904665.28632069</v>
      </c>
      <c r="L3156" s="455">
        <f t="shared" ca="1" si="144"/>
        <v>-209647024334.0033</v>
      </c>
      <c r="M3156" s="471">
        <f t="shared" si="146"/>
        <v>0.05</v>
      </c>
      <c r="N3156" s="475">
        <f t="shared" si="147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45"/>
        <v>-209647024334.0033</v>
      </c>
      <c r="J3157" s="455">
        <f t="array" ref="J3157">IFERROR(INDEX('Retirement Calculator'!K:K,MATCH('Lorri 401b'!N3157,'Retirement Calculator'!A:A,0),0),0)</f>
        <v>0</v>
      </c>
      <c r="K3157" s="455">
        <f t="shared" ca="1" si="143"/>
        <v>-873529268.05834711</v>
      </c>
      <c r="L3157" s="455">
        <f t="shared" ca="1" si="144"/>
        <v>-210520553602.06165</v>
      </c>
      <c r="M3157" s="471">
        <f t="shared" si="146"/>
        <v>0.05</v>
      </c>
      <c r="N3157" s="475">
        <f t="shared" si="147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45"/>
        <v>-210520553602.06165</v>
      </c>
      <c r="J3158" s="455">
        <f t="array" ref="J3158">IFERROR(INDEX('Retirement Calculator'!K:K,MATCH('Lorri 401b'!N3158,'Retirement Calculator'!A:A,0),0),0)</f>
        <v>0</v>
      </c>
      <c r="K3158" s="455">
        <f t="shared" ca="1" si="143"/>
        <v>-877168973.34192348</v>
      </c>
      <c r="L3158" s="455">
        <f t="shared" ca="1" si="144"/>
        <v>-211397722575.40356</v>
      </c>
      <c r="M3158" s="471">
        <f t="shared" si="146"/>
        <v>0.05</v>
      </c>
      <c r="N3158" s="475">
        <f t="shared" si="147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45"/>
        <v>-211397722575.40356</v>
      </c>
      <c r="J3159" s="455">
        <f t="array" ref="J3159">IFERROR(INDEX('Retirement Calculator'!K:K,MATCH('Lorri 401b'!N3159,'Retirement Calculator'!A:A,0),0),0)</f>
        <v>0</v>
      </c>
      <c r="K3159" s="455">
        <f t="shared" ca="1" si="143"/>
        <v>-880823844.06418145</v>
      </c>
      <c r="L3159" s="455">
        <f t="shared" ca="1" si="144"/>
        <v>-212278546419.46774</v>
      </c>
      <c r="M3159" s="471">
        <f t="shared" si="146"/>
        <v>0.05</v>
      </c>
      <c r="N3159" s="475">
        <f t="shared" si="147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45"/>
        <v>-212278546419.46774</v>
      </c>
      <c r="J3160" s="455">
        <f t="array" ref="J3160">IFERROR(INDEX('Retirement Calculator'!K:K,MATCH('Lorri 401b'!N3160,'Retirement Calculator'!A:A,0),0),0)</f>
        <v>0</v>
      </c>
      <c r="K3160" s="455">
        <f t="shared" ca="1" si="143"/>
        <v>-884493943.41444886</v>
      </c>
      <c r="L3160" s="455">
        <f t="shared" ca="1" si="144"/>
        <v>-213163040362.8822</v>
      </c>
      <c r="M3160" s="471">
        <f t="shared" si="146"/>
        <v>0.05</v>
      </c>
      <c r="N3160" s="475">
        <f t="shared" si="147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45"/>
        <v>-213163040362.8822</v>
      </c>
      <c r="J3161" s="455">
        <f t="array" ref="J3161">IFERROR(INDEX('Retirement Calculator'!K:K,MATCH('Lorri 401b'!N3161,'Retirement Calculator'!A:A,0),0),0)</f>
        <v>0</v>
      </c>
      <c r="K3161" s="455">
        <f t="shared" ca="1" si="143"/>
        <v>-888179334.84534252</v>
      </c>
      <c r="L3161" s="455">
        <f t="shared" ca="1" si="144"/>
        <v>-214051219697.72754</v>
      </c>
      <c r="M3161" s="471">
        <f t="shared" si="146"/>
        <v>0.05</v>
      </c>
      <c r="N3161" s="475">
        <f t="shared" si="147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45"/>
        <v>-214051219697.72754</v>
      </c>
      <c r="J3162" s="455">
        <f t="array" ref="J3162">IFERROR(INDEX('Retirement Calculator'!K:K,MATCH('Lorri 401b'!N3162,'Retirement Calculator'!A:A,0),0),0)</f>
        <v>0</v>
      </c>
      <c r="K3162" s="455">
        <f t="shared" ca="1" si="143"/>
        <v>-891880082.0738647</v>
      </c>
      <c r="L3162" s="455">
        <f t="shared" ca="1" si="144"/>
        <v>-214943099779.80139</v>
      </c>
      <c r="M3162" s="471">
        <f t="shared" si="146"/>
        <v>0.05</v>
      </c>
      <c r="N3162" s="475">
        <f t="shared" si="147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45"/>
        <v>-214943099779.80139</v>
      </c>
      <c r="J3163" s="455">
        <f t="array" ref="J3163">IFERROR(INDEX('Retirement Calculator'!K:K,MATCH('Lorri 401b'!N3163,'Retirement Calculator'!A:A,0),0),0)</f>
        <v>0</v>
      </c>
      <c r="K3163" s="455">
        <f t="shared" ca="1" si="143"/>
        <v>-895596249.08250594</v>
      </c>
      <c r="L3163" s="455">
        <f t="shared" ca="1" si="144"/>
        <v>-215838696028.88391</v>
      </c>
      <c r="M3163" s="471">
        <f t="shared" si="146"/>
        <v>0.05</v>
      </c>
      <c r="N3163" s="475">
        <f t="shared" si="147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45"/>
        <v>-215838696028.88391</v>
      </c>
      <c r="J3164" s="455">
        <f t="array" ref="J3164">IFERROR(INDEX('Retirement Calculator'!K:K,MATCH('Lorri 401b'!N3164,'Retirement Calculator'!A:A,0),0),0)</f>
        <v>0</v>
      </c>
      <c r="K3164" s="455">
        <f t="shared" ca="1" si="143"/>
        <v>-899327900.12034965</v>
      </c>
      <c r="L3164" s="455">
        <f t="shared" ca="1" si="144"/>
        <v>-216738023929.00427</v>
      </c>
      <c r="M3164" s="471">
        <f t="shared" si="146"/>
        <v>0.05</v>
      </c>
      <c r="N3164" s="475">
        <f t="shared" si="147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45"/>
        <v>-216738023929.00427</v>
      </c>
      <c r="J3165" s="455">
        <f t="array" ref="J3165">IFERROR(INDEX('Retirement Calculator'!K:K,MATCH('Lorri 401b'!N3165,'Retirement Calculator'!A:A,0),0),0)</f>
        <v>0</v>
      </c>
      <c r="K3165" s="455">
        <f t="shared" ca="1" si="143"/>
        <v>-903075099.70418441</v>
      </c>
      <c r="L3165" s="455">
        <f t="shared" ca="1" si="144"/>
        <v>-217641099028.70847</v>
      </c>
      <c r="M3165" s="471">
        <f t="shared" si="146"/>
        <v>0.05</v>
      </c>
      <c r="N3165" s="475">
        <f t="shared" si="147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45"/>
        <v>-217641099028.70847</v>
      </c>
      <c r="J3166" s="455">
        <f t="array" ref="J3166">IFERROR(INDEX('Retirement Calculator'!K:K,MATCH('Lorri 401b'!N3166,'Retirement Calculator'!A:A,0),0),0)</f>
        <v>0</v>
      </c>
      <c r="K3166" s="455">
        <f t="shared" ca="1" si="143"/>
        <v>-906837912.61961854</v>
      </c>
      <c r="L3166" s="455">
        <f t="shared" ca="1" si="144"/>
        <v>-218547936941.32809</v>
      </c>
      <c r="M3166" s="471">
        <f t="shared" si="146"/>
        <v>0.05</v>
      </c>
      <c r="N3166" s="475">
        <f t="shared" si="147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45"/>
        <v>-218547936941.32809</v>
      </c>
      <c r="J3167" s="455">
        <f t="array" ref="J3167">IFERROR(INDEX('Retirement Calculator'!K:K,MATCH('Lorri 401b'!N3167,'Retirement Calculator'!A:A,0),0),0)</f>
        <v>0</v>
      </c>
      <c r="K3167" s="455">
        <f t="shared" ca="1" si="143"/>
        <v>-910616403.92220032</v>
      </c>
      <c r="L3167" s="455">
        <f t="shared" ca="1" si="144"/>
        <v>-219458553345.25031</v>
      </c>
      <c r="M3167" s="471">
        <f t="shared" si="146"/>
        <v>0.05</v>
      </c>
      <c r="N3167" s="475">
        <f t="shared" si="147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45"/>
        <v>-219458553345.25031</v>
      </c>
      <c r="J3168" s="455">
        <f t="array" ref="J3168">IFERROR(INDEX('Retirement Calculator'!K:K,MATCH('Lorri 401b'!N3168,'Retirement Calculator'!A:A,0),0),0)</f>
        <v>0</v>
      </c>
      <c r="K3168" s="455">
        <f t="shared" ca="1" si="143"/>
        <v>-914410638.93854308</v>
      </c>
      <c r="L3168" s="455">
        <f t="shared" ca="1" si="144"/>
        <v>-220372963984.18884</v>
      </c>
      <c r="M3168" s="471">
        <f t="shared" si="146"/>
        <v>0.05</v>
      </c>
      <c r="N3168" s="475">
        <f t="shared" si="147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45"/>
        <v>-220372963984.18884</v>
      </c>
      <c r="J3169" s="455">
        <f t="array" ref="J3169">IFERROR(INDEX('Retirement Calculator'!K:K,MATCH('Lorri 401b'!N3169,'Retirement Calculator'!A:A,0),0),0)</f>
        <v>0</v>
      </c>
      <c r="K3169" s="455">
        <f t="shared" ca="1" si="143"/>
        <v>-918220683.26745355</v>
      </c>
      <c r="L3169" s="455">
        <f t="shared" ca="1" si="144"/>
        <v>-221291184667.4563</v>
      </c>
      <c r="M3169" s="471">
        <f t="shared" si="146"/>
        <v>0.05</v>
      </c>
      <c r="N3169" s="475">
        <f t="shared" si="147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45"/>
        <v>-221291184667.4563</v>
      </c>
      <c r="J3170" s="455">
        <f t="array" ref="J3170">IFERROR(INDEX('Retirement Calculator'!K:K,MATCH('Lorri 401b'!N3170,'Retirement Calculator'!A:A,0),0),0)</f>
        <v>0</v>
      </c>
      <c r="K3170" s="455">
        <f t="shared" ca="1" si="143"/>
        <v>-922046602.78106785</v>
      </c>
      <c r="L3170" s="455">
        <f t="shared" ca="1" si="144"/>
        <v>-222213231270.23737</v>
      </c>
      <c r="M3170" s="471">
        <f t="shared" si="146"/>
        <v>0.05</v>
      </c>
      <c r="N3170" s="475">
        <f t="shared" si="147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45"/>
        <v>-222213231270.23737</v>
      </c>
      <c r="J3171" s="455">
        <f t="array" ref="J3171">IFERROR(INDEX('Retirement Calculator'!K:K,MATCH('Lorri 401b'!N3171,'Retirement Calculator'!A:A,0),0),0)</f>
        <v>0</v>
      </c>
      <c r="K3171" s="455">
        <f t="shared" ca="1" si="143"/>
        <v>-925888463.62598896</v>
      </c>
      <c r="L3171" s="455">
        <f t="shared" ca="1" si="144"/>
        <v>-223139119733.86334</v>
      </c>
      <c r="M3171" s="471">
        <f t="shared" si="146"/>
        <v>0.05</v>
      </c>
      <c r="N3171" s="475">
        <f t="shared" si="147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45"/>
        <v>-223139119733.86334</v>
      </c>
      <c r="J3172" s="455">
        <f t="array" ref="J3172">IFERROR(INDEX('Retirement Calculator'!K:K,MATCH('Lorri 401b'!N3172,'Retirement Calculator'!A:A,0),0),0)</f>
        <v>0</v>
      </c>
      <c r="K3172" s="455">
        <f t="shared" ca="1" si="143"/>
        <v>-929746332.22443056</v>
      </c>
      <c r="L3172" s="455">
        <f t="shared" ca="1" si="144"/>
        <v>-224068866066.08777</v>
      </c>
      <c r="M3172" s="471">
        <f t="shared" si="146"/>
        <v>0.05</v>
      </c>
      <c r="N3172" s="475">
        <f t="shared" si="147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45"/>
        <v>-224068866066.08777</v>
      </c>
      <c r="J3173" s="455">
        <f t="array" ref="J3173">IFERROR(INDEX('Retirement Calculator'!K:K,MATCH('Lorri 401b'!N3173,'Retirement Calculator'!A:A,0),0),0)</f>
        <v>0</v>
      </c>
      <c r="K3173" s="455">
        <f t="shared" ca="1" si="143"/>
        <v>-933620275.27536571</v>
      </c>
      <c r="L3173" s="455">
        <f t="shared" ca="1" si="144"/>
        <v>-225002486341.36313</v>
      </c>
      <c r="M3173" s="471">
        <f t="shared" si="146"/>
        <v>0.05</v>
      </c>
      <c r="N3173" s="475">
        <f t="shared" si="147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45"/>
        <v>-225002486341.36313</v>
      </c>
      <c r="J3174" s="455">
        <f t="array" ref="J3174">IFERROR(INDEX('Retirement Calculator'!K:K,MATCH('Lorri 401b'!N3174,'Retirement Calculator'!A:A,0),0),0)</f>
        <v>0</v>
      </c>
      <c r="K3174" s="455">
        <f t="shared" ca="1" si="143"/>
        <v>-937510359.75567973</v>
      </c>
      <c r="L3174" s="455">
        <f t="shared" ca="1" si="144"/>
        <v>-225939996701.1188</v>
      </c>
      <c r="M3174" s="471">
        <f t="shared" si="146"/>
        <v>0.05</v>
      </c>
      <c r="N3174" s="475">
        <f t="shared" si="147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45"/>
        <v>-225939996701.1188</v>
      </c>
      <c r="J3175" s="455">
        <f t="array" ref="J3175">IFERROR(INDEX('Retirement Calculator'!K:K,MATCH('Lorri 401b'!N3175,'Retirement Calculator'!A:A,0),0),0)</f>
        <v>0</v>
      </c>
      <c r="K3175" s="455">
        <f t="shared" ca="1" si="143"/>
        <v>-941416652.92132831</v>
      </c>
      <c r="L3175" s="455">
        <f t="shared" ca="1" si="144"/>
        <v>-226881413354.04013</v>
      </c>
      <c r="M3175" s="471">
        <f t="shared" si="146"/>
        <v>0.05</v>
      </c>
      <c r="N3175" s="475">
        <f t="shared" si="147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45"/>
        <v>-226881413354.04013</v>
      </c>
      <c r="J3176" s="455">
        <f t="array" ref="J3176">IFERROR(INDEX('Retirement Calculator'!K:K,MATCH('Lorri 401b'!N3176,'Retirement Calculator'!A:A,0),0),0)</f>
        <v>0</v>
      </c>
      <c r="K3176" s="455">
        <f t="shared" ca="1" si="143"/>
        <v>-945339222.30850053</v>
      </c>
      <c r="L3176" s="455">
        <f t="shared" ca="1" si="144"/>
        <v>-227826752576.34863</v>
      </c>
      <c r="M3176" s="471">
        <f t="shared" si="146"/>
        <v>0.05</v>
      </c>
      <c r="N3176" s="475">
        <f t="shared" si="147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45"/>
        <v>-227826752576.34863</v>
      </c>
      <c r="J3177" s="455">
        <f t="array" ref="J3177">IFERROR(INDEX('Retirement Calculator'!K:K,MATCH('Lorri 401b'!N3177,'Retirement Calculator'!A:A,0),0),0)</f>
        <v>0</v>
      </c>
      <c r="K3177" s="455">
        <f t="shared" ca="1" si="143"/>
        <v>-949278135.73478591</v>
      </c>
      <c r="L3177" s="455">
        <f t="shared" ca="1" si="144"/>
        <v>-228776030712.0834</v>
      </c>
      <c r="M3177" s="471">
        <f t="shared" si="146"/>
        <v>0.05</v>
      </c>
      <c r="N3177" s="475">
        <f t="shared" si="147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45"/>
        <v>-228776030712.0834</v>
      </c>
      <c r="J3178" s="455">
        <f t="array" ref="J3178">IFERROR(INDEX('Retirement Calculator'!K:K,MATCH('Lorri 401b'!N3178,'Retirement Calculator'!A:A,0),0),0)</f>
        <v>0</v>
      </c>
      <c r="K3178" s="455">
        <f t="shared" ca="1" si="143"/>
        <v>-953233461.30034745</v>
      </c>
      <c r="L3178" s="455">
        <f t="shared" ca="1" si="144"/>
        <v>-229729264173.38376</v>
      </c>
      <c r="M3178" s="471">
        <f t="shared" si="146"/>
        <v>0.05</v>
      </c>
      <c r="N3178" s="475">
        <f t="shared" si="147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45"/>
        <v>-229729264173.38376</v>
      </c>
      <c r="J3179" s="455">
        <f t="array" ref="J3179">IFERROR(INDEX('Retirement Calculator'!K:K,MATCH('Lorri 401b'!N3179,'Retirement Calculator'!A:A,0),0),0)</f>
        <v>0</v>
      </c>
      <c r="K3179" s="455">
        <f t="shared" ca="1" si="143"/>
        <v>-957205267.389099</v>
      </c>
      <c r="L3179" s="455">
        <f t="shared" ca="1" si="144"/>
        <v>-230686469440.77286</v>
      </c>
      <c r="M3179" s="471">
        <f t="shared" si="146"/>
        <v>0.05</v>
      </c>
      <c r="N3179" s="475">
        <f t="shared" si="147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45"/>
        <v>-230686469440.77286</v>
      </c>
      <c r="J3180" s="455">
        <f t="array" ref="J3180">IFERROR(INDEX('Retirement Calculator'!K:K,MATCH('Lorri 401b'!N3180,'Retirement Calculator'!A:A,0),0),0)</f>
        <v>0</v>
      </c>
      <c r="K3180" s="455">
        <f t="shared" ca="1" si="143"/>
        <v>-961193622.66988695</v>
      </c>
      <c r="L3180" s="455">
        <f t="shared" ca="1" si="144"/>
        <v>-231647663063.44275</v>
      </c>
      <c r="M3180" s="471">
        <f t="shared" si="146"/>
        <v>0.05</v>
      </c>
      <c r="N3180" s="475">
        <f t="shared" si="147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45"/>
        <v>-231647663063.44275</v>
      </c>
      <c r="J3181" s="455">
        <f t="array" ref="J3181">IFERROR(INDEX('Retirement Calculator'!K:K,MATCH('Lorri 401b'!N3181,'Retirement Calculator'!A:A,0),0),0)</f>
        <v>0</v>
      </c>
      <c r="K3181" s="455">
        <f t="shared" ca="1" si="143"/>
        <v>-965198596.09767807</v>
      </c>
      <c r="L3181" s="455">
        <f t="shared" ca="1" si="144"/>
        <v>-232612861659.54044</v>
      </c>
      <c r="M3181" s="471">
        <f t="shared" si="146"/>
        <v>0.05</v>
      </c>
      <c r="N3181" s="475">
        <f t="shared" si="147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45"/>
        <v>-232612861659.54044</v>
      </c>
      <c r="J3182" s="455">
        <f t="array" ref="J3182">IFERROR(INDEX('Retirement Calculator'!K:K,MATCH('Lorri 401b'!N3182,'Retirement Calculator'!A:A,0),0),0)</f>
        <v>0</v>
      </c>
      <c r="K3182" s="455">
        <f t="shared" ca="1" si="143"/>
        <v>-969220256.91475177</v>
      </c>
      <c r="L3182" s="455">
        <f t="shared" ca="1" si="144"/>
        <v>-233582081916.4552</v>
      </c>
      <c r="M3182" s="471">
        <f t="shared" si="146"/>
        <v>0.05</v>
      </c>
      <c r="N3182" s="475">
        <f t="shared" si="147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45"/>
        <v>-233582081916.4552</v>
      </c>
      <c r="J3183" s="455">
        <f t="array" ref="J3183">IFERROR(INDEX('Retirement Calculator'!K:K,MATCH('Lorri 401b'!N3183,'Retirement Calculator'!A:A,0),0),0)</f>
        <v>0</v>
      </c>
      <c r="K3183" s="455">
        <f t="shared" ca="1" si="143"/>
        <v>-973258674.6518966</v>
      </c>
      <c r="L3183" s="455">
        <f t="shared" ca="1" si="144"/>
        <v>-234555340591.10709</v>
      </c>
      <c r="M3183" s="471">
        <f t="shared" si="146"/>
        <v>0.05</v>
      </c>
      <c r="N3183" s="475">
        <f t="shared" si="147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45"/>
        <v>-234555340591.10709</v>
      </c>
      <c r="J3184" s="455">
        <f t="array" ref="J3184">IFERROR(INDEX('Retirement Calculator'!K:K,MATCH('Lorri 401b'!N3184,'Retirement Calculator'!A:A,0),0),0)</f>
        <v>0</v>
      </c>
      <c r="K3184" s="455">
        <f t="shared" ca="1" si="143"/>
        <v>-977313919.1296128</v>
      </c>
      <c r="L3184" s="455">
        <f t="shared" ca="1" si="144"/>
        <v>-235532654510.23669</v>
      </c>
      <c r="M3184" s="471">
        <f t="shared" si="146"/>
        <v>0.05</v>
      </c>
      <c r="N3184" s="475">
        <f t="shared" si="147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45"/>
        <v>-235532654510.23669</v>
      </c>
      <c r="J3185" s="455">
        <f t="array" ref="J3185">IFERROR(INDEX('Retirement Calculator'!K:K,MATCH('Lorri 401b'!N3185,'Retirement Calculator'!A:A,0),0),0)</f>
        <v>0</v>
      </c>
      <c r="K3185" s="455">
        <f t="shared" ca="1" si="143"/>
        <v>-981386060.45931971</v>
      </c>
      <c r="L3185" s="455">
        <f t="shared" ca="1" si="144"/>
        <v>-236514040570.69601</v>
      </c>
      <c r="M3185" s="471">
        <f t="shared" si="146"/>
        <v>0.05</v>
      </c>
      <c r="N3185" s="475">
        <f t="shared" si="147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45"/>
        <v>-236514040570.69601</v>
      </c>
      <c r="J3186" s="455">
        <f t="array" ref="J3186">IFERROR(INDEX('Retirement Calculator'!K:K,MATCH('Lorri 401b'!N3186,'Retirement Calculator'!A:A,0),0),0)</f>
        <v>0</v>
      </c>
      <c r="K3186" s="455">
        <f t="shared" ca="1" si="143"/>
        <v>-985475169.04456675</v>
      </c>
      <c r="L3186" s="455">
        <f t="shared" ca="1" si="144"/>
        <v>-237499515739.74057</v>
      </c>
      <c r="M3186" s="471">
        <f t="shared" si="146"/>
        <v>0.05</v>
      </c>
      <c r="N3186" s="475">
        <f t="shared" si="147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45"/>
        <v>-237499515739.74057</v>
      </c>
      <c r="J3187" s="455">
        <f t="array" ref="J3187">IFERROR(INDEX('Retirement Calculator'!K:K,MATCH('Lorri 401b'!N3187,'Retirement Calculator'!A:A,0),0),0)</f>
        <v>0</v>
      </c>
      <c r="K3187" s="455">
        <f t="shared" ca="1" si="143"/>
        <v>-989581315.58225238</v>
      </c>
      <c r="L3187" s="455">
        <f t="shared" ca="1" si="144"/>
        <v>-238489097055.32281</v>
      </c>
      <c r="M3187" s="471">
        <f t="shared" si="146"/>
        <v>0.05</v>
      </c>
      <c r="N3187" s="475">
        <f t="shared" si="147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45"/>
        <v>-238489097055.32281</v>
      </c>
      <c r="J3188" s="455">
        <f t="array" ref="J3188">IFERROR(INDEX('Retirement Calculator'!K:K,MATCH('Lorri 401b'!N3188,'Retirement Calculator'!A:A,0),0),0)</f>
        <v>0</v>
      </c>
      <c r="K3188" s="455">
        <f t="shared" ca="1" si="143"/>
        <v>-993704571.06384516</v>
      </c>
      <c r="L3188" s="455">
        <f t="shared" ca="1" si="144"/>
        <v>-239482801626.38666</v>
      </c>
      <c r="M3188" s="471">
        <f t="shared" si="146"/>
        <v>0.05</v>
      </c>
      <c r="N3188" s="475">
        <f t="shared" si="147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45"/>
        <v>-239482801626.38666</v>
      </c>
      <c r="J3189" s="455">
        <f t="array" ref="J3189">IFERROR(INDEX('Retirement Calculator'!K:K,MATCH('Lorri 401b'!N3189,'Retirement Calculator'!A:A,0),0),0)</f>
        <v>0</v>
      </c>
      <c r="K3189" s="455">
        <f t="shared" ca="1" si="143"/>
        <v>-997845006.77661109</v>
      </c>
      <c r="L3189" s="455">
        <f t="shared" ca="1" si="144"/>
        <v>-240480646633.16327</v>
      </c>
      <c r="M3189" s="471">
        <f t="shared" si="146"/>
        <v>0.05</v>
      </c>
      <c r="N3189" s="475">
        <f t="shared" si="147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45"/>
        <v>-240480646633.16327</v>
      </c>
      <c r="J3190" s="455">
        <f t="array" ref="J3190">IFERROR(INDEX('Retirement Calculator'!K:K,MATCH('Lorri 401b'!N3190,'Retirement Calculator'!A:A,0),0),0)</f>
        <v>0</v>
      </c>
      <c r="K3190" s="455">
        <f t="shared" ca="1" si="143"/>
        <v>-1002002694.3048469</v>
      </c>
      <c r="L3190" s="455">
        <f t="shared" ca="1" si="144"/>
        <v>-241482649327.46811</v>
      </c>
      <c r="M3190" s="471">
        <f t="shared" si="146"/>
        <v>0.05</v>
      </c>
      <c r="N3190" s="475">
        <f t="shared" si="147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45"/>
        <v>-241482649327.46811</v>
      </c>
      <c r="J3191" s="455">
        <f t="array" ref="J3191">IFERROR(INDEX('Retirement Calculator'!K:K,MATCH('Lorri 401b'!N3191,'Retirement Calculator'!A:A,0),0),0)</f>
        <v>0</v>
      </c>
      <c r="K3191" s="455">
        <f t="shared" ca="1" si="143"/>
        <v>-1006177705.5311171</v>
      </c>
      <c r="L3191" s="455">
        <f t="shared" ca="1" si="144"/>
        <v>-242488827032.99924</v>
      </c>
      <c r="M3191" s="471">
        <f t="shared" si="146"/>
        <v>0.05</v>
      </c>
      <c r="N3191" s="475">
        <f t="shared" si="147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45"/>
        <v>-242488827032.99924</v>
      </c>
      <c r="J3192" s="455">
        <f t="array" ref="J3192">IFERROR(INDEX('Retirement Calculator'!K:K,MATCH('Lorri 401b'!N3192,'Retirement Calculator'!A:A,0),0),0)</f>
        <v>0</v>
      </c>
      <c r="K3192" s="455">
        <f t="shared" ca="1" si="143"/>
        <v>-1010370112.6374968</v>
      </c>
      <c r="L3192" s="455">
        <f t="shared" ca="1" si="144"/>
        <v>-243499197145.63672</v>
      </c>
      <c r="M3192" s="471">
        <f t="shared" si="146"/>
        <v>0.05</v>
      </c>
      <c r="N3192" s="475">
        <f t="shared" si="147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45"/>
        <v>-243499197145.63672</v>
      </c>
      <c r="J3193" s="455">
        <f t="array" ref="J3193">IFERROR(INDEX('Retirement Calculator'!K:K,MATCH('Lorri 401b'!N3193,'Retirement Calculator'!A:A,0),0),0)</f>
        <v>0</v>
      </c>
      <c r="K3193" s="455">
        <f t="shared" ca="1" si="143"/>
        <v>-1014579988.1068195</v>
      </c>
      <c r="L3193" s="455">
        <f t="shared" ca="1" si="144"/>
        <v>-244513777133.74353</v>
      </c>
      <c r="M3193" s="471">
        <f t="shared" si="146"/>
        <v>0.05</v>
      </c>
      <c r="N3193" s="475">
        <f t="shared" si="147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45"/>
        <v>-244513777133.74353</v>
      </c>
      <c r="J3194" s="455">
        <f t="array" ref="J3194">IFERROR(INDEX('Retirement Calculator'!K:K,MATCH('Lorri 401b'!N3194,'Retirement Calculator'!A:A,0),0),0)</f>
        <v>0</v>
      </c>
      <c r="K3194" s="455">
        <f t="shared" ca="1" si="143"/>
        <v>-1018807404.7239312</v>
      </c>
      <c r="L3194" s="455">
        <f t="shared" ca="1" si="144"/>
        <v>-245532584538.46747</v>
      </c>
      <c r="M3194" s="471">
        <f t="shared" si="146"/>
        <v>0.05</v>
      </c>
      <c r="N3194" s="475">
        <f t="shared" si="147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45"/>
        <v>-245532584538.46747</v>
      </c>
      <c r="J3195" s="455">
        <f t="array" ref="J3195">IFERROR(INDEX('Retirement Calculator'!K:K,MATCH('Lorri 401b'!N3195,'Retirement Calculator'!A:A,0),0),0)</f>
        <v>0</v>
      </c>
      <c r="K3195" s="455">
        <f t="shared" ca="1" si="143"/>
        <v>-1023052435.5769478</v>
      </c>
      <c r="L3195" s="455">
        <f t="shared" ca="1" si="144"/>
        <v>-246555636974.0444</v>
      </c>
      <c r="M3195" s="471">
        <f t="shared" si="146"/>
        <v>0.05</v>
      </c>
      <c r="N3195" s="475">
        <f t="shared" si="147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45"/>
        <v>-246555636974.0444</v>
      </c>
      <c r="J3196" s="455">
        <f t="array" ref="J3196">IFERROR(INDEX('Retirement Calculator'!K:K,MATCH('Lorri 401b'!N3196,'Retirement Calculator'!A:A,0),0),0)</f>
        <v>0</v>
      </c>
      <c r="K3196" s="455">
        <f t="shared" ca="1" si="143"/>
        <v>-1027315154.0585183</v>
      </c>
      <c r="L3196" s="455">
        <f t="shared" ca="1" si="144"/>
        <v>-247582952128.10294</v>
      </c>
      <c r="M3196" s="471">
        <f t="shared" si="146"/>
        <v>0.05</v>
      </c>
      <c r="N3196" s="475">
        <f t="shared" si="147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45"/>
        <v>-247582952128.10294</v>
      </c>
      <c r="J3197" s="455">
        <f t="array" ref="J3197">IFERROR(INDEX('Retirement Calculator'!K:K,MATCH('Lorri 401b'!N3197,'Retirement Calculator'!A:A,0),0),0)</f>
        <v>0</v>
      </c>
      <c r="K3197" s="455">
        <f t="shared" ca="1" si="143"/>
        <v>-1031595633.8670955</v>
      </c>
      <c r="L3197" s="455">
        <f t="shared" ca="1" si="144"/>
        <v>-248614547761.97003</v>
      </c>
      <c r="M3197" s="471">
        <f t="shared" si="146"/>
        <v>0.05</v>
      </c>
      <c r="N3197" s="475">
        <f t="shared" si="147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45"/>
        <v>-248614547761.97003</v>
      </c>
      <c r="J3198" s="455">
        <f t="array" ref="J3198">IFERROR(INDEX('Retirement Calculator'!K:K,MATCH('Lorri 401b'!N3198,'Retirement Calculator'!A:A,0),0),0)</f>
        <v>0</v>
      </c>
      <c r="K3198" s="455">
        <f t="shared" ca="1" si="143"/>
        <v>-1035893949.0082083</v>
      </c>
      <c r="L3198" s="455">
        <f t="shared" ca="1" si="144"/>
        <v>-249650441710.97824</v>
      </c>
      <c r="M3198" s="471">
        <f t="shared" si="146"/>
        <v>0.05</v>
      </c>
      <c r="N3198" s="475">
        <f t="shared" si="147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45"/>
        <v>-249650441710.97824</v>
      </c>
      <c r="J3199" s="455">
        <f t="array" ref="J3199">IFERROR(INDEX('Retirement Calculator'!K:K,MATCH('Lorri 401b'!N3199,'Retirement Calculator'!A:A,0),0),0)</f>
        <v>0</v>
      </c>
      <c r="K3199" s="455">
        <f t="shared" ca="1" si="143"/>
        <v>-1040210173.7957425</v>
      </c>
      <c r="L3199" s="455">
        <f t="shared" ca="1" si="144"/>
        <v>-250690651884.77399</v>
      </c>
      <c r="M3199" s="471">
        <f t="shared" si="146"/>
        <v>0.05</v>
      </c>
      <c r="N3199" s="475">
        <f t="shared" si="147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45"/>
        <v>-250690651884.77399</v>
      </c>
      <c r="J3200" s="455">
        <f t="array" ref="J3200">IFERROR(INDEX('Retirement Calculator'!K:K,MATCH('Lorri 401b'!N3200,'Retirement Calculator'!A:A,0),0),0)</f>
        <v>0</v>
      </c>
      <c r="K3200" s="455">
        <f t="shared" ca="1" si="143"/>
        <v>-1044544382.8532249</v>
      </c>
      <c r="L3200" s="455">
        <f t="shared" ca="1" si="144"/>
        <v>-251735196267.6272</v>
      </c>
      <c r="M3200" s="471">
        <f t="shared" si="146"/>
        <v>0.05</v>
      </c>
      <c r="N3200" s="475">
        <f t="shared" si="147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45"/>
        <v>-251735196267.6272</v>
      </c>
      <c r="J3201" s="455">
        <f t="array" ref="J3201">IFERROR(INDEX('Retirement Calculator'!K:K,MATCH('Lorri 401b'!N3201,'Retirement Calculator'!A:A,0),0),0)</f>
        <v>0</v>
      </c>
      <c r="K3201" s="455">
        <f t="shared" ca="1" si="143"/>
        <v>-1048896651.1151133</v>
      </c>
      <c r="L3201" s="455">
        <f t="shared" ca="1" si="144"/>
        <v>-252784092918.74231</v>
      </c>
      <c r="M3201" s="471">
        <f t="shared" si="146"/>
        <v>0.05</v>
      </c>
      <c r="N3201" s="475">
        <f t="shared" si="147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45"/>
        <v>-252784092918.74231</v>
      </c>
      <c r="J3202" s="455">
        <f t="array" ref="J3202">IFERROR(INDEX('Retirement Calculator'!K:K,MATCH('Lorri 401b'!N3202,'Retirement Calculator'!A:A,0),0),0)</f>
        <v>0</v>
      </c>
      <c r="K3202" s="455">
        <f t="shared" ca="1" si="143"/>
        <v>-1053267053.8280929</v>
      </c>
      <c r="L3202" s="455">
        <f t="shared" ca="1" si="144"/>
        <v>-253837359972.5704</v>
      </c>
      <c r="M3202" s="471">
        <f t="shared" si="146"/>
        <v>0.05</v>
      </c>
      <c r="N3202" s="475">
        <f t="shared" si="147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45"/>
        <v>-253837359972.5704</v>
      </c>
      <c r="J3203" s="455">
        <f t="array" ref="J3203">IFERROR(INDEX('Retirement Calculator'!K:K,MATCH('Lorri 401b'!N3203,'Retirement Calculator'!A:A,0),0),0)</f>
        <v>0</v>
      </c>
      <c r="K3203" s="455">
        <f t="shared" ca="1" si="143"/>
        <v>-1057655666.5523766</v>
      </c>
      <c r="L3203" s="455">
        <f t="shared" ca="1" si="144"/>
        <v>-254895015639.12277</v>
      </c>
      <c r="M3203" s="471">
        <f t="shared" si="146"/>
        <v>0.05</v>
      </c>
      <c r="N3203" s="475">
        <f t="shared" si="147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45"/>
        <v>-254895015639.12277</v>
      </c>
      <c r="J3204" s="455">
        <f t="array" ref="J3204">IFERROR(INDEX('Retirement Calculator'!K:K,MATCH('Lorri 401b'!N3204,'Retirement Calculator'!A:A,0),0),0)</f>
        <v>0</v>
      </c>
      <c r="K3204" s="455">
        <f t="shared" ca="1" si="143"/>
        <v>-1062062565.1630114</v>
      </c>
      <c r="L3204" s="455">
        <f t="shared" ca="1" si="144"/>
        <v>-255957078204.2858</v>
      </c>
      <c r="M3204" s="471">
        <f t="shared" si="146"/>
        <v>0.05</v>
      </c>
      <c r="N3204" s="475">
        <f t="shared" si="147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45"/>
        <v>-255957078204.2858</v>
      </c>
      <c r="J3205" s="455">
        <f t="array" ref="J3205">IFERROR(INDEX('Retirement Calculator'!K:K,MATCH('Lorri 401b'!N3205,'Retirement Calculator'!A:A,0),0),0)</f>
        <v>0</v>
      </c>
      <c r="K3205" s="455">
        <f t="shared" ca="1" si="143"/>
        <v>-1066487825.8511908</v>
      </c>
      <c r="L3205" s="455">
        <f t="shared" ca="1" si="144"/>
        <v>-257023566030.13699</v>
      </c>
      <c r="M3205" s="471">
        <f t="shared" si="146"/>
        <v>0.05</v>
      </c>
      <c r="N3205" s="475">
        <f t="shared" si="147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45"/>
        <v>-257023566030.13699</v>
      </c>
      <c r="J3206" s="455">
        <f t="array" ref="J3206">IFERROR(INDEX('Retirement Calculator'!K:K,MATCH('Lorri 401b'!N3206,'Retirement Calculator'!A:A,0),0),0)</f>
        <v>0</v>
      </c>
      <c r="K3206" s="455">
        <f t="shared" ca="1" si="143"/>
        <v>-1070931525.1255708</v>
      </c>
      <c r="L3206" s="455">
        <f t="shared" ca="1" si="144"/>
        <v>-258094497555.26257</v>
      </c>
      <c r="M3206" s="471">
        <f t="shared" si="146"/>
        <v>0.05</v>
      </c>
      <c r="N3206" s="475">
        <f t="shared" si="147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45"/>
        <v>-258094497555.26257</v>
      </c>
      <c r="J3207" s="455">
        <f t="array" ref="J3207">IFERROR(INDEX('Retirement Calculator'!K:K,MATCH('Lorri 401b'!N3207,'Retirement Calculator'!A:A,0),0),0)</f>
        <v>0</v>
      </c>
      <c r="K3207" s="455">
        <f t="shared" ca="1" si="143"/>
        <v>-1075393739.8135941</v>
      </c>
      <c r="L3207" s="455">
        <f t="shared" ca="1" si="144"/>
        <v>-259169891295.07617</v>
      </c>
      <c r="M3207" s="471">
        <f t="shared" si="146"/>
        <v>0.05</v>
      </c>
      <c r="N3207" s="475">
        <f t="shared" si="147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45"/>
        <v>-259169891295.07617</v>
      </c>
      <c r="J3208" s="455">
        <f t="array" ref="J3208">IFERROR(INDEX('Retirement Calculator'!K:K,MATCH('Lorri 401b'!N3208,'Retirement Calculator'!A:A,0),0),0)</f>
        <v>0</v>
      </c>
      <c r="K3208" s="455">
        <f t="shared" ca="1" si="143"/>
        <v>-1079874547.0628173</v>
      </c>
      <c r="L3208" s="455">
        <f t="shared" ca="1" si="144"/>
        <v>-260249765842.13898</v>
      </c>
      <c r="M3208" s="471">
        <f t="shared" si="146"/>
        <v>0.05</v>
      </c>
      <c r="N3208" s="475">
        <f t="shared" si="147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45"/>
        <v>-260249765842.13898</v>
      </c>
      <c r="J3209" s="455">
        <f t="array" ref="J3209">IFERROR(INDEX('Retirement Calculator'!K:K,MATCH('Lorri 401b'!N3209,'Retirement Calculator'!A:A,0),0),0)</f>
        <v>0</v>
      </c>
      <c r="K3209" s="455">
        <f t="shared" ca="1" si="143"/>
        <v>-1084374024.3422458</v>
      </c>
      <c r="L3209" s="455">
        <f t="shared" ca="1" si="144"/>
        <v>-261334139866.48123</v>
      </c>
      <c r="M3209" s="471">
        <f t="shared" si="146"/>
        <v>0.05</v>
      </c>
      <c r="N3209" s="475">
        <f t="shared" si="147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45"/>
        <v>-261334139866.48123</v>
      </c>
      <c r="J3210" s="455">
        <f t="array" ref="J3210">IFERROR(INDEX('Retirement Calculator'!K:K,MATCH('Lorri 401b'!N3210,'Retirement Calculator'!A:A,0),0),0)</f>
        <v>0</v>
      </c>
      <c r="K3210" s="455">
        <f t="shared" ca="1" si="143"/>
        <v>-1088892249.4436717</v>
      </c>
      <c r="L3210" s="455">
        <f t="shared" ca="1" si="144"/>
        <v>-262423032115.9249</v>
      </c>
      <c r="M3210" s="471">
        <f t="shared" si="146"/>
        <v>0.05</v>
      </c>
      <c r="N3210" s="475">
        <f t="shared" si="147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45"/>
        <v>-262423032115.9249</v>
      </c>
      <c r="J3211" s="455">
        <f t="array" ref="J3211">IFERROR(INDEX('Retirement Calculator'!K:K,MATCH('Lorri 401b'!N3211,'Retirement Calculator'!A:A,0),0),0)</f>
        <v>0</v>
      </c>
      <c r="K3211" s="455">
        <f t="shared" ca="1" si="143"/>
        <v>-1093429300.4830205</v>
      </c>
      <c r="L3211" s="455">
        <f t="shared" ca="1" si="144"/>
        <v>-263516461416.40793</v>
      </c>
      <c r="M3211" s="471">
        <f t="shared" si="146"/>
        <v>0.05</v>
      </c>
      <c r="N3211" s="475">
        <f t="shared" si="147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45"/>
        <v>-263516461416.40793</v>
      </c>
      <c r="J3212" s="455">
        <f t="array" ref="J3212">IFERROR(INDEX('Retirement Calculator'!K:K,MATCH('Lorri 401b'!N3212,'Retirement Calculator'!A:A,0),0),0)</f>
        <v>0</v>
      </c>
      <c r="K3212" s="455">
        <f t="shared" ca="1" si="143"/>
        <v>-1097985255.9016998</v>
      </c>
      <c r="L3212" s="455">
        <f t="shared" ca="1" si="144"/>
        <v>-264614446672.30963</v>
      </c>
      <c r="M3212" s="471">
        <f t="shared" si="146"/>
        <v>0.05</v>
      </c>
      <c r="N3212" s="475">
        <f t="shared" si="147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45"/>
        <v>-264614446672.30963</v>
      </c>
      <c r="J3213" s="455">
        <f t="array" ref="J3213">IFERROR(INDEX('Retirement Calculator'!K:K,MATCH('Lorri 401b'!N3213,'Retirement Calculator'!A:A,0),0),0)</f>
        <v>0</v>
      </c>
      <c r="K3213" s="455">
        <f t="shared" ca="1" si="143"/>
        <v>-1102560194.4679565</v>
      </c>
      <c r="L3213" s="455">
        <f t="shared" ca="1" si="144"/>
        <v>-265717006866.77759</v>
      </c>
      <c r="M3213" s="471">
        <f t="shared" si="146"/>
        <v>0.05</v>
      </c>
      <c r="N3213" s="475">
        <f t="shared" si="147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45"/>
        <v>-265717006866.77759</v>
      </c>
      <c r="J3214" s="455">
        <f t="array" ref="J3214">IFERROR(INDEX('Retirement Calculator'!K:K,MATCH('Lorri 401b'!N3214,'Retirement Calculator'!A:A,0),0),0)</f>
        <v>0</v>
      </c>
      <c r="K3214" s="455">
        <f t="shared" ca="1" si="143"/>
        <v>-1107154195.27824</v>
      </c>
      <c r="L3214" s="455">
        <f t="shared" ca="1" si="144"/>
        <v>-266824161062.05582</v>
      </c>
      <c r="M3214" s="471">
        <f t="shared" si="146"/>
        <v>0.05</v>
      </c>
      <c r="N3214" s="475">
        <f t="shared" si="147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45"/>
        <v>-266824161062.05582</v>
      </c>
      <c r="J3215" s="455">
        <f t="array" ref="J3215">IFERROR(INDEX('Retirement Calculator'!K:K,MATCH('Lorri 401b'!N3215,'Retirement Calculator'!A:A,0),0),0)</f>
        <v>0</v>
      </c>
      <c r="K3215" s="455">
        <f t="shared" ca="1" si="143"/>
        <v>-1111767337.7585659</v>
      </c>
      <c r="L3215" s="455">
        <f t="shared" ca="1" si="144"/>
        <v>-267935928399.81439</v>
      </c>
      <c r="M3215" s="471">
        <f t="shared" si="146"/>
        <v>0.05</v>
      </c>
      <c r="N3215" s="475">
        <f t="shared" si="147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45"/>
        <v>-267935928399.81439</v>
      </c>
      <c r="J3216" s="455">
        <f t="array" ref="J3216">IFERROR(INDEX('Retirement Calculator'!K:K,MATCH('Lorri 401b'!N3216,'Retirement Calculator'!A:A,0),0),0)</f>
        <v>0</v>
      </c>
      <c r="K3216" s="455">
        <f t="shared" ca="1" si="143"/>
        <v>-1116399701.6658933</v>
      </c>
      <c r="L3216" s="455">
        <f t="shared" ca="1" si="144"/>
        <v>-269052328101.48029</v>
      </c>
      <c r="M3216" s="471">
        <f t="shared" si="146"/>
        <v>0.05</v>
      </c>
      <c r="N3216" s="475">
        <f t="shared" si="147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45"/>
        <v>-269052328101.48029</v>
      </c>
      <c r="J3217" s="455">
        <f t="array" ref="J3217">IFERROR(INDEX('Retirement Calculator'!K:K,MATCH('Lorri 401b'!N3217,'Retirement Calculator'!A:A,0),0),0)</f>
        <v>0</v>
      </c>
      <c r="K3217" s="455">
        <f t="shared" ca="1" si="143"/>
        <v>-1121051367.0895011</v>
      </c>
      <c r="L3217" s="455">
        <f t="shared" ca="1" si="144"/>
        <v>-270173379468.56979</v>
      </c>
      <c r="M3217" s="471">
        <f t="shared" si="146"/>
        <v>0.05</v>
      </c>
      <c r="N3217" s="475">
        <f t="shared" si="147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45"/>
        <v>-270173379468.56979</v>
      </c>
      <c r="J3218" s="455">
        <f t="array" ref="J3218">IFERROR(INDEX('Retirement Calculator'!K:K,MATCH('Lorri 401b'!N3218,'Retirement Calculator'!A:A,0),0),0)</f>
        <v>0</v>
      </c>
      <c r="K3218" s="455">
        <f t="shared" ca="1" si="143"/>
        <v>-1125722414.4523742</v>
      </c>
      <c r="L3218" s="455">
        <f t="shared" ca="1" si="144"/>
        <v>-271299101883.02216</v>
      </c>
      <c r="M3218" s="471">
        <f t="shared" si="146"/>
        <v>0.05</v>
      </c>
      <c r="N3218" s="475">
        <f t="shared" si="147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45"/>
        <v>-271299101883.02216</v>
      </c>
      <c r="J3219" s="455">
        <f t="array" ref="J3219">IFERROR(INDEX('Retirement Calculator'!K:K,MATCH('Lorri 401b'!N3219,'Retirement Calculator'!A:A,0),0),0)</f>
        <v>0</v>
      </c>
      <c r="K3219" s="455">
        <f t="shared" ca="1" si="143"/>
        <v>-1130412924.5125923</v>
      </c>
      <c r="L3219" s="455">
        <f t="shared" ca="1" si="144"/>
        <v>-272429514807.53476</v>
      </c>
      <c r="M3219" s="471">
        <f t="shared" si="146"/>
        <v>0.05</v>
      </c>
      <c r="N3219" s="475">
        <f t="shared" si="147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45"/>
        <v>-272429514807.53476</v>
      </c>
      <c r="J3220" s="455">
        <f t="array" ref="J3220">IFERROR(INDEX('Retirement Calculator'!K:K,MATCH('Lorri 401b'!N3220,'Retirement Calculator'!A:A,0),0),0)</f>
        <v>0</v>
      </c>
      <c r="K3220" s="455">
        <f t="shared" ca="1" si="143"/>
        <v>-1135122978.3647282</v>
      </c>
      <c r="L3220" s="455">
        <f t="shared" ca="1" si="144"/>
        <v>-273564637785.89948</v>
      </c>
      <c r="M3220" s="471">
        <f t="shared" si="146"/>
        <v>0.05</v>
      </c>
      <c r="N3220" s="475">
        <f t="shared" si="147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45"/>
        <v>-273564637785.89948</v>
      </c>
      <c r="J3221" s="455">
        <f t="array" ref="J3221">IFERROR(INDEX('Retirement Calculator'!K:K,MATCH('Lorri 401b'!N3221,'Retirement Calculator'!A:A,0),0),0)</f>
        <v>0</v>
      </c>
      <c r="K3221" s="455">
        <f t="shared" ca="1" si="143"/>
        <v>-1139852657.4412477</v>
      </c>
      <c r="L3221" s="455">
        <f t="shared" ca="1" si="144"/>
        <v>-274704490443.34073</v>
      </c>
      <c r="M3221" s="471">
        <f t="shared" si="146"/>
        <v>0.05</v>
      </c>
      <c r="N3221" s="475">
        <f t="shared" si="147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45"/>
        <v>-274704490443.34073</v>
      </c>
      <c r="J3222" s="455">
        <f t="array" ref="J3222">IFERROR(INDEX('Retirement Calculator'!K:K,MATCH('Lorri 401b'!N3222,'Retirement Calculator'!A:A,0),0),0)</f>
        <v>0</v>
      </c>
      <c r="K3222" s="455">
        <f t="shared" ca="1" si="143"/>
        <v>-1144602043.5139198</v>
      </c>
      <c r="L3222" s="455">
        <f t="shared" ca="1" si="144"/>
        <v>-275849092486.85468</v>
      </c>
      <c r="M3222" s="471">
        <f t="shared" si="146"/>
        <v>0.05</v>
      </c>
      <c r="N3222" s="475">
        <f t="shared" si="147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45"/>
        <v>-275849092486.85468</v>
      </c>
      <c r="J3223" s="455">
        <f t="array" ref="J3223">IFERROR(INDEX('Retirement Calculator'!K:K,MATCH('Lorri 401b'!N3223,'Retirement Calculator'!A:A,0),0),0)</f>
        <v>0</v>
      </c>
      <c r="K3223" s="455">
        <f t="shared" ca="1" si="143"/>
        <v>-1149371218.6952279</v>
      </c>
      <c r="L3223" s="455">
        <f t="shared" ca="1" si="144"/>
        <v>-276998463705.54993</v>
      </c>
      <c r="M3223" s="471">
        <f t="shared" si="146"/>
        <v>0.05</v>
      </c>
      <c r="N3223" s="475">
        <f t="shared" si="147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45"/>
        <v>-276998463705.54993</v>
      </c>
      <c r="J3224" s="455">
        <f t="array" ref="J3224">IFERROR(INDEX('Retirement Calculator'!K:K,MATCH('Lorri 401b'!N3224,'Retirement Calculator'!A:A,0),0),0)</f>
        <v>0</v>
      </c>
      <c r="K3224" s="455">
        <f t="shared" ca="1" si="143"/>
        <v>-1154160265.4397914</v>
      </c>
      <c r="L3224" s="455">
        <f t="shared" ca="1" si="144"/>
        <v>-278152623970.98975</v>
      </c>
      <c r="M3224" s="471">
        <f t="shared" si="146"/>
        <v>0.05</v>
      </c>
      <c r="N3224" s="475">
        <f t="shared" si="147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45"/>
        <v>-278152623970.98975</v>
      </c>
      <c r="J3225" s="455">
        <f t="array" ref="J3225">IFERROR(INDEX('Retirement Calculator'!K:K,MATCH('Lorri 401b'!N3225,'Retirement Calculator'!A:A,0),0),0)</f>
        <v>0</v>
      </c>
      <c r="K3225" s="455">
        <f t="shared" ca="1" si="143"/>
        <v>-1158969266.5457907</v>
      </c>
      <c r="L3225" s="455">
        <f t="shared" ca="1" si="144"/>
        <v>-279311593237.53552</v>
      </c>
      <c r="M3225" s="471">
        <f t="shared" si="146"/>
        <v>0.05</v>
      </c>
      <c r="N3225" s="475">
        <f t="shared" si="147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45"/>
        <v>-279311593237.53552</v>
      </c>
      <c r="J3226" s="455">
        <f t="array" ref="J3226">IFERROR(INDEX('Retirement Calculator'!K:K,MATCH('Lorri 401b'!N3226,'Retirement Calculator'!A:A,0),0),0)</f>
        <v>0</v>
      </c>
      <c r="K3226" s="455">
        <f t="shared" ca="1" si="143"/>
        <v>-1163798305.1563981</v>
      </c>
      <c r="L3226" s="455">
        <f t="shared" ca="1" si="144"/>
        <v>-280475391542.69189</v>
      </c>
      <c r="M3226" s="471">
        <f t="shared" si="146"/>
        <v>0.05</v>
      </c>
      <c r="N3226" s="475">
        <f t="shared" si="147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45"/>
        <v>-280475391542.69189</v>
      </c>
      <c r="J3227" s="455">
        <f t="array" ref="J3227">IFERROR(INDEX('Retirement Calculator'!K:K,MATCH('Lorri 401b'!N3227,'Retirement Calculator'!A:A,0),0),0)</f>
        <v>0</v>
      </c>
      <c r="K3227" s="455">
        <f t="shared" ca="1" si="143"/>
        <v>-1168647464.7612162</v>
      </c>
      <c r="L3227" s="455">
        <f t="shared" ca="1" si="144"/>
        <v>-281644039007.45313</v>
      </c>
      <c r="M3227" s="471">
        <f t="shared" si="146"/>
        <v>0.05</v>
      </c>
      <c r="N3227" s="475">
        <f t="shared" si="147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45"/>
        <v>-281644039007.45313</v>
      </c>
      <c r="J3228" s="455">
        <f t="array" ref="J3228">IFERROR(INDEX('Retirement Calculator'!K:K,MATCH('Lorri 401b'!N3228,'Retirement Calculator'!A:A,0),0),0)</f>
        <v>0</v>
      </c>
      <c r="K3228" s="455">
        <f t="shared" ca="1" si="143"/>
        <v>-1173516829.1977212</v>
      </c>
      <c r="L3228" s="455">
        <f t="shared" ca="1" si="144"/>
        <v>-282817555836.65082</v>
      </c>
      <c r="M3228" s="471">
        <f t="shared" si="146"/>
        <v>0.05</v>
      </c>
      <c r="N3228" s="475">
        <f t="shared" si="147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45"/>
        <v>-282817555836.65082</v>
      </c>
      <c r="J3229" s="455">
        <f t="array" ref="J3229">IFERROR(INDEX('Retirement Calculator'!K:K,MATCH('Lorri 401b'!N3229,'Retirement Calculator'!A:A,0),0),0)</f>
        <v>0</v>
      </c>
      <c r="K3229" s="455">
        <f t="shared" ca="1" si="143"/>
        <v>-1178406482.6527116</v>
      </c>
      <c r="L3229" s="455">
        <f t="shared" ca="1" si="144"/>
        <v>-283995962319.30353</v>
      </c>
      <c r="M3229" s="471">
        <f t="shared" si="146"/>
        <v>0.05</v>
      </c>
      <c r="N3229" s="475">
        <f t="shared" si="147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45"/>
        <v>-283995962319.30353</v>
      </c>
      <c r="J3230" s="455">
        <f t="array" ref="J3230">IFERROR(INDEX('Retirement Calculator'!K:K,MATCH('Lorri 401b'!N3230,'Retirement Calculator'!A:A,0),0),0)</f>
        <v>0</v>
      </c>
      <c r="K3230" s="455">
        <f t="shared" ca="1" si="143"/>
        <v>-1183316509.6637647</v>
      </c>
      <c r="L3230" s="455">
        <f t="shared" ca="1" si="144"/>
        <v>-285179278828.96729</v>
      </c>
      <c r="M3230" s="471">
        <f t="shared" si="146"/>
        <v>0.05</v>
      </c>
      <c r="N3230" s="475">
        <f t="shared" si="147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45"/>
        <v>-285179278828.96729</v>
      </c>
      <c r="J3231" s="455">
        <f t="array" ref="J3231">IFERROR(INDEX('Retirement Calculator'!K:K,MATCH('Lorri 401b'!N3231,'Retirement Calculator'!A:A,0),0),0)</f>
        <v>0</v>
      </c>
      <c r="K3231" s="455">
        <f t="shared" ca="1" si="143"/>
        <v>-1188246995.120697</v>
      </c>
      <c r="L3231" s="455">
        <f t="shared" ca="1" si="144"/>
        <v>-286367525824.08801</v>
      </c>
      <c r="M3231" s="471">
        <f t="shared" si="146"/>
        <v>0.05</v>
      </c>
      <c r="N3231" s="475">
        <f t="shared" si="147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45"/>
        <v>-286367525824.08801</v>
      </c>
      <c r="J3232" s="455">
        <f t="array" ref="J3232">IFERROR(INDEX('Retirement Calculator'!K:K,MATCH('Lorri 401b'!N3232,'Retirement Calculator'!A:A,0),0),0)</f>
        <v>0</v>
      </c>
      <c r="K3232" s="455">
        <f t="shared" ca="1" si="143"/>
        <v>-1193198024.2670333</v>
      </c>
      <c r="L3232" s="455">
        <f t="shared" ca="1" si="144"/>
        <v>-287560723848.35504</v>
      </c>
      <c r="M3232" s="471">
        <f t="shared" si="146"/>
        <v>0.05</v>
      </c>
      <c r="N3232" s="475">
        <f t="shared" si="147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45"/>
        <v>-287560723848.35504</v>
      </c>
      <c r="J3233" s="455">
        <f t="array" ref="J3233">IFERROR(INDEX('Retirement Calculator'!K:K,MATCH('Lorri 401b'!N3233,'Retirement Calculator'!A:A,0),0),0)</f>
        <v>0</v>
      </c>
      <c r="K3233" s="455">
        <f t="shared" ca="1" si="143"/>
        <v>-1198169682.7014794</v>
      </c>
      <c r="L3233" s="455">
        <f t="shared" ca="1" si="144"/>
        <v>-288758893531.05652</v>
      </c>
      <c r="M3233" s="471">
        <f t="shared" si="146"/>
        <v>0.05</v>
      </c>
      <c r="N3233" s="475">
        <f t="shared" si="147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45"/>
        <v>-288758893531.05652</v>
      </c>
      <c r="J3234" s="455">
        <f t="array" ref="J3234">IFERROR(INDEX('Retirement Calculator'!K:K,MATCH('Lorri 401b'!N3234,'Retirement Calculator'!A:A,0),0),0)</f>
        <v>0</v>
      </c>
      <c r="K3234" s="455">
        <f t="shared" ca="1" si="143"/>
        <v>-1203162056.3794022</v>
      </c>
      <c r="L3234" s="455">
        <f t="shared" ca="1" si="144"/>
        <v>-289962055587.43591</v>
      </c>
      <c r="M3234" s="471">
        <f t="shared" si="146"/>
        <v>0.05</v>
      </c>
      <c r="N3234" s="475">
        <f t="shared" si="147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45"/>
        <v>-289962055587.43591</v>
      </c>
      <c r="J3235" s="455">
        <f t="array" ref="J3235">IFERROR(INDEX('Retirement Calculator'!K:K,MATCH('Lorri 401b'!N3235,'Retirement Calculator'!A:A,0),0),0)</f>
        <v>0</v>
      </c>
      <c r="K3235" s="455">
        <f t="shared" ca="1" si="143"/>
        <v>-1208175231.6143162</v>
      </c>
      <c r="L3235" s="455">
        <f t="shared" ca="1" si="144"/>
        <v>-291170230819.05023</v>
      </c>
      <c r="M3235" s="471">
        <f t="shared" si="146"/>
        <v>0.05</v>
      </c>
      <c r="N3235" s="475">
        <f t="shared" si="147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45"/>
        <v>-291170230819.05023</v>
      </c>
      <c r="J3236" s="455">
        <f t="array" ref="J3236">IFERROR(INDEX('Retirement Calculator'!K:K,MATCH('Lorri 401b'!N3236,'Retirement Calculator'!A:A,0),0),0)</f>
        <v>0</v>
      </c>
      <c r="K3236" s="455">
        <f t="shared" ca="1" si="143"/>
        <v>-1213209295.079376</v>
      </c>
      <c r="L3236" s="455">
        <f t="shared" ca="1" si="144"/>
        <v>-292383440114.12958</v>
      </c>
      <c r="M3236" s="471">
        <f t="shared" si="146"/>
        <v>0.05</v>
      </c>
      <c r="N3236" s="475">
        <f t="shared" si="147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45"/>
        <v>-292383440114.12958</v>
      </c>
      <c r="J3237" s="455">
        <f t="array" ref="J3237">IFERROR(INDEX('Retirement Calculator'!K:K,MATCH('Lorri 401b'!N3237,'Retirement Calculator'!A:A,0),0),0)</f>
        <v>0</v>
      </c>
      <c r="K3237" s="455">
        <f t="shared" ca="1" si="143"/>
        <v>-1218264333.8088732</v>
      </c>
      <c r="L3237" s="455">
        <f t="shared" ca="1" si="144"/>
        <v>-293601704447.93848</v>
      </c>
      <c r="M3237" s="471">
        <f t="shared" si="146"/>
        <v>0.05</v>
      </c>
      <c r="N3237" s="475">
        <f t="shared" si="147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45"/>
        <v>-293601704447.93848</v>
      </c>
      <c r="J3238" s="455">
        <f t="array" ref="J3238">IFERROR(INDEX('Retirement Calculator'!K:K,MATCH('Lorri 401b'!N3238,'Retirement Calculator'!A:A,0),0),0)</f>
        <v>0</v>
      </c>
      <c r="K3238" s="455">
        <f t="shared" ca="1" si="143"/>
        <v>-1223340435.1997437</v>
      </c>
      <c r="L3238" s="455">
        <f t="shared" ca="1" si="144"/>
        <v>-294825044883.13824</v>
      </c>
      <c r="M3238" s="471">
        <f t="shared" si="146"/>
        <v>0.05</v>
      </c>
      <c r="N3238" s="475">
        <f t="shared" si="147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45"/>
        <v>-294825044883.13824</v>
      </c>
      <c r="J3239" s="455">
        <f t="array" ref="J3239">IFERROR(INDEX('Retirement Calculator'!K:K,MATCH('Lorri 401b'!N3239,'Retirement Calculator'!A:A,0),0),0)</f>
        <v>0</v>
      </c>
      <c r="K3239" s="455">
        <f t="shared" ca="1" si="143"/>
        <v>-1228437687.0130761</v>
      </c>
      <c r="L3239" s="455">
        <f t="shared" ca="1" si="144"/>
        <v>-296053482570.15131</v>
      </c>
      <c r="M3239" s="471">
        <f t="shared" si="146"/>
        <v>0.05</v>
      </c>
      <c r="N3239" s="475">
        <f t="shared" si="147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45"/>
        <v>-296053482570.15131</v>
      </c>
      <c r="J3240" s="455">
        <f t="array" ref="J3240">IFERROR(INDEX('Retirement Calculator'!K:K,MATCH('Lorri 401b'!N3240,'Retirement Calculator'!A:A,0),0),0)</f>
        <v>0</v>
      </c>
      <c r="K3240" s="455">
        <f t="shared" ca="1" si="143"/>
        <v>-1233556177.3756304</v>
      </c>
      <c r="L3240" s="455">
        <f t="shared" ca="1" si="144"/>
        <v>-297287038747.52692</v>
      </c>
      <c r="M3240" s="471">
        <f t="shared" si="146"/>
        <v>0.05</v>
      </c>
      <c r="N3240" s="475">
        <f t="shared" si="147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45"/>
        <v>-297287038747.52692</v>
      </c>
      <c r="J3241" s="455">
        <f t="array" ref="J3241">IFERROR(INDEX('Retirement Calculator'!K:K,MATCH('Lorri 401b'!N3241,'Retirement Calculator'!A:A,0),0),0)</f>
        <v>0</v>
      </c>
      <c r="K3241" s="455">
        <f t="shared" ca="1" si="143"/>
        <v>-1238695994.7813621</v>
      </c>
      <c r="L3241" s="455">
        <f t="shared" ca="1" si="144"/>
        <v>-298525734742.30829</v>
      </c>
      <c r="M3241" s="471">
        <f t="shared" si="146"/>
        <v>0.05</v>
      </c>
      <c r="N3241" s="475">
        <f t="shared" si="147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45"/>
        <v>-298525734742.30829</v>
      </c>
      <c r="J3242" s="455">
        <f t="array" ref="J3242">IFERROR(INDEX('Retirement Calculator'!K:K,MATCH('Lorri 401b'!N3242,'Retirement Calculator'!A:A,0),0),0)</f>
        <v>0</v>
      </c>
      <c r="K3242" s="455">
        <f t="shared" ca="1" si="143"/>
        <v>-1243857228.0929513</v>
      </c>
      <c r="L3242" s="455">
        <f t="shared" ca="1" si="144"/>
        <v>-299769591970.40125</v>
      </c>
      <c r="M3242" s="471">
        <f t="shared" si="146"/>
        <v>0.05</v>
      </c>
      <c r="N3242" s="475">
        <f t="shared" si="147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45"/>
        <v>-299769591970.40125</v>
      </c>
      <c r="J3243" s="455">
        <f t="array" ref="J3243">IFERROR(INDEX('Retirement Calculator'!K:K,MATCH('Lorri 401b'!N3243,'Retirement Calculator'!A:A,0),0),0)</f>
        <v>0</v>
      </c>
      <c r="K3243" s="455">
        <f t="shared" ca="1" si="143"/>
        <v>-1249039966.5433385</v>
      </c>
      <c r="L3243" s="455">
        <f t="shared" ca="1" si="144"/>
        <v>-301018631936.94458</v>
      </c>
      <c r="M3243" s="471">
        <f t="shared" si="146"/>
        <v>0.05</v>
      </c>
      <c r="N3243" s="475">
        <f t="shared" si="147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45"/>
        <v>-301018631936.94458</v>
      </c>
      <c r="J3244" s="455">
        <f t="array" ref="J3244">IFERROR(INDEX('Retirement Calculator'!K:K,MATCH('Lorri 401b'!N3244,'Retirement Calculator'!A:A,0),0),0)</f>
        <v>0</v>
      </c>
      <c r="K3244" s="455">
        <f t="shared" ca="1" si="143"/>
        <v>-1254244299.7372692</v>
      </c>
      <c r="L3244" s="455">
        <f t="shared" ca="1" si="144"/>
        <v>-302272876236.68182</v>
      </c>
      <c r="M3244" s="471">
        <f t="shared" si="146"/>
        <v>0.05</v>
      </c>
      <c r="N3244" s="475">
        <f t="shared" si="147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45"/>
        <v>-302272876236.68182</v>
      </c>
      <c r="J3245" s="455">
        <f t="array" ref="J3245">IFERROR(INDEX('Retirement Calculator'!K:K,MATCH('Lorri 401b'!N3245,'Retirement Calculator'!A:A,0),0),0)</f>
        <v>0</v>
      </c>
      <c r="K3245" s="455">
        <f t="shared" ca="1" si="143"/>
        <v>-1259470317.6528409</v>
      </c>
      <c r="L3245" s="455">
        <f t="shared" ca="1" si="144"/>
        <v>-303532346554.33466</v>
      </c>
      <c r="M3245" s="471">
        <f t="shared" si="146"/>
        <v>0.05</v>
      </c>
      <c r="N3245" s="475">
        <f t="shared" si="147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45"/>
        <v>-303532346554.33466</v>
      </c>
      <c r="J3246" s="455">
        <f t="array" ref="J3246">IFERROR(INDEX('Retirement Calculator'!K:K,MATCH('Lorri 401b'!N3246,'Retirement Calculator'!A:A,0),0),0)</f>
        <v>0</v>
      </c>
      <c r="K3246" s="455">
        <f t="shared" ca="1" si="143"/>
        <v>-1264718110.6430612</v>
      </c>
      <c r="L3246" s="455">
        <f t="shared" ca="1" si="144"/>
        <v>-304797064664.97772</v>
      </c>
      <c r="M3246" s="471">
        <f t="shared" si="146"/>
        <v>0.05</v>
      </c>
      <c r="N3246" s="475">
        <f t="shared" si="147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45"/>
        <v>-304797064664.97772</v>
      </c>
      <c r="J3247" s="455">
        <f t="array" ref="J3247">IFERROR(INDEX('Retirement Calculator'!K:K,MATCH('Lorri 401b'!N3247,'Retirement Calculator'!A:A,0),0),0)</f>
        <v>0</v>
      </c>
      <c r="K3247" s="455">
        <f t="shared" ca="1" si="143"/>
        <v>-1269987769.4374073</v>
      </c>
      <c r="L3247" s="455">
        <f t="shared" ca="1" si="144"/>
        <v>-306067052434.4151</v>
      </c>
      <c r="M3247" s="471">
        <f t="shared" si="146"/>
        <v>0.05</v>
      </c>
      <c r="N3247" s="475">
        <f t="shared" si="147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45"/>
        <v>-306067052434.4151</v>
      </c>
      <c r="J3248" s="455">
        <f t="array" ref="J3248">IFERROR(INDEX('Retirement Calculator'!K:K,MATCH('Lorri 401b'!N3248,'Retirement Calculator'!A:A,0),0),0)</f>
        <v>0</v>
      </c>
      <c r="K3248" s="455">
        <f t="shared" ca="1" si="143"/>
        <v>-1275279385.1433961</v>
      </c>
      <c r="L3248" s="455">
        <f t="shared" ca="1" si="144"/>
        <v>-307342331819.55847</v>
      </c>
      <c r="M3248" s="471">
        <f t="shared" si="146"/>
        <v>0.05</v>
      </c>
      <c r="N3248" s="475">
        <f t="shared" si="147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45"/>
        <v>-307342331819.55847</v>
      </c>
      <c r="J3249" s="455">
        <f t="array" ref="J3249">IFERROR(INDEX('Retirement Calculator'!K:K,MATCH('Lorri 401b'!N3249,'Retirement Calculator'!A:A,0),0),0)</f>
        <v>0</v>
      </c>
      <c r="K3249" s="455">
        <f t="shared" ca="1" si="143"/>
        <v>-1280593049.2481604</v>
      </c>
      <c r="L3249" s="455">
        <f t="shared" ca="1" si="144"/>
        <v>-308622924868.80664</v>
      </c>
      <c r="M3249" s="471">
        <f t="shared" si="146"/>
        <v>0.05</v>
      </c>
      <c r="N3249" s="475">
        <f t="shared" si="147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45"/>
        <v>-308622924868.80664</v>
      </c>
      <c r="J3250" s="455">
        <f t="array" ref="J3250">IFERROR(INDEX('Retirement Calculator'!K:K,MATCH('Lorri 401b'!N3250,'Retirement Calculator'!A:A,0),0),0)</f>
        <v>0</v>
      </c>
      <c r="K3250" s="455">
        <f t="shared" ca="1" si="143"/>
        <v>-1285928853.6200275</v>
      </c>
      <c r="L3250" s="455">
        <f t="shared" ca="1" si="144"/>
        <v>-309908853722.4267</v>
      </c>
      <c r="M3250" s="471">
        <f t="shared" si="146"/>
        <v>0.05</v>
      </c>
      <c r="N3250" s="475">
        <f t="shared" si="147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45"/>
        <v>-309908853722.4267</v>
      </c>
      <c r="J3251" s="455">
        <f t="array" ref="J3251">IFERROR(INDEX('Retirement Calculator'!K:K,MATCH('Lorri 401b'!N3251,'Retirement Calculator'!A:A,0),0),0)</f>
        <v>0</v>
      </c>
      <c r="K3251" s="455">
        <f t="shared" ca="1" si="143"/>
        <v>-1291286890.5101113</v>
      </c>
      <c r="L3251" s="455">
        <f t="shared" ca="1" si="144"/>
        <v>-311200140612.93683</v>
      </c>
      <c r="M3251" s="471">
        <f t="shared" si="146"/>
        <v>0.05</v>
      </c>
      <c r="N3251" s="475">
        <f t="shared" si="147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45"/>
        <v>-311200140612.93683</v>
      </c>
      <c r="J3252" s="455">
        <f t="array" ref="J3252">IFERROR(INDEX('Retirement Calculator'!K:K,MATCH('Lorri 401b'!N3252,'Retirement Calculator'!A:A,0),0),0)</f>
        <v>0</v>
      </c>
      <c r="K3252" s="455">
        <f t="shared" ca="1" si="143"/>
        <v>-1296667252.5539033</v>
      </c>
      <c r="L3252" s="455">
        <f t="shared" ca="1" si="144"/>
        <v>-312496807865.49072</v>
      </c>
      <c r="M3252" s="471">
        <f t="shared" si="146"/>
        <v>0.05</v>
      </c>
      <c r="N3252" s="475">
        <f t="shared" si="147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45"/>
        <v>-312496807865.49072</v>
      </c>
      <c r="J3253" s="455">
        <f t="array" ref="J3253">IFERROR(INDEX('Retirement Calculator'!K:K,MATCH('Lorri 401b'!N3253,'Retirement Calculator'!A:A,0),0),0)</f>
        <v>0</v>
      </c>
      <c r="K3253" s="455">
        <f t="shared" ca="1" si="143"/>
        <v>-1302070032.7728779</v>
      </c>
      <c r="L3253" s="455">
        <f t="shared" ca="1" si="144"/>
        <v>-313798877898.26361</v>
      </c>
      <c r="M3253" s="471">
        <f t="shared" si="146"/>
        <v>0.05</v>
      </c>
      <c r="N3253" s="475">
        <f t="shared" si="147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45"/>
        <v>-313798877898.26361</v>
      </c>
      <c r="J3254" s="455">
        <f t="array" ref="J3254">IFERROR(INDEX('Retirement Calculator'!K:K,MATCH('Lorri 401b'!N3254,'Retirement Calculator'!A:A,0),0),0)</f>
        <v>0</v>
      </c>
      <c r="K3254" s="455">
        <f t="shared" ca="1" si="143"/>
        <v>-1307495324.5760984</v>
      </c>
      <c r="L3254" s="455">
        <f t="shared" ca="1" si="144"/>
        <v>-315106373222.83972</v>
      </c>
      <c r="M3254" s="471">
        <f t="shared" si="146"/>
        <v>0.05</v>
      </c>
      <c r="N3254" s="475">
        <f t="shared" si="147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45"/>
        <v>-315106373222.83972</v>
      </c>
      <c r="J3255" s="455">
        <f t="array" ref="J3255">IFERROR(INDEX('Retirement Calculator'!K:K,MATCH('Lorri 401b'!N3255,'Retirement Calculator'!A:A,0),0),0)</f>
        <v>0</v>
      </c>
      <c r="K3255" s="455">
        <f t="shared" ca="1" si="143"/>
        <v>-1312943221.7618322</v>
      </c>
      <c r="L3255" s="455">
        <f t="shared" ca="1" si="144"/>
        <v>-316419316444.60156</v>
      </c>
      <c r="M3255" s="471">
        <f t="shared" si="146"/>
        <v>0.05</v>
      </c>
      <c r="N3255" s="475">
        <f t="shared" si="147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45"/>
        <v>-316419316444.60156</v>
      </c>
      <c r="J3256" s="455">
        <f t="array" ref="J3256">IFERROR(INDEX('Retirement Calculator'!K:K,MATCH('Lorri 401b'!N3256,'Retirement Calculator'!A:A,0),0),0)</f>
        <v>0</v>
      </c>
      <c r="K3256" s="455">
        <f t="shared" ca="1" si="143"/>
        <v>-1318413818.5191731</v>
      </c>
      <c r="L3256" s="455">
        <f t="shared" ca="1" si="144"/>
        <v>-317737730263.12073</v>
      </c>
      <c r="M3256" s="471">
        <f t="shared" si="146"/>
        <v>0.05</v>
      </c>
      <c r="N3256" s="475">
        <f t="shared" si="147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45"/>
        <v>-317737730263.12073</v>
      </c>
      <c r="J3257" s="455">
        <f t="array" ref="J3257">IFERROR(INDEX('Retirement Calculator'!K:K,MATCH('Lorri 401b'!N3257,'Retirement Calculator'!A:A,0),0),0)</f>
        <v>0</v>
      </c>
      <c r="K3257" s="455">
        <f t="shared" ca="1" si="143"/>
        <v>-1323907209.4296696</v>
      </c>
      <c r="L3257" s="455">
        <f t="shared" ca="1" si="144"/>
        <v>-319061637472.55042</v>
      </c>
      <c r="M3257" s="471">
        <f t="shared" si="146"/>
        <v>0.05</v>
      </c>
      <c r="N3257" s="475">
        <f t="shared" si="147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45"/>
        <v>-319061637472.55042</v>
      </c>
      <c r="J3258" s="455">
        <f t="array" ref="J3258">IFERROR(INDEX('Retirement Calculator'!K:K,MATCH('Lorri 401b'!N3258,'Retirement Calculator'!A:A,0),0),0)</f>
        <v>0</v>
      </c>
      <c r="K3258" s="455">
        <f t="shared" ca="1" si="143"/>
        <v>-1329423489.46896</v>
      </c>
      <c r="L3258" s="455">
        <f t="shared" ca="1" si="144"/>
        <v>-320391060962.01935</v>
      </c>
      <c r="M3258" s="471">
        <f t="shared" si="146"/>
        <v>0.05</v>
      </c>
      <c r="N3258" s="475">
        <f t="shared" si="147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45"/>
        <v>-320391060962.01935</v>
      </c>
      <c r="J3259" s="455">
        <f t="array" ref="J3259">IFERROR(INDEX('Retirement Calculator'!K:K,MATCH('Lorri 401b'!N3259,'Retirement Calculator'!A:A,0),0),0)</f>
        <v>0</v>
      </c>
      <c r="K3259" s="455">
        <f t="shared" ca="1" si="143"/>
        <v>-1334962754.008414</v>
      </c>
      <c r="L3259" s="455">
        <f t="shared" ca="1" si="144"/>
        <v>-321726023716.02777</v>
      </c>
      <c r="M3259" s="471">
        <f t="shared" si="146"/>
        <v>0.05</v>
      </c>
      <c r="N3259" s="475">
        <f t="shared" si="147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45"/>
        <v>-321726023716.02777</v>
      </c>
      <c r="J3260" s="455">
        <f t="array" ref="J3260">IFERROR(INDEX('Retirement Calculator'!K:K,MATCH('Lorri 401b'!N3260,'Retirement Calculator'!A:A,0),0),0)</f>
        <v>0</v>
      </c>
      <c r="K3260" s="455">
        <f t="shared" ca="1" si="143"/>
        <v>-1340525098.8167825</v>
      </c>
      <c r="L3260" s="455">
        <f t="shared" ca="1" si="144"/>
        <v>-323066548814.84454</v>
      </c>
      <c r="M3260" s="471">
        <f t="shared" si="146"/>
        <v>0.05</v>
      </c>
      <c r="N3260" s="475">
        <f t="shared" si="147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45"/>
        <v>-323066548814.84454</v>
      </c>
      <c r="J3261" s="455">
        <f t="array" ref="J3261">IFERROR(INDEX('Retirement Calculator'!K:K,MATCH('Lorri 401b'!N3261,'Retirement Calculator'!A:A,0),0),0)</f>
        <v>0</v>
      </c>
      <c r="K3261" s="455">
        <f t="shared" ca="1" si="143"/>
        <v>-1346110620.0618522</v>
      </c>
      <c r="L3261" s="455">
        <f t="shared" ca="1" si="144"/>
        <v>-324412659434.90637</v>
      </c>
      <c r="M3261" s="471">
        <f t="shared" si="146"/>
        <v>0.05</v>
      </c>
      <c r="N3261" s="475">
        <f t="shared" si="147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45"/>
        <v>-324412659434.90637</v>
      </c>
      <c r="J3262" s="455">
        <f t="array" ref="J3262">IFERROR(INDEX('Retirement Calculator'!K:K,MATCH('Lorri 401b'!N3262,'Retirement Calculator'!A:A,0),0),0)</f>
        <v>0</v>
      </c>
      <c r="K3262" s="455">
        <f t="shared" ca="1" si="143"/>
        <v>-1351719414.3121099</v>
      </c>
      <c r="L3262" s="455">
        <f t="shared" ca="1" si="144"/>
        <v>-325764378849.21851</v>
      </c>
      <c r="M3262" s="471">
        <f t="shared" si="146"/>
        <v>0.05</v>
      </c>
      <c r="N3262" s="475">
        <f t="shared" si="147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45"/>
        <v>-325764378849.21851</v>
      </c>
      <c r="J3263" s="455">
        <f t="array" ref="J3263">IFERROR(INDEX('Retirement Calculator'!K:K,MATCH('Lorri 401b'!N3263,'Retirement Calculator'!A:A,0),0),0)</f>
        <v>0</v>
      </c>
      <c r="K3263" s="455">
        <f t="shared" ca="1" si="143"/>
        <v>-1357351578.5384104</v>
      </c>
      <c r="L3263" s="455">
        <f t="shared" ca="1" si="144"/>
        <v>-327121730427.7569</v>
      </c>
      <c r="M3263" s="471">
        <f t="shared" si="146"/>
        <v>0.05</v>
      </c>
      <c r="N3263" s="475">
        <f t="shared" si="147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45"/>
        <v>-327121730427.7569</v>
      </c>
      <c r="J3264" s="455">
        <f t="array" ref="J3264">IFERROR(INDEX('Retirement Calculator'!K:K,MATCH('Lorri 401b'!N3264,'Retirement Calculator'!A:A,0),0),0)</f>
        <v>0</v>
      </c>
      <c r="K3264" s="455">
        <f t="shared" ca="1" si="143"/>
        <v>-1363007210.1156538</v>
      </c>
      <c r="L3264" s="455">
        <f t="shared" ca="1" si="144"/>
        <v>-328484737637.87256</v>
      </c>
      <c r="M3264" s="471">
        <f t="shared" si="146"/>
        <v>0.05</v>
      </c>
      <c r="N3264" s="475">
        <f t="shared" si="147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45"/>
        <v>-328484737637.87256</v>
      </c>
      <c r="J3265" s="455">
        <f t="array" ref="J3265">IFERROR(INDEX('Retirement Calculator'!K:K,MATCH('Lorri 401b'!N3265,'Retirement Calculator'!A:A,0),0),0)</f>
        <v>0</v>
      </c>
      <c r="K3265" s="455">
        <f t="shared" ca="1" si="143"/>
        <v>-1368686406.8244691</v>
      </c>
      <c r="L3265" s="455">
        <f t="shared" ca="1" si="144"/>
        <v>-329853424044.69702</v>
      </c>
      <c r="M3265" s="471">
        <f t="shared" si="146"/>
        <v>0.05</v>
      </c>
      <c r="N3265" s="475">
        <f t="shared" si="147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45"/>
        <v>-329853424044.69702</v>
      </c>
      <c r="J3266" s="455">
        <f t="array" ref="J3266">IFERROR(INDEX('Retirement Calculator'!K:K,MATCH('Lorri 401b'!N3266,'Retirement Calculator'!A:A,0),0),0)</f>
        <v>0</v>
      </c>
      <c r="K3266" s="455">
        <f t="shared" ca="1" si="143"/>
        <v>-1374389266.8529043</v>
      </c>
      <c r="L3266" s="455">
        <f t="shared" ca="1" si="144"/>
        <v>-331227813311.54993</v>
      </c>
      <c r="M3266" s="471">
        <f t="shared" si="146"/>
        <v>0.05</v>
      </c>
      <c r="N3266" s="475">
        <f t="shared" si="147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45"/>
        <v>-331227813311.54993</v>
      </c>
      <c r="J3267" s="455">
        <f t="array" ref="J3267">IFERROR(INDEX('Retirement Calculator'!K:K,MATCH('Lorri 401b'!N3267,'Retirement Calculator'!A:A,0),0),0)</f>
        <v>0</v>
      </c>
      <c r="K3267" s="455">
        <f t="shared" ca="1" si="143"/>
        <v>-1380115888.7981248</v>
      </c>
      <c r="L3267" s="455">
        <f t="shared" ca="1" si="144"/>
        <v>-332607929200.34802</v>
      </c>
      <c r="M3267" s="471">
        <f t="shared" si="146"/>
        <v>0.05</v>
      </c>
      <c r="N3267" s="475">
        <f t="shared" si="147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45"/>
        <v>-332607929200.34802</v>
      </c>
      <c r="J3268" s="455">
        <f t="array" ref="J3268">IFERROR(INDEX('Retirement Calculator'!K:K,MATCH('Lorri 401b'!N3268,'Retirement Calculator'!A:A,0),0),0)</f>
        <v>0</v>
      </c>
      <c r="K3268" s="455">
        <f t="shared" ca="1" si="143"/>
        <v>-1385866371.6681168</v>
      </c>
      <c r="L3268" s="455">
        <f t="shared" ca="1" si="144"/>
        <v>-333993795572.01611</v>
      </c>
      <c r="M3268" s="471">
        <f t="shared" si="146"/>
        <v>0.05</v>
      </c>
      <c r="N3268" s="475">
        <f t="shared" si="147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45"/>
        <v>-333993795572.01611</v>
      </c>
      <c r="J3269" s="455">
        <f t="array" ref="J3269">IFERROR(INDEX('Retirement Calculator'!K:K,MATCH('Lorri 401b'!N3269,'Retirement Calculator'!A:A,0),0),0)</f>
        <v>0</v>
      </c>
      <c r="K3269" s="455">
        <f t="shared" ca="1" si="143"/>
        <v>-1391640814.8834004</v>
      </c>
      <c r="L3269" s="455">
        <f t="shared" ca="1" si="144"/>
        <v>-335385436386.89954</v>
      </c>
      <c r="M3269" s="471">
        <f t="shared" si="146"/>
        <v>0.05</v>
      </c>
      <c r="N3269" s="475">
        <f t="shared" si="147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45"/>
        <v>-335385436386.89954</v>
      </c>
      <c r="J3270" s="455">
        <f t="array" ref="J3270">IFERROR(INDEX('Retirement Calculator'!K:K,MATCH('Lorri 401b'!N3270,'Retirement Calculator'!A:A,0),0),0)</f>
        <v>0</v>
      </c>
      <c r="K3270" s="455">
        <f t="shared" ca="1" si="143"/>
        <v>-1397439318.278748</v>
      </c>
      <c r="L3270" s="455">
        <f t="shared" ca="1" si="144"/>
        <v>-336782875705.17828</v>
      </c>
      <c r="M3270" s="471">
        <f t="shared" si="146"/>
        <v>0.05</v>
      </c>
      <c r="N3270" s="475">
        <f t="shared" si="147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45"/>
        <v>-336782875705.17828</v>
      </c>
      <c r="J3271" s="455">
        <f t="array" ref="J3271">IFERROR(INDEX('Retirement Calculator'!K:K,MATCH('Lorri 401b'!N3271,'Retirement Calculator'!A:A,0),0),0)</f>
        <v>0</v>
      </c>
      <c r="K3271" s="455">
        <f t="shared" ca="1" si="143"/>
        <v>-1403261982.1049094</v>
      </c>
      <c r="L3271" s="455">
        <f t="shared" ca="1" si="144"/>
        <v>-338186137687.2832</v>
      </c>
      <c r="M3271" s="471">
        <f t="shared" si="146"/>
        <v>0.05</v>
      </c>
      <c r="N3271" s="475">
        <f t="shared" si="147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45"/>
        <v>-338186137687.2832</v>
      </c>
      <c r="J3272" s="455">
        <f t="array" ref="J3272">IFERROR(INDEX('Retirement Calculator'!K:K,MATCH('Lorri 401b'!N3272,'Retirement Calculator'!A:A,0),0),0)</f>
        <v>0</v>
      </c>
      <c r="K3272" s="455">
        <f t="shared" ca="1" si="143"/>
        <v>-1409108907.0303466</v>
      </c>
      <c r="L3272" s="455">
        <f t="shared" ca="1" si="144"/>
        <v>-339595246594.31354</v>
      </c>
      <c r="M3272" s="471">
        <f t="shared" si="146"/>
        <v>0.05</v>
      </c>
      <c r="N3272" s="475">
        <f t="shared" si="147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45"/>
        <v>-339595246594.31354</v>
      </c>
      <c r="J3273" s="455">
        <f t="array" ref="J3273">IFERROR(INDEX('Retirement Calculator'!K:K,MATCH('Lorri 401b'!N3273,'Retirement Calculator'!A:A,0),0),0)</f>
        <v>0</v>
      </c>
      <c r="K3273" s="455">
        <f t="shared" ca="1" si="143"/>
        <v>-1414980194.1429729</v>
      </c>
      <c r="L3273" s="455">
        <f t="shared" ca="1" si="144"/>
        <v>-341010226788.45648</v>
      </c>
      <c r="M3273" s="471">
        <f t="shared" si="146"/>
        <v>0.05</v>
      </c>
      <c r="N3273" s="475">
        <f t="shared" si="147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45"/>
        <v>-341010226788.45648</v>
      </c>
      <c r="J3274" s="455">
        <f t="array" ref="J3274">IFERROR(INDEX('Retirement Calculator'!K:K,MATCH('Lorri 401b'!N3274,'Retirement Calculator'!A:A,0),0),0)</f>
        <v>0</v>
      </c>
      <c r="K3274" s="455">
        <f t="shared" ca="1" si="143"/>
        <v>-1420875944.9519019</v>
      </c>
      <c r="L3274" s="455">
        <f t="shared" ca="1" si="144"/>
        <v>-342431102733.40839</v>
      </c>
      <c r="M3274" s="471">
        <f t="shared" si="146"/>
        <v>0.05</v>
      </c>
      <c r="N3274" s="475">
        <f t="shared" si="147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45"/>
        <v>-342431102733.40839</v>
      </c>
      <c r="J3275" s="455">
        <f t="array" ref="J3275">IFERROR(INDEX('Retirement Calculator'!K:K,MATCH('Lorri 401b'!N3275,'Retirement Calculator'!A:A,0),0),0)</f>
        <v>0</v>
      </c>
      <c r="K3275" s="455">
        <f t="shared" ca="1" si="143"/>
        <v>-1426796261.3892016</v>
      </c>
      <c r="L3275" s="455">
        <f t="shared" ca="1" si="144"/>
        <v>-343857898994.79761</v>
      </c>
      <c r="M3275" s="471">
        <f t="shared" si="146"/>
        <v>0.05</v>
      </c>
      <c r="N3275" s="475">
        <f t="shared" si="147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45"/>
        <v>-343857898994.79761</v>
      </c>
      <c r="J3276" s="455">
        <f t="array" ref="J3276">IFERROR(INDEX('Retirement Calculator'!K:K,MATCH('Lorri 401b'!N3276,'Retirement Calculator'!A:A,0),0),0)</f>
        <v>0</v>
      </c>
      <c r="K3276" s="455">
        <f t="shared" ca="1" si="143"/>
        <v>-1432741245.8116567</v>
      </c>
      <c r="L3276" s="455">
        <f t="shared" ca="1" si="144"/>
        <v>-345290640240.60925</v>
      </c>
      <c r="M3276" s="471">
        <f t="shared" si="146"/>
        <v>0.05</v>
      </c>
      <c r="N3276" s="475">
        <f t="shared" si="147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45"/>
        <v>-345290640240.60925</v>
      </c>
      <c r="J3277" s="455">
        <f t="array" ref="J3277">IFERROR(INDEX('Retirement Calculator'!K:K,MATCH('Lorri 401b'!N3277,'Retirement Calculator'!A:A,0),0),0)</f>
        <v>0</v>
      </c>
      <c r="K3277" s="455">
        <f t="shared" ca="1" si="143"/>
        <v>-1438711001.0025384</v>
      </c>
      <c r="L3277" s="455">
        <f t="shared" ca="1" si="144"/>
        <v>-346729351241.61182</v>
      </c>
      <c r="M3277" s="471">
        <f t="shared" si="146"/>
        <v>0.05</v>
      </c>
      <c r="N3277" s="475">
        <f t="shared" si="147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45"/>
        <v>-346729351241.61182</v>
      </c>
      <c r="J3278" s="455">
        <f t="array" ref="J3278">IFERROR(INDEX('Retirement Calculator'!K:K,MATCH('Lorri 401b'!N3278,'Retirement Calculator'!A:A,0),0),0)</f>
        <v>0</v>
      </c>
      <c r="K3278" s="455">
        <f t="shared" ca="1" si="143"/>
        <v>-1444705630.1733825</v>
      </c>
      <c r="L3278" s="455">
        <f t="shared" ca="1" si="144"/>
        <v>-348174056871.78522</v>
      </c>
      <c r="M3278" s="471">
        <f t="shared" si="146"/>
        <v>0.05</v>
      </c>
      <c r="N3278" s="475">
        <f t="shared" si="147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45"/>
        <v>-348174056871.78522</v>
      </c>
      <c r="J3279" s="455">
        <f t="array" ref="J3279">IFERROR(INDEX('Retirement Calculator'!K:K,MATCH('Lorri 401b'!N3279,'Retirement Calculator'!A:A,0),0),0)</f>
        <v>0</v>
      </c>
      <c r="K3279" s="455">
        <f t="shared" ca="1" si="143"/>
        <v>-1450725236.9657717</v>
      </c>
      <c r="L3279" s="455">
        <f t="shared" ca="1" si="144"/>
        <v>-349624782108.75098</v>
      </c>
      <c r="M3279" s="471">
        <f t="shared" si="146"/>
        <v>0.05</v>
      </c>
      <c r="N3279" s="475">
        <f t="shared" si="147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45"/>
        <v>-349624782108.75098</v>
      </c>
      <c r="J3280" s="455">
        <f t="array" ref="J3280">IFERROR(INDEX('Retirement Calculator'!K:K,MATCH('Lorri 401b'!N3280,'Retirement Calculator'!A:A,0),0),0)</f>
        <v>0</v>
      </c>
      <c r="K3280" s="455">
        <f t="shared" ca="1" si="143"/>
        <v>-1456769925.4531291</v>
      </c>
      <c r="L3280" s="455">
        <f t="shared" ca="1" si="144"/>
        <v>-351081552034.2041</v>
      </c>
      <c r="M3280" s="471">
        <f t="shared" si="146"/>
        <v>0.05</v>
      </c>
      <c r="N3280" s="475">
        <f t="shared" si="147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45"/>
        <v>-351081552034.2041</v>
      </c>
      <c r="J3281" s="455">
        <f t="array" ref="J3281">IFERROR(INDEX('Retirement Calculator'!K:K,MATCH('Lorri 401b'!N3281,'Retirement Calculator'!A:A,0),0),0)</f>
        <v>0</v>
      </c>
      <c r="K3281" s="455">
        <f t="shared" ca="1" si="143"/>
        <v>-1462839800.1425171</v>
      </c>
      <c r="L3281" s="455">
        <f t="shared" ca="1" si="144"/>
        <v>-352544391834.34662</v>
      </c>
      <c r="M3281" s="471">
        <f t="shared" si="146"/>
        <v>0.05</v>
      </c>
      <c r="N3281" s="475">
        <f t="shared" si="147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45"/>
        <v>-352544391834.34662</v>
      </c>
      <c r="J3282" s="455">
        <f t="array" ref="J3282">IFERROR(INDEX('Retirement Calculator'!K:K,MATCH('Lorri 401b'!N3282,'Retirement Calculator'!A:A,0),0),0)</f>
        <v>0</v>
      </c>
      <c r="K3282" s="455">
        <f t="shared" ca="1" si="143"/>
        <v>-1468934965.9764442</v>
      </c>
      <c r="L3282" s="455">
        <f t="shared" ca="1" si="144"/>
        <v>-354013326800.32306</v>
      </c>
      <c r="M3282" s="471">
        <f t="shared" si="146"/>
        <v>0.05</v>
      </c>
      <c r="N3282" s="475">
        <f t="shared" si="147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45"/>
        <v>-354013326800.32306</v>
      </c>
      <c r="J3283" s="455">
        <f t="array" ref="J3283">IFERROR(INDEX('Retirement Calculator'!K:K,MATCH('Lorri 401b'!N3283,'Retirement Calculator'!A:A,0),0),0)</f>
        <v>0</v>
      </c>
      <c r="K3283" s="455">
        <f t="shared" ca="1" si="143"/>
        <v>-1475055528.3346794</v>
      </c>
      <c r="L3283" s="455">
        <f t="shared" ca="1" si="144"/>
        <v>-355488382328.65771</v>
      </c>
      <c r="M3283" s="471">
        <f t="shared" si="146"/>
        <v>0.05</v>
      </c>
      <c r="N3283" s="475">
        <f t="shared" si="147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45"/>
        <v>-355488382328.65771</v>
      </c>
      <c r="J3284" s="455">
        <f t="array" ref="J3284">IFERROR(INDEX('Retirement Calculator'!K:K,MATCH('Lorri 401b'!N3284,'Retirement Calculator'!A:A,0),0),0)</f>
        <v>0</v>
      </c>
      <c r="K3284" s="455">
        <f t="shared" ca="1" si="143"/>
        <v>-1481201593.0360737</v>
      </c>
      <c r="L3284" s="455">
        <f t="shared" ca="1" si="144"/>
        <v>-356969583921.69379</v>
      </c>
      <c r="M3284" s="471">
        <f t="shared" si="146"/>
        <v>0.05</v>
      </c>
      <c r="N3284" s="475">
        <f t="shared" si="147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45"/>
        <v>-356969583921.69379</v>
      </c>
      <c r="J3285" s="455">
        <f t="array" ref="J3285">IFERROR(INDEX('Retirement Calculator'!K:K,MATCH('Lorri 401b'!N3285,'Retirement Calculator'!A:A,0),0),0)</f>
        <v>0</v>
      </c>
      <c r="K3285" s="455">
        <f t="shared" ca="1" si="143"/>
        <v>-1487373266.3403907</v>
      </c>
      <c r="L3285" s="455">
        <f t="shared" ca="1" si="144"/>
        <v>-358456957188.03418</v>
      </c>
      <c r="M3285" s="471">
        <f t="shared" si="146"/>
        <v>0.05</v>
      </c>
      <c r="N3285" s="475">
        <f t="shared" si="147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45"/>
        <v>-358456957188.03418</v>
      </c>
      <c r="J3286" s="455">
        <f t="array" ref="J3286">IFERROR(INDEX('Retirement Calculator'!K:K,MATCH('Lorri 401b'!N3286,'Retirement Calculator'!A:A,0),0),0)</f>
        <v>0</v>
      </c>
      <c r="K3286" s="455">
        <f t="shared" ca="1" si="143"/>
        <v>-1493570654.9501424</v>
      </c>
      <c r="L3286" s="455">
        <f t="shared" ca="1" si="144"/>
        <v>-359950527842.98431</v>
      </c>
      <c r="M3286" s="471">
        <f t="shared" si="146"/>
        <v>0.05</v>
      </c>
      <c r="N3286" s="475">
        <f t="shared" si="147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45"/>
        <v>-359950527842.98431</v>
      </c>
      <c r="J3287" s="455">
        <f t="array" ref="J3287">IFERROR(INDEX('Retirement Calculator'!K:K,MATCH('Lorri 401b'!N3287,'Retirement Calculator'!A:A,0),0),0)</f>
        <v>0</v>
      </c>
      <c r="K3287" s="455">
        <f t="shared" ca="1" si="143"/>
        <v>-1499793866.0124347</v>
      </c>
      <c r="L3287" s="455">
        <f t="shared" ca="1" si="144"/>
        <v>-361450321708.99677</v>
      </c>
      <c r="M3287" s="471">
        <f t="shared" si="146"/>
        <v>0.05</v>
      </c>
      <c r="N3287" s="475">
        <f t="shared" si="147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45"/>
        <v>-361450321708.99677</v>
      </c>
      <c r="J3288" s="455">
        <f t="array" ref="J3288">IFERROR(INDEX('Retirement Calculator'!K:K,MATCH('Lorri 401b'!N3288,'Retirement Calculator'!A:A,0),0),0)</f>
        <v>0</v>
      </c>
      <c r="K3288" s="455">
        <f t="shared" ca="1" si="143"/>
        <v>-1506043007.1208198</v>
      </c>
      <c r="L3288" s="455">
        <f t="shared" ca="1" si="144"/>
        <v>-362956364716.11761</v>
      </c>
      <c r="M3288" s="471">
        <f t="shared" si="146"/>
        <v>0.05</v>
      </c>
      <c r="N3288" s="475">
        <f t="shared" si="147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45"/>
        <v>-362956364716.11761</v>
      </c>
      <c r="J3289" s="455">
        <f t="array" ref="J3289">IFERROR(INDEX('Retirement Calculator'!K:K,MATCH('Lorri 401b'!N3289,'Retirement Calculator'!A:A,0),0),0)</f>
        <v>0</v>
      </c>
      <c r="K3289" s="455">
        <f t="shared" ca="1" si="143"/>
        <v>-1512318186.3171568</v>
      </c>
      <c r="L3289" s="455">
        <f t="shared" ca="1" si="144"/>
        <v>-364468682902.43475</v>
      </c>
      <c r="M3289" s="471">
        <f t="shared" si="146"/>
        <v>0.05</v>
      </c>
      <c r="N3289" s="475">
        <f t="shared" si="147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45"/>
        <v>-364468682902.43475</v>
      </c>
      <c r="J3290" s="455">
        <f t="array" ref="J3290">IFERROR(INDEX('Retirement Calculator'!K:K,MATCH('Lorri 401b'!N3290,'Retirement Calculator'!A:A,0),0),0)</f>
        <v>0</v>
      </c>
      <c r="K3290" s="455">
        <f t="shared" ca="1" si="143"/>
        <v>-1518619512.0934782</v>
      </c>
      <c r="L3290" s="455">
        <f t="shared" ca="1" si="144"/>
        <v>-365987302414.52826</v>
      </c>
      <c r="M3290" s="471">
        <f t="shared" si="146"/>
        <v>0.05</v>
      </c>
      <c r="N3290" s="475">
        <f t="shared" si="147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45"/>
        <v>-365987302414.52826</v>
      </c>
      <c r="J3291" s="455">
        <f t="array" ref="J3291">IFERROR(INDEX('Retirement Calculator'!K:K,MATCH('Lorri 401b'!N3291,'Retirement Calculator'!A:A,0),0),0)</f>
        <v>0</v>
      </c>
      <c r="K3291" s="455">
        <f t="shared" ca="1" si="143"/>
        <v>-1524947093.3938677</v>
      </c>
      <c r="L3291" s="455">
        <f t="shared" ca="1" si="144"/>
        <v>-367512249507.92212</v>
      </c>
      <c r="M3291" s="471">
        <f t="shared" si="146"/>
        <v>0.05</v>
      </c>
      <c r="N3291" s="475">
        <f t="shared" si="147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45"/>
        <v>-367512249507.92212</v>
      </c>
      <c r="J3292" s="455">
        <f t="array" ref="J3292">IFERROR(INDEX('Retirement Calculator'!K:K,MATCH('Lorri 401b'!N3292,'Retirement Calculator'!A:A,0),0),0)</f>
        <v>0</v>
      </c>
      <c r="K3292" s="455">
        <f t="shared" ca="1" si="143"/>
        <v>-1531301039.6163421</v>
      </c>
      <c r="L3292" s="455">
        <f t="shared" ca="1" si="144"/>
        <v>-369043550547.53845</v>
      </c>
      <c r="M3292" s="471">
        <f t="shared" si="146"/>
        <v>0.05</v>
      </c>
      <c r="N3292" s="475">
        <f t="shared" si="147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45"/>
        <v>-369043550547.53845</v>
      </c>
      <c r="J3293" s="455">
        <f t="array" ref="J3293">IFERROR(INDEX('Retirement Calculator'!K:K,MATCH('Lorri 401b'!N3293,'Retirement Calculator'!A:A,0),0),0)</f>
        <v>0</v>
      </c>
      <c r="K3293" s="455">
        <f t="shared" ca="1" si="143"/>
        <v>-1537681460.6147435</v>
      </c>
      <c r="L3293" s="455">
        <f t="shared" ca="1" si="144"/>
        <v>-370581232008.1532</v>
      </c>
      <c r="M3293" s="471">
        <f t="shared" si="146"/>
        <v>0.05</v>
      </c>
      <c r="N3293" s="475">
        <f t="shared" si="147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45"/>
        <v>-370581232008.1532</v>
      </c>
      <c r="J3294" s="455">
        <f t="array" ref="J3294">IFERROR(INDEX('Retirement Calculator'!K:K,MATCH('Lorri 401b'!N3294,'Retirement Calculator'!A:A,0),0),0)</f>
        <v>0</v>
      </c>
      <c r="K3294" s="455">
        <f t="shared" ca="1" si="143"/>
        <v>-1544088466.7006383</v>
      </c>
      <c r="L3294" s="455">
        <f t="shared" ca="1" si="144"/>
        <v>-372125320474.85382</v>
      </c>
      <c r="M3294" s="471">
        <f t="shared" si="146"/>
        <v>0.05</v>
      </c>
      <c r="N3294" s="475">
        <f t="shared" si="147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45"/>
        <v>-372125320474.85382</v>
      </c>
      <c r="J3295" s="455">
        <f t="array" ref="J3295">IFERROR(INDEX('Retirement Calculator'!K:K,MATCH('Lorri 401b'!N3295,'Retirement Calculator'!A:A,0),0),0)</f>
        <v>0</v>
      </c>
      <c r="K3295" s="455">
        <f t="shared" ca="1" si="143"/>
        <v>-1550522168.6452243</v>
      </c>
      <c r="L3295" s="455">
        <f t="shared" ca="1" si="144"/>
        <v>-373675842643.49902</v>
      </c>
      <c r="M3295" s="471">
        <f t="shared" si="146"/>
        <v>0.05</v>
      </c>
      <c r="N3295" s="475">
        <f t="shared" si="147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45"/>
        <v>-373675842643.49902</v>
      </c>
      <c r="J3296" s="455">
        <f t="array" ref="J3296">IFERROR(INDEX('Retirement Calculator'!K:K,MATCH('Lorri 401b'!N3296,'Retirement Calculator'!A:A,0),0),0)</f>
        <v>0</v>
      </c>
      <c r="K3296" s="455">
        <f t="shared" ca="1" si="143"/>
        <v>-1556982677.6812458</v>
      </c>
      <c r="L3296" s="455">
        <f t="shared" ca="1" si="144"/>
        <v>-375232825321.1803</v>
      </c>
      <c r="M3296" s="471">
        <f t="shared" si="146"/>
        <v>0.05</v>
      </c>
      <c r="N3296" s="475">
        <f t="shared" si="147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45"/>
        <v>-375232825321.1803</v>
      </c>
      <c r="J3297" s="455">
        <f t="array" ref="J3297">IFERROR(INDEX('Retirement Calculator'!K:K,MATCH('Lorri 401b'!N3297,'Retirement Calculator'!A:A,0),0),0)</f>
        <v>0</v>
      </c>
      <c r="K3297" s="455">
        <f t="shared" ca="1" si="143"/>
        <v>-1563470105.5049179</v>
      </c>
      <c r="L3297" s="455">
        <f t="shared" ca="1" si="144"/>
        <v>-376796295426.68524</v>
      </c>
      <c r="M3297" s="471">
        <f t="shared" si="146"/>
        <v>0.05</v>
      </c>
      <c r="N3297" s="475">
        <f t="shared" si="147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45"/>
        <v>-376796295426.68524</v>
      </c>
      <c r="J3298" s="455">
        <f t="array" ref="J3298">IFERROR(INDEX('Retirement Calculator'!K:K,MATCH('Lorri 401b'!N3298,'Retirement Calculator'!A:A,0),0),0)</f>
        <v>0</v>
      </c>
      <c r="K3298" s="455">
        <f t="shared" ca="1" si="143"/>
        <v>-1569984564.2778552</v>
      </c>
      <c r="L3298" s="455">
        <f t="shared" ca="1" si="144"/>
        <v>-378366279990.96307</v>
      </c>
      <c r="M3298" s="471">
        <f t="shared" si="146"/>
        <v>0.05</v>
      </c>
      <c r="N3298" s="475">
        <f t="shared" si="147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45"/>
        <v>-378366279990.96307</v>
      </c>
      <c r="J3299" s="455">
        <f t="array" ref="J3299">IFERROR(INDEX('Retirement Calculator'!K:K,MATCH('Lorri 401b'!N3299,'Retirement Calculator'!A:A,0),0),0)</f>
        <v>0</v>
      </c>
      <c r="K3299" s="455">
        <f t="shared" ca="1" si="143"/>
        <v>-1576526166.6290128</v>
      </c>
      <c r="L3299" s="455">
        <f t="shared" ca="1" si="144"/>
        <v>-379942806157.5921</v>
      </c>
      <c r="M3299" s="471">
        <f t="shared" si="146"/>
        <v>0.05</v>
      </c>
      <c r="N3299" s="475">
        <f t="shared" si="147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45"/>
        <v>-379942806157.5921</v>
      </c>
      <c r="J3300" s="455">
        <f t="array" ref="J3300">IFERROR(INDEX('Retirement Calculator'!K:K,MATCH('Lorri 401b'!N3300,'Retirement Calculator'!A:A,0),0),0)</f>
        <v>0</v>
      </c>
      <c r="K3300" s="455">
        <f t="shared" ca="1" si="143"/>
        <v>-1583095025.6566339</v>
      </c>
      <c r="L3300" s="455">
        <f t="shared" ca="1" si="144"/>
        <v>-381525901183.24872</v>
      </c>
      <c r="M3300" s="471">
        <f t="shared" si="146"/>
        <v>0.05</v>
      </c>
      <c r="N3300" s="475">
        <f t="shared" si="147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45"/>
        <v>-381525901183.24872</v>
      </c>
      <c r="J3301" s="455">
        <f t="array" ref="J3301">IFERROR(INDEX('Retirement Calculator'!K:K,MATCH('Lorri 401b'!N3301,'Retirement Calculator'!A:A,0),0),0)</f>
        <v>0</v>
      </c>
      <c r="K3301" s="455">
        <f t="shared" ca="1" si="143"/>
        <v>-1589691254.930203</v>
      </c>
      <c r="L3301" s="455">
        <f t="shared" ca="1" si="144"/>
        <v>-383115592438.17889</v>
      </c>
      <c r="M3301" s="471">
        <f t="shared" si="146"/>
        <v>0.05</v>
      </c>
      <c r="N3301" s="475">
        <f t="shared" si="147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45"/>
        <v>-383115592438.17889</v>
      </c>
      <c r="J3302" s="455">
        <f t="array" ref="J3302">IFERROR(INDEX('Retirement Calculator'!K:K,MATCH('Lorri 401b'!N3302,'Retirement Calculator'!A:A,0),0),0)</f>
        <v>0</v>
      </c>
      <c r="K3302" s="455">
        <f t="shared" ca="1" si="143"/>
        <v>-1596314968.4924121</v>
      </c>
      <c r="L3302" s="455">
        <f t="shared" ca="1" si="144"/>
        <v>-384711907406.67133</v>
      </c>
      <c r="M3302" s="471">
        <f t="shared" si="146"/>
        <v>0.05</v>
      </c>
      <c r="N3302" s="475">
        <f t="shared" si="147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45"/>
        <v>-384711907406.67133</v>
      </c>
      <c r="J3303" s="455">
        <f t="array" ref="J3303">IFERROR(INDEX('Retirement Calculator'!K:K,MATCH('Lorri 401b'!N3303,'Retirement Calculator'!A:A,0),0),0)</f>
        <v>0</v>
      </c>
      <c r="K3303" s="455">
        <f t="shared" ca="1" si="143"/>
        <v>-1602966280.8611305</v>
      </c>
      <c r="L3303" s="455">
        <f t="shared" ca="1" si="144"/>
        <v>-386314873687.53247</v>
      </c>
      <c r="M3303" s="471">
        <f t="shared" si="146"/>
        <v>0.05</v>
      </c>
      <c r="N3303" s="475">
        <f t="shared" si="147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45"/>
        <v>-386314873687.53247</v>
      </c>
      <c r="J3304" s="455">
        <f t="array" ref="J3304">IFERROR(INDEX('Retirement Calculator'!K:K,MATCH('Lorri 401b'!N3304,'Retirement Calculator'!A:A,0),0),0)</f>
        <v>0</v>
      </c>
      <c r="K3304" s="455">
        <f t="shared" ca="1" si="143"/>
        <v>-1609645307.0313852</v>
      </c>
      <c r="L3304" s="455">
        <f t="shared" ca="1" si="144"/>
        <v>-387924518994.56384</v>
      </c>
      <c r="M3304" s="471">
        <f t="shared" si="146"/>
        <v>0.05</v>
      </c>
      <c r="N3304" s="475">
        <f t="shared" si="147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45"/>
        <v>-387924518994.56384</v>
      </c>
      <c r="J3305" s="455">
        <f t="array" ref="J3305">IFERROR(INDEX('Retirement Calculator'!K:K,MATCH('Lorri 401b'!N3305,'Retirement Calculator'!A:A,0),0),0)</f>
        <v>0</v>
      </c>
      <c r="K3305" s="455">
        <f t="shared" ca="1" si="143"/>
        <v>-1616352162.4773493</v>
      </c>
      <c r="L3305" s="455">
        <f t="shared" ca="1" si="144"/>
        <v>-389540871157.0412</v>
      </c>
      <c r="M3305" s="471">
        <f t="shared" si="146"/>
        <v>0.05</v>
      </c>
      <c r="N3305" s="475">
        <f t="shared" si="147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45"/>
        <v>-389540871157.0412</v>
      </c>
      <c r="J3306" s="455">
        <f t="array" ref="J3306">IFERROR(INDEX('Retirement Calculator'!K:K,MATCH('Lorri 401b'!N3306,'Retirement Calculator'!A:A,0),0),0)</f>
        <v>0</v>
      </c>
      <c r="K3306" s="455">
        <f t="shared" ca="1" si="143"/>
        <v>-1623086963.1543384</v>
      </c>
      <c r="L3306" s="455">
        <f t="shared" ca="1" si="144"/>
        <v>-391163958120.19556</v>
      </c>
      <c r="M3306" s="471">
        <f t="shared" si="146"/>
        <v>0.05</v>
      </c>
      <c r="N3306" s="475">
        <f t="shared" si="147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45"/>
        <v>-391163958120.19556</v>
      </c>
      <c r="J3307" s="455">
        <f t="array" ref="J3307">IFERROR(INDEX('Retirement Calculator'!K:K,MATCH('Lorri 401b'!N3307,'Retirement Calculator'!A:A,0),0),0)</f>
        <v>0</v>
      </c>
      <c r="K3307" s="455">
        <f t="shared" ca="1" si="143"/>
        <v>-1629849825.5008149</v>
      </c>
      <c r="L3307" s="455">
        <f t="shared" ca="1" si="144"/>
        <v>-392793807945.69635</v>
      </c>
      <c r="M3307" s="471">
        <f t="shared" si="146"/>
        <v>0.05</v>
      </c>
      <c r="N3307" s="475">
        <f t="shared" si="147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45"/>
        <v>-392793807945.69635</v>
      </c>
      <c r="J3308" s="455">
        <f t="array" ref="J3308">IFERROR(INDEX('Retirement Calculator'!K:K,MATCH('Lorri 401b'!N3308,'Retirement Calculator'!A:A,0),0),0)</f>
        <v>0</v>
      </c>
      <c r="K3308" s="455">
        <f t="shared" ca="1" si="143"/>
        <v>-1636640866.4404016</v>
      </c>
      <c r="L3308" s="455">
        <f t="shared" ca="1" si="144"/>
        <v>-394430448812.13678</v>
      </c>
      <c r="M3308" s="471">
        <f t="shared" si="146"/>
        <v>0.05</v>
      </c>
      <c r="N3308" s="475">
        <f t="shared" si="147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45"/>
        <v>-394430448812.13678</v>
      </c>
      <c r="J3309" s="455">
        <f t="array" ref="J3309">IFERROR(INDEX('Retirement Calculator'!K:K,MATCH('Lorri 401b'!N3309,'Retirement Calculator'!A:A,0),0),0)</f>
        <v>0</v>
      </c>
      <c r="K3309" s="455">
        <f t="shared" ca="1" si="143"/>
        <v>-1643460203.3839033</v>
      </c>
      <c r="L3309" s="455">
        <f t="shared" ca="1" si="144"/>
        <v>-396073909015.52069</v>
      </c>
      <c r="M3309" s="471">
        <f t="shared" si="146"/>
        <v>0.05</v>
      </c>
      <c r="N3309" s="475">
        <f t="shared" si="147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45"/>
        <v>-396073909015.52069</v>
      </c>
      <c r="J3310" s="455">
        <f t="array" ref="J3310">IFERROR(INDEX('Retirement Calculator'!K:K,MATCH('Lorri 401b'!N3310,'Retirement Calculator'!A:A,0),0),0)</f>
        <v>0</v>
      </c>
      <c r="K3310" s="455">
        <f t="shared" ca="1" si="143"/>
        <v>-1650307954.2313361</v>
      </c>
      <c r="L3310" s="455">
        <f t="shared" ca="1" si="144"/>
        <v>-397724216969.75201</v>
      </c>
      <c r="M3310" s="471">
        <f t="shared" si="146"/>
        <v>0.05</v>
      </c>
      <c r="N3310" s="475">
        <f t="shared" si="147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45"/>
        <v>-397724216969.75201</v>
      </c>
      <c r="J3311" s="455">
        <f t="array" ref="J3311">IFERROR(INDEX('Retirement Calculator'!K:K,MATCH('Lorri 401b'!N3311,'Retirement Calculator'!A:A,0),0),0)</f>
        <v>0</v>
      </c>
      <c r="K3311" s="455">
        <f t="shared" ca="1" si="143"/>
        <v>-1657184237.3739667</v>
      </c>
      <c r="L3311" s="455">
        <f t="shared" ca="1" si="144"/>
        <v>-399381401207.12598</v>
      </c>
      <c r="M3311" s="471">
        <f t="shared" si="146"/>
        <v>0.05</v>
      </c>
      <c r="N3311" s="475">
        <f t="shared" si="147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45"/>
        <v>-399381401207.12598</v>
      </c>
      <c r="J3312" s="455">
        <f t="array" ref="J3312">IFERROR(INDEX('Retirement Calculator'!K:K,MATCH('Lorri 401b'!N3312,'Retirement Calculator'!A:A,0),0),0)</f>
        <v>0</v>
      </c>
      <c r="K3312" s="455">
        <f t="shared" ca="1" si="143"/>
        <v>-1664089171.6963582</v>
      </c>
      <c r="L3312" s="455">
        <f t="shared" ca="1" si="144"/>
        <v>-401045490378.82233</v>
      </c>
      <c r="M3312" s="471">
        <f t="shared" si="146"/>
        <v>0.05</v>
      </c>
      <c r="N3312" s="475">
        <f t="shared" si="147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45"/>
        <v>-401045490378.82233</v>
      </c>
      <c r="J3313" s="455">
        <f t="array" ref="J3313">IFERROR(INDEX('Retirement Calculator'!K:K,MATCH('Lorri 401b'!N3313,'Retirement Calculator'!A:A,0),0),0)</f>
        <v>0</v>
      </c>
      <c r="K3313" s="455">
        <f t="shared" ca="1" si="143"/>
        <v>-1671022876.5784264</v>
      </c>
      <c r="L3313" s="455">
        <f t="shared" ca="1" si="144"/>
        <v>-402716513255.40076</v>
      </c>
      <c r="M3313" s="471">
        <f t="shared" si="146"/>
        <v>0.05</v>
      </c>
      <c r="N3313" s="475">
        <f t="shared" si="147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45"/>
        <v>-402716513255.40076</v>
      </c>
      <c r="J3314" s="455">
        <f t="array" ref="J3314">IFERROR(INDEX('Retirement Calculator'!K:K,MATCH('Lorri 401b'!N3314,'Retirement Calculator'!A:A,0),0),0)</f>
        <v>0</v>
      </c>
      <c r="K3314" s="455">
        <f t="shared" ca="1" si="143"/>
        <v>-1677985471.8975031</v>
      </c>
      <c r="L3314" s="455">
        <f t="shared" ca="1" si="144"/>
        <v>-404394498727.29828</v>
      </c>
      <c r="M3314" s="471">
        <f t="shared" si="146"/>
        <v>0.05</v>
      </c>
      <c r="N3314" s="475">
        <f t="shared" si="147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45"/>
        <v>-404394498727.29828</v>
      </c>
      <c r="J3315" s="455">
        <f t="array" ref="J3315">IFERROR(INDEX('Retirement Calculator'!K:K,MATCH('Lorri 401b'!N3315,'Retirement Calculator'!A:A,0),0),0)</f>
        <v>0</v>
      </c>
      <c r="K3315" s="455">
        <f t="shared" ca="1" si="143"/>
        <v>-1684977078.0304096</v>
      </c>
      <c r="L3315" s="455">
        <f t="shared" ca="1" si="144"/>
        <v>-406079475805.32867</v>
      </c>
      <c r="M3315" s="471">
        <f t="shared" si="146"/>
        <v>0.05</v>
      </c>
      <c r="N3315" s="475">
        <f t="shared" si="147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45"/>
        <v>-406079475805.32867</v>
      </c>
      <c r="J3316" s="455">
        <f t="array" ref="J3316">IFERROR(INDEX('Retirement Calculator'!K:K,MATCH('Lorri 401b'!N3316,'Retirement Calculator'!A:A,0),0),0)</f>
        <v>0</v>
      </c>
      <c r="K3316" s="455">
        <f t="shared" ca="1" si="143"/>
        <v>-1691997815.8555362</v>
      </c>
      <c r="L3316" s="455">
        <f t="shared" ca="1" si="144"/>
        <v>-407771473621.1842</v>
      </c>
      <c r="M3316" s="471">
        <f t="shared" si="146"/>
        <v>0.05</v>
      </c>
      <c r="N3316" s="475">
        <f t="shared" si="147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45"/>
        <v>-407771473621.1842</v>
      </c>
      <c r="J3317" s="455">
        <f t="array" ref="J3317">IFERROR(INDEX('Retirement Calculator'!K:K,MATCH('Lorri 401b'!N3317,'Retirement Calculator'!A:A,0),0),0)</f>
        <v>0</v>
      </c>
      <c r="K3317" s="455">
        <f t="shared" ca="1" si="143"/>
        <v>-1699047806.7549341</v>
      </c>
      <c r="L3317" s="455">
        <f t="shared" ca="1" si="144"/>
        <v>-409470521427.93915</v>
      </c>
      <c r="M3317" s="471">
        <f t="shared" si="146"/>
        <v>0.05</v>
      </c>
      <c r="N3317" s="475">
        <f t="shared" si="147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45"/>
        <v>-409470521427.93915</v>
      </c>
      <c r="J3318" s="455">
        <f t="array" ref="J3318">IFERROR(INDEX('Retirement Calculator'!K:K,MATCH('Lorri 401b'!N3318,'Retirement Calculator'!A:A,0),0),0)</f>
        <v>0</v>
      </c>
      <c r="K3318" s="455">
        <f t="shared" ca="1" si="143"/>
        <v>-1706127172.6164131</v>
      </c>
      <c r="L3318" s="455">
        <f t="shared" ca="1" si="144"/>
        <v>-411176648600.55554</v>
      </c>
      <c r="M3318" s="471">
        <f t="shared" si="146"/>
        <v>0.05</v>
      </c>
      <c r="N3318" s="475">
        <f t="shared" si="147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45"/>
        <v>-411176648600.55554</v>
      </c>
      <c r="J3319" s="455">
        <f t="array" ref="J3319">IFERROR(INDEX('Retirement Calculator'!K:K,MATCH('Lorri 401b'!N3319,'Retirement Calculator'!A:A,0),0),0)</f>
        <v>0</v>
      </c>
      <c r="K3319" s="455">
        <f t="shared" ca="1" si="143"/>
        <v>-1713236035.8356481</v>
      </c>
      <c r="L3319" s="455">
        <f t="shared" ca="1" si="144"/>
        <v>-412889884636.39117</v>
      </c>
      <c r="M3319" s="471">
        <f t="shared" si="146"/>
        <v>0.05</v>
      </c>
      <c r="N3319" s="475">
        <f t="shared" si="147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45"/>
        <v>-412889884636.39117</v>
      </c>
      <c r="J3320" s="455">
        <f t="array" ref="J3320">IFERROR(INDEX('Retirement Calculator'!K:K,MATCH('Lorri 401b'!N3320,'Retirement Calculator'!A:A,0),0),0)</f>
        <v>0</v>
      </c>
      <c r="K3320" s="455">
        <f t="shared" ca="1" si="143"/>
        <v>-1720374519.3182964</v>
      </c>
      <c r="L3320" s="455">
        <f t="shared" ca="1" si="144"/>
        <v>-414610259155.70947</v>
      </c>
      <c r="M3320" s="471">
        <f t="shared" si="146"/>
        <v>0.05</v>
      </c>
      <c r="N3320" s="475">
        <f t="shared" si="147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45"/>
        <v>-414610259155.70947</v>
      </c>
      <c r="J3321" s="455">
        <f t="array" ref="J3321">IFERROR(INDEX('Retirement Calculator'!K:K,MATCH('Lorri 401b'!N3321,'Retirement Calculator'!A:A,0),0),0)</f>
        <v>0</v>
      </c>
      <c r="K3321" s="455">
        <f t="shared" ca="1" si="143"/>
        <v>-1727542746.4821227</v>
      </c>
      <c r="L3321" s="455">
        <f t="shared" ca="1" si="144"/>
        <v>-416337801902.19159</v>
      </c>
      <c r="M3321" s="471">
        <f t="shared" si="146"/>
        <v>0.05</v>
      </c>
      <c r="N3321" s="475">
        <f t="shared" si="147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45"/>
        <v>-416337801902.19159</v>
      </c>
      <c r="J3322" s="455">
        <f t="array" ref="J3322">IFERROR(INDEX('Retirement Calculator'!K:K,MATCH('Lorri 401b'!N3322,'Retirement Calculator'!A:A,0),0),0)</f>
        <v>0</v>
      </c>
      <c r="K3322" s="455">
        <f t="shared" ca="1" si="143"/>
        <v>-1734740841.2591317</v>
      </c>
      <c r="L3322" s="455">
        <f t="shared" ca="1" si="144"/>
        <v>-418072542743.45074</v>
      </c>
      <c r="M3322" s="471">
        <f t="shared" si="146"/>
        <v>0.05</v>
      </c>
      <c r="N3322" s="475">
        <f t="shared" si="147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45"/>
        <v>-418072542743.45074</v>
      </c>
      <c r="J3323" s="455">
        <f t="array" ref="J3323">IFERROR(INDEX('Retirement Calculator'!K:K,MATCH('Lorri 401b'!N3323,'Retirement Calculator'!A:A,0),0),0)</f>
        <v>0</v>
      </c>
      <c r="K3323" s="455">
        <f t="shared" ref="K3323:K3577" ca="1" si="148">IPMT(M3323/12,1,12,-I3323+J3323,,0)</f>
        <v>-1741968928.0977113</v>
      </c>
      <c r="L3323" s="455">
        <f t="shared" ref="L3323:L3577" ca="1" si="149">I3323-J3323+K3323</f>
        <v>-419814511671.54846</v>
      </c>
      <c r="M3323" s="471">
        <f t="shared" si="146"/>
        <v>0.05</v>
      </c>
      <c r="N3323" s="475">
        <f t="shared" si="147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50">L3323</f>
        <v>-419814511671.54846</v>
      </c>
      <c r="J3324" s="455">
        <f t="array" ref="J3324">IFERROR(INDEX('Retirement Calculator'!K:K,MATCH('Lorri 401b'!N3324,'Retirement Calculator'!A:A,0),0),0)</f>
        <v>0</v>
      </c>
      <c r="K3324" s="455">
        <f t="shared" ca="1" si="148"/>
        <v>-1749227131.9647853</v>
      </c>
      <c r="L3324" s="455">
        <f t="shared" ca="1" si="149"/>
        <v>-421563738803.51324</v>
      </c>
      <c r="M3324" s="471">
        <f t="shared" ref="M3324:M3578" si="151">M3323</f>
        <v>0.05</v>
      </c>
      <c r="N3324" s="475">
        <f t="shared" ref="N3324:N3578" si="152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50"/>
        <v>-421563738803.51324</v>
      </c>
      <c r="J3325" s="455">
        <f t="array" ref="J3325">IFERROR(INDEX('Retirement Calculator'!K:K,MATCH('Lorri 401b'!N3325,'Retirement Calculator'!A:A,0),0),0)</f>
        <v>0</v>
      </c>
      <c r="K3325" s="455">
        <f t="shared" ca="1" si="148"/>
        <v>-1756515578.3479719</v>
      </c>
      <c r="L3325" s="455">
        <f t="shared" ca="1" si="149"/>
        <v>-423320254381.86121</v>
      </c>
      <c r="M3325" s="471">
        <f t="shared" si="151"/>
        <v>0.05</v>
      </c>
      <c r="N3325" s="475">
        <f t="shared" si="152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50"/>
        <v>-423320254381.86121</v>
      </c>
      <c r="J3326" s="455">
        <f t="array" ref="J3326">IFERROR(INDEX('Retirement Calculator'!K:K,MATCH('Lorri 401b'!N3326,'Retirement Calculator'!A:A,0),0),0)</f>
        <v>0</v>
      </c>
      <c r="K3326" s="455">
        <f t="shared" ca="1" si="148"/>
        <v>-1763834393.257755</v>
      </c>
      <c r="L3326" s="455">
        <f t="shared" ca="1" si="149"/>
        <v>-425084088775.11896</v>
      </c>
      <c r="M3326" s="471">
        <f t="shared" si="151"/>
        <v>0.05</v>
      </c>
      <c r="N3326" s="475">
        <f t="shared" si="152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50"/>
        <v>-425084088775.11896</v>
      </c>
      <c r="J3327" s="455">
        <f t="array" ref="J3327">IFERROR(INDEX('Retirement Calculator'!K:K,MATCH('Lorri 401b'!N3327,'Retirement Calculator'!A:A,0),0),0)</f>
        <v>0</v>
      </c>
      <c r="K3327" s="455">
        <f t="shared" ca="1" si="148"/>
        <v>-1771183703.2296622</v>
      </c>
      <c r="L3327" s="455">
        <f t="shared" ca="1" si="149"/>
        <v>-426855272478.34863</v>
      </c>
      <c r="M3327" s="471">
        <f t="shared" si="151"/>
        <v>0.05</v>
      </c>
      <c r="N3327" s="475">
        <f t="shared" si="152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50"/>
        <v>-426855272478.34863</v>
      </c>
      <c r="J3328" s="455">
        <f t="array" ref="J3328">IFERROR(INDEX('Retirement Calculator'!K:K,MATCH('Lorri 401b'!N3328,'Retirement Calculator'!A:A,0),0),0)</f>
        <v>0</v>
      </c>
      <c r="K3328" s="455">
        <f t="shared" ca="1" si="148"/>
        <v>-1778563635.3264525</v>
      </c>
      <c r="L3328" s="455">
        <f t="shared" ca="1" si="149"/>
        <v>-428633836113.67511</v>
      </c>
      <c r="M3328" s="471">
        <f t="shared" si="151"/>
        <v>0.05</v>
      </c>
      <c r="N3328" s="475">
        <f t="shared" si="152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50"/>
        <v>-428633836113.67511</v>
      </c>
      <c r="J3329" s="455">
        <f t="array" ref="J3329">IFERROR(INDEX('Retirement Calculator'!K:K,MATCH('Lorri 401b'!N3329,'Retirement Calculator'!A:A,0),0),0)</f>
        <v>0</v>
      </c>
      <c r="K3329" s="455">
        <f t="shared" ca="1" si="148"/>
        <v>-1785974317.1403131</v>
      </c>
      <c r="L3329" s="455">
        <f t="shared" ca="1" si="149"/>
        <v>-430419810430.81543</v>
      </c>
      <c r="M3329" s="471">
        <f t="shared" si="151"/>
        <v>0.05</v>
      </c>
      <c r="N3329" s="475">
        <f t="shared" si="152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50"/>
        <v>-430419810430.81543</v>
      </c>
      <c r="J3330" s="455">
        <f t="array" ref="J3330">IFERROR(INDEX('Retirement Calculator'!K:K,MATCH('Lorri 401b'!N3330,'Retirement Calculator'!A:A,0),0),0)</f>
        <v>0</v>
      </c>
      <c r="K3330" s="455">
        <f t="shared" ca="1" si="148"/>
        <v>-1793415876.7950642</v>
      </c>
      <c r="L3330" s="455">
        <f t="shared" ca="1" si="149"/>
        <v>-432213226307.61047</v>
      </c>
      <c r="M3330" s="471">
        <f t="shared" si="151"/>
        <v>0.05</v>
      </c>
      <c r="N3330" s="475">
        <f t="shared" si="152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50"/>
        <v>-432213226307.61047</v>
      </c>
      <c r="J3331" s="455">
        <f t="array" ref="J3331">IFERROR(INDEX('Retirement Calculator'!K:K,MATCH('Lorri 401b'!N3331,'Retirement Calculator'!A:A,0),0),0)</f>
        <v>0</v>
      </c>
      <c r="K3331" s="455">
        <f t="shared" ca="1" si="148"/>
        <v>-1800888442.9483769</v>
      </c>
      <c r="L3331" s="455">
        <f t="shared" ca="1" si="149"/>
        <v>-434014114750.55884</v>
      </c>
      <c r="M3331" s="471">
        <f t="shared" si="151"/>
        <v>0.05</v>
      </c>
      <c r="N3331" s="475">
        <f t="shared" si="152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50"/>
        <v>-434014114750.55884</v>
      </c>
      <c r="J3332" s="455">
        <f t="array" ref="J3332">IFERROR(INDEX('Retirement Calculator'!K:K,MATCH('Lorri 401b'!N3332,'Retirement Calculator'!A:A,0),0),0)</f>
        <v>0</v>
      </c>
      <c r="K3332" s="455">
        <f t="shared" ca="1" si="148"/>
        <v>-1808392144.7939951</v>
      </c>
      <c r="L3332" s="455">
        <f t="shared" ca="1" si="149"/>
        <v>-435822506895.35284</v>
      </c>
      <c r="M3332" s="471">
        <f t="shared" si="151"/>
        <v>0.05</v>
      </c>
      <c r="N3332" s="475">
        <f t="shared" si="152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50"/>
        <v>-435822506895.35284</v>
      </c>
      <c r="J3333" s="455">
        <f t="array" ref="J3333">IFERROR(INDEX('Retirement Calculator'!K:K,MATCH('Lorri 401b'!N3333,'Retirement Calculator'!A:A,0),0),0)</f>
        <v>0</v>
      </c>
      <c r="K3333" s="455">
        <f t="shared" ca="1" si="148"/>
        <v>-1815927112.0639701</v>
      </c>
      <c r="L3333" s="455">
        <f t="shared" ca="1" si="149"/>
        <v>-437638434007.41681</v>
      </c>
      <c r="M3333" s="471">
        <f t="shared" si="151"/>
        <v>0.05</v>
      </c>
      <c r="N3333" s="475">
        <f t="shared" si="152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50"/>
        <v>-437638434007.41681</v>
      </c>
      <c r="J3334" s="455">
        <f t="array" ref="J3334">IFERROR(INDEX('Retirement Calculator'!K:K,MATCH('Lorri 401b'!N3334,'Retirement Calculator'!A:A,0),0),0)</f>
        <v>0</v>
      </c>
      <c r="K3334" s="455">
        <f t="shared" ca="1" si="148"/>
        <v>-1823493475.0309033</v>
      </c>
      <c r="L3334" s="455">
        <f t="shared" ca="1" si="149"/>
        <v>-439461927482.44769</v>
      </c>
      <c r="M3334" s="471">
        <f t="shared" si="151"/>
        <v>0.05</v>
      </c>
      <c r="N3334" s="475">
        <f t="shared" si="152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50"/>
        <v>-439461927482.44769</v>
      </c>
      <c r="J3335" s="455">
        <f t="array" ref="J3335">IFERROR(INDEX('Retirement Calculator'!K:K,MATCH('Lorri 401b'!N3335,'Retirement Calculator'!A:A,0),0),0)</f>
        <v>0</v>
      </c>
      <c r="K3335" s="455">
        <f t="shared" ca="1" si="148"/>
        <v>-1831091364.5101986</v>
      </c>
      <c r="L3335" s="455">
        <f t="shared" ca="1" si="149"/>
        <v>-441293018846.95789</v>
      </c>
      <c r="M3335" s="471">
        <f t="shared" si="151"/>
        <v>0.05</v>
      </c>
      <c r="N3335" s="475">
        <f t="shared" si="152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50"/>
        <v>-441293018846.95789</v>
      </c>
      <c r="J3336" s="455">
        <f t="array" ref="J3336">IFERROR(INDEX('Retirement Calculator'!K:K,MATCH('Lorri 401b'!N3336,'Retirement Calculator'!A:A,0),0),0)</f>
        <v>0</v>
      </c>
      <c r="K3336" s="455">
        <f t="shared" ca="1" si="148"/>
        <v>-1838720911.8623245</v>
      </c>
      <c r="L3336" s="455">
        <f t="shared" ca="1" si="149"/>
        <v>-443131739758.82019</v>
      </c>
      <c r="M3336" s="471">
        <f t="shared" si="151"/>
        <v>0.05</v>
      </c>
      <c r="N3336" s="475">
        <f t="shared" si="152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50"/>
        <v>-443131739758.82019</v>
      </c>
      <c r="J3337" s="455">
        <f t="array" ref="J3337">IFERROR(INDEX('Retirement Calculator'!K:K,MATCH('Lorri 401b'!N3337,'Retirement Calculator'!A:A,0),0),0)</f>
        <v>0</v>
      </c>
      <c r="K3337" s="455">
        <f t="shared" ca="1" si="148"/>
        <v>-1846382248.995084</v>
      </c>
      <c r="L3337" s="455">
        <f t="shared" ca="1" si="149"/>
        <v>-444978122007.81525</v>
      </c>
      <c r="M3337" s="471">
        <f t="shared" si="151"/>
        <v>0.05</v>
      </c>
      <c r="N3337" s="475">
        <f t="shared" si="152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50"/>
        <v>-444978122007.81525</v>
      </c>
      <c r="J3338" s="455">
        <f t="array" ref="J3338">IFERROR(INDEX('Retirement Calculator'!K:K,MATCH('Lorri 401b'!N3338,'Retirement Calculator'!A:A,0),0),0)</f>
        <v>0</v>
      </c>
      <c r="K3338" s="455">
        <f t="shared" ca="1" si="148"/>
        <v>-1854075508.3658969</v>
      </c>
      <c r="L3338" s="455">
        <f t="shared" ca="1" si="149"/>
        <v>-446832197516.18115</v>
      </c>
      <c r="M3338" s="471">
        <f t="shared" si="151"/>
        <v>0.05</v>
      </c>
      <c r="N3338" s="475">
        <f t="shared" si="152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50"/>
        <v>-446832197516.18115</v>
      </c>
      <c r="J3339" s="455">
        <f t="array" ref="J3339">IFERROR(INDEX('Retirement Calculator'!K:K,MATCH('Lorri 401b'!N3339,'Retirement Calculator'!A:A,0),0),0)</f>
        <v>0</v>
      </c>
      <c r="K3339" s="455">
        <f t="shared" ca="1" si="148"/>
        <v>-1861800822.9840884</v>
      </c>
      <c r="L3339" s="455">
        <f t="shared" ca="1" si="149"/>
        <v>-448693998339.16522</v>
      </c>
      <c r="M3339" s="471">
        <f t="shared" si="151"/>
        <v>0.05</v>
      </c>
      <c r="N3339" s="475">
        <f t="shared" si="152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50"/>
        <v>-448693998339.16522</v>
      </c>
      <c r="J3340" s="455">
        <f t="array" ref="J3340">IFERROR(INDEX('Retirement Calculator'!K:K,MATCH('Lorri 401b'!N3340,'Retirement Calculator'!A:A,0),0),0)</f>
        <v>0</v>
      </c>
      <c r="K3340" s="455">
        <f t="shared" ca="1" si="148"/>
        <v>-1869558326.4131882</v>
      </c>
      <c r="L3340" s="455">
        <f t="shared" ca="1" si="149"/>
        <v>-450563556665.57843</v>
      </c>
      <c r="M3340" s="471">
        <f t="shared" si="151"/>
        <v>0.05</v>
      </c>
      <c r="N3340" s="475">
        <f t="shared" si="152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50"/>
        <v>-450563556665.57843</v>
      </c>
      <c r="J3341" s="455">
        <f t="array" ref="J3341">IFERROR(INDEX('Retirement Calculator'!K:K,MATCH('Lorri 401b'!N3341,'Retirement Calculator'!A:A,0),0),0)</f>
        <v>0</v>
      </c>
      <c r="K3341" s="455">
        <f t="shared" ca="1" si="148"/>
        <v>-1877348152.7732434</v>
      </c>
      <c r="L3341" s="455">
        <f t="shared" ca="1" si="149"/>
        <v>-452440904818.35168</v>
      </c>
      <c r="M3341" s="471">
        <f t="shared" si="151"/>
        <v>0.05</v>
      </c>
      <c r="N3341" s="475">
        <f t="shared" si="152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50"/>
        <v>-452440904818.35168</v>
      </c>
      <c r="J3342" s="455">
        <f t="array" ref="J3342">IFERROR(INDEX('Retirement Calculator'!K:K,MATCH('Lorri 401b'!N3342,'Retirement Calculator'!A:A,0),0),0)</f>
        <v>0</v>
      </c>
      <c r="K3342" s="455">
        <f t="shared" ca="1" si="148"/>
        <v>-1885170436.7431316</v>
      </c>
      <c r="L3342" s="455">
        <f t="shared" ca="1" si="149"/>
        <v>-454326075255.09479</v>
      </c>
      <c r="M3342" s="471">
        <f t="shared" si="151"/>
        <v>0.05</v>
      </c>
      <c r="N3342" s="475">
        <f t="shared" si="152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50"/>
        <v>-454326075255.09479</v>
      </c>
      <c r="J3343" s="455">
        <f t="array" ref="J3343">IFERROR(INDEX('Retirement Calculator'!K:K,MATCH('Lorri 401b'!N3343,'Retirement Calculator'!A:A,0),0),0)</f>
        <v>0</v>
      </c>
      <c r="K3343" s="455">
        <f t="shared" ca="1" si="148"/>
        <v>-1893025313.5628946</v>
      </c>
      <c r="L3343" s="455">
        <f t="shared" ca="1" si="149"/>
        <v>-456219100568.65765</v>
      </c>
      <c r="M3343" s="471">
        <f t="shared" si="151"/>
        <v>0.05</v>
      </c>
      <c r="N3343" s="475">
        <f t="shared" si="152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50"/>
        <v>-456219100568.65765</v>
      </c>
      <c r="J3344" s="455">
        <f t="array" ref="J3344">IFERROR(INDEX('Retirement Calculator'!K:K,MATCH('Lorri 401b'!N3344,'Retirement Calculator'!A:A,0),0),0)</f>
        <v>0</v>
      </c>
      <c r="K3344" s="455">
        <f t="shared" ca="1" si="148"/>
        <v>-1900912919.0360732</v>
      </c>
      <c r="L3344" s="455">
        <f t="shared" ca="1" si="149"/>
        <v>-458120013487.69373</v>
      </c>
      <c r="M3344" s="471">
        <f t="shared" si="151"/>
        <v>0.05</v>
      </c>
      <c r="N3344" s="475">
        <f t="shared" si="152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50"/>
        <v>-458120013487.69373</v>
      </c>
      <c r="J3345" s="455">
        <f t="array" ref="J3345">IFERROR(INDEX('Retirement Calculator'!K:K,MATCH('Lorri 401b'!N3345,'Retirement Calculator'!A:A,0),0),0)</f>
        <v>0</v>
      </c>
      <c r="K3345" s="455">
        <f t="shared" ca="1" si="148"/>
        <v>-1908833389.532057</v>
      </c>
      <c r="L3345" s="455">
        <f t="shared" ca="1" si="149"/>
        <v>-460028846877.22577</v>
      </c>
      <c r="M3345" s="471">
        <f t="shared" si="151"/>
        <v>0.05</v>
      </c>
      <c r="N3345" s="475">
        <f t="shared" si="152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50"/>
        <v>-460028846877.22577</v>
      </c>
      <c r="J3346" s="455">
        <f t="array" ref="J3346">IFERROR(INDEX('Retirement Calculator'!K:K,MATCH('Lorri 401b'!N3346,'Retirement Calculator'!A:A,0),0),0)</f>
        <v>0</v>
      </c>
      <c r="K3346" s="455">
        <f t="shared" ca="1" si="148"/>
        <v>-1916786861.9884408</v>
      </c>
      <c r="L3346" s="455">
        <f t="shared" ca="1" si="149"/>
        <v>-461945633739.21423</v>
      </c>
      <c r="M3346" s="471">
        <f t="shared" si="151"/>
        <v>0.05</v>
      </c>
      <c r="N3346" s="475">
        <f t="shared" si="152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50"/>
        <v>-461945633739.21423</v>
      </c>
      <c r="J3347" s="455">
        <f t="array" ref="J3347">IFERROR(INDEX('Retirement Calculator'!K:K,MATCH('Lorri 401b'!N3347,'Retirement Calculator'!A:A,0),0),0)</f>
        <v>0</v>
      </c>
      <c r="K3347" s="455">
        <f t="shared" ca="1" si="148"/>
        <v>-1924773473.9133925</v>
      </c>
      <c r="L3347" s="455">
        <f t="shared" ca="1" si="149"/>
        <v>-463870407213.12762</v>
      </c>
      <c r="M3347" s="471">
        <f t="shared" si="151"/>
        <v>0.05</v>
      </c>
      <c r="N3347" s="475">
        <f t="shared" si="152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50"/>
        <v>-463870407213.12762</v>
      </c>
      <c r="J3348" s="455">
        <f t="array" ref="J3348">IFERROR(INDEX('Retirement Calculator'!K:K,MATCH('Lorri 401b'!N3348,'Retirement Calculator'!A:A,0),0),0)</f>
        <v>0</v>
      </c>
      <c r="K3348" s="455">
        <f t="shared" ca="1" si="148"/>
        <v>-1932793363.3880317</v>
      </c>
      <c r="L3348" s="455">
        <f t="shared" ca="1" si="149"/>
        <v>-465803200576.51569</v>
      </c>
      <c r="M3348" s="471">
        <f t="shared" si="151"/>
        <v>0.05</v>
      </c>
      <c r="N3348" s="475">
        <f t="shared" si="152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50"/>
        <v>-465803200576.51569</v>
      </c>
      <c r="J3349" s="455">
        <f t="array" ref="J3349">IFERROR(INDEX('Retirement Calculator'!K:K,MATCH('Lorri 401b'!N3349,'Retirement Calculator'!A:A,0),0),0)</f>
        <v>0</v>
      </c>
      <c r="K3349" s="455">
        <f t="shared" ca="1" si="148"/>
        <v>-1940846669.0688152</v>
      </c>
      <c r="L3349" s="455">
        <f t="shared" ca="1" si="149"/>
        <v>-467744047245.58447</v>
      </c>
      <c r="M3349" s="471">
        <f t="shared" si="151"/>
        <v>0.05</v>
      </c>
      <c r="N3349" s="475">
        <f t="shared" si="152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50"/>
        <v>-467744047245.58447</v>
      </c>
      <c r="J3350" s="455">
        <f t="array" ref="J3350">IFERROR(INDEX('Retirement Calculator'!K:K,MATCH('Lorri 401b'!N3350,'Retirement Calculator'!A:A,0),0),0)</f>
        <v>0</v>
      </c>
      <c r="K3350" s="455">
        <f t="shared" ca="1" si="148"/>
        <v>-1948933530.1899352</v>
      </c>
      <c r="L3350" s="455">
        <f t="shared" ca="1" si="149"/>
        <v>-469692980775.77441</v>
      </c>
      <c r="M3350" s="471">
        <f t="shared" si="151"/>
        <v>0.05</v>
      </c>
      <c r="N3350" s="475">
        <f t="shared" si="152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50"/>
        <v>-469692980775.77441</v>
      </c>
      <c r="J3351" s="455">
        <f t="array" ref="J3351">IFERROR(INDEX('Retirement Calculator'!K:K,MATCH('Lorri 401b'!N3351,'Retirement Calculator'!A:A,0),0),0)</f>
        <v>0</v>
      </c>
      <c r="K3351" s="455">
        <f t="shared" ca="1" si="148"/>
        <v>-1957054086.5657268</v>
      </c>
      <c r="L3351" s="455">
        <f t="shared" ca="1" si="149"/>
        <v>-471650034862.34015</v>
      </c>
      <c r="M3351" s="471">
        <f t="shared" si="151"/>
        <v>0.05</v>
      </c>
      <c r="N3351" s="475">
        <f t="shared" si="152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50"/>
        <v>-471650034862.34015</v>
      </c>
      <c r="J3352" s="455">
        <f t="array" ref="J3352">IFERROR(INDEX('Retirement Calculator'!K:K,MATCH('Lorri 401b'!N3352,'Retirement Calculator'!A:A,0),0),0)</f>
        <v>0</v>
      </c>
      <c r="K3352" s="455">
        <f t="shared" ca="1" si="148"/>
        <v>-1965208478.5930841</v>
      </c>
      <c r="L3352" s="455">
        <f t="shared" ca="1" si="149"/>
        <v>-473615243340.93323</v>
      </c>
      <c r="M3352" s="471">
        <f t="shared" si="151"/>
        <v>0.05</v>
      </c>
      <c r="N3352" s="475">
        <f t="shared" si="152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50"/>
        <v>-473615243340.93323</v>
      </c>
      <c r="J3353" s="455">
        <f t="array" ref="J3353">IFERROR(INDEX('Retirement Calculator'!K:K,MATCH('Lorri 401b'!N3353,'Retirement Calculator'!A:A,0),0),0)</f>
        <v>0</v>
      </c>
      <c r="K3353" s="455">
        <f t="shared" ca="1" si="148"/>
        <v>-1973396847.2538881</v>
      </c>
      <c r="L3353" s="455">
        <f t="shared" ca="1" si="149"/>
        <v>-475588640188.18713</v>
      </c>
      <c r="M3353" s="471">
        <f t="shared" si="151"/>
        <v>0.05</v>
      </c>
      <c r="N3353" s="475">
        <f t="shared" si="152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50"/>
        <v>-475588640188.18713</v>
      </c>
      <c r="J3354" s="455">
        <f t="array" ref="J3354">IFERROR(INDEX('Retirement Calculator'!K:K,MATCH('Lorri 401b'!N3354,'Retirement Calculator'!A:A,0),0),0)</f>
        <v>0</v>
      </c>
      <c r="K3354" s="455">
        <f t="shared" ca="1" si="148"/>
        <v>-1981619334.1174464</v>
      </c>
      <c r="L3354" s="455">
        <f t="shared" ca="1" si="149"/>
        <v>-477570259522.30457</v>
      </c>
      <c r="M3354" s="471">
        <f t="shared" si="151"/>
        <v>0.05</v>
      </c>
      <c r="N3354" s="475">
        <f t="shared" si="152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50"/>
        <v>-477570259522.30457</v>
      </c>
      <c r="J3355" s="455">
        <f t="array" ref="J3355">IFERROR(INDEX('Retirement Calculator'!K:K,MATCH('Lorri 401b'!N3355,'Retirement Calculator'!A:A,0),0),0)</f>
        <v>0</v>
      </c>
      <c r="K3355" s="455">
        <f t="shared" ca="1" si="148"/>
        <v>-1989876081.3429353</v>
      </c>
      <c r="L3355" s="455">
        <f t="shared" ca="1" si="149"/>
        <v>-479560135603.64752</v>
      </c>
      <c r="M3355" s="471">
        <f t="shared" si="151"/>
        <v>0.05</v>
      </c>
      <c r="N3355" s="475">
        <f t="shared" si="152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50"/>
        <v>-479560135603.64752</v>
      </c>
      <c r="J3356" s="455">
        <f t="array" ref="J3356">IFERROR(INDEX('Retirement Calculator'!K:K,MATCH('Lorri 401b'!N3356,'Retirement Calculator'!A:A,0),0),0)</f>
        <v>0</v>
      </c>
      <c r="K3356" s="455">
        <f t="shared" ca="1" si="148"/>
        <v>-1998167231.6818645</v>
      </c>
      <c r="L3356" s="455">
        <f t="shared" ca="1" si="149"/>
        <v>-481558302835.32941</v>
      </c>
      <c r="M3356" s="471">
        <f t="shared" si="151"/>
        <v>0.05</v>
      </c>
      <c r="N3356" s="475">
        <f t="shared" si="152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50"/>
        <v>-481558302835.32941</v>
      </c>
      <c r="J3357" s="455">
        <f t="array" ref="J3357">IFERROR(INDEX('Retirement Calculator'!K:K,MATCH('Lorri 401b'!N3357,'Retirement Calculator'!A:A,0),0),0)</f>
        <v>0</v>
      </c>
      <c r="K3357" s="455">
        <f t="shared" ca="1" si="148"/>
        <v>-2006492928.4805393</v>
      </c>
      <c r="L3357" s="455">
        <f t="shared" ca="1" si="149"/>
        <v>-483564795763.80994</v>
      </c>
      <c r="M3357" s="471">
        <f t="shared" si="151"/>
        <v>0.05</v>
      </c>
      <c r="N3357" s="475">
        <f t="shared" si="152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50"/>
        <v>-483564795763.80994</v>
      </c>
      <c r="J3358" s="455">
        <f t="array" ref="J3358">IFERROR(INDEX('Retirement Calculator'!K:K,MATCH('Lorri 401b'!N3358,'Retirement Calculator'!A:A,0),0),0)</f>
        <v>0</v>
      </c>
      <c r="K3358" s="455">
        <f t="shared" ca="1" si="148"/>
        <v>-2014853315.6825416</v>
      </c>
      <c r="L3358" s="455">
        <f t="shared" ca="1" si="149"/>
        <v>-485579649079.49249</v>
      </c>
      <c r="M3358" s="471">
        <f t="shared" si="151"/>
        <v>0.05</v>
      </c>
      <c r="N3358" s="475">
        <f t="shared" si="152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50"/>
        <v>-485579649079.49249</v>
      </c>
      <c r="J3359" s="455">
        <f t="array" ref="J3359">IFERROR(INDEX('Retirement Calculator'!K:K,MATCH('Lorri 401b'!N3359,'Retirement Calculator'!A:A,0),0),0)</f>
        <v>0</v>
      </c>
      <c r="K3359" s="455">
        <f t="shared" ca="1" si="148"/>
        <v>-2023248537.831219</v>
      </c>
      <c r="L3359" s="455">
        <f t="shared" ca="1" si="149"/>
        <v>-487602897617.32373</v>
      </c>
      <c r="M3359" s="471">
        <f t="shared" si="151"/>
        <v>0.05</v>
      </c>
      <c r="N3359" s="475">
        <f t="shared" si="152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50"/>
        <v>-487602897617.32373</v>
      </c>
      <c r="J3360" s="455">
        <f t="array" ref="J3360">IFERROR(INDEX('Retirement Calculator'!K:K,MATCH('Lorri 401b'!N3360,'Retirement Calculator'!A:A,0),0),0)</f>
        <v>0</v>
      </c>
      <c r="K3360" s="455">
        <f t="shared" ca="1" si="148"/>
        <v>-2031678740.0721822</v>
      </c>
      <c r="L3360" s="455">
        <f t="shared" ca="1" si="149"/>
        <v>-489634576357.39594</v>
      </c>
      <c r="M3360" s="471">
        <f t="shared" si="151"/>
        <v>0.05</v>
      </c>
      <c r="N3360" s="475">
        <f t="shared" si="152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50"/>
        <v>-489634576357.39594</v>
      </c>
      <c r="J3361" s="455">
        <f t="array" ref="J3361">IFERROR(INDEX('Retirement Calculator'!K:K,MATCH('Lorri 401b'!N3361,'Retirement Calculator'!A:A,0),0),0)</f>
        <v>0</v>
      </c>
      <c r="K3361" s="455">
        <f t="shared" ca="1" si="148"/>
        <v>-2040144068.1558163</v>
      </c>
      <c r="L3361" s="455">
        <f t="shared" ca="1" si="149"/>
        <v>-491674720425.55176</v>
      </c>
      <c r="M3361" s="471">
        <f t="shared" si="151"/>
        <v>0.05</v>
      </c>
      <c r="N3361" s="475">
        <f t="shared" si="152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50"/>
        <v>-491674720425.55176</v>
      </c>
      <c r="J3362" s="455">
        <f t="array" ref="J3362">IFERROR(INDEX('Retirement Calculator'!K:K,MATCH('Lorri 401b'!N3362,'Retirement Calculator'!A:A,0),0),0)</f>
        <v>0</v>
      </c>
      <c r="K3362" s="455">
        <f t="shared" ca="1" si="148"/>
        <v>-2048644668.4397986</v>
      </c>
      <c r="L3362" s="455">
        <f t="shared" ca="1" si="149"/>
        <v>-493723365093.99158</v>
      </c>
      <c r="M3362" s="471">
        <f t="shared" si="151"/>
        <v>0.05</v>
      </c>
      <c r="N3362" s="475">
        <f t="shared" si="152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50"/>
        <v>-493723365093.99158</v>
      </c>
      <c r="J3363" s="455">
        <f t="array" ref="J3363">IFERROR(INDEX('Retirement Calculator'!K:K,MATCH('Lorri 401b'!N3363,'Retirement Calculator'!A:A,0),0),0)</f>
        <v>0</v>
      </c>
      <c r="K3363" s="455">
        <f t="shared" ca="1" si="148"/>
        <v>-2057180687.8916316</v>
      </c>
      <c r="L3363" s="455">
        <f t="shared" ca="1" si="149"/>
        <v>-495780545781.88318</v>
      </c>
      <c r="M3363" s="471">
        <f t="shared" si="151"/>
        <v>0.05</v>
      </c>
      <c r="N3363" s="475">
        <f t="shared" si="152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50"/>
        <v>-495780545781.88318</v>
      </c>
      <c r="J3364" s="455">
        <f t="array" ref="J3364">IFERROR(INDEX('Retirement Calculator'!K:K,MATCH('Lorri 401b'!N3364,'Retirement Calculator'!A:A,0),0),0)</f>
        <v>0</v>
      </c>
      <c r="K3364" s="455">
        <f t="shared" ca="1" si="148"/>
        <v>-2065752274.0911798</v>
      </c>
      <c r="L3364" s="455">
        <f t="shared" ca="1" si="149"/>
        <v>-497846298055.97437</v>
      </c>
      <c r="M3364" s="471">
        <f t="shared" si="151"/>
        <v>0.05</v>
      </c>
      <c r="N3364" s="475">
        <f t="shared" si="152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50"/>
        <v>-497846298055.97437</v>
      </c>
      <c r="J3365" s="455">
        <f t="array" ref="J3365">IFERROR(INDEX('Retirement Calculator'!K:K,MATCH('Lorri 401b'!N3365,'Retirement Calculator'!A:A,0),0),0)</f>
        <v>0</v>
      </c>
      <c r="K3365" s="455">
        <f t="shared" ca="1" si="148"/>
        <v>-2074359575.2332263</v>
      </c>
      <c r="L3365" s="455">
        <f t="shared" ca="1" si="149"/>
        <v>-499920657631.20758</v>
      </c>
      <c r="M3365" s="471">
        <f t="shared" si="151"/>
        <v>0.05</v>
      </c>
      <c r="N3365" s="475">
        <f t="shared" si="152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50"/>
        <v>-499920657631.20758</v>
      </c>
      <c r="J3366" s="455">
        <f t="array" ref="J3366">IFERROR(INDEX('Retirement Calculator'!K:K,MATCH('Lorri 401b'!N3366,'Retirement Calculator'!A:A,0),0),0)</f>
        <v>0</v>
      </c>
      <c r="K3366" s="455">
        <f t="shared" ca="1" si="148"/>
        <v>-2083002740.1300316</v>
      </c>
      <c r="L3366" s="455">
        <f t="shared" ca="1" si="149"/>
        <v>-502003660371.33759</v>
      </c>
      <c r="M3366" s="471">
        <f t="shared" si="151"/>
        <v>0.05</v>
      </c>
      <c r="N3366" s="475">
        <f t="shared" si="152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50"/>
        <v>-502003660371.33759</v>
      </c>
      <c r="J3367" s="455">
        <f t="array" ref="J3367">IFERROR(INDEX('Retirement Calculator'!K:K,MATCH('Lorri 401b'!N3367,'Retirement Calculator'!A:A,0),0),0)</f>
        <v>0</v>
      </c>
      <c r="K3367" s="455">
        <f t="shared" ca="1" si="148"/>
        <v>-2091681918.2139065</v>
      </c>
      <c r="L3367" s="455">
        <f t="shared" ca="1" si="149"/>
        <v>-504095342289.55151</v>
      </c>
      <c r="M3367" s="471">
        <f t="shared" si="151"/>
        <v>0.05</v>
      </c>
      <c r="N3367" s="475">
        <f t="shared" si="152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50"/>
        <v>-504095342289.55151</v>
      </c>
      <c r="J3368" s="455">
        <f t="array" ref="J3368">IFERROR(INDEX('Retirement Calculator'!K:K,MATCH('Lorri 401b'!N3368,'Retirement Calculator'!A:A,0),0),0)</f>
        <v>0</v>
      </c>
      <c r="K3368" s="455">
        <f t="shared" ca="1" si="148"/>
        <v>-2100397259.5397978</v>
      </c>
      <c r="L3368" s="455">
        <f t="shared" ca="1" si="149"/>
        <v>-506195739549.09131</v>
      </c>
      <c r="M3368" s="471">
        <f t="shared" si="151"/>
        <v>0.05</v>
      </c>
      <c r="N3368" s="475">
        <f t="shared" si="152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50"/>
        <v>-506195739549.09131</v>
      </c>
      <c r="J3369" s="455">
        <f t="array" ref="J3369">IFERROR(INDEX('Retirement Calculator'!K:K,MATCH('Lorri 401b'!N3369,'Retirement Calculator'!A:A,0),0),0)</f>
        <v>0</v>
      </c>
      <c r="K3369" s="455">
        <f t="shared" ca="1" si="148"/>
        <v>-2109148914.7878804</v>
      </c>
      <c r="L3369" s="455">
        <f t="shared" ca="1" si="149"/>
        <v>-508304888463.87921</v>
      </c>
      <c r="M3369" s="471">
        <f t="shared" si="151"/>
        <v>0.05</v>
      </c>
      <c r="N3369" s="475">
        <f t="shared" si="152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50"/>
        <v>-508304888463.87921</v>
      </c>
      <c r="J3370" s="455">
        <f t="array" ref="J3370">IFERROR(INDEX('Retirement Calculator'!K:K,MATCH('Lorri 401b'!N3370,'Retirement Calculator'!A:A,0),0),0)</f>
        <v>0</v>
      </c>
      <c r="K3370" s="455">
        <f t="shared" ca="1" si="148"/>
        <v>-2117937035.2661631</v>
      </c>
      <c r="L3370" s="455">
        <f t="shared" ca="1" si="149"/>
        <v>-510422825499.14539</v>
      </c>
      <c r="M3370" s="471">
        <f t="shared" si="151"/>
        <v>0.05</v>
      </c>
      <c r="N3370" s="475">
        <f t="shared" si="152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50"/>
        <v>-510422825499.14539</v>
      </c>
      <c r="J3371" s="455">
        <f t="array" ref="J3371">IFERROR(INDEX('Retirement Calculator'!K:K,MATCH('Lorri 401b'!N3371,'Retirement Calculator'!A:A,0),0),0)</f>
        <v>0</v>
      </c>
      <c r="K3371" s="455">
        <f t="shared" ca="1" si="148"/>
        <v>-2126761772.913106</v>
      </c>
      <c r="L3371" s="455">
        <f t="shared" ca="1" si="149"/>
        <v>-512549587272.05847</v>
      </c>
      <c r="M3371" s="471">
        <f t="shared" si="151"/>
        <v>0.05</v>
      </c>
      <c r="N3371" s="475">
        <f t="shared" si="152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50"/>
        <v>-512549587272.05847</v>
      </c>
      <c r="J3372" s="455">
        <f t="array" ref="J3372">IFERROR(INDEX('Retirement Calculator'!K:K,MATCH('Lorri 401b'!N3372,'Retirement Calculator'!A:A,0),0),0)</f>
        <v>0</v>
      </c>
      <c r="K3372" s="455">
        <f t="shared" ca="1" si="148"/>
        <v>-2135623280.3002434</v>
      </c>
      <c r="L3372" s="455">
        <f t="shared" ca="1" si="149"/>
        <v>-514685210552.3587</v>
      </c>
      <c r="M3372" s="471">
        <f t="shared" si="151"/>
        <v>0.05</v>
      </c>
      <c r="N3372" s="475">
        <f t="shared" si="152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50"/>
        <v>-514685210552.3587</v>
      </c>
      <c r="J3373" s="455">
        <f t="array" ref="J3373">IFERROR(INDEX('Retirement Calculator'!K:K,MATCH('Lorri 401b'!N3373,'Retirement Calculator'!A:A,0),0),0)</f>
        <v>0</v>
      </c>
      <c r="K3373" s="455">
        <f t="shared" ca="1" si="148"/>
        <v>-2144521710.6348279</v>
      </c>
      <c r="L3373" s="455">
        <f t="shared" ca="1" si="149"/>
        <v>-516829732262.99353</v>
      </c>
      <c r="M3373" s="471">
        <f t="shared" si="151"/>
        <v>0.05</v>
      </c>
      <c r="N3373" s="475">
        <f t="shared" si="152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50"/>
        <v>-516829732262.99353</v>
      </c>
      <c r="J3374" s="455">
        <f t="array" ref="J3374">IFERROR(INDEX('Retirement Calculator'!K:K,MATCH('Lorri 401b'!N3374,'Retirement Calculator'!A:A,0),0),0)</f>
        <v>0</v>
      </c>
      <c r="K3374" s="455">
        <f t="shared" ca="1" si="148"/>
        <v>-2153457217.7624731</v>
      </c>
      <c r="L3374" s="455">
        <f t="shared" ca="1" si="149"/>
        <v>-518983189480.75598</v>
      </c>
      <c r="M3374" s="471">
        <f t="shared" si="151"/>
        <v>0.05</v>
      </c>
      <c r="N3374" s="475">
        <f t="shared" si="152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50"/>
        <v>-518983189480.75598</v>
      </c>
      <c r="J3375" s="455">
        <f t="array" ref="J3375">IFERROR(INDEX('Retirement Calculator'!K:K,MATCH('Lorri 401b'!N3375,'Retirement Calculator'!A:A,0),0),0)</f>
        <v>0</v>
      </c>
      <c r="K3375" s="455">
        <f t="shared" ca="1" si="148"/>
        <v>-2162429956.1698165</v>
      </c>
      <c r="L3375" s="455">
        <f t="shared" ca="1" si="149"/>
        <v>-521145619436.92578</v>
      </c>
      <c r="M3375" s="471">
        <f t="shared" si="151"/>
        <v>0.05</v>
      </c>
      <c r="N3375" s="475">
        <f t="shared" si="152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50"/>
        <v>-521145619436.92578</v>
      </c>
      <c r="J3376" s="455">
        <f t="array" ref="J3376">IFERROR(INDEX('Retirement Calculator'!K:K,MATCH('Lorri 401b'!N3376,'Retirement Calculator'!A:A,0),0),0)</f>
        <v>0</v>
      </c>
      <c r="K3376" s="455">
        <f t="shared" ca="1" si="148"/>
        <v>-2171440080.9871907</v>
      </c>
      <c r="L3376" s="455">
        <f t="shared" ca="1" si="149"/>
        <v>-523317059517.91296</v>
      </c>
      <c r="M3376" s="471">
        <f t="shared" si="151"/>
        <v>0.05</v>
      </c>
      <c r="N3376" s="475">
        <f t="shared" si="152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50"/>
        <v>-523317059517.91296</v>
      </c>
      <c r="J3377" s="455">
        <f t="array" ref="J3377">IFERROR(INDEX('Retirement Calculator'!K:K,MATCH('Lorri 401b'!N3377,'Retirement Calculator'!A:A,0),0),0)</f>
        <v>0</v>
      </c>
      <c r="K3377" s="455">
        <f t="shared" ca="1" si="148"/>
        <v>-2180487747.9913039</v>
      </c>
      <c r="L3377" s="455">
        <f t="shared" ca="1" si="149"/>
        <v>-525497547265.9043</v>
      </c>
      <c r="M3377" s="471">
        <f t="shared" si="151"/>
        <v>0.05</v>
      </c>
      <c r="N3377" s="475">
        <f t="shared" si="152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50"/>
        <v>-525497547265.9043</v>
      </c>
      <c r="J3378" s="455">
        <f t="array" ref="J3378">IFERROR(INDEX('Retirement Calculator'!K:K,MATCH('Lorri 401b'!N3378,'Retirement Calculator'!A:A,0),0),0)</f>
        <v>0</v>
      </c>
      <c r="K3378" s="455">
        <f t="shared" ca="1" si="148"/>
        <v>-2189573113.6079345</v>
      </c>
      <c r="L3378" s="455">
        <f t="shared" ca="1" si="149"/>
        <v>-527687120379.51221</v>
      </c>
      <c r="M3378" s="471">
        <f t="shared" si="151"/>
        <v>0.05</v>
      </c>
      <c r="N3378" s="475">
        <f t="shared" si="152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50"/>
        <v>-527687120379.51221</v>
      </c>
      <c r="J3379" s="455">
        <f t="array" ref="J3379">IFERROR(INDEX('Retirement Calculator'!K:K,MATCH('Lorri 401b'!N3379,'Retirement Calculator'!A:A,0),0),0)</f>
        <v>0</v>
      </c>
      <c r="K3379" s="455">
        <f t="shared" ca="1" si="148"/>
        <v>-2198696334.9146342</v>
      </c>
      <c r="L3379" s="455">
        <f t="shared" ca="1" si="149"/>
        <v>-529885816714.42682</v>
      </c>
      <c r="M3379" s="471">
        <f t="shared" si="151"/>
        <v>0.05</v>
      </c>
      <c r="N3379" s="475">
        <f t="shared" si="152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50"/>
        <v>-529885816714.42682</v>
      </c>
      <c r="J3380" s="455">
        <f t="array" ref="J3380">IFERROR(INDEX('Retirement Calculator'!K:K,MATCH('Lorri 401b'!N3380,'Retirement Calculator'!A:A,0),0),0)</f>
        <v>0</v>
      </c>
      <c r="K3380" s="455">
        <f t="shared" ca="1" si="148"/>
        <v>-2207857569.643445</v>
      </c>
      <c r="L3380" s="455">
        <f t="shared" ca="1" si="149"/>
        <v>-532093674284.07025</v>
      </c>
      <c r="M3380" s="471">
        <f t="shared" si="151"/>
        <v>0.05</v>
      </c>
      <c r="N3380" s="475">
        <f t="shared" si="152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50"/>
        <v>-532093674284.07025</v>
      </c>
      <c r="J3381" s="455">
        <f t="array" ref="J3381">IFERROR(INDEX('Retirement Calculator'!K:K,MATCH('Lorri 401b'!N3381,'Retirement Calculator'!A:A,0),0),0)</f>
        <v>0</v>
      </c>
      <c r="K3381" s="455">
        <f t="shared" ca="1" si="148"/>
        <v>-2217056976.1836262</v>
      </c>
      <c r="L3381" s="455">
        <f t="shared" ca="1" si="149"/>
        <v>-534310731260.25391</v>
      </c>
      <c r="M3381" s="471">
        <f t="shared" si="151"/>
        <v>0.05</v>
      </c>
      <c r="N3381" s="475">
        <f t="shared" si="152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50"/>
        <v>-534310731260.25391</v>
      </c>
      <c r="J3382" s="455">
        <f t="array" ref="J3382">IFERROR(INDEX('Retirement Calculator'!K:K,MATCH('Lorri 401b'!N3382,'Retirement Calculator'!A:A,0),0),0)</f>
        <v>0</v>
      </c>
      <c r="K3382" s="455">
        <f t="shared" ca="1" si="148"/>
        <v>-2226294713.5843911</v>
      </c>
      <c r="L3382" s="455">
        <f t="shared" ca="1" si="149"/>
        <v>-536537025973.83832</v>
      </c>
      <c r="M3382" s="471">
        <f t="shared" si="151"/>
        <v>0.05</v>
      </c>
      <c r="N3382" s="475">
        <f t="shared" si="152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50"/>
        <v>-536537025973.83832</v>
      </c>
      <c r="J3383" s="455">
        <f t="array" ref="J3383">IFERROR(INDEX('Retirement Calculator'!K:K,MATCH('Lorri 401b'!N3383,'Retirement Calculator'!A:A,0),0),0)</f>
        <v>0</v>
      </c>
      <c r="K3383" s="455">
        <f t="shared" ca="1" si="148"/>
        <v>-2235570941.5576596</v>
      </c>
      <c r="L3383" s="455">
        <f t="shared" ca="1" si="149"/>
        <v>-538772596915.396</v>
      </c>
      <c r="M3383" s="471">
        <f t="shared" si="151"/>
        <v>0.05</v>
      </c>
      <c r="N3383" s="475">
        <f t="shared" si="152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50"/>
        <v>-538772596915.396</v>
      </c>
      <c r="J3384" s="455">
        <f t="array" ref="J3384">IFERROR(INDEX('Retirement Calculator'!K:K,MATCH('Lorri 401b'!N3384,'Retirement Calculator'!A:A,0),0),0)</f>
        <v>0</v>
      </c>
      <c r="K3384" s="455">
        <f t="shared" ca="1" si="148"/>
        <v>-2244885820.4808168</v>
      </c>
      <c r="L3384" s="455">
        <f t="shared" ca="1" si="149"/>
        <v>-541017482735.87683</v>
      </c>
      <c r="M3384" s="471">
        <f t="shared" si="151"/>
        <v>0.05</v>
      </c>
      <c r="N3384" s="475">
        <f t="shared" si="152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50"/>
        <v>-541017482735.87683</v>
      </c>
      <c r="J3385" s="455">
        <f t="array" ref="J3385">IFERROR(INDEX('Retirement Calculator'!K:K,MATCH('Lorri 401b'!N3385,'Retirement Calculator'!A:A,0),0),0)</f>
        <v>0</v>
      </c>
      <c r="K3385" s="455">
        <f t="shared" ca="1" si="148"/>
        <v>-2254239511.3994865</v>
      </c>
      <c r="L3385" s="455">
        <f t="shared" ca="1" si="149"/>
        <v>-543271722247.27631</v>
      </c>
      <c r="M3385" s="471">
        <f t="shared" si="151"/>
        <v>0.05</v>
      </c>
      <c r="N3385" s="475">
        <f t="shared" si="152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50"/>
        <v>-543271722247.27631</v>
      </c>
      <c r="J3386" s="455">
        <f t="array" ref="J3386">IFERROR(INDEX('Retirement Calculator'!K:K,MATCH('Lorri 401b'!N3386,'Retirement Calculator'!A:A,0),0),0)</f>
        <v>0</v>
      </c>
      <c r="K3386" s="455">
        <f t="shared" ca="1" si="148"/>
        <v>-2263632176.0303178</v>
      </c>
      <c r="L3386" s="455">
        <f t="shared" ca="1" si="149"/>
        <v>-545535354423.30664</v>
      </c>
      <c r="M3386" s="471">
        <f t="shared" si="151"/>
        <v>0.05</v>
      </c>
      <c r="N3386" s="475">
        <f t="shared" si="152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50"/>
        <v>-545535354423.30664</v>
      </c>
      <c r="J3387" s="455">
        <f t="array" ref="J3387">IFERROR(INDEX('Retirement Calculator'!K:K,MATCH('Lorri 401b'!N3387,'Retirement Calculator'!A:A,0),0),0)</f>
        <v>0</v>
      </c>
      <c r="K3387" s="455">
        <f t="shared" ca="1" si="148"/>
        <v>-2273063976.7637777</v>
      </c>
      <c r="L3387" s="455">
        <f t="shared" ca="1" si="149"/>
        <v>-547808418400.07043</v>
      </c>
      <c r="M3387" s="471">
        <f t="shared" si="151"/>
        <v>0.05</v>
      </c>
      <c r="N3387" s="475">
        <f t="shared" si="152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50"/>
        <v>-547808418400.07043</v>
      </c>
      <c r="J3388" s="455">
        <f t="array" ref="J3388">IFERROR(INDEX('Retirement Calculator'!K:K,MATCH('Lorri 401b'!N3388,'Retirement Calculator'!A:A,0),0),0)</f>
        <v>0</v>
      </c>
      <c r="K3388" s="455">
        <f t="shared" ca="1" si="148"/>
        <v>-2282535076.6669602</v>
      </c>
      <c r="L3388" s="455">
        <f t="shared" ca="1" si="149"/>
        <v>-550090953476.73743</v>
      </c>
      <c r="M3388" s="471">
        <f t="shared" si="151"/>
        <v>0.05</v>
      </c>
      <c r="N3388" s="475">
        <f t="shared" si="152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50"/>
        <v>-550090953476.73743</v>
      </c>
      <c r="J3389" s="455">
        <f t="array" ref="J3389">IFERROR(INDEX('Retirement Calculator'!K:K,MATCH('Lorri 401b'!N3389,'Retirement Calculator'!A:A,0),0),0)</f>
        <v>0</v>
      </c>
      <c r="K3389" s="455">
        <f t="shared" ca="1" si="148"/>
        <v>-2292045639.4864058</v>
      </c>
      <c r="L3389" s="455">
        <f t="shared" ca="1" si="149"/>
        <v>-552382999116.22388</v>
      </c>
      <c r="M3389" s="471">
        <f t="shared" si="151"/>
        <v>0.05</v>
      </c>
      <c r="N3389" s="475">
        <f t="shared" si="152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50"/>
        <v>-552382999116.22388</v>
      </c>
      <c r="J3390" s="455">
        <f t="array" ref="J3390">IFERROR(INDEX('Retirement Calculator'!K:K,MATCH('Lorri 401b'!N3390,'Retirement Calculator'!A:A,0),0),0)</f>
        <v>0</v>
      </c>
      <c r="K3390" s="455">
        <f t="shared" ca="1" si="148"/>
        <v>-2301595829.6509328</v>
      </c>
      <c r="L3390" s="455">
        <f t="shared" ca="1" si="149"/>
        <v>-554684594945.87476</v>
      </c>
      <c r="M3390" s="471">
        <f t="shared" si="151"/>
        <v>0.05</v>
      </c>
      <c r="N3390" s="475">
        <f t="shared" si="152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50"/>
        <v>-554684594945.87476</v>
      </c>
      <c r="J3391" s="455">
        <f t="array" ref="J3391">IFERROR(INDEX('Retirement Calculator'!K:K,MATCH('Lorri 401b'!N3391,'Retirement Calculator'!A:A,0),0),0)</f>
        <v>0</v>
      </c>
      <c r="K3391" s="455">
        <f t="shared" ca="1" si="148"/>
        <v>-2311185812.274478</v>
      </c>
      <c r="L3391" s="455">
        <f t="shared" ca="1" si="149"/>
        <v>-556995780758.14929</v>
      </c>
      <c r="M3391" s="471">
        <f t="shared" si="151"/>
        <v>0.05</v>
      </c>
      <c r="N3391" s="475">
        <f t="shared" si="152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50"/>
        <v>-556995780758.14929</v>
      </c>
      <c r="J3392" s="455">
        <f t="array" ref="J3392">IFERROR(INDEX('Retirement Calculator'!K:K,MATCH('Lorri 401b'!N3392,'Retirement Calculator'!A:A,0),0),0)</f>
        <v>0</v>
      </c>
      <c r="K3392" s="455">
        <f t="shared" ca="1" si="148"/>
        <v>-2320815753.1589556</v>
      </c>
      <c r="L3392" s="455">
        <f t="shared" ca="1" si="149"/>
        <v>-559316596511.30823</v>
      </c>
      <c r="M3392" s="471">
        <f t="shared" si="151"/>
        <v>0.05</v>
      </c>
      <c r="N3392" s="475">
        <f t="shared" si="152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50"/>
        <v>-559316596511.30823</v>
      </c>
      <c r="J3393" s="455">
        <f t="array" ref="J3393">IFERROR(INDEX('Retirement Calculator'!K:K,MATCH('Lorri 401b'!N3393,'Retirement Calculator'!A:A,0),0),0)</f>
        <v>0</v>
      </c>
      <c r="K3393" s="455">
        <f t="shared" ca="1" si="148"/>
        <v>-2330485818.7971177</v>
      </c>
      <c r="L3393" s="455">
        <f t="shared" ca="1" si="149"/>
        <v>-561647082330.10535</v>
      </c>
      <c r="M3393" s="471">
        <f t="shared" si="151"/>
        <v>0.05</v>
      </c>
      <c r="N3393" s="475">
        <f t="shared" si="152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50"/>
        <v>-561647082330.10535</v>
      </c>
      <c r="J3394" s="455">
        <f t="array" ref="J3394">IFERROR(INDEX('Retirement Calculator'!K:K,MATCH('Lorri 401b'!N3394,'Retirement Calculator'!A:A,0),0),0)</f>
        <v>0</v>
      </c>
      <c r="K3394" s="455">
        <f t="shared" ca="1" si="148"/>
        <v>-2340196176.3754387</v>
      </c>
      <c r="L3394" s="455">
        <f t="shared" ca="1" si="149"/>
        <v>-563987278506.48083</v>
      </c>
      <c r="M3394" s="471">
        <f t="shared" si="151"/>
        <v>0.05</v>
      </c>
      <c r="N3394" s="475">
        <f t="shared" si="152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50"/>
        <v>-563987278506.48083</v>
      </c>
      <c r="J3395" s="455">
        <f t="array" ref="J3395">IFERROR(INDEX('Retirement Calculator'!K:K,MATCH('Lorri 401b'!N3395,'Retirement Calculator'!A:A,0),0),0)</f>
        <v>0</v>
      </c>
      <c r="K3395" s="455">
        <f t="shared" ca="1" si="148"/>
        <v>-2349946993.7770033</v>
      </c>
      <c r="L3395" s="455">
        <f t="shared" ca="1" si="149"/>
        <v>-566337225500.25781</v>
      </c>
      <c r="M3395" s="471">
        <f t="shared" si="151"/>
        <v>0.05</v>
      </c>
      <c r="N3395" s="475">
        <f t="shared" si="152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50"/>
        <v>-566337225500.25781</v>
      </c>
      <c r="J3396" s="455">
        <f t="array" ref="J3396">IFERROR(INDEX('Retirement Calculator'!K:K,MATCH('Lorri 401b'!N3396,'Retirement Calculator'!A:A,0),0),0)</f>
        <v>0</v>
      </c>
      <c r="K3396" s="455">
        <f t="shared" ca="1" si="148"/>
        <v>-2359738439.5844073</v>
      </c>
      <c r="L3396" s="455">
        <f t="shared" ca="1" si="149"/>
        <v>-568696963939.84216</v>
      </c>
      <c r="M3396" s="471">
        <f t="shared" si="151"/>
        <v>0.05</v>
      </c>
      <c r="N3396" s="475">
        <f t="shared" si="152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50"/>
        <v>-568696963939.84216</v>
      </c>
      <c r="J3397" s="455">
        <f t="array" ref="J3397">IFERROR(INDEX('Retirement Calculator'!K:K,MATCH('Lorri 401b'!N3397,'Retirement Calculator'!A:A,0),0),0)</f>
        <v>0</v>
      </c>
      <c r="K3397" s="455">
        <f t="shared" ca="1" si="148"/>
        <v>-2369570683.0826755</v>
      </c>
      <c r="L3397" s="455">
        <f t="shared" ca="1" si="149"/>
        <v>-571066534622.9248</v>
      </c>
      <c r="M3397" s="471">
        <f t="shared" si="151"/>
        <v>0.05</v>
      </c>
      <c r="N3397" s="475">
        <f t="shared" si="152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50"/>
        <v>-571066534622.9248</v>
      </c>
      <c r="J3398" s="455">
        <f t="array" ref="J3398">IFERROR(INDEX('Retirement Calculator'!K:K,MATCH('Lorri 401b'!N3398,'Retirement Calculator'!A:A,0),0),0)</f>
        <v>0</v>
      </c>
      <c r="K3398" s="455">
        <f t="shared" ca="1" si="148"/>
        <v>-2379443894.2621865</v>
      </c>
      <c r="L3398" s="455">
        <f t="shared" ca="1" si="149"/>
        <v>-573445978517.18701</v>
      </c>
      <c r="M3398" s="471">
        <f t="shared" si="151"/>
        <v>0.05</v>
      </c>
      <c r="N3398" s="475">
        <f t="shared" si="152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50"/>
        <v>-573445978517.18701</v>
      </c>
      <c r="J3399" s="455">
        <f t="array" ref="J3399">IFERROR(INDEX('Retirement Calculator'!K:K,MATCH('Lorri 401b'!N3399,'Retirement Calculator'!A:A,0),0),0)</f>
        <v>0</v>
      </c>
      <c r="K3399" s="455">
        <f t="shared" ca="1" si="148"/>
        <v>-2389358243.8216124</v>
      </c>
      <c r="L3399" s="455">
        <f t="shared" ca="1" si="149"/>
        <v>-575835336761.00867</v>
      </c>
      <c r="M3399" s="471">
        <f t="shared" si="151"/>
        <v>0.05</v>
      </c>
      <c r="N3399" s="475">
        <f t="shared" si="152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50"/>
        <v>-575835336761.00867</v>
      </c>
      <c r="J3400" s="455">
        <f t="array" ref="J3400">IFERROR(INDEX('Retirement Calculator'!K:K,MATCH('Lorri 401b'!N3400,'Retirement Calculator'!A:A,0),0),0)</f>
        <v>0</v>
      </c>
      <c r="K3400" s="455">
        <f t="shared" ca="1" si="148"/>
        <v>-2399313903.1708694</v>
      </c>
      <c r="L3400" s="455">
        <f t="shared" ca="1" si="149"/>
        <v>-578234650664.17957</v>
      </c>
      <c r="M3400" s="471">
        <f t="shared" si="151"/>
        <v>0.05</v>
      </c>
      <c r="N3400" s="475">
        <f t="shared" si="152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50"/>
        <v>-578234650664.17957</v>
      </c>
      <c r="J3401" s="455">
        <f t="array" ref="J3401">IFERROR(INDEX('Retirement Calculator'!K:K,MATCH('Lorri 401b'!N3401,'Retirement Calculator'!A:A,0),0),0)</f>
        <v>0</v>
      </c>
      <c r="K3401" s="455">
        <f t="shared" ca="1" si="148"/>
        <v>-2409311044.4340816</v>
      </c>
      <c r="L3401" s="455">
        <f t="shared" ca="1" si="149"/>
        <v>-580643961708.61365</v>
      </c>
      <c r="M3401" s="471">
        <f t="shared" si="151"/>
        <v>0.05</v>
      </c>
      <c r="N3401" s="475">
        <f t="shared" si="152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50"/>
        <v>-580643961708.61365</v>
      </c>
      <c r="J3402" s="455">
        <f t="array" ref="J3402">IFERROR(INDEX('Retirement Calculator'!K:K,MATCH('Lorri 401b'!N3402,'Retirement Calculator'!A:A,0),0),0)</f>
        <v>0</v>
      </c>
      <c r="K3402" s="455">
        <f t="shared" ca="1" si="148"/>
        <v>-2419349840.4525566</v>
      </c>
      <c r="L3402" s="455">
        <f t="shared" ca="1" si="149"/>
        <v>-583063311549.06616</v>
      </c>
      <c r="M3402" s="471">
        <f t="shared" si="151"/>
        <v>0.05</v>
      </c>
      <c r="N3402" s="475">
        <f t="shared" si="152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50"/>
        <v>-583063311549.06616</v>
      </c>
      <c r="J3403" s="455">
        <f t="array" ref="J3403">IFERROR(INDEX('Retirement Calculator'!K:K,MATCH('Lorri 401b'!N3403,'Retirement Calculator'!A:A,0),0),0)</f>
        <v>0</v>
      </c>
      <c r="K3403" s="455">
        <f t="shared" ca="1" si="148"/>
        <v>-2429430464.7877755</v>
      </c>
      <c r="L3403" s="455">
        <f t="shared" ca="1" si="149"/>
        <v>-585492742013.85388</v>
      </c>
      <c r="M3403" s="471">
        <f t="shared" si="151"/>
        <v>0.05</v>
      </c>
      <c r="N3403" s="475">
        <f t="shared" si="152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50"/>
        <v>-585492742013.85388</v>
      </c>
      <c r="J3404" s="455">
        <f t="array" ref="J3404">IFERROR(INDEX('Retirement Calculator'!K:K,MATCH('Lorri 401b'!N3404,'Retirement Calculator'!A:A,0),0),0)</f>
        <v>0</v>
      </c>
      <c r="K3404" s="455">
        <f t="shared" ca="1" si="148"/>
        <v>-2439553091.724391</v>
      </c>
      <c r="L3404" s="455">
        <f t="shared" ca="1" si="149"/>
        <v>-587932295105.57825</v>
      </c>
      <c r="M3404" s="471">
        <f t="shared" si="151"/>
        <v>0.05</v>
      </c>
      <c r="N3404" s="475">
        <f t="shared" si="152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50"/>
        <v>-587932295105.57825</v>
      </c>
      <c r="J3405" s="455">
        <f t="array" ref="J3405">IFERROR(INDEX('Retirement Calculator'!K:K,MATCH('Lorri 401b'!N3405,'Retirement Calculator'!A:A,0),0),0)</f>
        <v>0</v>
      </c>
      <c r="K3405" s="455">
        <f t="shared" ca="1" si="148"/>
        <v>-2449717896.2732425</v>
      </c>
      <c r="L3405" s="455">
        <f t="shared" ca="1" si="149"/>
        <v>-590382013001.85144</v>
      </c>
      <c r="M3405" s="471">
        <f t="shared" si="151"/>
        <v>0.05</v>
      </c>
      <c r="N3405" s="475">
        <f t="shared" si="152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50"/>
        <v>-590382013001.85144</v>
      </c>
      <c r="J3406" s="455">
        <f t="array" ref="J3406">IFERROR(INDEX('Retirement Calculator'!K:K,MATCH('Lorri 401b'!N3406,'Retirement Calculator'!A:A,0),0),0)</f>
        <v>0</v>
      </c>
      <c r="K3406" s="455">
        <f t="shared" ca="1" si="148"/>
        <v>-2459925054.1743808</v>
      </c>
      <c r="L3406" s="455">
        <f t="shared" ca="1" si="149"/>
        <v>-592841938056.02588</v>
      </c>
      <c r="M3406" s="471">
        <f t="shared" si="151"/>
        <v>0.05</v>
      </c>
      <c r="N3406" s="475">
        <f t="shared" si="152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50"/>
        <v>-592841938056.02588</v>
      </c>
      <c r="J3407" s="455">
        <f t="array" ref="J3407">IFERROR(INDEX('Retirement Calculator'!K:K,MATCH('Lorri 401b'!N3407,'Retirement Calculator'!A:A,0),0),0)</f>
        <v>0</v>
      </c>
      <c r="K3407" s="455">
        <f t="shared" ca="1" si="148"/>
        <v>-2470174741.9001079</v>
      </c>
      <c r="L3407" s="455">
        <f t="shared" ca="1" si="149"/>
        <v>-595312112797.92603</v>
      </c>
      <c r="M3407" s="471">
        <f t="shared" si="151"/>
        <v>0.05</v>
      </c>
      <c r="N3407" s="475">
        <f t="shared" si="152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50"/>
        <v>-595312112797.92603</v>
      </c>
      <c r="J3408" s="455">
        <f t="array" ref="J3408">IFERROR(INDEX('Retirement Calculator'!K:K,MATCH('Lorri 401b'!N3408,'Retirement Calculator'!A:A,0),0),0)</f>
        <v>0</v>
      </c>
      <c r="K3408" s="455">
        <f t="shared" ca="1" si="148"/>
        <v>-2480467136.6580253</v>
      </c>
      <c r="L3408" s="455">
        <f t="shared" ca="1" si="149"/>
        <v>-597792579934.58411</v>
      </c>
      <c r="M3408" s="471">
        <f t="shared" si="151"/>
        <v>0.05</v>
      </c>
      <c r="N3408" s="475">
        <f t="shared" si="152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50"/>
        <v>-597792579934.58411</v>
      </c>
      <c r="J3409" s="455">
        <f t="array" ref="J3409">IFERROR(INDEX('Retirement Calculator'!K:K,MATCH('Lorri 401b'!N3409,'Retirement Calculator'!A:A,0),0),0)</f>
        <v>0</v>
      </c>
      <c r="K3409" s="455">
        <f t="shared" ca="1" si="148"/>
        <v>-2490802416.3941002</v>
      </c>
      <c r="L3409" s="455">
        <f t="shared" ca="1" si="149"/>
        <v>-600283382350.97815</v>
      </c>
      <c r="M3409" s="471">
        <f t="shared" si="151"/>
        <v>0.05</v>
      </c>
      <c r="N3409" s="475">
        <f t="shared" si="152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50"/>
        <v>-600283382350.97815</v>
      </c>
      <c r="J3410" s="455">
        <f t="array" ref="J3410">IFERROR(INDEX('Retirement Calculator'!K:K,MATCH('Lorri 401b'!N3410,'Retirement Calculator'!A:A,0),0),0)</f>
        <v>0</v>
      </c>
      <c r="K3410" s="455">
        <f t="shared" ca="1" si="148"/>
        <v>-2501180759.795742</v>
      </c>
      <c r="L3410" s="455">
        <f t="shared" ca="1" si="149"/>
        <v>-602784563110.77393</v>
      </c>
      <c r="M3410" s="471">
        <f t="shared" si="151"/>
        <v>0.05</v>
      </c>
      <c r="N3410" s="475">
        <f t="shared" si="152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50"/>
        <v>-602784563110.77393</v>
      </c>
      <c r="J3411" s="455">
        <f t="array" ref="J3411">IFERROR(INDEX('Retirement Calculator'!K:K,MATCH('Lorri 401b'!N3411,'Retirement Calculator'!A:A,0),0),0)</f>
        <v>0</v>
      </c>
      <c r="K3411" s="455">
        <f t="shared" ca="1" si="148"/>
        <v>-2511602346.2948914</v>
      </c>
      <c r="L3411" s="455">
        <f t="shared" ca="1" si="149"/>
        <v>-605296165457.06885</v>
      </c>
      <c r="M3411" s="471">
        <f t="shared" si="151"/>
        <v>0.05</v>
      </c>
      <c r="N3411" s="475">
        <f t="shared" si="152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50"/>
        <v>-605296165457.06885</v>
      </c>
      <c r="J3412" s="455">
        <f t="array" ref="J3412">IFERROR(INDEX('Retirement Calculator'!K:K,MATCH('Lorri 401b'!N3412,'Retirement Calculator'!A:A,0),0),0)</f>
        <v>0</v>
      </c>
      <c r="K3412" s="455">
        <f t="shared" ca="1" si="148"/>
        <v>-2522067356.0711203</v>
      </c>
      <c r="L3412" s="455">
        <f t="shared" ca="1" si="149"/>
        <v>-607818232813.14001</v>
      </c>
      <c r="M3412" s="471">
        <f t="shared" si="151"/>
        <v>0.05</v>
      </c>
      <c r="N3412" s="475">
        <f t="shared" si="152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50"/>
        <v>-607818232813.14001</v>
      </c>
      <c r="J3413" s="455">
        <f t="array" ref="J3413">IFERROR(INDEX('Retirement Calculator'!K:K,MATCH('Lorri 401b'!N3413,'Retirement Calculator'!A:A,0),0),0)</f>
        <v>0</v>
      </c>
      <c r="K3413" s="455">
        <f t="shared" ca="1" si="148"/>
        <v>-2532575970.05475</v>
      </c>
      <c r="L3413" s="455">
        <f t="shared" ca="1" si="149"/>
        <v>-610350808783.19482</v>
      </c>
      <c r="M3413" s="471">
        <f t="shared" si="151"/>
        <v>0.05</v>
      </c>
      <c r="N3413" s="475">
        <f t="shared" si="152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50"/>
        <v>-610350808783.19482</v>
      </c>
      <c r="J3414" s="455">
        <f t="array" ref="J3414">IFERROR(INDEX('Retirement Calculator'!K:K,MATCH('Lorri 401b'!N3414,'Retirement Calculator'!A:A,0),0),0)</f>
        <v>0</v>
      </c>
      <c r="K3414" s="455">
        <f t="shared" ca="1" si="148"/>
        <v>-2543128369.9299784</v>
      </c>
      <c r="L3414" s="455">
        <f t="shared" ca="1" si="149"/>
        <v>-612893937153.12476</v>
      </c>
      <c r="M3414" s="471">
        <f t="shared" si="151"/>
        <v>0.05</v>
      </c>
      <c r="N3414" s="475">
        <f t="shared" si="152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50"/>
        <v>-612893937153.12476</v>
      </c>
      <c r="J3415" s="455">
        <f t="array" ref="J3415">IFERROR(INDEX('Retirement Calculator'!K:K,MATCH('Lorri 401b'!N3415,'Retirement Calculator'!A:A,0),0),0)</f>
        <v>0</v>
      </c>
      <c r="K3415" s="455">
        <f t="shared" ca="1" si="148"/>
        <v>-2553724738.1380196</v>
      </c>
      <c r="L3415" s="455">
        <f t="shared" ca="1" si="149"/>
        <v>-615447661891.26282</v>
      </c>
      <c r="M3415" s="471">
        <f t="shared" si="151"/>
        <v>0.05</v>
      </c>
      <c r="N3415" s="475">
        <f t="shared" si="152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50"/>
        <v>-615447661891.26282</v>
      </c>
      <c r="J3416" s="455">
        <f t="array" ref="J3416">IFERROR(INDEX('Retirement Calculator'!K:K,MATCH('Lorri 401b'!N3416,'Retirement Calculator'!A:A,0),0),0)</f>
        <v>0</v>
      </c>
      <c r="K3416" s="455">
        <f t="shared" ca="1" si="148"/>
        <v>-2564365257.8802619</v>
      </c>
      <c r="L3416" s="455">
        <f t="shared" ca="1" si="149"/>
        <v>-618012027149.14307</v>
      </c>
      <c r="M3416" s="471">
        <f t="shared" si="151"/>
        <v>0.05</v>
      </c>
      <c r="N3416" s="475">
        <f t="shared" si="152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50"/>
        <v>-618012027149.14307</v>
      </c>
      <c r="J3417" s="455">
        <f t="array" ref="J3417">IFERROR(INDEX('Retirement Calculator'!K:K,MATCH('Lorri 401b'!N3417,'Retirement Calculator'!A:A,0),0),0)</f>
        <v>0</v>
      </c>
      <c r="K3417" s="455">
        <f t="shared" ca="1" si="148"/>
        <v>-2575050113.1214294</v>
      </c>
      <c r="L3417" s="455">
        <f t="shared" ca="1" si="149"/>
        <v>-620587077262.26453</v>
      </c>
      <c r="M3417" s="471">
        <f t="shared" si="151"/>
        <v>0.05</v>
      </c>
      <c r="N3417" s="475">
        <f t="shared" si="152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50"/>
        <v>-620587077262.26453</v>
      </c>
      <c r="J3418" s="455">
        <f t="array" ref="J3418">IFERROR(INDEX('Retirement Calculator'!K:K,MATCH('Lorri 401b'!N3418,'Retirement Calculator'!A:A,0),0),0)</f>
        <v>0</v>
      </c>
      <c r="K3418" s="455">
        <f t="shared" ca="1" si="148"/>
        <v>-2585779488.5927687</v>
      </c>
      <c r="L3418" s="455">
        <f t="shared" ca="1" si="149"/>
        <v>-623172856750.8573</v>
      </c>
      <c r="M3418" s="471">
        <f t="shared" si="151"/>
        <v>0.05</v>
      </c>
      <c r="N3418" s="475">
        <f t="shared" si="152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50"/>
        <v>-623172856750.8573</v>
      </c>
      <c r="J3419" s="455">
        <f t="array" ref="J3419">IFERROR(INDEX('Retirement Calculator'!K:K,MATCH('Lorri 401b'!N3419,'Retirement Calculator'!A:A,0),0),0)</f>
        <v>0</v>
      </c>
      <c r="K3419" s="455">
        <f t="shared" ca="1" si="148"/>
        <v>-2596553569.7952385</v>
      </c>
      <c r="L3419" s="455">
        <f t="shared" ca="1" si="149"/>
        <v>-625769410320.65259</v>
      </c>
      <c r="M3419" s="471">
        <f t="shared" si="151"/>
        <v>0.05</v>
      </c>
      <c r="N3419" s="475">
        <f t="shared" si="152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50"/>
        <v>-625769410320.65259</v>
      </c>
      <c r="J3420" s="455">
        <f t="array" ref="J3420">IFERROR(INDEX('Retirement Calculator'!K:K,MATCH('Lorri 401b'!N3420,'Retirement Calculator'!A:A,0),0),0)</f>
        <v>0</v>
      </c>
      <c r="K3420" s="455">
        <f t="shared" ca="1" si="148"/>
        <v>-2607372543.0027189</v>
      </c>
      <c r="L3420" s="455">
        <f t="shared" ca="1" si="149"/>
        <v>-628376782863.65527</v>
      </c>
      <c r="M3420" s="471">
        <f t="shared" si="151"/>
        <v>0.05</v>
      </c>
      <c r="N3420" s="475">
        <f t="shared" si="152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50"/>
        <v>-628376782863.65527</v>
      </c>
      <c r="J3421" s="455">
        <f t="array" ref="J3421">IFERROR(INDEX('Retirement Calculator'!K:K,MATCH('Lorri 401b'!N3421,'Retirement Calculator'!A:A,0),0),0)</f>
        <v>0</v>
      </c>
      <c r="K3421" s="455">
        <f t="shared" ca="1" si="148"/>
        <v>-2618236595.2652302</v>
      </c>
      <c r="L3421" s="455">
        <f t="shared" ca="1" si="149"/>
        <v>-630995019458.92053</v>
      </c>
      <c r="M3421" s="471">
        <f t="shared" si="151"/>
        <v>0.05</v>
      </c>
      <c r="N3421" s="475">
        <f t="shared" si="152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50"/>
        <v>-630995019458.92053</v>
      </c>
      <c r="J3422" s="455">
        <f t="array" ref="J3422">IFERROR(INDEX('Retirement Calculator'!K:K,MATCH('Lorri 401b'!N3422,'Retirement Calculator'!A:A,0),0),0)</f>
        <v>0</v>
      </c>
      <c r="K3422" s="455">
        <f t="shared" ca="1" si="148"/>
        <v>-2629145914.412169</v>
      </c>
      <c r="L3422" s="455">
        <f t="shared" ca="1" si="149"/>
        <v>-633624165373.33264</v>
      </c>
      <c r="M3422" s="471">
        <f t="shared" si="151"/>
        <v>0.05</v>
      </c>
      <c r="N3422" s="475">
        <f t="shared" si="152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50"/>
        <v>-633624165373.33264</v>
      </c>
      <c r="J3423" s="455">
        <f t="array" ref="J3423">IFERROR(INDEX('Retirement Calculator'!K:K,MATCH('Lorri 401b'!N3423,'Retirement Calculator'!A:A,0),0),0)</f>
        <v>0</v>
      </c>
      <c r="K3423" s="455">
        <f t="shared" ca="1" si="148"/>
        <v>-2640100689.0555525</v>
      </c>
      <c r="L3423" s="455">
        <f t="shared" ca="1" si="149"/>
        <v>-636264266062.38818</v>
      </c>
      <c r="M3423" s="471">
        <f t="shared" si="151"/>
        <v>0.05</v>
      </c>
      <c r="N3423" s="475">
        <f t="shared" si="152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50"/>
        <v>-636264266062.38818</v>
      </c>
      <c r="J3424" s="455">
        <f t="array" ref="J3424">IFERROR(INDEX('Retirement Calculator'!K:K,MATCH('Lorri 401b'!N3424,'Retirement Calculator'!A:A,0),0),0)</f>
        <v>0</v>
      </c>
      <c r="K3424" s="455">
        <f t="shared" ca="1" si="148"/>
        <v>-2651101108.5932841</v>
      </c>
      <c r="L3424" s="455">
        <f t="shared" ca="1" si="149"/>
        <v>-638915367170.98145</v>
      </c>
      <c r="M3424" s="471">
        <f t="shared" si="151"/>
        <v>0.05</v>
      </c>
      <c r="N3424" s="475">
        <f t="shared" si="152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50"/>
        <v>-638915367170.98145</v>
      </c>
      <c r="J3425" s="455">
        <f t="array" ref="J3425">IFERROR(INDEX('Retirement Calculator'!K:K,MATCH('Lorri 401b'!N3425,'Retirement Calculator'!A:A,0),0),0)</f>
        <v>0</v>
      </c>
      <c r="K3425" s="455">
        <f t="shared" ca="1" si="148"/>
        <v>-2662147363.2124228</v>
      </c>
      <c r="L3425" s="455">
        <f t="shared" ca="1" si="149"/>
        <v>-641577514534.19385</v>
      </c>
      <c r="M3425" s="471">
        <f t="shared" si="151"/>
        <v>0.05</v>
      </c>
      <c r="N3425" s="475">
        <f t="shared" si="152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50"/>
        <v>-641577514534.19385</v>
      </c>
      <c r="J3426" s="455">
        <f t="array" ref="J3426">IFERROR(INDEX('Retirement Calculator'!K:K,MATCH('Lorri 401b'!N3426,'Retirement Calculator'!A:A,0),0),0)</f>
        <v>0</v>
      </c>
      <c r="K3426" s="455">
        <f t="shared" ca="1" si="148"/>
        <v>-2673239643.8924742</v>
      </c>
      <c r="L3426" s="455">
        <f t="shared" ca="1" si="149"/>
        <v>-644250754178.0863</v>
      </c>
      <c r="M3426" s="471">
        <f t="shared" si="151"/>
        <v>0.05</v>
      </c>
      <c r="N3426" s="475">
        <f t="shared" si="152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50"/>
        <v>-644250754178.0863</v>
      </c>
      <c r="J3427" s="455">
        <f t="array" ref="J3427">IFERROR(INDEX('Retirement Calculator'!K:K,MATCH('Lorri 401b'!N3427,'Retirement Calculator'!A:A,0),0),0)</f>
        <v>0</v>
      </c>
      <c r="K3427" s="455">
        <f t="shared" ca="1" si="148"/>
        <v>-2684378142.4086928</v>
      </c>
      <c r="L3427" s="455">
        <f t="shared" ca="1" si="149"/>
        <v>-646935132320.495</v>
      </c>
      <c r="M3427" s="471">
        <f t="shared" si="151"/>
        <v>0.05</v>
      </c>
      <c r="N3427" s="475">
        <f t="shared" si="152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50"/>
        <v>-646935132320.495</v>
      </c>
      <c r="J3428" s="455">
        <f t="array" ref="J3428">IFERROR(INDEX('Retirement Calculator'!K:K,MATCH('Lorri 401b'!N3428,'Retirement Calculator'!A:A,0),0),0)</f>
        <v>0</v>
      </c>
      <c r="K3428" s="455">
        <f t="shared" ca="1" si="148"/>
        <v>-2695563051.3353958</v>
      </c>
      <c r="L3428" s="455">
        <f t="shared" ca="1" si="149"/>
        <v>-649630695371.83044</v>
      </c>
      <c r="M3428" s="471">
        <f t="shared" si="151"/>
        <v>0.05</v>
      </c>
      <c r="N3428" s="475">
        <f t="shared" si="152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50"/>
        <v>-649630695371.83044</v>
      </c>
      <c r="J3429" s="455">
        <f t="array" ref="J3429">IFERROR(INDEX('Retirement Calculator'!K:K,MATCH('Lorri 401b'!N3429,'Retirement Calculator'!A:A,0),0),0)</f>
        <v>0</v>
      </c>
      <c r="K3429" s="455">
        <f t="shared" ca="1" si="148"/>
        <v>-2706794564.0492935</v>
      </c>
      <c r="L3429" s="455">
        <f t="shared" ca="1" si="149"/>
        <v>-652337489935.87976</v>
      </c>
      <c r="M3429" s="471">
        <f t="shared" si="151"/>
        <v>0.05</v>
      </c>
      <c r="N3429" s="475">
        <f t="shared" si="152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50"/>
        <v>-652337489935.87976</v>
      </c>
      <c r="J3430" s="455">
        <f t="array" ref="J3430">IFERROR(INDEX('Retirement Calculator'!K:K,MATCH('Lorri 401b'!N3430,'Retirement Calculator'!A:A,0),0),0)</f>
        <v>0</v>
      </c>
      <c r="K3430" s="455">
        <f t="shared" ca="1" si="148"/>
        <v>-2718072874.7328324</v>
      </c>
      <c r="L3430" s="455">
        <f t="shared" ca="1" si="149"/>
        <v>-655055562810.61255</v>
      </c>
      <c r="M3430" s="471">
        <f t="shared" si="151"/>
        <v>0.05</v>
      </c>
      <c r="N3430" s="475">
        <f t="shared" si="152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50"/>
        <v>-655055562810.61255</v>
      </c>
      <c r="J3431" s="455">
        <f t="array" ref="J3431">IFERROR(INDEX('Retirement Calculator'!K:K,MATCH('Lorri 401b'!N3431,'Retirement Calculator'!A:A,0),0),0)</f>
        <v>0</v>
      </c>
      <c r="K3431" s="455">
        <f t="shared" ca="1" si="148"/>
        <v>-2729398178.377552</v>
      </c>
      <c r="L3431" s="455">
        <f t="shared" ca="1" si="149"/>
        <v>-657784960988.99011</v>
      </c>
      <c r="M3431" s="471">
        <f t="shared" si="151"/>
        <v>0.05</v>
      </c>
      <c r="N3431" s="475">
        <f t="shared" si="152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50"/>
        <v>-657784960988.99011</v>
      </c>
      <c r="J3432" s="455">
        <f t="array" ref="J3432">IFERROR(INDEX('Retirement Calculator'!K:K,MATCH('Lorri 401b'!N3432,'Retirement Calculator'!A:A,0),0),0)</f>
        <v>0</v>
      </c>
      <c r="K3432" s="455">
        <f t="shared" ca="1" si="148"/>
        <v>-2740770670.7874589</v>
      </c>
      <c r="L3432" s="455">
        <f t="shared" ca="1" si="149"/>
        <v>-660525731659.77759</v>
      </c>
      <c r="M3432" s="471">
        <f t="shared" si="151"/>
        <v>0.05</v>
      </c>
      <c r="N3432" s="475">
        <f t="shared" si="152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50"/>
        <v>-660525731659.77759</v>
      </c>
      <c r="J3433" s="455">
        <f t="array" ref="J3433">IFERROR(INDEX('Retirement Calculator'!K:K,MATCH('Lorri 401b'!N3433,'Retirement Calculator'!A:A,0),0),0)</f>
        <v>0</v>
      </c>
      <c r="K3433" s="455">
        <f t="shared" ca="1" si="148"/>
        <v>-2752190548.5824065</v>
      </c>
      <c r="L3433" s="455">
        <f t="shared" ca="1" si="149"/>
        <v>-663277922208.35999</v>
      </c>
      <c r="M3433" s="471">
        <f t="shared" si="151"/>
        <v>0.05</v>
      </c>
      <c r="N3433" s="475">
        <f t="shared" si="152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50"/>
        <v>-663277922208.35999</v>
      </c>
      <c r="J3434" s="455">
        <f t="array" ref="J3434">IFERROR(INDEX('Retirement Calculator'!K:K,MATCH('Lorri 401b'!N3434,'Retirement Calculator'!A:A,0),0),0)</f>
        <v>0</v>
      </c>
      <c r="K3434" s="455">
        <f t="shared" ca="1" si="148"/>
        <v>-2763658009.2014999</v>
      </c>
      <c r="L3434" s="455">
        <f t="shared" ca="1" si="149"/>
        <v>-666041580217.56152</v>
      </c>
      <c r="M3434" s="471">
        <f t="shared" si="151"/>
        <v>0.05</v>
      </c>
      <c r="N3434" s="475">
        <f t="shared" si="152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50"/>
        <v>-666041580217.56152</v>
      </c>
      <c r="J3435" s="455">
        <f t="array" ref="J3435">IFERROR(INDEX('Retirement Calculator'!K:K,MATCH('Lorri 401b'!N3435,'Retirement Calculator'!A:A,0),0),0)</f>
        <v>0</v>
      </c>
      <c r="K3435" s="455">
        <f t="shared" ca="1" si="148"/>
        <v>-2775173250.9065065</v>
      </c>
      <c r="L3435" s="455">
        <f t="shared" ca="1" si="149"/>
        <v>-668816753468.46802</v>
      </c>
      <c r="M3435" s="471">
        <f t="shared" si="151"/>
        <v>0.05</v>
      </c>
      <c r="N3435" s="475">
        <f t="shared" si="152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50"/>
        <v>-668816753468.46802</v>
      </c>
      <c r="J3436" s="455">
        <f t="array" ref="J3436">IFERROR(INDEX('Retirement Calculator'!K:K,MATCH('Lorri 401b'!N3436,'Retirement Calculator'!A:A,0),0),0)</f>
        <v>0</v>
      </c>
      <c r="K3436" s="455">
        <f t="shared" ca="1" si="148"/>
        <v>-2786736472.7852836</v>
      </c>
      <c r="L3436" s="455">
        <f t="shared" ca="1" si="149"/>
        <v>-671603489941.2533</v>
      </c>
      <c r="M3436" s="471">
        <f t="shared" si="151"/>
        <v>0.05</v>
      </c>
      <c r="N3436" s="475">
        <f t="shared" si="152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50"/>
        <v>-671603489941.2533</v>
      </c>
      <c r="J3437" s="455">
        <f t="array" ref="J3437">IFERROR(INDEX('Retirement Calculator'!K:K,MATCH('Lorri 401b'!N3437,'Retirement Calculator'!A:A,0),0),0)</f>
        <v>0</v>
      </c>
      <c r="K3437" s="455">
        <f t="shared" ca="1" si="148"/>
        <v>-2798347874.7552218</v>
      </c>
      <c r="L3437" s="455">
        <f t="shared" ca="1" si="149"/>
        <v>-674401837816.00854</v>
      </c>
      <c r="M3437" s="471">
        <f t="shared" si="151"/>
        <v>0.05</v>
      </c>
      <c r="N3437" s="475">
        <f t="shared" si="152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50"/>
        <v>-674401837816.00854</v>
      </c>
      <c r="J3438" s="455">
        <f t="array" ref="J3438">IFERROR(INDEX('Retirement Calculator'!K:K,MATCH('Lorri 401b'!N3438,'Retirement Calculator'!A:A,0),0),0)</f>
        <v>0</v>
      </c>
      <c r="K3438" s="455">
        <f t="shared" ca="1" si="148"/>
        <v>-2810007657.5667024</v>
      </c>
      <c r="L3438" s="455">
        <f t="shared" ca="1" si="149"/>
        <v>-677211845473.5752</v>
      </c>
      <c r="M3438" s="471">
        <f t="shared" si="151"/>
        <v>0.05</v>
      </c>
      <c r="N3438" s="475">
        <f t="shared" si="152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50"/>
        <v>-677211845473.5752</v>
      </c>
      <c r="J3439" s="455">
        <f t="array" ref="J3439">IFERROR(INDEX('Retirement Calculator'!K:K,MATCH('Lorri 401b'!N3439,'Retirement Calculator'!A:A,0),0),0)</f>
        <v>0</v>
      </c>
      <c r="K3439" s="455">
        <f t="shared" ca="1" si="148"/>
        <v>-2821716022.8065634</v>
      </c>
      <c r="L3439" s="455">
        <f t="shared" ca="1" si="149"/>
        <v>-680033561496.38171</v>
      </c>
      <c r="M3439" s="471">
        <f t="shared" si="151"/>
        <v>0.05</v>
      </c>
      <c r="N3439" s="475">
        <f t="shared" si="152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50"/>
        <v>-680033561496.38171</v>
      </c>
      <c r="J3440" s="455">
        <f t="array" ref="J3440">IFERROR(INDEX('Retirement Calculator'!K:K,MATCH('Lorri 401b'!N3440,'Retirement Calculator'!A:A,0),0),0)</f>
        <v>0</v>
      </c>
      <c r="K3440" s="455">
        <f t="shared" ca="1" si="148"/>
        <v>-2833473172.9015903</v>
      </c>
      <c r="L3440" s="455">
        <f t="shared" ca="1" si="149"/>
        <v>-682867034669.28333</v>
      </c>
      <c r="M3440" s="471">
        <f t="shared" si="151"/>
        <v>0.05</v>
      </c>
      <c r="N3440" s="475">
        <f t="shared" si="152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50"/>
        <v>-682867034669.28333</v>
      </c>
      <c r="J3441" s="455">
        <f t="array" ref="J3441">IFERROR(INDEX('Retirement Calculator'!K:K,MATCH('Lorri 401b'!N3441,'Retirement Calculator'!A:A,0),0),0)</f>
        <v>0</v>
      </c>
      <c r="K3441" s="455">
        <f t="shared" ca="1" si="148"/>
        <v>-2845279311.122014</v>
      </c>
      <c r="L3441" s="455">
        <f t="shared" ca="1" si="149"/>
        <v>-685712313980.4054</v>
      </c>
      <c r="M3441" s="471">
        <f t="shared" si="151"/>
        <v>0.05</v>
      </c>
      <c r="N3441" s="475">
        <f t="shared" si="152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50"/>
        <v>-685712313980.4054</v>
      </c>
      <c r="J3442" s="455">
        <f t="array" ref="J3442">IFERROR(INDEX('Retirement Calculator'!K:K,MATCH('Lorri 401b'!N3442,'Retirement Calculator'!A:A,0),0),0)</f>
        <v>0</v>
      </c>
      <c r="K3442" s="455">
        <f t="shared" ca="1" si="148"/>
        <v>-2857134641.5850224</v>
      </c>
      <c r="L3442" s="455">
        <f t="shared" ca="1" si="149"/>
        <v>-688569448621.99048</v>
      </c>
      <c r="M3442" s="471">
        <f t="shared" si="151"/>
        <v>0.05</v>
      </c>
      <c r="N3442" s="475">
        <f t="shared" si="152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50"/>
        <v>-688569448621.99048</v>
      </c>
      <c r="J3443" s="455">
        <f t="array" ref="J3443">IFERROR(INDEX('Retirement Calculator'!K:K,MATCH('Lorri 401b'!N3443,'Retirement Calculator'!A:A,0),0),0)</f>
        <v>0</v>
      </c>
      <c r="K3443" s="455">
        <f t="shared" ca="1" si="148"/>
        <v>-2869039369.2582936</v>
      </c>
      <c r="L3443" s="455">
        <f t="shared" ca="1" si="149"/>
        <v>-691438487991.24878</v>
      </c>
      <c r="M3443" s="471">
        <f t="shared" si="151"/>
        <v>0.05</v>
      </c>
      <c r="N3443" s="475">
        <f t="shared" si="152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50"/>
        <v>-691438487991.24878</v>
      </c>
      <c r="J3444" s="455">
        <f t="array" ref="J3444">IFERROR(INDEX('Retirement Calculator'!K:K,MATCH('Lorri 401b'!N3444,'Retirement Calculator'!A:A,0),0),0)</f>
        <v>0</v>
      </c>
      <c r="K3444" s="455">
        <f t="shared" ca="1" si="148"/>
        <v>-2880993699.9635367</v>
      </c>
      <c r="L3444" s="455">
        <f t="shared" ca="1" si="149"/>
        <v>-694319481691.21228</v>
      </c>
      <c r="M3444" s="471">
        <f t="shared" si="151"/>
        <v>0.05</v>
      </c>
      <c r="N3444" s="475">
        <f t="shared" si="152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50"/>
        <v>-694319481691.21228</v>
      </c>
      <c r="J3445" s="455">
        <f t="array" ref="J3445">IFERROR(INDEX('Retirement Calculator'!K:K,MATCH('Lorri 401b'!N3445,'Retirement Calculator'!A:A,0),0),0)</f>
        <v>0</v>
      </c>
      <c r="K3445" s="455">
        <f t="shared" ca="1" si="148"/>
        <v>-2892997840.3800511</v>
      </c>
      <c r="L3445" s="455">
        <f t="shared" ca="1" si="149"/>
        <v>-697212479531.59229</v>
      </c>
      <c r="M3445" s="471">
        <f t="shared" si="151"/>
        <v>0.05</v>
      </c>
      <c r="N3445" s="475">
        <f t="shared" si="152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50"/>
        <v>-697212479531.59229</v>
      </c>
      <c r="J3446" s="455">
        <f t="array" ref="J3446">IFERROR(INDEX('Retirement Calculator'!K:K,MATCH('Lorri 401b'!N3446,'Retirement Calculator'!A:A,0),0),0)</f>
        <v>0</v>
      </c>
      <c r="K3446" s="455">
        <f t="shared" ca="1" si="148"/>
        <v>-2905051998.0483012</v>
      </c>
      <c r="L3446" s="455">
        <f t="shared" ca="1" si="149"/>
        <v>-700117531529.64063</v>
      </c>
      <c r="M3446" s="471">
        <f t="shared" si="151"/>
        <v>0.05</v>
      </c>
      <c r="N3446" s="475">
        <f t="shared" si="152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50"/>
        <v>-700117531529.64063</v>
      </c>
      <c r="J3447" s="455">
        <f t="array" ref="J3447">IFERROR(INDEX('Retirement Calculator'!K:K,MATCH('Lorri 401b'!N3447,'Retirement Calculator'!A:A,0),0),0)</f>
        <v>0</v>
      </c>
      <c r="K3447" s="455">
        <f t="shared" ca="1" si="148"/>
        <v>-2917156381.3735027</v>
      </c>
      <c r="L3447" s="455">
        <f t="shared" ca="1" si="149"/>
        <v>-703034687911.01416</v>
      </c>
      <c r="M3447" s="471">
        <f t="shared" si="151"/>
        <v>0.05</v>
      </c>
      <c r="N3447" s="475">
        <f t="shared" si="152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50"/>
        <v>-703034687911.01416</v>
      </c>
      <c r="J3448" s="455">
        <f t="array" ref="J3448">IFERROR(INDEX('Retirement Calculator'!K:K,MATCH('Lorri 401b'!N3448,'Retirement Calculator'!A:A,0),0),0)</f>
        <v>0</v>
      </c>
      <c r="K3448" s="455">
        <f t="shared" ca="1" si="148"/>
        <v>-2929311199.6292257</v>
      </c>
      <c r="L3448" s="455">
        <f t="shared" ca="1" si="149"/>
        <v>-705963999110.64343</v>
      </c>
      <c r="M3448" s="471">
        <f t="shared" si="151"/>
        <v>0.05</v>
      </c>
      <c r="N3448" s="475">
        <f t="shared" si="152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50"/>
        <v>-705963999110.64343</v>
      </c>
      <c r="J3449" s="455">
        <f t="array" ref="J3449">IFERROR(INDEX('Retirement Calculator'!K:K,MATCH('Lorri 401b'!N3449,'Retirement Calculator'!A:A,0),0),0)</f>
        <v>0</v>
      </c>
      <c r="K3449" s="455">
        <f t="shared" ca="1" si="148"/>
        <v>-2941516662.9610143</v>
      </c>
      <c r="L3449" s="455">
        <f t="shared" ca="1" si="149"/>
        <v>-708905515773.60449</v>
      </c>
      <c r="M3449" s="471">
        <f t="shared" si="151"/>
        <v>0.05</v>
      </c>
      <c r="N3449" s="475">
        <f t="shared" si="152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50"/>
        <v>-708905515773.60449</v>
      </c>
      <c r="J3450" s="455">
        <f t="array" ref="J3450">IFERROR(INDEX('Retirement Calculator'!K:K,MATCH('Lorri 401b'!N3450,'Retirement Calculator'!A:A,0),0),0)</f>
        <v>0</v>
      </c>
      <c r="K3450" s="455">
        <f t="shared" ca="1" si="148"/>
        <v>-2953772982.3900185</v>
      </c>
      <c r="L3450" s="455">
        <f t="shared" ca="1" si="149"/>
        <v>-711859288755.99451</v>
      </c>
      <c r="M3450" s="471">
        <f t="shared" si="151"/>
        <v>0.05</v>
      </c>
      <c r="N3450" s="475">
        <f t="shared" si="152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50"/>
        <v>-711859288755.99451</v>
      </c>
      <c r="J3451" s="455">
        <f t="array" ref="J3451">IFERROR(INDEX('Retirement Calculator'!K:K,MATCH('Lorri 401b'!N3451,'Retirement Calculator'!A:A,0),0),0)</f>
        <v>0</v>
      </c>
      <c r="K3451" s="455">
        <f t="shared" ca="1" si="148"/>
        <v>-2966080369.8166437</v>
      </c>
      <c r="L3451" s="455">
        <f t="shared" ca="1" si="149"/>
        <v>-714825369125.81116</v>
      </c>
      <c r="M3451" s="471">
        <f t="shared" si="151"/>
        <v>0.05</v>
      </c>
      <c r="N3451" s="475">
        <f t="shared" si="152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50"/>
        <v>-714825369125.81116</v>
      </c>
      <c r="J3452" s="455">
        <f t="array" ref="J3452">IFERROR(INDEX('Retirement Calculator'!K:K,MATCH('Lorri 401b'!N3452,'Retirement Calculator'!A:A,0),0),0)</f>
        <v>0</v>
      </c>
      <c r="K3452" s="455">
        <f t="shared" ca="1" si="148"/>
        <v>-2978439038.0242133</v>
      </c>
      <c r="L3452" s="455">
        <f t="shared" ca="1" si="149"/>
        <v>-717803808163.83533</v>
      </c>
      <c r="M3452" s="471">
        <f t="shared" si="151"/>
        <v>0.05</v>
      </c>
      <c r="N3452" s="475">
        <f t="shared" si="152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50"/>
        <v>-717803808163.83533</v>
      </c>
      <c r="J3453" s="455">
        <f t="array" ref="J3453">IFERROR(INDEX('Retirement Calculator'!K:K,MATCH('Lorri 401b'!N3453,'Retirement Calculator'!A:A,0),0),0)</f>
        <v>0</v>
      </c>
      <c r="K3453" s="455">
        <f t="shared" ca="1" si="148"/>
        <v>-2990849200.6826472</v>
      </c>
      <c r="L3453" s="455">
        <f t="shared" ca="1" si="149"/>
        <v>-720794657364.51794</v>
      </c>
      <c r="M3453" s="471">
        <f t="shared" si="151"/>
        <v>0.05</v>
      </c>
      <c r="N3453" s="475">
        <f t="shared" si="152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50"/>
        <v>-720794657364.51794</v>
      </c>
      <c r="J3454" s="455">
        <f t="array" ref="J3454">IFERROR(INDEX('Retirement Calculator'!K:K,MATCH('Lorri 401b'!N3454,'Retirement Calculator'!A:A,0),0),0)</f>
        <v>0</v>
      </c>
      <c r="K3454" s="455">
        <f t="shared" ca="1" si="148"/>
        <v>-3003311072.3521581</v>
      </c>
      <c r="L3454" s="455">
        <f t="shared" ca="1" si="149"/>
        <v>-723797968436.87012</v>
      </c>
      <c r="M3454" s="471">
        <f t="shared" si="151"/>
        <v>0.05</v>
      </c>
      <c r="N3454" s="475">
        <f t="shared" si="152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50"/>
        <v>-723797968436.87012</v>
      </c>
      <c r="J3455" s="455">
        <f t="array" ref="J3455">IFERROR(INDEX('Retirement Calculator'!K:K,MATCH('Lorri 401b'!N3455,'Retirement Calculator'!A:A,0),0),0)</f>
        <v>0</v>
      </c>
      <c r="K3455" s="455">
        <f t="shared" ca="1" si="148"/>
        <v>-3015824868.486959</v>
      </c>
      <c r="L3455" s="455">
        <f t="shared" ca="1" si="149"/>
        <v>-726813793305.35706</v>
      </c>
      <c r="M3455" s="471">
        <f t="shared" si="151"/>
        <v>0.05</v>
      </c>
      <c r="N3455" s="475">
        <f t="shared" si="152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50"/>
        <v>-726813793305.35706</v>
      </c>
      <c r="J3456" s="455">
        <f t="array" ref="J3456">IFERROR(INDEX('Retirement Calculator'!K:K,MATCH('Lorri 401b'!N3456,'Retirement Calculator'!A:A,0),0),0)</f>
        <v>0</v>
      </c>
      <c r="K3456" s="455">
        <f t="shared" ca="1" si="148"/>
        <v>-3028390805.4389877</v>
      </c>
      <c r="L3456" s="455">
        <f t="shared" ca="1" si="149"/>
        <v>-729842184110.79602</v>
      </c>
      <c r="M3456" s="471">
        <f t="shared" si="151"/>
        <v>0.05</v>
      </c>
      <c r="N3456" s="475">
        <f t="shared" si="152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50"/>
        <v>-729842184110.79602</v>
      </c>
      <c r="J3457" s="455">
        <f t="array" ref="J3457">IFERROR(INDEX('Retirement Calculator'!K:K,MATCH('Lorri 401b'!N3457,'Retirement Calculator'!A:A,0),0),0)</f>
        <v>0</v>
      </c>
      <c r="K3457" s="455">
        <f t="shared" ca="1" si="148"/>
        <v>-3041009100.4616499</v>
      </c>
      <c r="L3457" s="455">
        <f t="shared" ca="1" si="149"/>
        <v>-732883193211.25769</v>
      </c>
      <c r="M3457" s="471">
        <f t="shared" si="151"/>
        <v>0.05</v>
      </c>
      <c r="N3457" s="475">
        <f t="shared" si="152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50"/>
        <v>-732883193211.25769</v>
      </c>
      <c r="J3458" s="455">
        <f t="array" ref="J3458">IFERROR(INDEX('Retirement Calculator'!K:K,MATCH('Lorri 401b'!N3458,'Retirement Calculator'!A:A,0),0),0)</f>
        <v>0</v>
      </c>
      <c r="K3458" s="455">
        <f t="shared" ca="1" si="148"/>
        <v>-3053679971.7135735</v>
      </c>
      <c r="L3458" s="455">
        <f t="shared" ca="1" si="149"/>
        <v>-735936873182.97131</v>
      </c>
      <c r="M3458" s="471">
        <f t="shared" si="151"/>
        <v>0.05</v>
      </c>
      <c r="N3458" s="475">
        <f t="shared" si="152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50"/>
        <v>-735936873182.97131</v>
      </c>
      <c r="J3459" s="455">
        <f t="array" ref="J3459">IFERROR(INDEX('Retirement Calculator'!K:K,MATCH('Lorri 401b'!N3459,'Retirement Calculator'!A:A,0),0),0)</f>
        <v>0</v>
      </c>
      <c r="K3459" s="455">
        <f t="shared" ca="1" si="148"/>
        <v>-3066403638.2623806</v>
      </c>
      <c r="L3459" s="455">
        <f t="shared" ca="1" si="149"/>
        <v>-739003276821.23364</v>
      </c>
      <c r="M3459" s="471">
        <f t="shared" si="151"/>
        <v>0.05</v>
      </c>
      <c r="N3459" s="475">
        <f t="shared" si="152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50"/>
        <v>-739003276821.23364</v>
      </c>
      <c r="J3460" s="455">
        <f t="array" ref="J3460">IFERROR(INDEX('Retirement Calculator'!K:K,MATCH('Lorri 401b'!N3460,'Retirement Calculator'!A:A,0),0),0)</f>
        <v>0</v>
      </c>
      <c r="K3460" s="455">
        <f t="shared" ca="1" si="148"/>
        <v>-3079180320.0884733</v>
      </c>
      <c r="L3460" s="455">
        <f t="shared" ca="1" si="149"/>
        <v>-742082457141.32214</v>
      </c>
      <c r="M3460" s="471">
        <f t="shared" si="151"/>
        <v>0.05</v>
      </c>
      <c r="N3460" s="475">
        <f t="shared" si="152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50"/>
        <v>-742082457141.32214</v>
      </c>
      <c r="J3461" s="455">
        <f t="array" ref="J3461">IFERROR(INDEX('Retirement Calculator'!K:K,MATCH('Lorri 401b'!N3461,'Retirement Calculator'!A:A,0),0),0)</f>
        <v>0</v>
      </c>
      <c r="K3461" s="455">
        <f t="shared" ca="1" si="148"/>
        <v>-3092010238.0888424</v>
      </c>
      <c r="L3461" s="455">
        <f t="shared" ca="1" si="149"/>
        <v>-745174467379.41101</v>
      </c>
      <c r="M3461" s="471">
        <f t="shared" si="151"/>
        <v>0.05</v>
      </c>
      <c r="N3461" s="475">
        <f t="shared" si="152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50"/>
        <v>-745174467379.41101</v>
      </c>
      <c r="J3462" s="455">
        <f t="array" ref="J3462">IFERROR(INDEX('Retirement Calculator'!K:K,MATCH('Lorri 401b'!N3462,'Retirement Calculator'!A:A,0),0),0)</f>
        <v>0</v>
      </c>
      <c r="K3462" s="455">
        <f t="shared" ca="1" si="148"/>
        <v>-3104893614.0808792</v>
      </c>
      <c r="L3462" s="455">
        <f t="shared" ca="1" si="149"/>
        <v>-748279360993.49194</v>
      </c>
      <c r="M3462" s="471">
        <f t="shared" si="151"/>
        <v>0.05</v>
      </c>
      <c r="N3462" s="475">
        <f t="shared" si="152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50"/>
        <v>-748279360993.49194</v>
      </c>
      <c r="J3463" s="455">
        <f t="array" ref="J3463">IFERROR(INDEX('Retirement Calculator'!K:K,MATCH('Lorri 401b'!N3463,'Retirement Calculator'!A:A,0),0),0)</f>
        <v>0</v>
      </c>
      <c r="K3463" s="455">
        <f t="shared" ca="1" si="148"/>
        <v>-3117830670.8062162</v>
      </c>
      <c r="L3463" s="455">
        <f t="shared" ca="1" si="149"/>
        <v>-751397191664.29822</v>
      </c>
      <c r="M3463" s="471">
        <f t="shared" si="151"/>
        <v>0.05</v>
      </c>
      <c r="N3463" s="475">
        <f t="shared" si="152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50"/>
        <v>-751397191664.29822</v>
      </c>
      <c r="J3464" s="455">
        <f t="array" ref="J3464">IFERROR(INDEX('Retirement Calculator'!K:K,MATCH('Lorri 401b'!N3464,'Retirement Calculator'!A:A,0),0),0)</f>
        <v>0</v>
      </c>
      <c r="K3464" s="455">
        <f t="shared" ca="1" si="148"/>
        <v>-3130821631.934576</v>
      </c>
      <c r="L3464" s="455">
        <f t="shared" ca="1" si="149"/>
        <v>-754528013296.23279</v>
      </c>
      <c r="M3464" s="471">
        <f t="shared" si="151"/>
        <v>0.05</v>
      </c>
      <c r="N3464" s="475">
        <f t="shared" si="152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50"/>
        <v>-754528013296.23279</v>
      </c>
      <c r="J3465" s="455">
        <f t="array" ref="J3465">IFERROR(INDEX('Retirement Calculator'!K:K,MATCH('Lorri 401b'!N3465,'Retirement Calculator'!A:A,0),0),0)</f>
        <v>0</v>
      </c>
      <c r="K3465" s="455">
        <f t="shared" ca="1" si="148"/>
        <v>-3143866722.0676365</v>
      </c>
      <c r="L3465" s="455">
        <f t="shared" ca="1" si="149"/>
        <v>-757671880018.30042</v>
      </c>
      <c r="M3465" s="471">
        <f t="shared" si="151"/>
        <v>0.05</v>
      </c>
      <c r="N3465" s="475">
        <f t="shared" si="152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50"/>
        <v>-757671880018.30042</v>
      </c>
      <c r="J3466" s="455">
        <f t="array" ref="J3466">IFERROR(INDEX('Retirement Calculator'!K:K,MATCH('Lorri 401b'!N3466,'Retirement Calculator'!A:A,0),0),0)</f>
        <v>0</v>
      </c>
      <c r="K3466" s="455">
        <f t="shared" ca="1" si="148"/>
        <v>-3156966166.7429185</v>
      </c>
      <c r="L3466" s="455">
        <f t="shared" ca="1" si="149"/>
        <v>-760828846185.04333</v>
      </c>
      <c r="M3466" s="471">
        <f t="shared" si="151"/>
        <v>0.05</v>
      </c>
      <c r="N3466" s="475">
        <f t="shared" si="152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50"/>
        <v>-760828846185.04333</v>
      </c>
      <c r="J3467" s="455">
        <f t="array" ref="J3467">IFERROR(INDEX('Retirement Calculator'!K:K,MATCH('Lorri 401b'!N3467,'Retirement Calculator'!A:A,0),0),0)</f>
        <v>0</v>
      </c>
      <c r="K3467" s="455">
        <f t="shared" ca="1" si="148"/>
        <v>-3170120192.4376807</v>
      </c>
      <c r="L3467" s="455">
        <f t="shared" ca="1" si="149"/>
        <v>-763998966377.48096</v>
      </c>
      <c r="M3467" s="471">
        <f t="shared" si="151"/>
        <v>0.05</v>
      </c>
      <c r="N3467" s="475">
        <f t="shared" si="152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50"/>
        <v>-763998966377.48096</v>
      </c>
      <c r="J3468" s="455">
        <f t="array" ref="J3468">IFERROR(INDEX('Retirement Calculator'!K:K,MATCH('Lorri 401b'!N3468,'Retirement Calculator'!A:A,0),0),0)</f>
        <v>0</v>
      </c>
      <c r="K3468" s="455">
        <f t="shared" ca="1" si="148"/>
        <v>-3183329026.5728374</v>
      </c>
      <c r="L3468" s="455">
        <f t="shared" ca="1" si="149"/>
        <v>-767182295404.05383</v>
      </c>
      <c r="M3468" s="471">
        <f t="shared" si="151"/>
        <v>0.05</v>
      </c>
      <c r="N3468" s="475">
        <f t="shared" si="152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50"/>
        <v>-767182295404.05383</v>
      </c>
      <c r="J3469" s="455">
        <f t="array" ref="J3469">IFERROR(INDEX('Retirement Calculator'!K:K,MATCH('Lorri 401b'!N3469,'Retirement Calculator'!A:A,0),0),0)</f>
        <v>0</v>
      </c>
      <c r="K3469" s="455">
        <f t="shared" ca="1" si="148"/>
        <v>-3196592897.516891</v>
      </c>
      <c r="L3469" s="455">
        <f t="shared" ca="1" si="149"/>
        <v>-770378888301.57068</v>
      </c>
      <c r="M3469" s="471">
        <f t="shared" si="151"/>
        <v>0.05</v>
      </c>
      <c r="N3469" s="475">
        <f t="shared" si="152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50"/>
        <v>-770378888301.57068</v>
      </c>
      <c r="J3470" s="455">
        <f t="array" ref="J3470">IFERROR(INDEX('Retirement Calculator'!K:K,MATCH('Lorri 401b'!N3470,'Retirement Calculator'!A:A,0),0),0)</f>
        <v>0</v>
      </c>
      <c r="K3470" s="455">
        <f t="shared" ca="1" si="148"/>
        <v>-3209912034.5898776</v>
      </c>
      <c r="L3470" s="455">
        <f t="shared" ca="1" si="149"/>
        <v>-773588800336.16052</v>
      </c>
      <c r="M3470" s="471">
        <f t="shared" si="151"/>
        <v>0.05</v>
      </c>
      <c r="N3470" s="475">
        <f t="shared" si="152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50"/>
        <v>-773588800336.16052</v>
      </c>
      <c r="J3471" s="455">
        <f t="array" ref="J3471">IFERROR(INDEX('Retirement Calculator'!K:K,MATCH('Lorri 401b'!N3471,'Retirement Calculator'!A:A,0),0),0)</f>
        <v>0</v>
      </c>
      <c r="K3471" s="455">
        <f t="shared" ca="1" si="148"/>
        <v>-3223286668.0673356</v>
      </c>
      <c r="L3471" s="455">
        <f t="shared" ca="1" si="149"/>
        <v>-776812087004.22791</v>
      </c>
      <c r="M3471" s="471">
        <f t="shared" si="151"/>
        <v>0.05</v>
      </c>
      <c r="N3471" s="475">
        <f t="shared" si="152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50"/>
        <v>-776812087004.22791</v>
      </c>
      <c r="J3472" s="455">
        <f t="array" ref="J3472">IFERROR(INDEX('Retirement Calculator'!K:K,MATCH('Lorri 401b'!N3472,'Retirement Calculator'!A:A,0),0),0)</f>
        <v>0</v>
      </c>
      <c r="K3472" s="455">
        <f t="shared" ca="1" si="148"/>
        <v>-3236717029.1842828</v>
      </c>
      <c r="L3472" s="455">
        <f t="shared" ca="1" si="149"/>
        <v>-780048804033.41223</v>
      </c>
      <c r="M3472" s="471">
        <f t="shared" si="151"/>
        <v>0.05</v>
      </c>
      <c r="N3472" s="475">
        <f t="shared" si="152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50"/>
        <v>-780048804033.41223</v>
      </c>
      <c r="J3473" s="455">
        <f t="array" ref="J3473">IFERROR(INDEX('Retirement Calculator'!K:K,MATCH('Lorri 401b'!N3473,'Retirement Calculator'!A:A,0),0),0)</f>
        <v>0</v>
      </c>
      <c r="K3473" s="455">
        <f t="shared" ca="1" si="148"/>
        <v>-3250203350.1392174</v>
      </c>
      <c r="L3473" s="455">
        <f t="shared" ca="1" si="149"/>
        <v>-783299007383.55139</v>
      </c>
      <c r="M3473" s="471">
        <f t="shared" si="151"/>
        <v>0.05</v>
      </c>
      <c r="N3473" s="475">
        <f t="shared" si="152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50"/>
        <v>-783299007383.55139</v>
      </c>
      <c r="J3474" s="455">
        <f t="array" ref="J3474">IFERROR(INDEX('Retirement Calculator'!K:K,MATCH('Lorri 401b'!N3474,'Retirement Calculator'!A:A,0),0),0)</f>
        <v>0</v>
      </c>
      <c r="K3474" s="455">
        <f t="shared" ca="1" si="148"/>
        <v>-3263745864.0981307</v>
      </c>
      <c r="L3474" s="455">
        <f t="shared" ca="1" si="149"/>
        <v>-786562753247.64954</v>
      </c>
      <c r="M3474" s="471">
        <f t="shared" si="151"/>
        <v>0.05</v>
      </c>
      <c r="N3474" s="475">
        <f t="shared" si="152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50"/>
        <v>-786562753247.64954</v>
      </c>
      <c r="J3475" s="455">
        <f t="array" ref="J3475">IFERROR(INDEX('Retirement Calculator'!K:K,MATCH('Lorri 401b'!N3475,'Retirement Calculator'!A:A,0),0),0)</f>
        <v>0</v>
      </c>
      <c r="K3475" s="455">
        <f t="shared" ca="1" si="148"/>
        <v>-3277344805.1985397</v>
      </c>
      <c r="L3475" s="455">
        <f t="shared" ca="1" si="149"/>
        <v>-789840098052.84802</v>
      </c>
      <c r="M3475" s="471">
        <f t="shared" si="151"/>
        <v>0.05</v>
      </c>
      <c r="N3475" s="475">
        <f t="shared" si="152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50"/>
        <v>-789840098052.84802</v>
      </c>
      <c r="J3476" s="455">
        <f t="array" ref="J3476">IFERROR(INDEX('Retirement Calculator'!K:K,MATCH('Lorri 401b'!N3476,'Retirement Calculator'!A:A,0),0),0)</f>
        <v>0</v>
      </c>
      <c r="K3476" s="455">
        <f t="shared" ca="1" si="148"/>
        <v>-3291000408.5535336</v>
      </c>
      <c r="L3476" s="455">
        <f t="shared" ca="1" si="149"/>
        <v>-793131098461.40161</v>
      </c>
      <c r="M3476" s="471">
        <f t="shared" si="151"/>
        <v>0.05</v>
      </c>
      <c r="N3476" s="475">
        <f t="shared" si="152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50"/>
        <v>-793131098461.40161</v>
      </c>
      <c r="J3477" s="455">
        <f t="array" ref="J3477">IFERROR(INDEX('Retirement Calculator'!K:K,MATCH('Lorri 401b'!N3477,'Retirement Calculator'!A:A,0),0),0)</f>
        <v>0</v>
      </c>
      <c r="K3477" s="455">
        <f t="shared" ca="1" si="148"/>
        <v>-3304712910.2558398</v>
      </c>
      <c r="L3477" s="455">
        <f t="shared" ca="1" si="149"/>
        <v>-796435811371.65747</v>
      </c>
      <c r="M3477" s="471">
        <f t="shared" si="151"/>
        <v>0.05</v>
      </c>
      <c r="N3477" s="475">
        <f t="shared" si="152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50"/>
        <v>-796435811371.65747</v>
      </c>
      <c r="J3478" s="455">
        <f t="array" ref="J3478">IFERROR(INDEX('Retirement Calculator'!K:K,MATCH('Lorri 401b'!N3478,'Retirement Calculator'!A:A,0),0),0)</f>
        <v>0</v>
      </c>
      <c r="K3478" s="455">
        <f t="shared" ca="1" si="148"/>
        <v>-3318482547.381906</v>
      </c>
      <c r="L3478" s="455">
        <f t="shared" ca="1" si="149"/>
        <v>-799754293919.03943</v>
      </c>
      <c r="M3478" s="471">
        <f t="shared" si="151"/>
        <v>0.05</v>
      </c>
      <c r="N3478" s="475">
        <f t="shared" si="152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50"/>
        <v>-799754293919.03943</v>
      </c>
      <c r="J3479" s="455">
        <f t="array" ref="J3479">IFERROR(INDEX('Retirement Calculator'!K:K,MATCH('Lorri 401b'!N3479,'Retirement Calculator'!A:A,0),0),0)</f>
        <v>0</v>
      </c>
      <c r="K3479" s="455">
        <f t="shared" ca="1" si="148"/>
        <v>-3332309557.9959974</v>
      </c>
      <c r="L3479" s="455">
        <f t="shared" ca="1" si="149"/>
        <v>-803086603477.0354</v>
      </c>
      <c r="M3479" s="471">
        <f t="shared" si="151"/>
        <v>0.05</v>
      </c>
      <c r="N3479" s="475">
        <f t="shared" si="152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50"/>
        <v>-803086603477.0354</v>
      </c>
      <c r="J3480" s="455">
        <f t="array" ref="J3480">IFERROR(INDEX('Retirement Calculator'!K:K,MATCH('Lorri 401b'!N3480,'Retirement Calculator'!A:A,0),0),0)</f>
        <v>0</v>
      </c>
      <c r="K3480" s="455">
        <f t="shared" ca="1" si="148"/>
        <v>-3346194181.154314</v>
      </c>
      <c r="L3480" s="455">
        <f t="shared" ca="1" si="149"/>
        <v>-806432797658.1897</v>
      </c>
      <c r="M3480" s="471">
        <f t="shared" si="151"/>
        <v>0.05</v>
      </c>
      <c r="N3480" s="475">
        <f t="shared" si="152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50"/>
        <v>-806432797658.1897</v>
      </c>
      <c r="J3481" s="455">
        <f t="array" ref="J3481">IFERROR(INDEX('Retirement Calculator'!K:K,MATCH('Lorri 401b'!N3481,'Retirement Calculator'!A:A,0),0),0)</f>
        <v>0</v>
      </c>
      <c r="K3481" s="455">
        <f t="shared" ca="1" si="148"/>
        <v>-3360136656.9091239</v>
      </c>
      <c r="L3481" s="455">
        <f t="shared" ca="1" si="149"/>
        <v>-809792934315.09888</v>
      </c>
      <c r="M3481" s="471">
        <f t="shared" si="151"/>
        <v>0.05</v>
      </c>
      <c r="N3481" s="475">
        <f t="shared" si="152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50"/>
        <v>-809792934315.09888</v>
      </c>
      <c r="J3482" s="455">
        <f t="array" ref="J3482">IFERROR(INDEX('Retirement Calculator'!K:K,MATCH('Lorri 401b'!N3482,'Retirement Calculator'!A:A,0),0),0)</f>
        <v>0</v>
      </c>
      <c r="K3482" s="455">
        <f t="shared" ca="1" si="148"/>
        <v>-3374137226.312912</v>
      </c>
      <c r="L3482" s="455">
        <f t="shared" ca="1" si="149"/>
        <v>-813167071541.41174</v>
      </c>
      <c r="M3482" s="471">
        <f t="shared" si="151"/>
        <v>0.05</v>
      </c>
      <c r="N3482" s="475">
        <f t="shared" si="152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50"/>
        <v>-813167071541.41174</v>
      </c>
      <c r="J3483" s="455">
        <f t="array" ref="J3483">IFERROR(INDEX('Retirement Calculator'!K:K,MATCH('Lorri 401b'!N3483,'Retirement Calculator'!A:A,0),0),0)</f>
        <v>0</v>
      </c>
      <c r="K3483" s="455">
        <f t="shared" ca="1" si="148"/>
        <v>-3388196131.4225488</v>
      </c>
      <c r="L3483" s="455">
        <f t="shared" ca="1" si="149"/>
        <v>-816555267672.83435</v>
      </c>
      <c r="M3483" s="471">
        <f t="shared" si="151"/>
        <v>0.05</v>
      </c>
      <c r="N3483" s="475">
        <f t="shared" si="152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50"/>
        <v>-816555267672.83435</v>
      </c>
      <c r="J3484" s="455">
        <f t="array" ref="J3484">IFERROR(INDEX('Retirement Calculator'!K:K,MATCH('Lorri 401b'!N3484,'Retirement Calculator'!A:A,0),0),0)</f>
        <v>0</v>
      </c>
      <c r="K3484" s="455">
        <f t="shared" ca="1" si="148"/>
        <v>-3402313615.3034763</v>
      </c>
      <c r="L3484" s="455">
        <f t="shared" ca="1" si="149"/>
        <v>-819957581288.13782</v>
      </c>
      <c r="M3484" s="471">
        <f t="shared" si="151"/>
        <v>0.05</v>
      </c>
      <c r="N3484" s="475">
        <f t="shared" si="152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50"/>
        <v>-819957581288.13782</v>
      </c>
      <c r="J3485" s="455">
        <f t="array" ref="J3485">IFERROR(INDEX('Retirement Calculator'!K:K,MATCH('Lorri 401b'!N3485,'Retirement Calculator'!A:A,0),0),0)</f>
        <v>0</v>
      </c>
      <c r="K3485" s="455">
        <f t="shared" ca="1" si="148"/>
        <v>-3416489922.0339074</v>
      </c>
      <c r="L3485" s="455">
        <f t="shared" ca="1" si="149"/>
        <v>-823374071210.17175</v>
      </c>
      <c r="M3485" s="471">
        <f t="shared" si="151"/>
        <v>0.05</v>
      </c>
      <c r="N3485" s="475">
        <f t="shared" si="152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50"/>
        <v>-823374071210.17175</v>
      </c>
      <c r="J3486" s="455">
        <f t="array" ref="J3486">IFERROR(INDEX('Retirement Calculator'!K:K,MATCH('Lorri 401b'!N3486,'Retirement Calculator'!A:A,0),0),0)</f>
        <v>0</v>
      </c>
      <c r="K3486" s="455">
        <f t="shared" ca="1" si="148"/>
        <v>-3430725296.7090487</v>
      </c>
      <c r="L3486" s="455">
        <f t="shared" ca="1" si="149"/>
        <v>-826804796506.88086</v>
      </c>
      <c r="M3486" s="471">
        <f t="shared" si="151"/>
        <v>0.05</v>
      </c>
      <c r="N3486" s="475">
        <f t="shared" si="152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50"/>
        <v>-826804796506.88086</v>
      </c>
      <c r="J3487" s="455">
        <f t="array" ref="J3487">IFERROR(INDEX('Retirement Calculator'!K:K,MATCH('Lorri 401b'!N3487,'Retirement Calculator'!A:A,0),0),0)</f>
        <v>0</v>
      </c>
      <c r="K3487" s="455">
        <f t="shared" ca="1" si="148"/>
        <v>-3445019985.4453368</v>
      </c>
      <c r="L3487" s="455">
        <f t="shared" ca="1" si="149"/>
        <v>-830249816492.32617</v>
      </c>
      <c r="M3487" s="471">
        <f t="shared" si="151"/>
        <v>0.05</v>
      </c>
      <c r="N3487" s="475">
        <f t="shared" si="152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50"/>
        <v>-830249816492.32617</v>
      </c>
      <c r="J3488" s="455">
        <f t="array" ref="J3488">IFERROR(INDEX('Retirement Calculator'!K:K,MATCH('Lorri 401b'!N3488,'Retirement Calculator'!A:A,0),0),0)</f>
        <v>0</v>
      </c>
      <c r="K3488" s="455">
        <f t="shared" ca="1" si="148"/>
        <v>-3459374235.3846922</v>
      </c>
      <c r="L3488" s="455">
        <f t="shared" ca="1" si="149"/>
        <v>-833709190727.71082</v>
      </c>
      <c r="M3488" s="471">
        <f t="shared" si="151"/>
        <v>0.05</v>
      </c>
      <c r="N3488" s="475">
        <f t="shared" si="152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50"/>
        <v>-833709190727.71082</v>
      </c>
      <c r="J3489" s="455">
        <f t="array" ref="J3489">IFERROR(INDEX('Retirement Calculator'!K:K,MATCH('Lorri 401b'!N3489,'Retirement Calculator'!A:A,0),0),0)</f>
        <v>0</v>
      </c>
      <c r="K3489" s="455">
        <f t="shared" ca="1" si="148"/>
        <v>-3473788294.6987948</v>
      </c>
      <c r="L3489" s="455">
        <f t="shared" ca="1" si="149"/>
        <v>-837182979022.40967</v>
      </c>
      <c r="M3489" s="471">
        <f t="shared" si="151"/>
        <v>0.05</v>
      </c>
      <c r="N3489" s="475">
        <f t="shared" si="152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50"/>
        <v>-837182979022.40967</v>
      </c>
      <c r="J3490" s="455">
        <f t="array" ref="J3490">IFERROR(INDEX('Retirement Calculator'!K:K,MATCH('Lorri 401b'!N3490,'Retirement Calculator'!A:A,0),0),0)</f>
        <v>0</v>
      </c>
      <c r="K3490" s="455">
        <f t="shared" ca="1" si="148"/>
        <v>-3488262412.5933738</v>
      </c>
      <c r="L3490" s="455">
        <f t="shared" ca="1" si="149"/>
        <v>-840671241435.00305</v>
      </c>
      <c r="M3490" s="471">
        <f t="shared" si="151"/>
        <v>0.05</v>
      </c>
      <c r="N3490" s="475">
        <f t="shared" si="152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50"/>
        <v>-840671241435.00305</v>
      </c>
      <c r="J3491" s="455">
        <f t="array" ref="J3491">IFERROR(INDEX('Retirement Calculator'!K:K,MATCH('Lorri 401b'!N3491,'Retirement Calculator'!A:A,0),0),0)</f>
        <v>0</v>
      </c>
      <c r="K3491" s="455">
        <f t="shared" ca="1" si="148"/>
        <v>-3502796839.3125129</v>
      </c>
      <c r="L3491" s="455">
        <f t="shared" ca="1" si="149"/>
        <v>-844174038274.31555</v>
      </c>
      <c r="M3491" s="471">
        <f t="shared" si="151"/>
        <v>0.05</v>
      </c>
      <c r="N3491" s="475">
        <f t="shared" si="152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50"/>
        <v>-844174038274.31555</v>
      </c>
      <c r="J3492" s="455">
        <f t="array" ref="J3492">IFERROR(INDEX('Retirement Calculator'!K:K,MATCH('Lorri 401b'!N3492,'Retirement Calculator'!A:A,0),0),0)</f>
        <v>0</v>
      </c>
      <c r="K3492" s="455">
        <f t="shared" ca="1" si="148"/>
        <v>-3517391826.1429815</v>
      </c>
      <c r="L3492" s="455">
        <f t="shared" ca="1" si="149"/>
        <v>-847691430100.4585</v>
      </c>
      <c r="M3492" s="471">
        <f t="shared" si="151"/>
        <v>0.05</v>
      </c>
      <c r="N3492" s="475">
        <f t="shared" si="152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50"/>
        <v>-847691430100.4585</v>
      </c>
      <c r="J3493" s="455">
        <f t="array" ref="J3493">IFERROR(INDEX('Retirement Calculator'!K:K,MATCH('Lorri 401b'!N3493,'Retirement Calculator'!A:A,0),0),0)</f>
        <v>0</v>
      </c>
      <c r="K3493" s="455">
        <f t="shared" ca="1" si="148"/>
        <v>-3532047625.4185772</v>
      </c>
      <c r="L3493" s="455">
        <f t="shared" ca="1" si="149"/>
        <v>-851223477725.87708</v>
      </c>
      <c r="M3493" s="471">
        <f t="shared" si="151"/>
        <v>0.05</v>
      </c>
      <c r="N3493" s="475">
        <f t="shared" si="152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50"/>
        <v>-851223477725.87708</v>
      </c>
      <c r="J3494" s="455">
        <f t="array" ref="J3494">IFERROR(INDEX('Retirement Calculator'!K:K,MATCH('Lorri 401b'!N3494,'Retirement Calculator'!A:A,0),0),0)</f>
        <v>0</v>
      </c>
      <c r="K3494" s="455">
        <f t="shared" ca="1" si="148"/>
        <v>-3546764490.524488</v>
      </c>
      <c r="L3494" s="455">
        <f t="shared" ca="1" si="149"/>
        <v>-854770242216.40161</v>
      </c>
      <c r="M3494" s="471">
        <f t="shared" si="151"/>
        <v>0.05</v>
      </c>
      <c r="N3494" s="475">
        <f t="shared" si="152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50"/>
        <v>-854770242216.40161</v>
      </c>
      <c r="J3495" s="455">
        <f t="array" ref="J3495">IFERROR(INDEX('Retirement Calculator'!K:K,MATCH('Lorri 401b'!N3495,'Retirement Calculator'!A:A,0),0),0)</f>
        <v>0</v>
      </c>
      <c r="K3495" s="455">
        <f t="shared" ca="1" si="148"/>
        <v>-3561542675.9016733</v>
      </c>
      <c r="L3495" s="455">
        <f t="shared" ca="1" si="149"/>
        <v>-858331784892.30334</v>
      </c>
      <c r="M3495" s="471">
        <f t="shared" si="151"/>
        <v>0.05</v>
      </c>
      <c r="N3495" s="475">
        <f t="shared" si="152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50"/>
        <v>-858331784892.30334</v>
      </c>
      <c r="J3496" s="455">
        <f t="array" ref="J3496">IFERROR(INDEX('Retirement Calculator'!K:K,MATCH('Lorri 401b'!N3496,'Retirement Calculator'!A:A,0),0),0)</f>
        <v>0</v>
      </c>
      <c r="K3496" s="455">
        <f t="shared" ca="1" si="148"/>
        <v>-3576382437.0512633</v>
      </c>
      <c r="L3496" s="455">
        <f t="shared" ca="1" si="149"/>
        <v>-861908167329.35461</v>
      </c>
      <c r="M3496" s="471">
        <f t="shared" si="151"/>
        <v>0.05</v>
      </c>
      <c r="N3496" s="475">
        <f t="shared" si="152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50"/>
        <v>-861908167329.35461</v>
      </c>
      <c r="J3497" s="455">
        <f t="array" ref="J3497">IFERROR(INDEX('Retirement Calculator'!K:K,MATCH('Lorri 401b'!N3497,'Retirement Calculator'!A:A,0),0),0)</f>
        <v>0</v>
      </c>
      <c r="K3497" s="455">
        <f t="shared" ca="1" si="148"/>
        <v>-3591284030.5389776</v>
      </c>
      <c r="L3497" s="455">
        <f t="shared" ca="1" si="149"/>
        <v>-865499451359.89355</v>
      </c>
      <c r="M3497" s="471">
        <f t="shared" si="151"/>
        <v>0.05</v>
      </c>
      <c r="N3497" s="475">
        <f t="shared" si="152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50"/>
        <v>-865499451359.89355</v>
      </c>
      <c r="J3498" s="455">
        <f t="array" ref="J3498">IFERROR(INDEX('Retirement Calculator'!K:K,MATCH('Lorri 401b'!N3498,'Retirement Calculator'!A:A,0),0),0)</f>
        <v>0</v>
      </c>
      <c r="K3498" s="455">
        <f t="shared" ca="1" si="148"/>
        <v>-3606247713.9995565</v>
      </c>
      <c r="L3498" s="455">
        <f t="shared" ca="1" si="149"/>
        <v>-869105699073.89307</v>
      </c>
      <c r="M3498" s="471">
        <f t="shared" si="151"/>
        <v>0.05</v>
      </c>
      <c r="N3498" s="475">
        <f t="shared" si="152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50"/>
        <v>-869105699073.89307</v>
      </c>
      <c r="J3499" s="455">
        <f t="array" ref="J3499">IFERROR(INDEX('Retirement Calculator'!K:K,MATCH('Lorri 401b'!N3499,'Retirement Calculator'!A:A,0),0),0)</f>
        <v>0</v>
      </c>
      <c r="K3499" s="455">
        <f t="shared" ca="1" si="148"/>
        <v>-3621273746.141221</v>
      </c>
      <c r="L3499" s="455">
        <f t="shared" ca="1" si="149"/>
        <v>-872726972820.0343</v>
      </c>
      <c r="M3499" s="471">
        <f t="shared" si="151"/>
        <v>0.05</v>
      </c>
      <c r="N3499" s="475">
        <f t="shared" si="152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50"/>
        <v>-872726972820.0343</v>
      </c>
      <c r="J3500" s="455">
        <f t="array" ref="J3500">IFERROR(INDEX('Retirement Calculator'!K:K,MATCH('Lorri 401b'!N3500,'Retirement Calculator'!A:A,0),0),0)</f>
        <v>0</v>
      </c>
      <c r="K3500" s="455">
        <f t="shared" ca="1" si="148"/>
        <v>-3636362386.7501431</v>
      </c>
      <c r="L3500" s="455">
        <f t="shared" ca="1" si="149"/>
        <v>-876363335206.78442</v>
      </c>
      <c r="M3500" s="471">
        <f t="shared" si="151"/>
        <v>0.05</v>
      </c>
      <c r="N3500" s="475">
        <f t="shared" si="152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50"/>
        <v>-876363335206.78442</v>
      </c>
      <c r="J3501" s="455">
        <f t="array" ref="J3501">IFERROR(INDEX('Retirement Calculator'!K:K,MATCH('Lorri 401b'!N3501,'Retirement Calculator'!A:A,0),0),0)</f>
        <v>0</v>
      </c>
      <c r="K3501" s="455">
        <f t="shared" ca="1" si="148"/>
        <v>-3651513896.6949353</v>
      </c>
      <c r="L3501" s="455">
        <f t="shared" ca="1" si="149"/>
        <v>-880014849103.47937</v>
      </c>
      <c r="M3501" s="471">
        <f t="shared" si="151"/>
        <v>0.05</v>
      </c>
      <c r="N3501" s="475">
        <f t="shared" si="152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50"/>
        <v>-880014849103.47937</v>
      </c>
      <c r="J3502" s="455">
        <f t="array" ref="J3502">IFERROR(INDEX('Retirement Calculator'!K:K,MATCH('Lorri 401b'!N3502,'Retirement Calculator'!A:A,0),0),0)</f>
        <v>0</v>
      </c>
      <c r="K3502" s="455">
        <f t="shared" ca="1" si="148"/>
        <v>-3666728537.9311638</v>
      </c>
      <c r="L3502" s="455">
        <f t="shared" ca="1" si="149"/>
        <v>-883681577641.41052</v>
      </c>
      <c r="M3502" s="471">
        <f t="shared" si="151"/>
        <v>0.05</v>
      </c>
      <c r="N3502" s="475">
        <f t="shared" si="152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50"/>
        <v>-883681577641.41052</v>
      </c>
      <c r="J3503" s="455">
        <f t="array" ref="J3503">IFERROR(INDEX('Retirement Calculator'!K:K,MATCH('Lorri 401b'!N3503,'Retirement Calculator'!A:A,0),0),0)</f>
        <v>0</v>
      </c>
      <c r="K3503" s="455">
        <f t="shared" ca="1" si="148"/>
        <v>-3682006573.505877</v>
      </c>
      <c r="L3503" s="455">
        <f t="shared" ca="1" si="149"/>
        <v>-887363584214.91638</v>
      </c>
      <c r="M3503" s="471">
        <f t="shared" si="151"/>
        <v>0.05</v>
      </c>
      <c r="N3503" s="475">
        <f t="shared" si="152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50"/>
        <v>-887363584214.91638</v>
      </c>
      <c r="J3504" s="455">
        <f t="array" ref="J3504">IFERROR(INDEX('Retirement Calculator'!K:K,MATCH('Lorri 401b'!N3504,'Retirement Calculator'!A:A,0),0),0)</f>
        <v>0</v>
      </c>
      <c r="K3504" s="455">
        <f t="shared" ca="1" si="148"/>
        <v>-3697348267.5621514</v>
      </c>
      <c r="L3504" s="455">
        <f t="shared" ca="1" si="149"/>
        <v>-891060932482.47852</v>
      </c>
      <c r="M3504" s="471">
        <f t="shared" si="151"/>
        <v>0.05</v>
      </c>
      <c r="N3504" s="475">
        <f t="shared" si="152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50"/>
        <v>-891060932482.47852</v>
      </c>
      <c r="J3505" s="455">
        <f t="array" ref="J3505">IFERROR(INDEX('Retirement Calculator'!K:K,MATCH('Lorri 401b'!N3505,'Retirement Calculator'!A:A,0),0),0)</f>
        <v>0</v>
      </c>
      <c r="K3505" s="455">
        <f t="shared" ca="1" si="148"/>
        <v>-3712753885.3436604</v>
      </c>
      <c r="L3505" s="455">
        <f t="shared" ca="1" si="149"/>
        <v>-894773686367.82214</v>
      </c>
      <c r="M3505" s="471">
        <f t="shared" si="151"/>
        <v>0.05</v>
      </c>
      <c r="N3505" s="475">
        <f t="shared" si="152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50"/>
        <v>-894773686367.82214</v>
      </c>
      <c r="J3506" s="455">
        <f t="array" ref="J3506">IFERROR(INDEX('Retirement Calculator'!K:K,MATCH('Lorri 401b'!N3506,'Retirement Calculator'!A:A,0),0),0)</f>
        <v>0</v>
      </c>
      <c r="K3506" s="455">
        <f t="shared" ca="1" si="148"/>
        <v>-3728223693.1992583</v>
      </c>
      <c r="L3506" s="455">
        <f t="shared" ca="1" si="149"/>
        <v>-898501910061.02136</v>
      </c>
      <c r="M3506" s="471">
        <f t="shared" si="151"/>
        <v>0.05</v>
      </c>
      <c r="N3506" s="475">
        <f t="shared" si="152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50"/>
        <v>-898501910061.02136</v>
      </c>
      <c r="J3507" s="455">
        <f t="array" ref="J3507">IFERROR(INDEX('Retirement Calculator'!K:K,MATCH('Lorri 401b'!N3507,'Retirement Calculator'!A:A,0),0),0)</f>
        <v>0</v>
      </c>
      <c r="K3507" s="455">
        <f t="shared" ca="1" si="148"/>
        <v>-3743757958.5875893</v>
      </c>
      <c r="L3507" s="455">
        <f t="shared" ca="1" si="149"/>
        <v>-902245668019.60901</v>
      </c>
      <c r="M3507" s="471">
        <f t="shared" si="151"/>
        <v>0.05</v>
      </c>
      <c r="N3507" s="475">
        <f t="shared" si="152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50"/>
        <v>-902245668019.60901</v>
      </c>
      <c r="J3508" s="455">
        <f t="array" ref="J3508">IFERROR(INDEX('Retirement Calculator'!K:K,MATCH('Lorri 401b'!N3508,'Retirement Calculator'!A:A,0),0),0)</f>
        <v>0</v>
      </c>
      <c r="K3508" s="455">
        <f t="shared" ca="1" si="148"/>
        <v>-3759356950.0817046</v>
      </c>
      <c r="L3508" s="455">
        <f t="shared" ca="1" si="149"/>
        <v>-906005024969.69067</v>
      </c>
      <c r="M3508" s="471">
        <f t="shared" si="151"/>
        <v>0.05</v>
      </c>
      <c r="N3508" s="475">
        <f t="shared" si="152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50"/>
        <v>-906005024969.69067</v>
      </c>
      <c r="J3509" s="455">
        <f t="array" ref="J3509">IFERROR(INDEX('Retirement Calculator'!K:K,MATCH('Lorri 401b'!N3509,'Retirement Calculator'!A:A,0),0),0)</f>
        <v>0</v>
      </c>
      <c r="K3509" s="455">
        <f t="shared" ca="1" si="148"/>
        <v>-3775020937.3737116</v>
      </c>
      <c r="L3509" s="455">
        <f t="shared" ca="1" si="149"/>
        <v>-909780045907.06433</v>
      </c>
      <c r="M3509" s="471">
        <f t="shared" si="151"/>
        <v>0.05</v>
      </c>
      <c r="N3509" s="475">
        <f t="shared" si="152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50"/>
        <v>-909780045907.06433</v>
      </c>
      <c r="J3510" s="455">
        <f t="array" ref="J3510">IFERROR(INDEX('Retirement Calculator'!K:K,MATCH('Lorri 401b'!N3510,'Retirement Calculator'!A:A,0),0),0)</f>
        <v>0</v>
      </c>
      <c r="K3510" s="455">
        <f t="shared" ca="1" si="148"/>
        <v>-3790750191.2794352</v>
      </c>
      <c r="L3510" s="455">
        <f t="shared" ca="1" si="149"/>
        <v>-913570796098.34375</v>
      </c>
      <c r="M3510" s="471">
        <f t="shared" si="151"/>
        <v>0.05</v>
      </c>
      <c r="N3510" s="475">
        <f t="shared" si="152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50"/>
        <v>-913570796098.34375</v>
      </c>
      <c r="J3511" s="455">
        <f t="array" ref="J3511">IFERROR(INDEX('Retirement Calculator'!K:K,MATCH('Lorri 401b'!N3511,'Retirement Calculator'!A:A,0),0),0)</f>
        <v>0</v>
      </c>
      <c r="K3511" s="455">
        <f t="shared" ca="1" si="148"/>
        <v>-3806544983.7430983</v>
      </c>
      <c r="L3511" s="455">
        <f t="shared" ca="1" si="149"/>
        <v>-917377341082.08679</v>
      </c>
      <c r="M3511" s="471">
        <f t="shared" si="151"/>
        <v>0.05</v>
      </c>
      <c r="N3511" s="475">
        <f t="shared" si="152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50"/>
        <v>-917377341082.08679</v>
      </c>
      <c r="J3512" s="455">
        <f t="array" ref="J3512">IFERROR(INDEX('Retirement Calculator'!K:K,MATCH('Lorri 401b'!N3512,'Retirement Calculator'!A:A,0),0),0)</f>
        <v>0</v>
      </c>
      <c r="K3512" s="455">
        <f t="shared" ca="1" si="148"/>
        <v>-3822405587.8420281</v>
      </c>
      <c r="L3512" s="455">
        <f t="shared" ca="1" si="149"/>
        <v>-921199746669.92883</v>
      </c>
      <c r="M3512" s="471">
        <f t="shared" si="151"/>
        <v>0.05</v>
      </c>
      <c r="N3512" s="475">
        <f t="shared" si="152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50"/>
        <v>-921199746669.92883</v>
      </c>
      <c r="J3513" s="455">
        <f t="array" ref="J3513">IFERROR(INDEX('Retirement Calculator'!K:K,MATCH('Lorri 401b'!N3513,'Retirement Calculator'!A:A,0),0),0)</f>
        <v>0</v>
      </c>
      <c r="K3513" s="455">
        <f t="shared" ca="1" si="148"/>
        <v>-3838332277.7913694</v>
      </c>
      <c r="L3513" s="455">
        <f t="shared" ca="1" si="149"/>
        <v>-925038078947.72021</v>
      </c>
      <c r="M3513" s="471">
        <f t="shared" si="151"/>
        <v>0.05</v>
      </c>
      <c r="N3513" s="475">
        <f t="shared" si="152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50"/>
        <v>-925038078947.72021</v>
      </c>
      <c r="J3514" s="455">
        <f t="array" ref="J3514">IFERROR(INDEX('Retirement Calculator'!K:K,MATCH('Lorri 401b'!N3514,'Retirement Calculator'!A:A,0),0),0)</f>
        <v>0</v>
      </c>
      <c r="K3514" s="455">
        <f t="shared" ca="1" si="148"/>
        <v>-3854325328.9488349</v>
      </c>
      <c r="L3514" s="455">
        <f t="shared" ca="1" si="149"/>
        <v>-928892404276.66907</v>
      </c>
      <c r="M3514" s="471">
        <f t="shared" si="151"/>
        <v>0.05</v>
      </c>
      <c r="N3514" s="475">
        <f t="shared" si="152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50"/>
        <v>-928892404276.66907</v>
      </c>
      <c r="J3515" s="455">
        <f t="array" ref="J3515">IFERROR(INDEX('Retirement Calculator'!K:K,MATCH('Lorri 401b'!N3515,'Retirement Calculator'!A:A,0),0),0)</f>
        <v>0</v>
      </c>
      <c r="K3515" s="455">
        <f t="shared" ca="1" si="148"/>
        <v>-3870385017.8194547</v>
      </c>
      <c r="L3515" s="455">
        <f t="shared" ca="1" si="149"/>
        <v>-932762789294.48853</v>
      </c>
      <c r="M3515" s="471">
        <f t="shared" si="151"/>
        <v>0.05</v>
      </c>
      <c r="N3515" s="475">
        <f t="shared" si="152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50"/>
        <v>-932762789294.48853</v>
      </c>
      <c r="J3516" s="455">
        <f t="array" ref="J3516">IFERROR(INDEX('Retirement Calculator'!K:K,MATCH('Lorri 401b'!N3516,'Retirement Calculator'!A:A,0),0),0)</f>
        <v>0</v>
      </c>
      <c r="K3516" s="455">
        <f t="shared" ca="1" si="148"/>
        <v>-3886511622.060369</v>
      </c>
      <c r="L3516" s="455">
        <f t="shared" ca="1" si="149"/>
        <v>-936649300916.54895</v>
      </c>
      <c r="M3516" s="471">
        <f t="shared" si="151"/>
        <v>0.05</v>
      </c>
      <c r="N3516" s="475">
        <f t="shared" si="152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50"/>
        <v>-936649300916.54895</v>
      </c>
      <c r="J3517" s="455">
        <f t="array" ref="J3517">IFERROR(INDEX('Retirement Calculator'!K:K,MATCH('Lorri 401b'!N3517,'Retirement Calculator'!A:A,0),0),0)</f>
        <v>0</v>
      </c>
      <c r="K3517" s="455">
        <f t="shared" ca="1" si="148"/>
        <v>-3902705420.4856205</v>
      </c>
      <c r="L3517" s="455">
        <f t="shared" ca="1" si="149"/>
        <v>-940552006337.03455</v>
      </c>
      <c r="M3517" s="471">
        <f t="shared" si="151"/>
        <v>0.05</v>
      </c>
      <c r="N3517" s="475">
        <f t="shared" si="152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50"/>
        <v>-940552006337.03455</v>
      </c>
      <c r="J3518" s="455">
        <f t="array" ref="J3518">IFERROR(INDEX('Retirement Calculator'!K:K,MATCH('Lorri 401b'!N3518,'Retirement Calculator'!A:A,0),0),0)</f>
        <v>0</v>
      </c>
      <c r="K3518" s="455">
        <f t="shared" ca="1" si="148"/>
        <v>-3918966693.0709772</v>
      </c>
      <c r="L3518" s="455">
        <f t="shared" ca="1" si="149"/>
        <v>-944470973030.10547</v>
      </c>
      <c r="M3518" s="471">
        <f t="shared" si="151"/>
        <v>0.05</v>
      </c>
      <c r="N3518" s="475">
        <f t="shared" si="152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50"/>
        <v>-944470973030.10547</v>
      </c>
      <c r="J3519" s="455">
        <f t="array" ref="J3519">IFERROR(INDEX('Retirement Calculator'!K:K,MATCH('Lorri 401b'!N3519,'Retirement Calculator'!A:A,0),0),0)</f>
        <v>0</v>
      </c>
      <c r="K3519" s="455">
        <f t="shared" ca="1" si="148"/>
        <v>-3935295720.9587727</v>
      </c>
      <c r="L3519" s="455">
        <f t="shared" ca="1" si="149"/>
        <v>-948406268751.06421</v>
      </c>
      <c r="M3519" s="471">
        <f t="shared" si="151"/>
        <v>0.05</v>
      </c>
      <c r="N3519" s="475">
        <f t="shared" si="152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50"/>
        <v>-948406268751.06421</v>
      </c>
      <c r="J3520" s="455">
        <f t="array" ref="J3520">IFERROR(INDEX('Retirement Calculator'!K:K,MATCH('Lorri 401b'!N3520,'Retirement Calculator'!A:A,0),0),0)</f>
        <v>0</v>
      </c>
      <c r="K3520" s="455">
        <f t="shared" ca="1" si="148"/>
        <v>-3951692786.4627676</v>
      </c>
      <c r="L3520" s="455">
        <f t="shared" ca="1" si="149"/>
        <v>-952357961537.52698</v>
      </c>
      <c r="M3520" s="471">
        <f t="shared" si="151"/>
        <v>0.05</v>
      </c>
      <c r="N3520" s="475">
        <f t="shared" si="152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50"/>
        <v>-952357961537.52698</v>
      </c>
      <c r="J3521" s="455">
        <f t="array" ref="J3521">IFERROR(INDEX('Retirement Calculator'!K:K,MATCH('Lorri 401b'!N3521,'Retirement Calculator'!A:A,0),0),0)</f>
        <v>0</v>
      </c>
      <c r="K3521" s="455">
        <f t="shared" ca="1" si="148"/>
        <v>-3968158173.073029</v>
      </c>
      <c r="L3521" s="455">
        <f t="shared" ca="1" si="149"/>
        <v>-956326119710.59998</v>
      </c>
      <c r="M3521" s="471">
        <f t="shared" si="151"/>
        <v>0.05</v>
      </c>
      <c r="N3521" s="475">
        <f t="shared" si="152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50"/>
        <v>-956326119710.59998</v>
      </c>
      <c r="J3522" s="455">
        <f t="array" ref="J3522">IFERROR(INDEX('Retirement Calculator'!K:K,MATCH('Lorri 401b'!N3522,'Retirement Calculator'!A:A,0),0),0)</f>
        <v>0</v>
      </c>
      <c r="K3522" s="455">
        <f t="shared" ca="1" si="148"/>
        <v>-3984692165.4608331</v>
      </c>
      <c r="L3522" s="455">
        <f t="shared" ca="1" si="149"/>
        <v>-960310811876.06079</v>
      </c>
      <c r="M3522" s="471">
        <f t="shared" si="151"/>
        <v>0.05</v>
      </c>
      <c r="N3522" s="475">
        <f t="shared" si="152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50"/>
        <v>-960310811876.06079</v>
      </c>
      <c r="J3523" s="455">
        <f t="array" ref="J3523">IFERROR(INDEX('Retirement Calculator'!K:K,MATCH('Lorri 401b'!N3523,'Retirement Calculator'!A:A,0),0),0)</f>
        <v>0</v>
      </c>
      <c r="K3523" s="455">
        <f t="shared" ca="1" si="148"/>
        <v>-4001295049.4835873</v>
      </c>
      <c r="L3523" s="455">
        <f t="shared" ca="1" si="149"/>
        <v>-964312106925.54443</v>
      </c>
      <c r="M3523" s="471">
        <f t="shared" si="151"/>
        <v>0.05</v>
      </c>
      <c r="N3523" s="475">
        <f t="shared" si="152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50"/>
        <v>-964312106925.54443</v>
      </c>
      <c r="J3524" s="455">
        <f t="array" ref="J3524">IFERROR(INDEX('Retirement Calculator'!K:K,MATCH('Lorri 401b'!N3524,'Retirement Calculator'!A:A,0),0),0)</f>
        <v>0</v>
      </c>
      <c r="K3524" s="455">
        <f t="shared" ca="1" si="148"/>
        <v>-4017967112.1897678</v>
      </c>
      <c r="L3524" s="455">
        <f t="shared" ca="1" si="149"/>
        <v>-968330074037.73425</v>
      </c>
      <c r="M3524" s="471">
        <f t="shared" si="151"/>
        <v>0.05</v>
      </c>
      <c r="N3524" s="475">
        <f t="shared" si="152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50"/>
        <v>-968330074037.73425</v>
      </c>
      <c r="J3525" s="455">
        <f t="array" ref="J3525">IFERROR(INDEX('Retirement Calculator'!K:K,MATCH('Lorri 401b'!N3525,'Retirement Calculator'!A:A,0),0),0)</f>
        <v>0</v>
      </c>
      <c r="K3525" s="455">
        <f t="shared" ca="1" si="148"/>
        <v>-4034708641.8238931</v>
      </c>
      <c r="L3525" s="455">
        <f t="shared" ca="1" si="149"/>
        <v>-972364782679.55811</v>
      </c>
      <c r="M3525" s="471">
        <f t="shared" si="151"/>
        <v>0.05</v>
      </c>
      <c r="N3525" s="475">
        <f t="shared" si="152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50"/>
        <v>-972364782679.55811</v>
      </c>
      <c r="J3526" s="455">
        <f t="array" ref="J3526">IFERROR(INDEX('Retirement Calculator'!K:K,MATCH('Lorri 401b'!N3526,'Retirement Calculator'!A:A,0),0),0)</f>
        <v>0</v>
      </c>
      <c r="K3526" s="455">
        <f t="shared" ca="1" si="148"/>
        <v>-4051519927.8314915</v>
      </c>
      <c r="L3526" s="455">
        <f t="shared" ca="1" si="149"/>
        <v>-976416302607.38965</v>
      </c>
      <c r="M3526" s="471">
        <f t="shared" si="151"/>
        <v>0.05</v>
      </c>
      <c r="N3526" s="475">
        <f t="shared" si="152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50"/>
        <v>-976416302607.38965</v>
      </c>
      <c r="J3527" s="455">
        <f t="array" ref="J3527">IFERROR(INDEX('Retirement Calculator'!K:K,MATCH('Lorri 401b'!N3527,'Retirement Calculator'!A:A,0),0),0)</f>
        <v>0</v>
      </c>
      <c r="K3527" s="455">
        <f t="shared" ca="1" si="148"/>
        <v>-4068401260.8641229</v>
      </c>
      <c r="L3527" s="455">
        <f t="shared" ca="1" si="149"/>
        <v>-980484703868.25378</v>
      </c>
      <c r="M3527" s="471">
        <f t="shared" si="151"/>
        <v>0.05</v>
      </c>
      <c r="N3527" s="475">
        <f t="shared" si="152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50"/>
        <v>-980484703868.25378</v>
      </c>
      <c r="J3528" s="455">
        <f t="array" ref="J3528">IFERROR(INDEX('Retirement Calculator'!K:K,MATCH('Lorri 401b'!N3528,'Retirement Calculator'!A:A,0),0),0)</f>
        <v>0</v>
      </c>
      <c r="K3528" s="455">
        <f t="shared" ca="1" si="148"/>
        <v>-4085352932.7843909</v>
      </c>
      <c r="L3528" s="455">
        <f t="shared" ca="1" si="149"/>
        <v>-984570056801.03821</v>
      </c>
      <c r="M3528" s="471">
        <f t="shared" si="151"/>
        <v>0.05</v>
      </c>
      <c r="N3528" s="475">
        <f t="shared" si="152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50"/>
        <v>-984570056801.03821</v>
      </c>
      <c r="J3529" s="455">
        <f t="array" ref="J3529">IFERROR(INDEX('Retirement Calculator'!K:K,MATCH('Lorri 401b'!N3529,'Retirement Calculator'!A:A,0),0),0)</f>
        <v>0</v>
      </c>
      <c r="K3529" s="455">
        <f t="shared" ca="1" si="148"/>
        <v>-4102375236.6709924</v>
      </c>
      <c r="L3529" s="455">
        <f t="shared" ca="1" si="149"/>
        <v>-988672432037.70923</v>
      </c>
      <c r="M3529" s="471">
        <f t="shared" si="151"/>
        <v>0.05</v>
      </c>
      <c r="N3529" s="475">
        <f t="shared" si="152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50"/>
        <v>-988672432037.70923</v>
      </c>
      <c r="J3530" s="455">
        <f t="array" ref="J3530">IFERROR(INDEX('Retirement Calculator'!K:K,MATCH('Lorri 401b'!N3530,'Retirement Calculator'!A:A,0),0),0)</f>
        <v>0</v>
      </c>
      <c r="K3530" s="455">
        <f t="shared" ca="1" si="148"/>
        <v>-4119468466.8237882</v>
      </c>
      <c r="L3530" s="455">
        <f t="shared" ca="1" si="149"/>
        <v>-992791900504.53296</v>
      </c>
      <c r="M3530" s="471">
        <f t="shared" si="151"/>
        <v>0.05</v>
      </c>
      <c r="N3530" s="475">
        <f t="shared" si="152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50"/>
        <v>-992791900504.53296</v>
      </c>
      <c r="J3531" s="455">
        <f t="array" ref="J3531">IFERROR(INDEX('Retirement Calculator'!K:K,MATCH('Lorri 401b'!N3531,'Retirement Calculator'!A:A,0),0),0)</f>
        <v>0</v>
      </c>
      <c r="K3531" s="455">
        <f t="shared" ca="1" si="148"/>
        <v>-4136632918.768887</v>
      </c>
      <c r="L3531" s="455">
        <f t="shared" ca="1" si="149"/>
        <v>-996928533423.30188</v>
      </c>
      <c r="M3531" s="471">
        <f t="shared" si="151"/>
        <v>0.05</v>
      </c>
      <c r="N3531" s="475">
        <f t="shared" si="152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50"/>
        <v>-996928533423.30188</v>
      </c>
      <c r="J3532" s="455">
        <f t="array" ref="J3532">IFERROR(INDEX('Retirement Calculator'!K:K,MATCH('Lorri 401b'!N3532,'Retirement Calculator'!A:A,0),0),0)</f>
        <v>0</v>
      </c>
      <c r="K3532" s="455">
        <f t="shared" ca="1" si="148"/>
        <v>-4153868889.2637577</v>
      </c>
      <c r="L3532" s="455">
        <f t="shared" ca="1" si="149"/>
        <v>-1001082402312.5657</v>
      </c>
      <c r="M3532" s="471">
        <f t="shared" si="151"/>
        <v>0.05</v>
      </c>
      <c r="N3532" s="475">
        <f t="shared" si="152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50"/>
        <v>-1001082402312.5657</v>
      </c>
      <c r="J3533" s="455">
        <f t="array" ref="J3533">IFERROR(INDEX('Retirement Calculator'!K:K,MATCH('Lorri 401b'!N3533,'Retirement Calculator'!A:A,0),0),0)</f>
        <v>0</v>
      </c>
      <c r="K3533" s="455">
        <f t="shared" ca="1" si="148"/>
        <v>-4171176676.3023572</v>
      </c>
      <c r="L3533" s="455">
        <f t="shared" ca="1" si="149"/>
        <v>-1005253578988.868</v>
      </c>
      <c r="M3533" s="471">
        <f t="shared" si="151"/>
        <v>0.05</v>
      </c>
      <c r="N3533" s="475">
        <f t="shared" si="152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50"/>
        <v>-1005253578988.868</v>
      </c>
      <c r="J3534" s="455">
        <f t="array" ref="J3534">IFERROR(INDEX('Retirement Calculator'!K:K,MATCH('Lorri 401b'!N3534,'Retirement Calculator'!A:A,0),0),0)</f>
        <v>0</v>
      </c>
      <c r="K3534" s="455">
        <f t="shared" ca="1" si="148"/>
        <v>-4188556579.1202836</v>
      </c>
      <c r="L3534" s="455">
        <f t="shared" ca="1" si="149"/>
        <v>-1009442135567.9883</v>
      </c>
      <c r="M3534" s="471">
        <f t="shared" si="151"/>
        <v>0.05</v>
      </c>
      <c r="N3534" s="475">
        <f t="shared" si="152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50"/>
        <v>-1009442135567.9883</v>
      </c>
      <c r="J3535" s="455">
        <f t="array" ref="J3535">IFERROR(INDEX('Retirement Calculator'!K:K,MATCH('Lorri 401b'!N3535,'Retirement Calculator'!A:A,0),0),0)</f>
        <v>0</v>
      </c>
      <c r="K3535" s="455">
        <f t="shared" ca="1" si="148"/>
        <v>-4206008898.1999507</v>
      </c>
      <c r="L3535" s="455">
        <f t="shared" ca="1" si="149"/>
        <v>-1013648144466.1882</v>
      </c>
      <c r="M3535" s="471">
        <f t="shared" si="151"/>
        <v>0.05</v>
      </c>
      <c r="N3535" s="475">
        <f t="shared" si="152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50"/>
        <v>-1013648144466.1882</v>
      </c>
      <c r="J3536" s="455">
        <f t="array" ref="J3536">IFERROR(INDEX('Retirement Calculator'!K:K,MATCH('Lorri 401b'!N3536,'Retirement Calculator'!A:A,0),0),0)</f>
        <v>0</v>
      </c>
      <c r="K3536" s="455">
        <f t="shared" ca="1" si="148"/>
        <v>-4223533935.275784</v>
      </c>
      <c r="L3536" s="455">
        <f t="shared" ca="1" si="149"/>
        <v>-1017871678401.464</v>
      </c>
      <c r="M3536" s="471">
        <f t="shared" si="151"/>
        <v>0.05</v>
      </c>
      <c r="N3536" s="475">
        <f t="shared" si="152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50"/>
        <v>-1017871678401.464</v>
      </c>
      <c r="J3537" s="455">
        <f t="array" ref="J3537">IFERROR(INDEX('Retirement Calculator'!K:K,MATCH('Lorri 401b'!N3537,'Retirement Calculator'!A:A,0),0),0)</f>
        <v>0</v>
      </c>
      <c r="K3537" s="455">
        <f t="shared" ca="1" si="148"/>
        <v>-4241131993.3394337</v>
      </c>
      <c r="L3537" s="455">
        <f t="shared" ca="1" si="149"/>
        <v>-1022112810394.8035</v>
      </c>
      <c r="M3537" s="471">
        <f t="shared" si="151"/>
        <v>0.05</v>
      </c>
      <c r="N3537" s="475">
        <f t="shared" si="152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50"/>
        <v>-1022112810394.8035</v>
      </c>
      <c r="J3538" s="455">
        <f t="array" ref="J3538">IFERROR(INDEX('Retirement Calculator'!K:K,MATCH('Lorri 401b'!N3538,'Retirement Calculator'!A:A,0),0),0)</f>
        <v>0</v>
      </c>
      <c r="K3538" s="455">
        <f t="shared" ca="1" si="148"/>
        <v>-4258803376.6450143</v>
      </c>
      <c r="L3538" s="455">
        <f t="shared" ca="1" si="149"/>
        <v>-1026371613771.4485</v>
      </c>
      <c r="M3538" s="471">
        <f t="shared" si="151"/>
        <v>0.05</v>
      </c>
      <c r="N3538" s="475">
        <f t="shared" si="152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50"/>
        <v>-1026371613771.4485</v>
      </c>
      <c r="J3539" s="455">
        <f t="array" ref="J3539">IFERROR(INDEX('Retirement Calculator'!K:K,MATCH('Lorri 401b'!N3539,'Retirement Calculator'!A:A,0),0),0)</f>
        <v>0</v>
      </c>
      <c r="K3539" s="455">
        <f t="shared" ca="1" si="148"/>
        <v>-4276548390.7143688</v>
      </c>
      <c r="L3539" s="455">
        <f t="shared" ca="1" si="149"/>
        <v>-1030648162162.1628</v>
      </c>
      <c r="M3539" s="471">
        <f t="shared" si="151"/>
        <v>0.05</v>
      </c>
      <c r="N3539" s="475">
        <f t="shared" si="152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50"/>
        <v>-1030648162162.1628</v>
      </c>
      <c r="J3540" s="455">
        <f t="array" ref="J3540">IFERROR(INDEX('Retirement Calculator'!K:K,MATCH('Lorri 401b'!N3540,'Retirement Calculator'!A:A,0),0),0)</f>
        <v>0</v>
      </c>
      <c r="K3540" s="455">
        <f t="shared" ca="1" si="148"/>
        <v>-4294367342.3423452</v>
      </c>
      <c r="L3540" s="455">
        <f t="shared" ca="1" si="149"/>
        <v>-1034942529504.5051</v>
      </c>
      <c r="M3540" s="471">
        <f t="shared" si="151"/>
        <v>0.05</v>
      </c>
      <c r="N3540" s="475">
        <f t="shared" si="152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50"/>
        <v>-1034942529504.5051</v>
      </c>
      <c r="J3541" s="455">
        <f t="array" ref="J3541">IFERROR(INDEX('Retirement Calculator'!K:K,MATCH('Lorri 401b'!N3541,'Retirement Calculator'!A:A,0),0),0)</f>
        <v>0</v>
      </c>
      <c r="K3541" s="455">
        <f t="shared" ca="1" si="148"/>
        <v>-4312260539.6021042</v>
      </c>
      <c r="L3541" s="455">
        <f t="shared" ca="1" si="149"/>
        <v>-1039254790044.1072</v>
      </c>
      <c r="M3541" s="471">
        <f t="shared" si="151"/>
        <v>0.05</v>
      </c>
      <c r="N3541" s="475">
        <f t="shared" si="152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50"/>
        <v>-1039254790044.1072</v>
      </c>
      <c r="J3542" s="455">
        <f t="array" ref="J3542">IFERROR(INDEX('Retirement Calculator'!K:K,MATCH('Lorri 401b'!N3542,'Retirement Calculator'!A:A,0),0),0)</f>
        <v>0</v>
      </c>
      <c r="K3542" s="455">
        <f t="shared" ca="1" si="148"/>
        <v>-4330228291.8504467</v>
      </c>
      <c r="L3542" s="455">
        <f t="shared" ca="1" si="149"/>
        <v>-1043585018335.9576</v>
      </c>
      <c r="M3542" s="471">
        <f t="shared" si="151"/>
        <v>0.05</v>
      </c>
      <c r="N3542" s="475">
        <f t="shared" si="152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50"/>
        <v>-1043585018335.9576</v>
      </c>
      <c r="J3543" s="455">
        <f t="array" ref="J3543">IFERROR(INDEX('Retirement Calculator'!K:K,MATCH('Lorri 401b'!N3543,'Retirement Calculator'!A:A,0),0),0)</f>
        <v>0</v>
      </c>
      <c r="K3543" s="455">
        <f t="shared" ca="1" si="148"/>
        <v>-4348270909.7331572</v>
      </c>
      <c r="L3543" s="455">
        <f t="shared" ca="1" si="149"/>
        <v>-1047933289245.6908</v>
      </c>
      <c r="M3543" s="471">
        <f t="shared" si="151"/>
        <v>0.05</v>
      </c>
      <c r="N3543" s="475">
        <f t="shared" si="152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50"/>
        <v>-1047933289245.6908</v>
      </c>
      <c r="J3544" s="455">
        <f t="array" ref="J3544">IFERROR(INDEX('Retirement Calculator'!K:K,MATCH('Lorri 401b'!N3544,'Retirement Calculator'!A:A,0),0),0)</f>
        <v>0</v>
      </c>
      <c r="K3544" s="455">
        <f t="shared" ca="1" si="148"/>
        <v>-4366388705.1903791</v>
      </c>
      <c r="L3544" s="455">
        <f t="shared" ca="1" si="149"/>
        <v>-1052299677950.8812</v>
      </c>
      <c r="M3544" s="471">
        <f t="shared" si="151"/>
        <v>0.05</v>
      </c>
      <c r="N3544" s="475">
        <f t="shared" si="152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50"/>
        <v>-1052299677950.8812</v>
      </c>
      <c r="J3545" s="455">
        <f t="array" ref="J3545">IFERROR(INDEX('Retirement Calculator'!K:K,MATCH('Lorri 401b'!N3545,'Retirement Calculator'!A:A,0),0),0)</f>
        <v>0</v>
      </c>
      <c r="K3545" s="455">
        <f t="shared" ca="1" si="148"/>
        <v>-4384581991.4620047</v>
      </c>
      <c r="L3545" s="455">
        <f t="shared" ca="1" si="149"/>
        <v>-1056684259942.3433</v>
      </c>
      <c r="M3545" s="471">
        <f t="shared" si="151"/>
        <v>0.05</v>
      </c>
      <c r="N3545" s="475">
        <f t="shared" si="152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50"/>
        <v>-1056684259942.3433</v>
      </c>
      <c r="J3546" s="455">
        <f t="array" ref="J3546">IFERROR(INDEX('Retirement Calculator'!K:K,MATCH('Lorri 401b'!N3546,'Retirement Calculator'!A:A,0),0),0)</f>
        <v>0</v>
      </c>
      <c r="K3546" s="455">
        <f t="shared" ca="1" si="148"/>
        <v>-4402851083.0930977</v>
      </c>
      <c r="L3546" s="455">
        <f t="shared" ca="1" si="149"/>
        <v>-1061087111025.4364</v>
      </c>
      <c r="M3546" s="471">
        <f t="shared" si="151"/>
        <v>0.05</v>
      </c>
      <c r="N3546" s="475">
        <f t="shared" si="152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50"/>
        <v>-1061087111025.4364</v>
      </c>
      <c r="J3547" s="455">
        <f t="array" ref="J3547">IFERROR(INDEX('Retirement Calculator'!K:K,MATCH('Lorri 401b'!N3547,'Retirement Calculator'!A:A,0),0),0)</f>
        <v>0</v>
      </c>
      <c r="K3547" s="455">
        <f t="shared" ca="1" si="148"/>
        <v>-4421196295.9393177</v>
      </c>
      <c r="L3547" s="455">
        <f t="shared" ca="1" si="149"/>
        <v>-1065508307321.3757</v>
      </c>
      <c r="M3547" s="471">
        <f t="shared" si="151"/>
        <v>0.05</v>
      </c>
      <c r="N3547" s="475">
        <f t="shared" si="152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50"/>
        <v>-1065508307321.3757</v>
      </c>
      <c r="J3548" s="455">
        <f t="array" ref="J3548">IFERROR(INDEX('Retirement Calculator'!K:K,MATCH('Lorri 401b'!N3548,'Retirement Calculator'!A:A,0),0),0)</f>
        <v>0</v>
      </c>
      <c r="K3548" s="455">
        <f t="shared" ca="1" si="148"/>
        <v>-4439617947.1723986</v>
      </c>
      <c r="L3548" s="455">
        <f t="shared" ca="1" si="149"/>
        <v>-1069947925268.5481</v>
      </c>
      <c r="M3548" s="471">
        <f t="shared" si="151"/>
        <v>0.05</v>
      </c>
      <c r="N3548" s="475">
        <f t="shared" si="152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50"/>
        <v>-1069947925268.5481</v>
      </c>
      <c r="J3549" s="455">
        <f t="array" ref="J3549">IFERROR(INDEX('Retirement Calculator'!K:K,MATCH('Lorri 401b'!N3549,'Retirement Calculator'!A:A,0),0),0)</f>
        <v>0</v>
      </c>
      <c r="K3549" s="455">
        <f t="shared" ca="1" si="148"/>
        <v>-4458116355.2856169</v>
      </c>
      <c r="L3549" s="455">
        <f t="shared" ca="1" si="149"/>
        <v>-1074406041623.8337</v>
      </c>
      <c r="M3549" s="471">
        <f t="shared" si="151"/>
        <v>0.05</v>
      </c>
      <c r="N3549" s="475">
        <f t="shared" si="152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50"/>
        <v>-1074406041623.8337</v>
      </c>
      <c r="J3550" s="455">
        <f t="array" ref="J3550">IFERROR(INDEX('Retirement Calculator'!K:K,MATCH('Lorri 401b'!N3550,'Retirement Calculator'!A:A,0),0),0)</f>
        <v>0</v>
      </c>
      <c r="K3550" s="455">
        <f t="shared" ca="1" si="148"/>
        <v>-4476691840.0993071</v>
      </c>
      <c r="L3550" s="455">
        <f t="shared" ca="1" si="149"/>
        <v>-1078882733463.9331</v>
      </c>
      <c r="M3550" s="471">
        <f t="shared" si="151"/>
        <v>0.05</v>
      </c>
      <c r="N3550" s="475">
        <f t="shared" si="152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50"/>
        <v>-1078882733463.9331</v>
      </c>
      <c r="J3551" s="455">
        <f t="array" ref="J3551">IFERROR(INDEX('Retirement Calculator'!K:K,MATCH('Lorri 401b'!N3551,'Retirement Calculator'!A:A,0),0),0)</f>
        <v>0</v>
      </c>
      <c r="K3551" s="455">
        <f t="shared" ca="1" si="148"/>
        <v>-4495344722.7663879</v>
      </c>
      <c r="L3551" s="455">
        <f t="shared" ca="1" si="149"/>
        <v>-1083378078186.6995</v>
      </c>
      <c r="M3551" s="471">
        <f t="shared" si="151"/>
        <v>0.05</v>
      </c>
      <c r="N3551" s="475">
        <f t="shared" si="152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50"/>
        <v>-1083378078186.6995</v>
      </c>
      <c r="J3552" s="455">
        <f t="array" ref="J3552">IFERROR(INDEX('Retirement Calculator'!K:K,MATCH('Lorri 401b'!N3552,'Retirement Calculator'!A:A,0),0),0)</f>
        <v>0</v>
      </c>
      <c r="K3552" s="455">
        <f t="shared" ca="1" si="148"/>
        <v>-4514075325.777915</v>
      </c>
      <c r="L3552" s="455">
        <f t="shared" ca="1" si="149"/>
        <v>-1087892153512.4774</v>
      </c>
      <c r="M3552" s="471">
        <f t="shared" si="151"/>
        <v>0.05</v>
      </c>
      <c r="N3552" s="475">
        <f t="shared" si="152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50"/>
        <v>-1087892153512.4774</v>
      </c>
      <c r="J3553" s="455">
        <f t="array" ref="J3553">IFERROR(INDEX('Retirement Calculator'!K:K,MATCH('Lorri 401b'!N3553,'Retirement Calculator'!A:A,0),0),0)</f>
        <v>0</v>
      </c>
      <c r="K3553" s="455">
        <f t="shared" ca="1" si="148"/>
        <v>-4532883972.9686556</v>
      </c>
      <c r="L3553" s="455">
        <f t="shared" ca="1" si="149"/>
        <v>-1092425037485.446</v>
      </c>
      <c r="M3553" s="471">
        <f t="shared" si="151"/>
        <v>0.05</v>
      </c>
      <c r="N3553" s="475">
        <f t="shared" si="152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50"/>
        <v>-1092425037485.446</v>
      </c>
      <c r="J3554" s="455">
        <f t="array" ref="J3554">IFERROR(INDEX('Retirement Calculator'!K:K,MATCH('Lorri 401b'!N3554,'Retirement Calculator'!A:A,0),0),0)</f>
        <v>0</v>
      </c>
      <c r="K3554" s="455">
        <f t="shared" ca="1" si="148"/>
        <v>-4551770989.5226917</v>
      </c>
      <c r="L3554" s="455">
        <f t="shared" ca="1" si="149"/>
        <v>-1096976808474.9688</v>
      </c>
      <c r="M3554" s="471">
        <f t="shared" si="151"/>
        <v>0.05</v>
      </c>
      <c r="N3554" s="475">
        <f t="shared" si="152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50"/>
        <v>-1096976808474.9688</v>
      </c>
      <c r="J3555" s="455">
        <f t="array" ref="J3555">IFERROR(INDEX('Retirement Calculator'!K:K,MATCH('Lorri 401b'!N3555,'Retirement Calculator'!A:A,0),0),0)</f>
        <v>0</v>
      </c>
      <c r="K3555" s="455">
        <f t="shared" ca="1" si="148"/>
        <v>-4570736701.9790363</v>
      </c>
      <c r="L3555" s="455">
        <f t="shared" ca="1" si="149"/>
        <v>-1101547545176.9478</v>
      </c>
      <c r="M3555" s="471">
        <f t="shared" si="151"/>
        <v>0.05</v>
      </c>
      <c r="N3555" s="475">
        <f t="shared" si="152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50"/>
        <v>-1101547545176.9478</v>
      </c>
      <c r="J3556" s="455">
        <f t="array" ref="J3556">IFERROR(INDEX('Retirement Calculator'!K:K,MATCH('Lorri 401b'!N3556,'Retirement Calculator'!A:A,0),0),0)</f>
        <v>0</v>
      </c>
      <c r="K3556" s="455">
        <f t="shared" ca="1" si="148"/>
        <v>-4589781438.2372818</v>
      </c>
      <c r="L3556" s="455">
        <f t="shared" ca="1" si="149"/>
        <v>-1106137326615.1851</v>
      </c>
      <c r="M3556" s="471">
        <f t="shared" si="151"/>
        <v>0.05</v>
      </c>
      <c r="N3556" s="475">
        <f t="shared" si="152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50"/>
        <v>-1106137326615.1851</v>
      </c>
      <c r="J3557" s="455">
        <f t="array" ref="J3557">IFERROR(INDEX('Retirement Calculator'!K:K,MATCH('Lorri 401b'!N3557,'Retirement Calculator'!A:A,0),0),0)</f>
        <v>0</v>
      </c>
      <c r="K3557" s="455">
        <f t="shared" ca="1" si="148"/>
        <v>-4608905527.5632706</v>
      </c>
      <c r="L3557" s="455">
        <f t="shared" ca="1" si="149"/>
        <v>-1110746232142.7483</v>
      </c>
      <c r="M3557" s="471">
        <f t="shared" si="151"/>
        <v>0.05</v>
      </c>
      <c r="N3557" s="475">
        <f t="shared" si="152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50"/>
        <v>-1110746232142.7483</v>
      </c>
      <c r="J3558" s="455">
        <f t="array" ref="J3558">IFERROR(INDEX('Retirement Calculator'!K:K,MATCH('Lorri 401b'!N3558,'Retirement Calculator'!A:A,0),0),0)</f>
        <v>0</v>
      </c>
      <c r="K3558" s="455">
        <f t="shared" ca="1" si="148"/>
        <v>-4628109300.5947847</v>
      </c>
      <c r="L3558" s="455">
        <f t="shared" ca="1" si="149"/>
        <v>-1115374341443.343</v>
      </c>
      <c r="M3558" s="471">
        <f t="shared" si="151"/>
        <v>0.05</v>
      </c>
      <c r="N3558" s="475">
        <f t="shared" si="152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50"/>
        <v>-1115374341443.343</v>
      </c>
      <c r="J3559" s="455">
        <f t="array" ref="J3559">IFERROR(INDEX('Retirement Calculator'!K:K,MATCH('Lorri 401b'!N3559,'Retirement Calculator'!A:A,0),0),0)</f>
        <v>0</v>
      </c>
      <c r="K3559" s="455">
        <f t="shared" ca="1" si="148"/>
        <v>-4647393089.3472624</v>
      </c>
      <c r="L3559" s="455">
        <f t="shared" ca="1" si="149"/>
        <v>-1120021734532.6902</v>
      </c>
      <c r="M3559" s="471">
        <f t="shared" si="151"/>
        <v>0.05</v>
      </c>
      <c r="N3559" s="475">
        <f t="shared" si="152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50"/>
        <v>-1120021734532.6902</v>
      </c>
      <c r="J3560" s="455">
        <f t="array" ref="J3560">IFERROR(INDEX('Retirement Calculator'!K:K,MATCH('Lorri 401b'!N3560,'Retirement Calculator'!A:A,0),0),0)</f>
        <v>0</v>
      </c>
      <c r="K3560" s="455">
        <f t="shared" ca="1" si="148"/>
        <v>-4666757227.2195425</v>
      </c>
      <c r="L3560" s="455">
        <f t="shared" ca="1" si="149"/>
        <v>-1124688491759.9097</v>
      </c>
      <c r="M3560" s="471">
        <f t="shared" si="151"/>
        <v>0.05</v>
      </c>
      <c r="N3560" s="475">
        <f t="shared" si="152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50"/>
        <v>-1124688491759.9097</v>
      </c>
      <c r="J3561" s="455">
        <f t="array" ref="J3561">IFERROR(INDEX('Retirement Calculator'!K:K,MATCH('Lorri 401b'!N3561,'Retirement Calculator'!A:A,0),0),0)</f>
        <v>0</v>
      </c>
      <c r="K3561" s="455">
        <f t="shared" ca="1" si="148"/>
        <v>-4686202048.9996233</v>
      </c>
      <c r="L3561" s="455">
        <f t="shared" ca="1" si="149"/>
        <v>-1129374693808.9092</v>
      </c>
      <c r="M3561" s="471">
        <f t="shared" si="151"/>
        <v>0.05</v>
      </c>
      <c r="N3561" s="475">
        <f t="shared" si="152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50"/>
        <v>-1129374693808.9092</v>
      </c>
      <c r="J3562" s="455">
        <f t="array" ref="J3562">IFERROR(INDEX('Retirement Calculator'!K:K,MATCH('Lorri 401b'!N3562,'Retirement Calculator'!A:A,0),0),0)</f>
        <v>0</v>
      </c>
      <c r="K3562" s="455">
        <f t="shared" ca="1" si="148"/>
        <v>-4705727890.8704548</v>
      </c>
      <c r="L3562" s="455">
        <f t="shared" ca="1" si="149"/>
        <v>-1134080421699.7795</v>
      </c>
      <c r="M3562" s="471">
        <f t="shared" si="151"/>
        <v>0.05</v>
      </c>
      <c r="N3562" s="475">
        <f t="shared" si="152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50"/>
        <v>-1134080421699.7795</v>
      </c>
      <c r="J3563" s="455">
        <f t="array" ref="J3563">IFERROR(INDEX('Retirement Calculator'!K:K,MATCH('Lorri 401b'!N3563,'Retirement Calculator'!A:A,0),0),0)</f>
        <v>0</v>
      </c>
      <c r="K3563" s="455">
        <f t="shared" ca="1" si="148"/>
        <v>-4725335090.4157476</v>
      </c>
      <c r="L3563" s="455">
        <f t="shared" ca="1" si="149"/>
        <v>-1138805756790.1953</v>
      </c>
      <c r="M3563" s="471">
        <f t="shared" si="151"/>
        <v>0.05</v>
      </c>
      <c r="N3563" s="475">
        <f t="shared" si="152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50"/>
        <v>-1138805756790.1953</v>
      </c>
      <c r="J3564" s="455">
        <f t="array" ref="J3564">IFERROR(INDEX('Retirement Calculator'!K:K,MATCH('Lorri 401b'!N3564,'Retirement Calculator'!A:A,0),0),0)</f>
        <v>0</v>
      </c>
      <c r="K3564" s="455">
        <f t="shared" ca="1" si="148"/>
        <v>-4745023986.6258135</v>
      </c>
      <c r="L3564" s="455">
        <f t="shared" ca="1" si="149"/>
        <v>-1143550780776.821</v>
      </c>
      <c r="M3564" s="471">
        <f t="shared" si="151"/>
        <v>0.05</v>
      </c>
      <c r="N3564" s="475">
        <f t="shared" si="152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50"/>
        <v>-1143550780776.821</v>
      </c>
      <c r="J3565" s="455">
        <f t="array" ref="J3565">IFERROR(INDEX('Retirement Calculator'!K:K,MATCH('Lorri 401b'!N3565,'Retirement Calculator'!A:A,0),0),0)</f>
        <v>0</v>
      </c>
      <c r="K3565" s="455">
        <f t="shared" ca="1" si="148"/>
        <v>-4764794919.9034214</v>
      </c>
      <c r="L3565" s="455">
        <f t="shared" ca="1" si="149"/>
        <v>-1148315575696.7244</v>
      </c>
      <c r="M3565" s="471">
        <f t="shared" si="151"/>
        <v>0.05</v>
      </c>
      <c r="N3565" s="475">
        <f t="shared" si="152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50"/>
        <v>-1148315575696.7244</v>
      </c>
      <c r="J3566" s="455">
        <f t="array" ref="J3566">IFERROR(INDEX('Retirement Calculator'!K:K,MATCH('Lorri 401b'!N3566,'Retirement Calculator'!A:A,0),0),0)</f>
        <v>0</v>
      </c>
      <c r="K3566" s="455">
        <f t="shared" ca="1" si="148"/>
        <v>-4784648232.069685</v>
      </c>
      <c r="L3566" s="455">
        <f t="shared" ca="1" si="149"/>
        <v>-1153100223928.7939</v>
      </c>
      <c r="M3566" s="471">
        <f t="shared" si="151"/>
        <v>0.05</v>
      </c>
      <c r="N3566" s="475">
        <f t="shared" si="152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50"/>
        <v>-1153100223928.7939</v>
      </c>
      <c r="J3567" s="455">
        <f t="array" ref="J3567">IFERROR(INDEX('Retirement Calculator'!K:K,MATCH('Lorri 401b'!N3567,'Retirement Calculator'!A:A,0),0),0)</f>
        <v>0</v>
      </c>
      <c r="K3567" s="455">
        <f t="shared" ca="1" si="148"/>
        <v>-4804584266.3699751</v>
      </c>
      <c r="L3567" s="455">
        <f t="shared" ca="1" si="149"/>
        <v>-1157904808195.1638</v>
      </c>
      <c r="M3567" s="471">
        <f t="shared" si="151"/>
        <v>0.05</v>
      </c>
      <c r="N3567" s="475">
        <f t="shared" si="152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50"/>
        <v>-1157904808195.1638</v>
      </c>
      <c r="J3568" s="455">
        <f t="array" ref="J3568">IFERROR(INDEX('Retirement Calculator'!K:K,MATCH('Lorri 401b'!N3568,'Retirement Calculator'!A:A,0),0),0)</f>
        <v>0</v>
      </c>
      <c r="K3568" s="455">
        <f t="shared" ca="1" si="148"/>
        <v>-4824603367.4798489</v>
      </c>
      <c r="L3568" s="455">
        <f t="shared" ca="1" si="149"/>
        <v>-1162729411562.6436</v>
      </c>
      <c r="M3568" s="471">
        <f t="shared" si="151"/>
        <v>0.05</v>
      </c>
      <c r="N3568" s="475">
        <f t="shared" si="152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50"/>
        <v>-1162729411562.6436</v>
      </c>
      <c r="J3569" s="455">
        <f t="array" ref="J3569">IFERROR(INDEX('Retirement Calculator'!K:K,MATCH('Lorri 401b'!N3569,'Retirement Calculator'!A:A,0),0),0)</f>
        <v>0</v>
      </c>
      <c r="K3569" s="455">
        <f t="shared" ca="1" si="148"/>
        <v>-4844705881.5110149</v>
      </c>
      <c r="L3569" s="455">
        <f t="shared" ca="1" si="149"/>
        <v>-1167574117444.1545</v>
      </c>
      <c r="M3569" s="471">
        <f t="shared" si="151"/>
        <v>0.05</v>
      </c>
      <c r="N3569" s="475">
        <f t="shared" si="152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50"/>
        <v>-1167574117444.1545</v>
      </c>
      <c r="J3570" s="455">
        <f t="array" ref="J3570">IFERROR(INDEX('Retirement Calculator'!K:K,MATCH('Lorri 401b'!N3570,'Retirement Calculator'!A:A,0),0),0)</f>
        <v>0</v>
      </c>
      <c r="K3570" s="455">
        <f t="shared" ca="1" si="148"/>
        <v>-4864892156.0173101</v>
      </c>
      <c r="L3570" s="455">
        <f t="shared" ca="1" si="149"/>
        <v>-1172439009600.1719</v>
      </c>
      <c r="M3570" s="471">
        <f t="shared" si="151"/>
        <v>0.05</v>
      </c>
      <c r="N3570" s="475">
        <f t="shared" si="152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50"/>
        <v>-1172439009600.1719</v>
      </c>
      <c r="J3571" s="455">
        <f t="array" ref="J3571">IFERROR(INDEX('Retirement Calculator'!K:K,MATCH('Lorri 401b'!N3571,'Retirement Calculator'!A:A,0),0),0)</f>
        <v>0</v>
      </c>
      <c r="K3571" s="455">
        <f t="shared" ca="1" si="148"/>
        <v>-4885162540.0007162</v>
      </c>
      <c r="L3571" s="455">
        <f t="shared" ca="1" si="149"/>
        <v>-1177324172140.1726</v>
      </c>
      <c r="M3571" s="471">
        <f t="shared" si="151"/>
        <v>0.05</v>
      </c>
      <c r="N3571" s="475">
        <f t="shared" si="152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50"/>
        <v>-1177324172140.1726</v>
      </c>
      <c r="J3572" s="455">
        <f t="array" ref="J3572">IFERROR(INDEX('Retirement Calculator'!K:K,MATCH('Lorri 401b'!N3572,'Retirement Calculator'!A:A,0),0),0)</f>
        <v>0</v>
      </c>
      <c r="K3572" s="455">
        <f t="shared" ca="1" si="148"/>
        <v>-4905517383.9173861</v>
      </c>
      <c r="L3572" s="455">
        <f t="shared" ca="1" si="149"/>
        <v>-1182229689524.0901</v>
      </c>
      <c r="M3572" s="471">
        <f t="shared" si="151"/>
        <v>0.05</v>
      </c>
      <c r="N3572" s="475">
        <f t="shared" si="152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50"/>
        <v>-1182229689524.0901</v>
      </c>
      <c r="J3573" s="455">
        <f t="array" ref="J3573">IFERROR(INDEX('Retirement Calculator'!K:K,MATCH('Lorri 401b'!N3573,'Retirement Calculator'!A:A,0),0),0)</f>
        <v>0</v>
      </c>
      <c r="K3573" s="455">
        <f t="shared" ca="1" si="148"/>
        <v>-4925957039.6837082</v>
      </c>
      <c r="L3573" s="455">
        <f t="shared" ca="1" si="149"/>
        <v>-1187155646563.7737</v>
      </c>
      <c r="M3573" s="471">
        <f t="shared" si="151"/>
        <v>0.05</v>
      </c>
      <c r="N3573" s="475">
        <f t="shared" si="152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50"/>
        <v>-1187155646563.7737</v>
      </c>
      <c r="J3574" s="455">
        <f t="array" ref="J3574">IFERROR(INDEX('Retirement Calculator'!K:K,MATCH('Lorri 401b'!N3574,'Retirement Calculator'!A:A,0),0),0)</f>
        <v>0</v>
      </c>
      <c r="K3574" s="455">
        <f t="shared" ca="1" si="148"/>
        <v>-4946481860.6823902</v>
      </c>
      <c r="L3574" s="455">
        <f t="shared" ca="1" si="149"/>
        <v>-1192102128424.4561</v>
      </c>
      <c r="M3574" s="471">
        <f t="shared" si="151"/>
        <v>0.05</v>
      </c>
      <c r="N3574" s="475">
        <f t="shared" si="152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50"/>
        <v>-1192102128424.4561</v>
      </c>
      <c r="J3575" s="455">
        <f t="array" ref="J3575">IFERROR(INDEX('Retirement Calculator'!K:K,MATCH('Lorri 401b'!N3575,'Retirement Calculator'!A:A,0),0),0)</f>
        <v>0</v>
      </c>
      <c r="K3575" s="455">
        <f t="shared" ca="1" si="148"/>
        <v>-4967092201.7685671</v>
      </c>
      <c r="L3575" s="455">
        <f t="shared" ca="1" si="149"/>
        <v>-1197069220626.2246</v>
      </c>
      <c r="M3575" s="471">
        <f t="shared" si="151"/>
        <v>0.05</v>
      </c>
      <c r="N3575" s="475">
        <f t="shared" si="152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50"/>
        <v>-1197069220626.2246</v>
      </c>
      <c r="J3576" s="455">
        <f t="array" ref="J3576">IFERROR(INDEX('Retirement Calculator'!K:K,MATCH('Lorri 401b'!N3576,'Retirement Calculator'!A:A,0),0),0)</f>
        <v>0</v>
      </c>
      <c r="K3576" s="455">
        <f t="shared" ca="1" si="148"/>
        <v>-4987788419.2759361</v>
      </c>
      <c r="L3576" s="455">
        <f t="shared" ca="1" si="149"/>
        <v>-1202057009045.5005</v>
      </c>
      <c r="M3576" s="471">
        <f t="shared" si="151"/>
        <v>0.05</v>
      </c>
      <c r="N3576" s="475">
        <f t="shared" si="152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50"/>
        <v>-1202057009045.5005</v>
      </c>
      <c r="J3577" s="455">
        <f t="array" ref="J3577">IFERROR(INDEX('Retirement Calculator'!K:K,MATCH('Lorri 401b'!N3577,'Retirement Calculator'!A:A,0),0),0)</f>
        <v>0</v>
      </c>
      <c r="K3577" s="455">
        <f t="shared" ca="1" si="148"/>
        <v>-5008570871.0229187</v>
      </c>
      <c r="L3577" s="455">
        <f t="shared" ca="1" si="149"/>
        <v>-1207065579916.5234</v>
      </c>
      <c r="M3577" s="471">
        <f t="shared" si="151"/>
        <v>0.05</v>
      </c>
      <c r="N3577" s="475">
        <f t="shared" si="152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50"/>
        <v>-1207065579916.5234</v>
      </c>
      <c r="J3578" s="455">
        <f t="array" ref="J3578">IFERROR(INDEX('Retirement Calculator'!K:K,MATCH('Lorri 401b'!N3578,'Retirement Calculator'!A:A,0),0),0)</f>
        <v>0</v>
      </c>
      <c r="K3578" s="455">
        <f t="shared" ref="K3578:K3832" ca="1" si="153">IPMT(M3578/12,1,12,-I3578+J3578,,0)</f>
        <v>-5029439916.3188477</v>
      </c>
      <c r="L3578" s="455">
        <f t="shared" ref="L3578:L3832" ca="1" si="154">I3578-J3578+K3578</f>
        <v>-1212095019832.8423</v>
      </c>
      <c r="M3578" s="471">
        <f t="shared" si="151"/>
        <v>0.05</v>
      </c>
      <c r="N3578" s="475">
        <f t="shared" si="152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55">L3578</f>
        <v>-1212095019832.8423</v>
      </c>
      <c r="J3579" s="455">
        <f t="array" ref="J3579">IFERROR(INDEX('Retirement Calculator'!K:K,MATCH('Lorri 401b'!N3579,'Retirement Calculator'!A:A,0),0),0)</f>
        <v>0</v>
      </c>
      <c r="K3579" s="455">
        <f t="shared" ca="1" si="153"/>
        <v>-5050395915.9701757</v>
      </c>
      <c r="L3579" s="455">
        <f t="shared" ca="1" si="154"/>
        <v>-1217145415748.8125</v>
      </c>
      <c r="M3579" s="471">
        <f t="shared" ref="M3579:M3833" si="156">M3578</f>
        <v>0.05</v>
      </c>
      <c r="N3579" s="475">
        <f t="shared" ref="N3579:N3833" si="157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55"/>
        <v>-1217145415748.8125</v>
      </c>
      <c r="J3580" s="455">
        <f t="array" ref="J3580">IFERROR(INDEX('Retirement Calculator'!K:K,MATCH('Lorri 401b'!N3580,'Retirement Calculator'!A:A,0),0),0)</f>
        <v>0</v>
      </c>
      <c r="K3580" s="455">
        <f t="shared" ca="1" si="153"/>
        <v>-5071439232.2867184</v>
      </c>
      <c r="L3580" s="455">
        <f t="shared" ca="1" si="154"/>
        <v>-1222216854981.0991</v>
      </c>
      <c r="M3580" s="471">
        <f t="shared" si="156"/>
        <v>0.05</v>
      </c>
      <c r="N3580" s="475">
        <f t="shared" si="157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55"/>
        <v>-1222216854981.0991</v>
      </c>
      <c r="J3581" s="455">
        <f t="array" ref="J3581">IFERROR(INDEX('Retirement Calculator'!K:K,MATCH('Lorri 401b'!N3581,'Retirement Calculator'!A:A,0),0),0)</f>
        <v>0</v>
      </c>
      <c r="K3581" s="455">
        <f t="shared" ca="1" si="153"/>
        <v>-5092570229.0879126</v>
      </c>
      <c r="L3581" s="455">
        <f t="shared" ca="1" si="154"/>
        <v>-1227309425210.187</v>
      </c>
      <c r="M3581" s="471">
        <f t="shared" si="156"/>
        <v>0.05</v>
      </c>
      <c r="N3581" s="475">
        <f t="shared" si="157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55"/>
        <v>-1227309425210.187</v>
      </c>
      <c r="J3582" s="455">
        <f t="array" ref="J3582">IFERROR(INDEX('Retirement Calculator'!K:K,MATCH('Lorri 401b'!N3582,'Retirement Calculator'!A:A,0),0),0)</f>
        <v>0</v>
      </c>
      <c r="K3582" s="455">
        <f t="shared" ca="1" si="153"/>
        <v>-5113789271.7091122</v>
      </c>
      <c r="L3582" s="455">
        <f t="shared" ca="1" si="154"/>
        <v>-1232423214481.8962</v>
      </c>
      <c r="M3582" s="471">
        <f t="shared" si="156"/>
        <v>0.05</v>
      </c>
      <c r="N3582" s="475">
        <f t="shared" si="157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55"/>
        <v>-1232423214481.8962</v>
      </c>
      <c r="J3583" s="455">
        <f t="array" ref="J3583">IFERROR(INDEX('Retirement Calculator'!K:K,MATCH('Lorri 401b'!N3583,'Retirement Calculator'!A:A,0),0),0)</f>
        <v>0</v>
      </c>
      <c r="K3583" s="455">
        <f t="shared" ca="1" si="153"/>
        <v>-5135096727.0079012</v>
      </c>
      <c r="L3583" s="455">
        <f t="shared" ca="1" si="154"/>
        <v>-1237558311208.9041</v>
      </c>
      <c r="M3583" s="471">
        <f t="shared" si="156"/>
        <v>0.05</v>
      </c>
      <c r="N3583" s="475">
        <f t="shared" si="157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55"/>
        <v>-1237558311208.9041</v>
      </c>
      <c r="J3584" s="455">
        <f t="array" ref="J3584">IFERROR(INDEX('Retirement Calculator'!K:K,MATCH('Lorri 401b'!N3584,'Retirement Calculator'!A:A,0),0),0)</f>
        <v>0</v>
      </c>
      <c r="K3584" s="455">
        <f t="shared" ca="1" si="153"/>
        <v>-5156492963.3704338</v>
      </c>
      <c r="L3584" s="455">
        <f t="shared" ca="1" si="154"/>
        <v>-1242714804172.2744</v>
      </c>
      <c r="M3584" s="471">
        <f t="shared" si="156"/>
        <v>0.05</v>
      </c>
      <c r="N3584" s="475">
        <f t="shared" si="157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55"/>
        <v>-1242714804172.2744</v>
      </c>
      <c r="J3585" s="455">
        <f t="array" ref="J3585">IFERROR(INDEX('Retirement Calculator'!K:K,MATCH('Lorri 401b'!N3585,'Retirement Calculator'!A:A,0),0),0)</f>
        <v>0</v>
      </c>
      <c r="K3585" s="455">
        <f t="shared" ca="1" si="153"/>
        <v>-5177978350.7178097</v>
      </c>
      <c r="L3585" s="455">
        <f t="shared" ca="1" si="154"/>
        <v>-1247892782522.9922</v>
      </c>
      <c r="M3585" s="471">
        <f t="shared" si="156"/>
        <v>0.05</v>
      </c>
      <c r="N3585" s="475">
        <f t="shared" si="157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55"/>
        <v>-1247892782522.9922</v>
      </c>
      <c r="J3586" s="455">
        <f t="array" ref="J3586">IFERROR(INDEX('Retirement Calculator'!K:K,MATCH('Lorri 401b'!N3586,'Retirement Calculator'!A:A,0),0),0)</f>
        <v>0</v>
      </c>
      <c r="K3586" s="455">
        <f t="shared" ca="1" si="153"/>
        <v>-5199553260.5124674</v>
      </c>
      <c r="L3586" s="455">
        <f t="shared" ca="1" si="154"/>
        <v>-1253092335783.5046</v>
      </c>
      <c r="M3586" s="471">
        <f t="shared" si="156"/>
        <v>0.05</v>
      </c>
      <c r="N3586" s="475">
        <f t="shared" si="157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55"/>
        <v>-1253092335783.5046</v>
      </c>
      <c r="J3587" s="455">
        <f t="array" ref="J3587">IFERROR(INDEX('Retirement Calculator'!K:K,MATCH('Lorri 401b'!N3587,'Retirement Calculator'!A:A,0),0),0)</f>
        <v>0</v>
      </c>
      <c r="K3587" s="455">
        <f t="shared" ca="1" si="153"/>
        <v>-5221218065.7646027</v>
      </c>
      <c r="L3587" s="455">
        <f t="shared" ca="1" si="154"/>
        <v>-1258313553849.2693</v>
      </c>
      <c r="M3587" s="471">
        <f t="shared" si="156"/>
        <v>0.05</v>
      </c>
      <c r="N3587" s="475">
        <f t="shared" si="157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55"/>
        <v>-1258313553849.2693</v>
      </c>
      <c r="J3588" s="455">
        <f t="array" ref="J3588">IFERROR(INDEX('Retirement Calculator'!K:K,MATCH('Lorri 401b'!N3588,'Retirement Calculator'!A:A,0),0),0)</f>
        <v>0</v>
      </c>
      <c r="K3588" s="455">
        <f t="shared" ca="1" si="153"/>
        <v>-5242973141.0386219</v>
      </c>
      <c r="L3588" s="455">
        <f t="shared" ca="1" si="154"/>
        <v>-1263556526990.3079</v>
      </c>
      <c r="M3588" s="471">
        <f t="shared" si="156"/>
        <v>0.05</v>
      </c>
      <c r="N3588" s="475">
        <f t="shared" si="157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55"/>
        <v>-1263556526990.3079</v>
      </c>
      <c r="J3589" s="455">
        <f t="array" ref="J3589">IFERROR(INDEX('Retirement Calculator'!K:K,MATCH('Lorri 401b'!N3589,'Retirement Calculator'!A:A,0),0),0)</f>
        <v>0</v>
      </c>
      <c r="K3589" s="455">
        <f t="shared" ca="1" si="153"/>
        <v>-5264818862.4596157</v>
      </c>
      <c r="L3589" s="455">
        <f t="shared" ca="1" si="154"/>
        <v>-1268821345852.7676</v>
      </c>
      <c r="M3589" s="471">
        <f t="shared" si="156"/>
        <v>0.05</v>
      </c>
      <c r="N3589" s="475">
        <f t="shared" si="157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55"/>
        <v>-1268821345852.7676</v>
      </c>
      <c r="J3590" s="455">
        <f t="array" ref="J3590">IFERROR(INDEX('Retirement Calculator'!K:K,MATCH('Lorri 401b'!N3590,'Retirement Calculator'!A:A,0),0),0)</f>
        <v>0</v>
      </c>
      <c r="K3590" s="455">
        <f t="shared" ca="1" si="153"/>
        <v>-5286755607.7198648</v>
      </c>
      <c r="L3590" s="455">
        <f t="shared" ca="1" si="154"/>
        <v>-1274108101460.4875</v>
      </c>
      <c r="M3590" s="471">
        <f t="shared" si="156"/>
        <v>0.05</v>
      </c>
      <c r="N3590" s="475">
        <f t="shared" si="157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55"/>
        <v>-1274108101460.4875</v>
      </c>
      <c r="J3591" s="455">
        <f t="array" ref="J3591">IFERROR(INDEX('Retirement Calculator'!K:K,MATCH('Lorri 401b'!N3591,'Retirement Calculator'!A:A,0),0),0)</f>
        <v>0</v>
      </c>
      <c r="K3591" s="455">
        <f t="shared" ca="1" si="153"/>
        <v>-5308783756.0853643</v>
      </c>
      <c r="L3591" s="455">
        <f t="shared" ca="1" si="154"/>
        <v>-1279416885216.573</v>
      </c>
      <c r="M3591" s="471">
        <f t="shared" si="156"/>
        <v>0.05</v>
      </c>
      <c r="N3591" s="475">
        <f t="shared" si="157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55"/>
        <v>-1279416885216.573</v>
      </c>
      <c r="J3592" s="455">
        <f t="array" ref="J3592">IFERROR(INDEX('Retirement Calculator'!K:K,MATCH('Lorri 401b'!N3592,'Retirement Calculator'!A:A,0),0),0)</f>
        <v>0</v>
      </c>
      <c r="K3592" s="455">
        <f t="shared" ca="1" si="153"/>
        <v>-5330903688.4023876</v>
      </c>
      <c r="L3592" s="455">
        <f t="shared" ca="1" si="154"/>
        <v>-1284747788904.9753</v>
      </c>
      <c r="M3592" s="471">
        <f t="shared" si="156"/>
        <v>0.05</v>
      </c>
      <c r="N3592" s="475">
        <f t="shared" si="157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55"/>
        <v>-1284747788904.9753</v>
      </c>
      <c r="J3593" s="455">
        <f t="array" ref="J3593">IFERROR(INDEX('Retirement Calculator'!K:K,MATCH('Lorri 401b'!N3593,'Retirement Calculator'!A:A,0),0),0)</f>
        <v>0</v>
      </c>
      <c r="K3593" s="455">
        <f t="shared" ca="1" si="153"/>
        <v>-5353115787.104064</v>
      </c>
      <c r="L3593" s="455">
        <f t="shared" ca="1" si="154"/>
        <v>-1290100904692.0793</v>
      </c>
      <c r="M3593" s="471">
        <f t="shared" si="156"/>
        <v>0.05</v>
      </c>
      <c r="N3593" s="475">
        <f t="shared" si="157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55"/>
        <v>-1290100904692.0793</v>
      </c>
      <c r="J3594" s="455">
        <f t="array" ref="J3594">IFERROR(INDEX('Retirement Calculator'!K:K,MATCH('Lorri 401b'!N3594,'Retirement Calculator'!A:A,0),0),0)</f>
        <v>0</v>
      </c>
      <c r="K3594" s="455">
        <f t="shared" ca="1" si="153"/>
        <v>-5375420436.2169971</v>
      </c>
      <c r="L3594" s="455">
        <f t="shared" ca="1" si="154"/>
        <v>-1295476325128.2964</v>
      </c>
      <c r="M3594" s="471">
        <f t="shared" si="156"/>
        <v>0.05</v>
      </c>
      <c r="N3594" s="475">
        <f t="shared" si="157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55"/>
        <v>-1295476325128.2964</v>
      </c>
      <c r="J3595" s="455">
        <f t="array" ref="J3595">IFERROR(INDEX('Retirement Calculator'!K:K,MATCH('Lorri 401b'!N3595,'Retirement Calculator'!A:A,0),0),0)</f>
        <v>0</v>
      </c>
      <c r="K3595" s="455">
        <f t="shared" ca="1" si="153"/>
        <v>-5397818021.3679018</v>
      </c>
      <c r="L3595" s="455">
        <f t="shared" ca="1" si="154"/>
        <v>-1300874143149.6643</v>
      </c>
      <c r="M3595" s="471">
        <f t="shared" si="156"/>
        <v>0.05</v>
      </c>
      <c r="N3595" s="475">
        <f t="shared" si="157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55"/>
        <v>-1300874143149.6643</v>
      </c>
      <c r="J3596" s="455">
        <f t="array" ref="J3596">IFERROR(INDEX('Retirement Calculator'!K:K,MATCH('Lorri 401b'!N3596,'Retirement Calculator'!A:A,0),0),0)</f>
        <v>0</v>
      </c>
      <c r="K3596" s="455">
        <f t="shared" ca="1" si="153"/>
        <v>-5420308929.7902679</v>
      </c>
      <c r="L3596" s="455">
        <f t="shared" ca="1" si="154"/>
        <v>-1306294452079.4546</v>
      </c>
      <c r="M3596" s="471">
        <f t="shared" si="156"/>
        <v>0.05</v>
      </c>
      <c r="N3596" s="475">
        <f t="shared" si="157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55"/>
        <v>-1306294452079.4546</v>
      </c>
      <c r="J3597" s="455">
        <f t="array" ref="J3597">IFERROR(INDEX('Retirement Calculator'!K:K,MATCH('Lorri 401b'!N3597,'Retirement Calculator'!A:A,0),0),0)</f>
        <v>0</v>
      </c>
      <c r="K3597" s="455">
        <f t="shared" ca="1" si="153"/>
        <v>-5442893550.3310604</v>
      </c>
      <c r="L3597" s="455">
        <f t="shared" ca="1" si="154"/>
        <v>-1311737345629.7856</v>
      </c>
      <c r="M3597" s="471">
        <f t="shared" si="156"/>
        <v>0.05</v>
      </c>
      <c r="N3597" s="475">
        <f t="shared" si="157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55"/>
        <v>-1311737345629.7856</v>
      </c>
      <c r="J3598" s="455">
        <f t="array" ref="J3598">IFERROR(INDEX('Retirement Calculator'!K:K,MATCH('Lorri 401b'!N3598,'Retirement Calculator'!A:A,0),0),0)</f>
        <v>0</v>
      </c>
      <c r="K3598" s="455">
        <f t="shared" ca="1" si="153"/>
        <v>-5465572273.4574404</v>
      </c>
      <c r="L3598" s="455">
        <f t="shared" ca="1" si="154"/>
        <v>-1317202917903.2432</v>
      </c>
      <c r="M3598" s="471">
        <f t="shared" si="156"/>
        <v>0.05</v>
      </c>
      <c r="N3598" s="475">
        <f t="shared" si="157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55"/>
        <v>-1317202917903.2432</v>
      </c>
      <c r="J3599" s="455">
        <f t="array" ref="J3599">IFERROR(INDEX('Retirement Calculator'!K:K,MATCH('Lorri 401b'!N3599,'Retirement Calculator'!A:A,0),0),0)</f>
        <v>0</v>
      </c>
      <c r="K3599" s="455">
        <f t="shared" ca="1" si="153"/>
        <v>-5488345491.2635136</v>
      </c>
      <c r="L3599" s="455">
        <f t="shared" ca="1" si="154"/>
        <v>-1322691263394.5066</v>
      </c>
      <c r="M3599" s="471">
        <f t="shared" si="156"/>
        <v>0.05</v>
      </c>
      <c r="N3599" s="475">
        <f t="shared" si="157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55"/>
        <v>-1322691263394.5066</v>
      </c>
      <c r="J3600" s="455">
        <f t="array" ref="J3600">IFERROR(INDEX('Retirement Calculator'!K:K,MATCH('Lorri 401b'!N3600,'Retirement Calculator'!A:A,0),0),0)</f>
        <v>0</v>
      </c>
      <c r="K3600" s="455">
        <f t="shared" ca="1" si="153"/>
        <v>-5511213597.4771109</v>
      </c>
      <c r="L3600" s="455">
        <f t="shared" ca="1" si="154"/>
        <v>-1328202476991.9836</v>
      </c>
      <c r="M3600" s="471">
        <f t="shared" si="156"/>
        <v>0.05</v>
      </c>
      <c r="N3600" s="475">
        <f t="shared" si="157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55"/>
        <v>-1328202476991.9836</v>
      </c>
      <c r="J3601" s="455">
        <f t="array" ref="J3601">IFERROR(INDEX('Retirement Calculator'!K:K,MATCH('Lorri 401b'!N3601,'Retirement Calculator'!A:A,0),0),0)</f>
        <v>0</v>
      </c>
      <c r="K3601" s="455">
        <f t="shared" ca="1" si="153"/>
        <v>-5534176987.4665985</v>
      </c>
      <c r="L3601" s="455">
        <f t="shared" ca="1" si="154"/>
        <v>-1333736653979.4502</v>
      </c>
      <c r="M3601" s="471">
        <f t="shared" si="156"/>
        <v>0.05</v>
      </c>
      <c r="N3601" s="475">
        <f t="shared" si="157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55"/>
        <v>-1333736653979.4502</v>
      </c>
      <c r="J3602" s="455">
        <f t="array" ref="J3602">IFERROR(INDEX('Retirement Calculator'!K:K,MATCH('Lorri 401b'!N3602,'Retirement Calculator'!A:A,0),0),0)</f>
        <v>0</v>
      </c>
      <c r="K3602" s="455">
        <f t="shared" ca="1" si="153"/>
        <v>-5557236058.2477093</v>
      </c>
      <c r="L3602" s="455">
        <f t="shared" ca="1" si="154"/>
        <v>-1339293890037.698</v>
      </c>
      <c r="M3602" s="471">
        <f t="shared" si="156"/>
        <v>0.05</v>
      </c>
      <c r="N3602" s="475">
        <f t="shared" si="157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55"/>
        <v>-1339293890037.698</v>
      </c>
      <c r="J3603" s="455">
        <f t="array" ref="J3603">IFERROR(INDEX('Retirement Calculator'!K:K,MATCH('Lorri 401b'!N3603,'Retirement Calculator'!A:A,0),0),0)</f>
        <v>0</v>
      </c>
      <c r="K3603" s="455">
        <f t="shared" ca="1" si="153"/>
        <v>-5580391208.4904079</v>
      </c>
      <c r="L3603" s="455">
        <f t="shared" ca="1" si="154"/>
        <v>-1344874281246.1885</v>
      </c>
      <c r="M3603" s="471">
        <f t="shared" si="156"/>
        <v>0.05</v>
      </c>
      <c r="N3603" s="475">
        <f t="shared" si="157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55"/>
        <v>-1344874281246.1885</v>
      </c>
      <c r="J3604" s="455">
        <f t="array" ref="J3604">IFERROR(INDEX('Retirement Calculator'!K:K,MATCH('Lorri 401b'!N3604,'Retirement Calculator'!A:A,0),0),0)</f>
        <v>0</v>
      </c>
      <c r="K3604" s="455">
        <f t="shared" ca="1" si="153"/>
        <v>-5603642838.5257854</v>
      </c>
      <c r="L3604" s="455">
        <f t="shared" ca="1" si="154"/>
        <v>-1350477924084.7144</v>
      </c>
      <c r="M3604" s="471">
        <f t="shared" si="156"/>
        <v>0.05</v>
      </c>
      <c r="N3604" s="475">
        <f t="shared" si="157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55"/>
        <v>-1350477924084.7144</v>
      </c>
      <c r="J3605" s="455">
        <f t="array" ref="J3605">IFERROR(INDEX('Retirement Calculator'!K:K,MATCH('Lorri 401b'!N3605,'Retirement Calculator'!A:A,0),0),0)</f>
        <v>0</v>
      </c>
      <c r="K3605" s="455">
        <f t="shared" ca="1" si="153"/>
        <v>-5626991350.3529768</v>
      </c>
      <c r="L3605" s="455">
        <f t="shared" ca="1" si="154"/>
        <v>-1356104915435.0674</v>
      </c>
      <c r="M3605" s="471">
        <f t="shared" si="156"/>
        <v>0.05</v>
      </c>
      <c r="N3605" s="475">
        <f t="shared" si="157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55"/>
        <v>-1356104915435.0674</v>
      </c>
      <c r="J3606" s="455">
        <f t="array" ref="J3606">IFERROR(INDEX('Retirement Calculator'!K:K,MATCH('Lorri 401b'!N3606,'Retirement Calculator'!A:A,0),0),0)</f>
        <v>0</v>
      </c>
      <c r="K3606" s="455">
        <f t="shared" ca="1" si="153"/>
        <v>-5650437147.6461143</v>
      </c>
      <c r="L3606" s="455">
        <f t="shared" ca="1" si="154"/>
        <v>-1361755352582.7134</v>
      </c>
      <c r="M3606" s="471">
        <f t="shared" si="156"/>
        <v>0.05</v>
      </c>
      <c r="N3606" s="475">
        <f t="shared" si="157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55"/>
        <v>-1361755352582.7134</v>
      </c>
      <c r="J3607" s="455">
        <f t="array" ref="J3607">IFERROR(INDEX('Retirement Calculator'!K:K,MATCH('Lorri 401b'!N3607,'Retirement Calculator'!A:A,0),0),0)</f>
        <v>0</v>
      </c>
      <c r="K3607" s="455">
        <f t="shared" ca="1" si="153"/>
        <v>-5673980635.7613058</v>
      </c>
      <c r="L3607" s="455">
        <f t="shared" ca="1" si="154"/>
        <v>-1367429333218.4746</v>
      </c>
      <c r="M3607" s="471">
        <f t="shared" si="156"/>
        <v>0.05</v>
      </c>
      <c r="N3607" s="475">
        <f t="shared" si="157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55"/>
        <v>-1367429333218.4746</v>
      </c>
      <c r="J3608" s="455">
        <f t="array" ref="J3608">IFERROR(INDEX('Retirement Calculator'!K:K,MATCH('Lorri 401b'!N3608,'Retirement Calculator'!A:A,0),0),0)</f>
        <v>0</v>
      </c>
      <c r="K3608" s="455">
        <f t="shared" ca="1" si="153"/>
        <v>-5697622221.7436438</v>
      </c>
      <c r="L3608" s="455">
        <f t="shared" ca="1" si="154"/>
        <v>-1373126955440.2183</v>
      </c>
      <c r="M3608" s="471">
        <f t="shared" si="156"/>
        <v>0.05</v>
      </c>
      <c r="N3608" s="475">
        <f t="shared" si="157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55"/>
        <v>-1373126955440.2183</v>
      </c>
      <c r="J3609" s="455">
        <f t="array" ref="J3609">IFERROR(INDEX('Retirement Calculator'!K:K,MATCH('Lorri 401b'!N3609,'Retirement Calculator'!A:A,0),0),0)</f>
        <v>0</v>
      </c>
      <c r="K3609" s="455">
        <f t="shared" ca="1" si="153"/>
        <v>-5721362314.3342428</v>
      </c>
      <c r="L3609" s="455">
        <f t="shared" ca="1" si="154"/>
        <v>-1378848317754.5525</v>
      </c>
      <c r="M3609" s="471">
        <f t="shared" si="156"/>
        <v>0.05</v>
      </c>
      <c r="N3609" s="475">
        <f t="shared" si="157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55"/>
        <v>-1378848317754.5525</v>
      </c>
      <c r="J3610" s="455">
        <f t="array" ref="J3610">IFERROR(INDEX('Retirement Calculator'!K:K,MATCH('Lorri 401b'!N3610,'Retirement Calculator'!A:A,0),0),0)</f>
        <v>0</v>
      </c>
      <c r="K3610" s="455">
        <f t="shared" ca="1" si="153"/>
        <v>-5745201323.9773016</v>
      </c>
      <c r="L3610" s="455">
        <f t="shared" ca="1" si="154"/>
        <v>-1384593519078.5298</v>
      </c>
      <c r="M3610" s="471">
        <f t="shared" si="156"/>
        <v>0.05</v>
      </c>
      <c r="N3610" s="475">
        <f t="shared" si="157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55"/>
        <v>-1384593519078.5298</v>
      </c>
      <c r="J3611" s="455">
        <f t="array" ref="J3611">IFERROR(INDEX('Retirement Calculator'!K:K,MATCH('Lorri 401b'!N3611,'Retirement Calculator'!A:A,0),0),0)</f>
        <v>0</v>
      </c>
      <c r="K3611" s="455">
        <f t="shared" ca="1" si="153"/>
        <v>-5769139662.8272076</v>
      </c>
      <c r="L3611" s="455">
        <f t="shared" ca="1" si="154"/>
        <v>-1390362658741.3569</v>
      </c>
      <c r="M3611" s="471">
        <f t="shared" si="156"/>
        <v>0.05</v>
      </c>
      <c r="N3611" s="475">
        <f t="shared" si="157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55"/>
        <v>-1390362658741.3569</v>
      </c>
      <c r="J3612" s="455">
        <f t="array" ref="J3612">IFERROR(INDEX('Retirement Calculator'!K:K,MATCH('Lorri 401b'!N3612,'Retirement Calculator'!A:A,0),0),0)</f>
        <v>0</v>
      </c>
      <c r="K3612" s="455">
        <f t="shared" ca="1" si="153"/>
        <v>-5793177744.7556534</v>
      </c>
      <c r="L3612" s="455">
        <f t="shared" ca="1" si="154"/>
        <v>-1396155836486.1125</v>
      </c>
      <c r="M3612" s="471">
        <f t="shared" si="156"/>
        <v>0.05</v>
      </c>
      <c r="N3612" s="475">
        <f t="shared" si="157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55"/>
        <v>-1396155836486.1125</v>
      </c>
      <c r="J3613" s="455">
        <f t="array" ref="J3613">IFERROR(INDEX('Retirement Calculator'!K:K,MATCH('Lorri 401b'!N3613,'Retirement Calculator'!A:A,0),0),0)</f>
        <v>0</v>
      </c>
      <c r="K3613" s="455">
        <f t="shared" ca="1" si="153"/>
        <v>-5817315985.3588018</v>
      </c>
      <c r="L3613" s="455">
        <f t="shared" ca="1" si="154"/>
        <v>-1401973152471.4714</v>
      </c>
      <c r="M3613" s="471">
        <f t="shared" si="156"/>
        <v>0.05</v>
      </c>
      <c r="N3613" s="475">
        <f t="shared" si="157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55"/>
        <v>-1401973152471.4714</v>
      </c>
      <c r="J3614" s="455">
        <f t="array" ref="J3614">IFERROR(INDEX('Retirement Calculator'!K:K,MATCH('Lorri 401b'!N3614,'Retirement Calculator'!A:A,0),0),0)</f>
        <v>0</v>
      </c>
      <c r="K3614" s="455">
        <f t="shared" ca="1" si="153"/>
        <v>-5841554801.9644642</v>
      </c>
      <c r="L3614" s="455">
        <f t="shared" ca="1" si="154"/>
        <v>-1407814707273.4358</v>
      </c>
      <c r="M3614" s="471">
        <f t="shared" si="156"/>
        <v>0.05</v>
      </c>
      <c r="N3614" s="475">
        <f t="shared" si="157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55"/>
        <v>-1407814707273.4358</v>
      </c>
      <c r="J3615" s="455">
        <f t="array" ref="J3615">IFERROR(INDEX('Retirement Calculator'!K:K,MATCH('Lorri 401b'!N3615,'Retirement Calculator'!A:A,0),0),0)</f>
        <v>0</v>
      </c>
      <c r="K3615" s="455">
        <f t="shared" ca="1" si="153"/>
        <v>-5865894613.6393156</v>
      </c>
      <c r="L3615" s="455">
        <f t="shared" ca="1" si="154"/>
        <v>-1413680601887.0752</v>
      </c>
      <c r="M3615" s="471">
        <f t="shared" si="156"/>
        <v>0.05</v>
      </c>
      <c r="N3615" s="475">
        <f t="shared" si="157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55"/>
        <v>-1413680601887.0752</v>
      </c>
      <c r="J3616" s="455">
        <f t="array" ref="J3616">IFERROR(INDEX('Retirement Calculator'!K:K,MATCH('Lorri 401b'!N3616,'Retirement Calculator'!A:A,0),0),0)</f>
        <v>0</v>
      </c>
      <c r="K3616" s="455">
        <f t="shared" ca="1" si="153"/>
        <v>-5890335841.196147</v>
      </c>
      <c r="L3616" s="455">
        <f t="shared" ca="1" si="154"/>
        <v>-1419570937728.2712</v>
      </c>
      <c r="M3616" s="471">
        <f t="shared" si="156"/>
        <v>0.05</v>
      </c>
      <c r="N3616" s="475">
        <f t="shared" si="157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55"/>
        <v>-1419570937728.2712</v>
      </c>
      <c r="J3617" s="455">
        <f t="array" ref="J3617">IFERROR(INDEX('Retirement Calculator'!K:K,MATCH('Lorri 401b'!N3617,'Retirement Calculator'!A:A,0),0),0)</f>
        <v>0</v>
      </c>
      <c r="K3617" s="455">
        <f t="shared" ca="1" si="153"/>
        <v>-5914878907.2011299</v>
      </c>
      <c r="L3617" s="455">
        <f t="shared" ca="1" si="154"/>
        <v>-1425485816635.4724</v>
      </c>
      <c r="M3617" s="471">
        <f t="shared" si="156"/>
        <v>0.05</v>
      </c>
      <c r="N3617" s="475">
        <f t="shared" si="157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55"/>
        <v>-1425485816635.4724</v>
      </c>
      <c r="J3618" s="455">
        <f t="array" ref="J3618">IFERROR(INDEX('Retirement Calculator'!K:K,MATCH('Lorri 401b'!N3618,'Retirement Calculator'!A:A,0),0),0)</f>
        <v>0</v>
      </c>
      <c r="K3618" s="455">
        <f t="shared" ca="1" si="153"/>
        <v>-5939524235.9811354</v>
      </c>
      <c r="L3618" s="455">
        <f t="shared" ca="1" si="154"/>
        <v>-1431425340871.4536</v>
      </c>
      <c r="M3618" s="471">
        <f t="shared" si="156"/>
        <v>0.05</v>
      </c>
      <c r="N3618" s="475">
        <f t="shared" si="157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55"/>
        <v>-1431425340871.4536</v>
      </c>
      <c r="J3619" s="455">
        <f t="array" ref="J3619">IFERROR(INDEX('Retirement Calculator'!K:K,MATCH('Lorri 401b'!N3619,'Retirement Calculator'!A:A,0),0),0)</f>
        <v>0</v>
      </c>
      <c r="K3619" s="455">
        <f t="shared" ca="1" si="153"/>
        <v>-5964272253.6310568</v>
      </c>
      <c r="L3619" s="455">
        <f t="shared" ca="1" si="154"/>
        <v>-1437389613125.0847</v>
      </c>
      <c r="M3619" s="471">
        <f t="shared" si="156"/>
        <v>0.05</v>
      </c>
      <c r="N3619" s="475">
        <f t="shared" si="157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55"/>
        <v>-1437389613125.0847</v>
      </c>
      <c r="J3620" s="455">
        <f t="array" ref="J3620">IFERROR(INDEX('Retirement Calculator'!K:K,MATCH('Lorri 401b'!N3620,'Retirement Calculator'!A:A,0),0),0)</f>
        <v>0</v>
      </c>
      <c r="K3620" s="455">
        <f t="shared" ca="1" si="153"/>
        <v>-5989123388.0211859</v>
      </c>
      <c r="L3620" s="455">
        <f t="shared" ca="1" si="154"/>
        <v>-1443378736513.106</v>
      </c>
      <c r="M3620" s="471">
        <f t="shared" si="156"/>
        <v>0.05</v>
      </c>
      <c r="N3620" s="475">
        <f t="shared" si="157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55"/>
        <v>-1443378736513.106</v>
      </c>
      <c r="J3621" s="455">
        <f t="array" ref="J3621">IFERROR(INDEX('Retirement Calculator'!K:K,MATCH('Lorri 401b'!N3621,'Retirement Calculator'!A:A,0),0),0)</f>
        <v>0</v>
      </c>
      <c r="K3621" s="455">
        <f t="shared" ca="1" si="153"/>
        <v>-6014078068.8046083</v>
      </c>
      <c r="L3621" s="455">
        <f t="shared" ca="1" si="154"/>
        <v>-1449392814581.9106</v>
      </c>
      <c r="M3621" s="471">
        <f t="shared" si="156"/>
        <v>0.05</v>
      </c>
      <c r="N3621" s="475">
        <f t="shared" si="157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55"/>
        <v>-1449392814581.9106</v>
      </c>
      <c r="J3622" s="455">
        <f t="array" ref="J3622">IFERROR(INDEX('Retirement Calculator'!K:K,MATCH('Lorri 401b'!N3622,'Retirement Calculator'!A:A,0),0),0)</f>
        <v>0</v>
      </c>
      <c r="K3622" s="455">
        <f t="shared" ca="1" si="153"/>
        <v>-6039136727.4246273</v>
      </c>
      <c r="L3622" s="455">
        <f t="shared" ca="1" si="154"/>
        <v>-1455431951309.3352</v>
      </c>
      <c r="M3622" s="471">
        <f t="shared" si="156"/>
        <v>0.05</v>
      </c>
      <c r="N3622" s="475">
        <f t="shared" si="157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55"/>
        <v>-1455431951309.3352</v>
      </c>
      <c r="J3623" s="455">
        <f t="array" ref="J3623">IFERROR(INDEX('Retirement Calculator'!K:K,MATCH('Lorri 401b'!N3623,'Retirement Calculator'!A:A,0),0),0)</f>
        <v>0</v>
      </c>
      <c r="K3623" s="455">
        <f t="shared" ca="1" si="153"/>
        <v>-6064299797.1222296</v>
      </c>
      <c r="L3623" s="455">
        <f t="shared" ca="1" si="154"/>
        <v>-1461496251106.4575</v>
      </c>
      <c r="M3623" s="471">
        <f t="shared" si="156"/>
        <v>0.05</v>
      </c>
      <c r="N3623" s="475">
        <f t="shared" si="157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55"/>
        <v>-1461496251106.4575</v>
      </c>
      <c r="J3624" s="455">
        <f t="array" ref="J3624">IFERROR(INDEX('Retirement Calculator'!K:K,MATCH('Lorri 401b'!N3624,'Retirement Calculator'!A:A,0),0),0)</f>
        <v>0</v>
      </c>
      <c r="K3624" s="455">
        <f t="shared" ca="1" si="153"/>
        <v>-6089567712.943573</v>
      </c>
      <c r="L3624" s="455">
        <f t="shared" ca="1" si="154"/>
        <v>-1467585818819.4011</v>
      </c>
      <c r="M3624" s="471">
        <f t="shared" si="156"/>
        <v>0.05</v>
      </c>
      <c r="N3624" s="475">
        <f t="shared" si="157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55"/>
        <v>-1467585818819.4011</v>
      </c>
      <c r="J3625" s="455">
        <f t="array" ref="J3625">IFERROR(INDEX('Retirement Calculator'!K:K,MATCH('Lorri 401b'!N3625,'Retirement Calculator'!A:A,0),0),0)</f>
        <v>0</v>
      </c>
      <c r="K3625" s="455">
        <f t="shared" ca="1" si="153"/>
        <v>-6114940911.7475042</v>
      </c>
      <c r="L3625" s="455">
        <f t="shared" ca="1" si="154"/>
        <v>-1473700759731.1487</v>
      </c>
      <c r="M3625" s="471">
        <f t="shared" si="156"/>
        <v>0.05</v>
      </c>
      <c r="N3625" s="475">
        <f t="shared" si="157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55"/>
        <v>-1473700759731.1487</v>
      </c>
      <c r="J3626" s="455">
        <f t="array" ref="J3626">IFERROR(INDEX('Retirement Calculator'!K:K,MATCH('Lorri 401b'!N3626,'Retirement Calculator'!A:A,0),0),0)</f>
        <v>0</v>
      </c>
      <c r="K3626" s="455">
        <f t="shared" ca="1" si="153"/>
        <v>-6140419832.2131195</v>
      </c>
      <c r="L3626" s="455">
        <f t="shared" ca="1" si="154"/>
        <v>-1479841179563.3618</v>
      </c>
      <c r="M3626" s="471">
        <f t="shared" si="156"/>
        <v>0.05</v>
      </c>
      <c r="N3626" s="475">
        <f t="shared" si="157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55"/>
        <v>-1479841179563.3618</v>
      </c>
      <c r="J3627" s="455">
        <f t="array" ref="J3627">IFERROR(INDEX('Retirement Calculator'!K:K,MATCH('Lorri 401b'!N3627,'Retirement Calculator'!A:A,0),0),0)</f>
        <v>0</v>
      </c>
      <c r="K3627" s="455">
        <f t="shared" ca="1" si="153"/>
        <v>-6166004914.8473406</v>
      </c>
      <c r="L3627" s="455">
        <f t="shared" ca="1" si="154"/>
        <v>-1486007184478.2092</v>
      </c>
      <c r="M3627" s="471">
        <f t="shared" si="156"/>
        <v>0.05</v>
      </c>
      <c r="N3627" s="475">
        <f t="shared" si="157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55"/>
        <v>-1486007184478.2092</v>
      </c>
      <c r="J3628" s="455">
        <f t="array" ref="J3628">IFERROR(INDEX('Retirement Calculator'!K:K,MATCH('Lorri 401b'!N3628,'Retirement Calculator'!A:A,0),0),0)</f>
        <v>0</v>
      </c>
      <c r="K3628" s="455">
        <f t="shared" ca="1" si="153"/>
        <v>-6191696601.9925385</v>
      </c>
      <c r="L3628" s="455">
        <f t="shared" ca="1" si="154"/>
        <v>-1492198881080.2017</v>
      </c>
      <c r="M3628" s="471">
        <f t="shared" si="156"/>
        <v>0.05</v>
      </c>
      <c r="N3628" s="475">
        <f t="shared" si="157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55"/>
        <v>-1492198881080.2017</v>
      </c>
      <c r="J3629" s="455">
        <f t="array" ref="J3629">IFERROR(INDEX('Retirement Calculator'!K:K,MATCH('Lorri 401b'!N3629,'Retirement Calculator'!A:A,0),0),0)</f>
        <v>0</v>
      </c>
      <c r="K3629" s="455">
        <f t="shared" ca="1" si="153"/>
        <v>-6217495337.8341732</v>
      </c>
      <c r="L3629" s="455">
        <f t="shared" ca="1" si="154"/>
        <v>-1498416376418.0359</v>
      </c>
      <c r="M3629" s="471">
        <f t="shared" si="156"/>
        <v>0.05</v>
      </c>
      <c r="N3629" s="475">
        <f t="shared" si="157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55"/>
        <v>-1498416376418.0359</v>
      </c>
      <c r="J3630" s="455">
        <f t="array" ref="J3630">IFERROR(INDEX('Retirement Calculator'!K:K,MATCH('Lorri 401b'!N3630,'Retirement Calculator'!A:A,0),0),0)</f>
        <v>0</v>
      </c>
      <c r="K3630" s="455">
        <f t="shared" ca="1" si="153"/>
        <v>-6243401568.4084826</v>
      </c>
      <c r="L3630" s="455">
        <f t="shared" ca="1" si="154"/>
        <v>-1504659777986.4443</v>
      </c>
      <c r="M3630" s="471">
        <f t="shared" si="156"/>
        <v>0.05</v>
      </c>
      <c r="N3630" s="475">
        <f t="shared" si="157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55"/>
        <v>-1504659777986.4443</v>
      </c>
      <c r="J3631" s="455">
        <f t="array" ref="J3631">IFERROR(INDEX('Retirement Calculator'!K:K,MATCH('Lorri 401b'!N3631,'Retirement Calculator'!A:A,0),0),0)</f>
        <v>0</v>
      </c>
      <c r="K3631" s="455">
        <f t="shared" ca="1" si="153"/>
        <v>-6269415741.6101847</v>
      </c>
      <c r="L3631" s="455">
        <f t="shared" ca="1" si="154"/>
        <v>-1510929193728.0544</v>
      </c>
      <c r="M3631" s="471">
        <f t="shared" si="156"/>
        <v>0.05</v>
      </c>
      <c r="N3631" s="475">
        <f t="shared" si="157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55"/>
        <v>-1510929193728.0544</v>
      </c>
      <c r="J3632" s="455">
        <f t="array" ref="J3632">IFERROR(INDEX('Retirement Calculator'!K:K,MATCH('Lorri 401b'!N3632,'Retirement Calculator'!A:A,0),0),0)</f>
        <v>0</v>
      </c>
      <c r="K3632" s="455">
        <f t="shared" ca="1" si="153"/>
        <v>-6295538307.2002268</v>
      </c>
      <c r="L3632" s="455">
        <f t="shared" ca="1" si="154"/>
        <v>-1517224732035.2546</v>
      </c>
      <c r="M3632" s="471">
        <f t="shared" si="156"/>
        <v>0.05</v>
      </c>
      <c r="N3632" s="475">
        <f t="shared" si="157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55"/>
        <v>-1517224732035.2546</v>
      </c>
      <c r="J3633" s="455">
        <f t="array" ref="J3633">IFERROR(INDEX('Retirement Calculator'!K:K,MATCH('Lorri 401b'!N3633,'Retirement Calculator'!A:A,0),0),0)</f>
        <v>0</v>
      </c>
      <c r="K3633" s="455">
        <f t="shared" ca="1" si="153"/>
        <v>-6321769716.8135605</v>
      </c>
      <c r="L3633" s="455">
        <f t="shared" ca="1" si="154"/>
        <v>-1523546501752.0681</v>
      </c>
      <c r="M3633" s="471">
        <f t="shared" si="156"/>
        <v>0.05</v>
      </c>
      <c r="N3633" s="475">
        <f t="shared" si="157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55"/>
        <v>-1523546501752.0681</v>
      </c>
      <c r="J3634" s="455">
        <f t="array" ref="J3634">IFERROR(INDEX('Retirement Calculator'!K:K,MATCH('Lorri 401b'!N3634,'Retirement Calculator'!A:A,0),0),0)</f>
        <v>0</v>
      </c>
      <c r="K3634" s="455">
        <f t="shared" ca="1" si="153"/>
        <v>-6348110423.9669504</v>
      </c>
      <c r="L3634" s="455">
        <f t="shared" ca="1" si="154"/>
        <v>-1529894612176.0352</v>
      </c>
      <c r="M3634" s="471">
        <f t="shared" si="156"/>
        <v>0.05</v>
      </c>
      <c r="N3634" s="475">
        <f t="shared" si="157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55"/>
        <v>-1529894612176.0352</v>
      </c>
      <c r="J3635" s="455">
        <f t="array" ref="J3635">IFERROR(INDEX('Retirement Calculator'!K:K,MATCH('Lorri 401b'!N3635,'Retirement Calculator'!A:A,0),0),0)</f>
        <v>0</v>
      </c>
      <c r="K3635" s="455">
        <f t="shared" ca="1" si="153"/>
        <v>-6374560884.0668135</v>
      </c>
      <c r="L3635" s="455">
        <f t="shared" ca="1" si="154"/>
        <v>-1536269173060.1021</v>
      </c>
      <c r="M3635" s="471">
        <f t="shared" si="156"/>
        <v>0.05</v>
      </c>
      <c r="N3635" s="475">
        <f t="shared" si="157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55"/>
        <v>-1536269173060.1021</v>
      </c>
      <c r="J3636" s="455">
        <f t="array" ref="J3636">IFERROR(INDEX('Retirement Calculator'!K:K,MATCH('Lorri 401b'!N3636,'Retirement Calculator'!A:A,0),0),0)</f>
        <v>0</v>
      </c>
      <c r="K3636" s="455">
        <f t="shared" ca="1" si="153"/>
        <v>-6401121554.4170914</v>
      </c>
      <c r="L3636" s="455">
        <f t="shared" ca="1" si="154"/>
        <v>-1542670294614.519</v>
      </c>
      <c r="M3636" s="471">
        <f t="shared" si="156"/>
        <v>0.05</v>
      </c>
      <c r="N3636" s="475">
        <f t="shared" si="157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55"/>
        <v>-1542670294614.519</v>
      </c>
      <c r="J3637" s="455">
        <f t="array" ref="J3637">IFERROR(INDEX('Retirement Calculator'!K:K,MATCH('Lorri 401b'!N3637,'Retirement Calculator'!A:A,0),0),0)</f>
        <v>0</v>
      </c>
      <c r="K3637" s="455">
        <f t="shared" ca="1" si="153"/>
        <v>-6427792894.2271624</v>
      </c>
      <c r="L3637" s="455">
        <f t="shared" ca="1" si="154"/>
        <v>-1549098087508.7461</v>
      </c>
      <c r="M3637" s="471">
        <f t="shared" si="156"/>
        <v>0.05</v>
      </c>
      <c r="N3637" s="475">
        <f t="shared" si="157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55"/>
        <v>-1549098087508.7461</v>
      </c>
      <c r="J3638" s="455">
        <f t="array" ref="J3638">IFERROR(INDEX('Retirement Calculator'!K:K,MATCH('Lorri 401b'!N3638,'Retirement Calculator'!A:A,0),0),0)</f>
        <v>0</v>
      </c>
      <c r="K3638" s="455">
        <f t="shared" ca="1" si="153"/>
        <v>-6454575364.6197758</v>
      </c>
      <c r="L3638" s="455">
        <f t="shared" ca="1" si="154"/>
        <v>-1555552662873.366</v>
      </c>
      <c r="M3638" s="471">
        <f t="shared" si="156"/>
        <v>0.05</v>
      </c>
      <c r="N3638" s="475">
        <f t="shared" si="157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55"/>
        <v>-1555552662873.366</v>
      </c>
      <c r="J3639" s="455">
        <f t="array" ref="J3639">IFERROR(INDEX('Retirement Calculator'!K:K,MATCH('Lorri 401b'!N3639,'Retirement Calculator'!A:A,0),0),0)</f>
        <v>0</v>
      </c>
      <c r="K3639" s="455">
        <f t="shared" ca="1" si="153"/>
        <v>-6481469428.6390247</v>
      </c>
      <c r="L3639" s="455">
        <f t="shared" ca="1" si="154"/>
        <v>-1562034132302.0049</v>
      </c>
      <c r="M3639" s="471">
        <f t="shared" si="156"/>
        <v>0.05</v>
      </c>
      <c r="N3639" s="475">
        <f t="shared" si="157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55"/>
        <v>-1562034132302.0049</v>
      </c>
      <c r="J3640" s="455">
        <f t="array" ref="J3640">IFERROR(INDEX('Retirement Calculator'!K:K,MATCH('Lorri 401b'!N3640,'Retirement Calculator'!A:A,0),0),0)</f>
        <v>0</v>
      </c>
      <c r="K3640" s="455">
        <f t="shared" ca="1" si="153"/>
        <v>-6508475551.2583532</v>
      </c>
      <c r="L3640" s="455">
        <f t="shared" ca="1" si="154"/>
        <v>-1568542607853.2632</v>
      </c>
      <c r="M3640" s="471">
        <f t="shared" si="156"/>
        <v>0.05</v>
      </c>
      <c r="N3640" s="475">
        <f t="shared" si="157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55"/>
        <v>-1568542607853.2632</v>
      </c>
      <c r="J3641" s="455">
        <f t="array" ref="J3641">IFERROR(INDEX('Retirement Calculator'!K:K,MATCH('Lorri 401b'!N3641,'Retirement Calculator'!A:A,0),0),0)</f>
        <v>0</v>
      </c>
      <c r="K3641" s="455">
        <f t="shared" ca="1" si="153"/>
        <v>-6535594199.3885965</v>
      </c>
      <c r="L3641" s="455">
        <f t="shared" ca="1" si="154"/>
        <v>-1575078202052.6519</v>
      </c>
      <c r="M3641" s="471">
        <f t="shared" si="156"/>
        <v>0.05</v>
      </c>
      <c r="N3641" s="475">
        <f t="shared" si="157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55"/>
        <v>-1575078202052.6519</v>
      </c>
      <c r="J3642" s="455">
        <f t="array" ref="J3642">IFERROR(INDEX('Retirement Calculator'!K:K,MATCH('Lorri 401b'!N3642,'Retirement Calculator'!A:A,0),0),0)</f>
        <v>0</v>
      </c>
      <c r="K3642" s="455">
        <f t="shared" ca="1" si="153"/>
        <v>-6562825841.8860493</v>
      </c>
      <c r="L3642" s="455">
        <f t="shared" ca="1" si="154"/>
        <v>-1581641027894.5378</v>
      </c>
      <c r="M3642" s="471">
        <f t="shared" si="156"/>
        <v>0.05</v>
      </c>
      <c r="N3642" s="475">
        <f t="shared" si="157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55"/>
        <v>-1581641027894.5378</v>
      </c>
      <c r="J3643" s="455">
        <f t="array" ref="J3643">IFERROR(INDEX('Retirement Calculator'!K:K,MATCH('Lorri 401b'!N3643,'Retirement Calculator'!A:A,0),0),0)</f>
        <v>0</v>
      </c>
      <c r="K3643" s="455">
        <f t="shared" ca="1" si="153"/>
        <v>-6590170949.5605745</v>
      </c>
      <c r="L3643" s="455">
        <f t="shared" ca="1" si="154"/>
        <v>-1588231198844.0984</v>
      </c>
      <c r="M3643" s="471">
        <f t="shared" si="156"/>
        <v>0.05</v>
      </c>
      <c r="N3643" s="475">
        <f t="shared" si="157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55"/>
        <v>-1588231198844.0984</v>
      </c>
      <c r="J3644" s="455">
        <f t="array" ref="J3644">IFERROR(INDEX('Retirement Calculator'!K:K,MATCH('Lorri 401b'!N3644,'Retirement Calculator'!A:A,0),0),0)</f>
        <v>0</v>
      </c>
      <c r="K3644" s="455">
        <f t="shared" ca="1" si="153"/>
        <v>-6617629995.1837435</v>
      </c>
      <c r="L3644" s="455">
        <f t="shared" ca="1" si="154"/>
        <v>-1594848828839.2822</v>
      </c>
      <c r="M3644" s="471">
        <f t="shared" si="156"/>
        <v>0.05</v>
      </c>
      <c r="N3644" s="475">
        <f t="shared" si="157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55"/>
        <v>-1594848828839.2822</v>
      </c>
      <c r="J3645" s="455">
        <f t="array" ref="J3645">IFERROR(INDEX('Retirement Calculator'!K:K,MATCH('Lorri 401b'!N3645,'Retirement Calculator'!A:A,0),0),0)</f>
        <v>0</v>
      </c>
      <c r="K3645" s="455">
        <f t="shared" ca="1" si="153"/>
        <v>-6645203453.4970093</v>
      </c>
      <c r="L3645" s="455">
        <f t="shared" ca="1" si="154"/>
        <v>-1601494032292.7793</v>
      </c>
      <c r="M3645" s="471">
        <f t="shared" si="156"/>
        <v>0.05</v>
      </c>
      <c r="N3645" s="475">
        <f t="shared" si="157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55"/>
        <v>-1601494032292.7793</v>
      </c>
      <c r="J3646" s="455">
        <f t="array" ref="J3646">IFERROR(INDEX('Retirement Calculator'!K:K,MATCH('Lorri 401b'!N3646,'Retirement Calculator'!A:A,0),0),0)</f>
        <v>0</v>
      </c>
      <c r="K3646" s="455">
        <f t="shared" ca="1" si="153"/>
        <v>-6672891801.2199135</v>
      </c>
      <c r="L3646" s="455">
        <f t="shared" ca="1" si="154"/>
        <v>-1608166924093.9993</v>
      </c>
      <c r="M3646" s="471">
        <f t="shared" si="156"/>
        <v>0.05</v>
      </c>
      <c r="N3646" s="475">
        <f t="shared" si="157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55"/>
        <v>-1608166924093.9993</v>
      </c>
      <c r="J3647" s="455">
        <f t="array" ref="J3647">IFERROR(INDEX('Retirement Calculator'!K:K,MATCH('Lorri 401b'!N3647,'Retirement Calculator'!A:A,0),0),0)</f>
        <v>0</v>
      </c>
      <c r="K3647" s="455">
        <f t="shared" ca="1" si="153"/>
        <v>-6700695517.0583305</v>
      </c>
      <c r="L3647" s="455">
        <f t="shared" ca="1" si="154"/>
        <v>-1614867619611.0576</v>
      </c>
      <c r="M3647" s="471">
        <f t="shared" si="156"/>
        <v>0.05</v>
      </c>
      <c r="N3647" s="475">
        <f t="shared" si="157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55"/>
        <v>-1614867619611.0576</v>
      </c>
      <c r="J3648" s="455">
        <f t="array" ref="J3648">IFERROR(INDEX('Retirement Calculator'!K:K,MATCH('Lorri 401b'!N3648,'Retirement Calculator'!A:A,0),0),0)</f>
        <v>0</v>
      </c>
      <c r="K3648" s="455">
        <f t="shared" ca="1" si="153"/>
        <v>-6728615081.7127399</v>
      </c>
      <c r="L3648" s="455">
        <f t="shared" ca="1" si="154"/>
        <v>-1621596234692.7703</v>
      </c>
      <c r="M3648" s="471">
        <f t="shared" si="156"/>
        <v>0.05</v>
      </c>
      <c r="N3648" s="475">
        <f t="shared" si="157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55"/>
        <v>-1621596234692.7703</v>
      </c>
      <c r="J3649" s="455">
        <f t="array" ref="J3649">IFERROR(INDEX('Retirement Calculator'!K:K,MATCH('Lorri 401b'!N3649,'Retirement Calculator'!A:A,0),0),0)</f>
        <v>0</v>
      </c>
      <c r="K3649" s="455">
        <f t="shared" ca="1" si="153"/>
        <v>-6756650977.8865423</v>
      </c>
      <c r="L3649" s="455">
        <f t="shared" ca="1" si="154"/>
        <v>-1628352885670.6567</v>
      </c>
      <c r="M3649" s="471">
        <f t="shared" si="156"/>
        <v>0.05</v>
      </c>
      <c r="N3649" s="475">
        <f t="shared" si="157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55"/>
        <v>-1628352885670.6567</v>
      </c>
      <c r="J3650" s="455">
        <f t="array" ref="J3650">IFERROR(INDEX('Retirement Calculator'!K:K,MATCH('Lorri 401b'!N3650,'Retirement Calculator'!A:A,0),0),0)</f>
        <v>0</v>
      </c>
      <c r="K3650" s="455">
        <f t="shared" ca="1" si="153"/>
        <v>-6784803690.2944031</v>
      </c>
      <c r="L3650" s="455">
        <f t="shared" ca="1" si="154"/>
        <v>-1635137689360.9512</v>
      </c>
      <c r="M3650" s="471">
        <f t="shared" si="156"/>
        <v>0.05</v>
      </c>
      <c r="N3650" s="475">
        <f t="shared" si="157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55"/>
        <v>-1635137689360.9512</v>
      </c>
      <c r="J3651" s="455">
        <f t="array" ref="J3651">IFERROR(INDEX('Retirement Calculator'!K:K,MATCH('Lorri 401b'!N3651,'Retirement Calculator'!A:A,0),0),0)</f>
        <v>0</v>
      </c>
      <c r="K3651" s="455">
        <f t="shared" ca="1" si="153"/>
        <v>-6813073705.6706295</v>
      </c>
      <c r="L3651" s="455">
        <f t="shared" ca="1" si="154"/>
        <v>-1641950763066.6218</v>
      </c>
      <c r="M3651" s="471">
        <f t="shared" si="156"/>
        <v>0.05</v>
      </c>
      <c r="N3651" s="475">
        <f t="shared" si="157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55"/>
        <v>-1641950763066.6218</v>
      </c>
      <c r="J3652" s="455">
        <f t="array" ref="J3652">IFERROR(INDEX('Retirement Calculator'!K:K,MATCH('Lorri 401b'!N3652,'Retirement Calculator'!A:A,0),0),0)</f>
        <v>0</v>
      </c>
      <c r="K3652" s="455">
        <f t="shared" ca="1" si="153"/>
        <v>-6841461512.7775908</v>
      </c>
      <c r="L3652" s="455">
        <f t="shared" ca="1" si="154"/>
        <v>-1648792224579.3994</v>
      </c>
      <c r="M3652" s="471">
        <f t="shared" si="156"/>
        <v>0.05</v>
      </c>
      <c r="N3652" s="475">
        <f t="shared" si="157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55"/>
        <v>-1648792224579.3994</v>
      </c>
      <c r="J3653" s="455">
        <f t="array" ref="J3653">IFERROR(INDEX('Retirement Calculator'!K:K,MATCH('Lorri 401b'!N3653,'Retirement Calculator'!A:A,0),0),0)</f>
        <v>0</v>
      </c>
      <c r="K3653" s="455">
        <f t="shared" ca="1" si="153"/>
        <v>-6869967602.4141645</v>
      </c>
      <c r="L3653" s="455">
        <f t="shared" ca="1" si="154"/>
        <v>-1655662192181.8135</v>
      </c>
      <c r="M3653" s="471">
        <f t="shared" si="156"/>
        <v>0.05</v>
      </c>
      <c r="N3653" s="475">
        <f t="shared" si="157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55"/>
        <v>-1655662192181.8135</v>
      </c>
      <c r="J3654" s="455">
        <f t="array" ref="J3654">IFERROR(INDEX('Retirement Calculator'!K:K,MATCH('Lorri 401b'!N3654,'Retirement Calculator'!A:A,0),0),0)</f>
        <v>0</v>
      </c>
      <c r="K3654" s="455">
        <f t="shared" ca="1" si="153"/>
        <v>-6898592467.4242229</v>
      </c>
      <c r="L3654" s="455">
        <f t="shared" ca="1" si="154"/>
        <v>-1662560784649.2378</v>
      </c>
      <c r="M3654" s="471">
        <f t="shared" si="156"/>
        <v>0.05</v>
      </c>
      <c r="N3654" s="475">
        <f t="shared" si="157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55"/>
        <v>-1662560784649.2378</v>
      </c>
      <c r="J3655" s="455">
        <f t="array" ref="J3655">IFERROR(INDEX('Retirement Calculator'!K:K,MATCH('Lorri 401b'!N3655,'Retirement Calculator'!A:A,0),0),0)</f>
        <v>0</v>
      </c>
      <c r="K3655" s="455">
        <f t="shared" ca="1" si="153"/>
        <v>-6927336602.7051573</v>
      </c>
      <c r="L3655" s="455">
        <f t="shared" ca="1" si="154"/>
        <v>-1669488121251.9429</v>
      </c>
      <c r="M3655" s="471">
        <f t="shared" si="156"/>
        <v>0.05</v>
      </c>
      <c r="N3655" s="475">
        <f t="shared" si="157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55"/>
        <v>-1669488121251.9429</v>
      </c>
      <c r="J3656" s="455">
        <f t="array" ref="J3656">IFERROR(INDEX('Retirement Calculator'!K:K,MATCH('Lorri 401b'!N3656,'Retirement Calculator'!A:A,0),0),0)</f>
        <v>0</v>
      </c>
      <c r="K3656" s="455">
        <f t="shared" ca="1" si="153"/>
        <v>-6956200505.2164288</v>
      </c>
      <c r="L3656" s="455">
        <f t="shared" ca="1" si="154"/>
        <v>-1676444321757.1592</v>
      </c>
      <c r="M3656" s="471">
        <f t="shared" si="156"/>
        <v>0.05</v>
      </c>
      <c r="N3656" s="475">
        <f t="shared" si="157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55"/>
        <v>-1676444321757.1592</v>
      </c>
      <c r="J3657" s="455">
        <f t="array" ref="J3657">IFERROR(INDEX('Retirement Calculator'!K:K,MATCH('Lorri 401b'!N3657,'Retirement Calculator'!A:A,0),0),0)</f>
        <v>0</v>
      </c>
      <c r="K3657" s="455">
        <f t="shared" ca="1" si="153"/>
        <v>-6985184673.988163</v>
      </c>
      <c r="L3657" s="455">
        <f t="shared" ca="1" si="154"/>
        <v>-1683429506431.1475</v>
      </c>
      <c r="M3657" s="471">
        <f t="shared" si="156"/>
        <v>0.05</v>
      </c>
      <c r="N3657" s="475">
        <f t="shared" si="157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55"/>
        <v>-1683429506431.1475</v>
      </c>
      <c r="J3658" s="455">
        <f t="array" ref="J3658">IFERROR(INDEX('Retirement Calculator'!K:K,MATCH('Lorri 401b'!N3658,'Retirement Calculator'!A:A,0),0),0)</f>
        <v>0</v>
      </c>
      <c r="K3658" s="455">
        <f t="shared" ca="1" si="153"/>
        <v>-7014289610.1297808</v>
      </c>
      <c r="L3658" s="455">
        <f t="shared" ca="1" si="154"/>
        <v>-1690443796041.2773</v>
      </c>
      <c r="M3658" s="471">
        <f t="shared" si="156"/>
        <v>0.05</v>
      </c>
      <c r="N3658" s="475">
        <f t="shared" si="157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55"/>
        <v>-1690443796041.2773</v>
      </c>
      <c r="J3659" s="455">
        <f t="array" ref="J3659">IFERROR(INDEX('Retirement Calculator'!K:K,MATCH('Lorri 401b'!N3659,'Retirement Calculator'!A:A,0),0),0)</f>
        <v>0</v>
      </c>
      <c r="K3659" s="455">
        <f t="shared" ca="1" si="153"/>
        <v>-7043515816.8386555</v>
      </c>
      <c r="L3659" s="455">
        <f t="shared" ca="1" si="154"/>
        <v>-1697487311858.116</v>
      </c>
      <c r="M3659" s="471">
        <f t="shared" si="156"/>
        <v>0.05</v>
      </c>
      <c r="N3659" s="475">
        <f t="shared" si="157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55"/>
        <v>-1697487311858.116</v>
      </c>
      <c r="J3660" s="455">
        <f t="array" ref="J3660">IFERROR(INDEX('Retirement Calculator'!K:K,MATCH('Lorri 401b'!N3660,'Retirement Calculator'!A:A,0),0),0)</f>
        <v>0</v>
      </c>
      <c r="K3660" s="455">
        <f t="shared" ca="1" si="153"/>
        <v>-7072863799.4088163</v>
      </c>
      <c r="L3660" s="455">
        <f t="shared" ca="1" si="154"/>
        <v>-1704560175657.5249</v>
      </c>
      <c r="M3660" s="471">
        <f t="shared" si="156"/>
        <v>0.05</v>
      </c>
      <c r="N3660" s="475">
        <f t="shared" si="157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55"/>
        <v>-1704560175657.5249</v>
      </c>
      <c r="J3661" s="455">
        <f t="array" ref="J3661">IFERROR(INDEX('Retirement Calculator'!K:K,MATCH('Lorri 401b'!N3661,'Retirement Calculator'!A:A,0),0),0)</f>
        <v>0</v>
      </c>
      <c r="K3661" s="455">
        <f t="shared" ca="1" si="153"/>
        <v>-7102334065.239687</v>
      </c>
      <c r="L3661" s="455">
        <f t="shared" ca="1" si="154"/>
        <v>-1711662509722.7646</v>
      </c>
      <c r="M3661" s="471">
        <f t="shared" si="156"/>
        <v>0.05</v>
      </c>
      <c r="N3661" s="475">
        <f t="shared" si="157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55"/>
        <v>-1711662509722.7646</v>
      </c>
      <c r="J3662" s="455">
        <f t="array" ref="J3662">IFERROR(INDEX('Retirement Calculator'!K:K,MATCH('Lorri 401b'!N3662,'Retirement Calculator'!A:A,0),0),0)</f>
        <v>0</v>
      </c>
      <c r="K3662" s="455">
        <f t="shared" ca="1" si="153"/>
        <v>-7131927123.8448524</v>
      </c>
      <c r="L3662" s="455">
        <f t="shared" ca="1" si="154"/>
        <v>-1718794436846.6096</v>
      </c>
      <c r="M3662" s="471">
        <f t="shared" si="156"/>
        <v>0.05</v>
      </c>
      <c r="N3662" s="475">
        <f t="shared" si="157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55"/>
        <v>-1718794436846.6096</v>
      </c>
      <c r="J3663" s="455">
        <f t="array" ref="J3663">IFERROR(INDEX('Retirement Calculator'!K:K,MATCH('Lorri 401b'!N3663,'Retirement Calculator'!A:A,0),0),0)</f>
        <v>0</v>
      </c>
      <c r="K3663" s="455">
        <f t="shared" ca="1" si="153"/>
        <v>-7161643486.8608732</v>
      </c>
      <c r="L3663" s="455">
        <f t="shared" ca="1" si="154"/>
        <v>-1725956080333.4705</v>
      </c>
      <c r="M3663" s="471">
        <f t="shared" si="156"/>
        <v>0.05</v>
      </c>
      <c r="N3663" s="475">
        <f t="shared" si="157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55"/>
        <v>-1725956080333.4705</v>
      </c>
      <c r="J3664" s="455">
        <f t="array" ref="J3664">IFERROR(INDEX('Retirement Calculator'!K:K,MATCH('Lorri 401b'!N3664,'Retirement Calculator'!A:A,0),0),0)</f>
        <v>0</v>
      </c>
      <c r="K3664" s="455">
        <f t="shared" ca="1" si="153"/>
        <v>-7191483668.0561256</v>
      </c>
      <c r="L3664" s="455">
        <f t="shared" ca="1" si="154"/>
        <v>-1733147564001.5266</v>
      </c>
      <c r="M3664" s="471">
        <f t="shared" si="156"/>
        <v>0.05</v>
      </c>
      <c r="N3664" s="475">
        <f t="shared" si="157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55"/>
        <v>-1733147564001.5266</v>
      </c>
      <c r="J3665" s="455">
        <f t="array" ref="J3665">IFERROR(INDEX('Retirement Calculator'!K:K,MATCH('Lorri 401b'!N3665,'Retirement Calculator'!A:A,0),0),0)</f>
        <v>0</v>
      </c>
      <c r="K3665" s="455">
        <f t="shared" ca="1" si="153"/>
        <v>-7221448183.339694</v>
      </c>
      <c r="L3665" s="455">
        <f t="shared" ca="1" si="154"/>
        <v>-1740369012184.8662</v>
      </c>
      <c r="M3665" s="471">
        <f t="shared" si="156"/>
        <v>0.05</v>
      </c>
      <c r="N3665" s="475">
        <f t="shared" si="157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55"/>
        <v>-1740369012184.8662</v>
      </c>
      <c r="J3666" s="455">
        <f t="array" ref="J3666">IFERROR(INDEX('Retirement Calculator'!K:K,MATCH('Lorri 401b'!N3666,'Retirement Calculator'!A:A,0),0),0)</f>
        <v>0</v>
      </c>
      <c r="K3666" s="455">
        <f t="shared" ca="1" si="153"/>
        <v>-7251537550.7702751</v>
      </c>
      <c r="L3666" s="455">
        <f t="shared" ca="1" si="154"/>
        <v>-1747620549735.6365</v>
      </c>
      <c r="M3666" s="471">
        <f t="shared" si="156"/>
        <v>0.05</v>
      </c>
      <c r="N3666" s="475">
        <f t="shared" si="157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55"/>
        <v>-1747620549735.6365</v>
      </c>
      <c r="J3667" s="455">
        <f t="array" ref="J3667">IFERROR(INDEX('Retirement Calculator'!K:K,MATCH('Lorri 401b'!N3667,'Retirement Calculator'!A:A,0),0),0)</f>
        <v>0</v>
      </c>
      <c r="K3667" s="455">
        <f t="shared" ca="1" si="153"/>
        <v>-7281752290.5651512</v>
      </c>
      <c r="L3667" s="455">
        <f t="shared" ca="1" si="154"/>
        <v>-1754902302026.2017</v>
      </c>
      <c r="M3667" s="471">
        <f t="shared" si="156"/>
        <v>0.05</v>
      </c>
      <c r="N3667" s="475">
        <f t="shared" si="157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55"/>
        <v>-1754902302026.2017</v>
      </c>
      <c r="J3668" s="455">
        <f t="array" ref="J3668">IFERROR(INDEX('Retirement Calculator'!K:K,MATCH('Lorri 401b'!N3668,'Retirement Calculator'!A:A,0),0),0)</f>
        <v>0</v>
      </c>
      <c r="K3668" s="455">
        <f t="shared" ca="1" si="153"/>
        <v>-7312092925.1091738</v>
      </c>
      <c r="L3668" s="455">
        <f t="shared" ca="1" si="154"/>
        <v>-1762214394951.3108</v>
      </c>
      <c r="M3668" s="471">
        <f t="shared" si="156"/>
        <v>0.05</v>
      </c>
      <c r="N3668" s="475">
        <f t="shared" si="157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55"/>
        <v>-1762214394951.3108</v>
      </c>
      <c r="J3669" s="455">
        <f t="array" ref="J3669">IFERROR(INDEX('Retirement Calculator'!K:K,MATCH('Lorri 401b'!N3669,'Retirement Calculator'!A:A,0),0),0)</f>
        <v>0</v>
      </c>
      <c r="K3669" s="455">
        <f t="shared" ca="1" si="153"/>
        <v>-7342559978.9637938</v>
      </c>
      <c r="L3669" s="455">
        <f t="shared" ca="1" si="154"/>
        <v>-1769556954930.2747</v>
      </c>
      <c r="M3669" s="471">
        <f t="shared" si="156"/>
        <v>0.05</v>
      </c>
      <c r="N3669" s="475">
        <f t="shared" si="157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55"/>
        <v>-1769556954930.2747</v>
      </c>
      <c r="J3670" s="455">
        <f t="array" ref="J3670">IFERROR(INDEX('Retirement Calculator'!K:K,MATCH('Lorri 401b'!N3670,'Retirement Calculator'!A:A,0),0),0)</f>
        <v>0</v>
      </c>
      <c r="K3670" s="455">
        <f t="shared" ca="1" si="153"/>
        <v>-7373153978.8761444</v>
      </c>
      <c r="L3670" s="455">
        <f t="shared" ca="1" si="154"/>
        <v>-1776930108909.1509</v>
      </c>
      <c r="M3670" s="471">
        <f t="shared" si="156"/>
        <v>0.05</v>
      </c>
      <c r="N3670" s="475">
        <f t="shared" si="157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55"/>
        <v>-1776930108909.1509</v>
      </c>
      <c r="J3671" s="455">
        <f t="array" ref="J3671">IFERROR(INDEX('Retirement Calculator'!K:K,MATCH('Lorri 401b'!N3671,'Retirement Calculator'!A:A,0),0),0)</f>
        <v>0</v>
      </c>
      <c r="K3671" s="455">
        <f t="shared" ca="1" si="153"/>
        <v>-7403875453.7881289</v>
      </c>
      <c r="L3671" s="455">
        <f t="shared" ca="1" si="154"/>
        <v>-1784333984362.939</v>
      </c>
      <c r="M3671" s="471">
        <f t="shared" si="156"/>
        <v>0.05</v>
      </c>
      <c r="N3671" s="475">
        <f t="shared" si="157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55"/>
        <v>-1784333984362.939</v>
      </c>
      <c r="J3672" s="455">
        <f t="array" ref="J3672">IFERROR(INDEX('Retirement Calculator'!K:K,MATCH('Lorri 401b'!N3672,'Retirement Calculator'!A:A,0),0),0)</f>
        <v>0</v>
      </c>
      <c r="K3672" s="455">
        <f t="shared" ca="1" si="153"/>
        <v>-7434724934.8455791</v>
      </c>
      <c r="L3672" s="455">
        <f t="shared" ca="1" si="154"/>
        <v>-1791768709297.7844</v>
      </c>
      <c r="M3672" s="471">
        <f t="shared" si="156"/>
        <v>0.05</v>
      </c>
      <c r="N3672" s="475">
        <f t="shared" si="157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55"/>
        <v>-1791768709297.7844</v>
      </c>
      <c r="J3673" s="455">
        <f t="array" ref="J3673">IFERROR(INDEX('Retirement Calculator'!K:K,MATCH('Lorri 401b'!N3673,'Retirement Calculator'!A:A,0),0),0)</f>
        <v>0</v>
      </c>
      <c r="K3673" s="455">
        <f t="shared" ca="1" si="153"/>
        <v>-7465702955.4074354</v>
      </c>
      <c r="L3673" s="455">
        <f t="shared" ca="1" si="154"/>
        <v>-1799234412253.1919</v>
      </c>
      <c r="M3673" s="471">
        <f t="shared" si="156"/>
        <v>0.05</v>
      </c>
      <c r="N3673" s="475">
        <f t="shared" si="157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55"/>
        <v>-1799234412253.1919</v>
      </c>
      <c r="J3674" s="455">
        <f t="array" ref="J3674">IFERROR(INDEX('Retirement Calculator'!K:K,MATCH('Lorri 401b'!N3674,'Retirement Calculator'!A:A,0),0),0)</f>
        <v>0</v>
      </c>
      <c r="K3674" s="455">
        <f t="shared" ca="1" si="153"/>
        <v>-7496810051.054965</v>
      </c>
      <c r="L3674" s="455">
        <f t="shared" ca="1" si="154"/>
        <v>-1806731222304.2468</v>
      </c>
      <c r="M3674" s="471">
        <f t="shared" si="156"/>
        <v>0.05</v>
      </c>
      <c r="N3674" s="475">
        <f t="shared" si="157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55"/>
        <v>-1806731222304.2468</v>
      </c>
      <c r="J3675" s="455">
        <f t="array" ref="J3675">IFERROR(INDEX('Retirement Calculator'!K:K,MATCH('Lorri 401b'!N3675,'Retirement Calculator'!A:A,0),0),0)</f>
        <v>0</v>
      </c>
      <c r="K3675" s="455">
        <f t="shared" ca="1" si="153"/>
        <v>-7528046759.6010275</v>
      </c>
      <c r="L3675" s="455">
        <f t="shared" ca="1" si="154"/>
        <v>-1814259269063.8479</v>
      </c>
      <c r="M3675" s="471">
        <f t="shared" si="156"/>
        <v>0.05</v>
      </c>
      <c r="N3675" s="475">
        <f t="shared" si="157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55"/>
        <v>-1814259269063.8479</v>
      </c>
      <c r="J3676" s="455">
        <f t="array" ref="J3676">IFERROR(INDEX('Retirement Calculator'!K:K,MATCH('Lorri 401b'!N3676,'Retirement Calculator'!A:A,0),0),0)</f>
        <v>0</v>
      </c>
      <c r="K3676" s="455">
        <f t="shared" ca="1" si="153"/>
        <v>-7559413621.0993662</v>
      </c>
      <c r="L3676" s="455">
        <f t="shared" ca="1" si="154"/>
        <v>-1821818682684.9473</v>
      </c>
      <c r="M3676" s="471">
        <f t="shared" si="156"/>
        <v>0.05</v>
      </c>
      <c r="N3676" s="475">
        <f t="shared" si="157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55"/>
        <v>-1821818682684.9473</v>
      </c>
      <c r="J3677" s="455">
        <f t="array" ref="J3677">IFERROR(INDEX('Retirement Calculator'!K:K,MATCH('Lorri 401b'!N3677,'Retirement Calculator'!A:A,0),0),0)</f>
        <v>0</v>
      </c>
      <c r="K3677" s="455">
        <f t="shared" ca="1" si="153"/>
        <v>-7590911177.8539457</v>
      </c>
      <c r="L3677" s="455">
        <f t="shared" ca="1" si="154"/>
        <v>-1829409593862.8013</v>
      </c>
      <c r="M3677" s="471">
        <f t="shared" si="156"/>
        <v>0.05</v>
      </c>
      <c r="N3677" s="475">
        <f t="shared" si="157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55"/>
        <v>-1829409593862.8013</v>
      </c>
      <c r="J3678" s="455">
        <f t="array" ref="J3678">IFERROR(INDEX('Retirement Calculator'!K:K,MATCH('Lorri 401b'!N3678,'Retirement Calculator'!A:A,0),0),0)</f>
        <v>0</v>
      </c>
      <c r="K3678" s="455">
        <f t="shared" ca="1" si="153"/>
        <v>-7622539974.4283381</v>
      </c>
      <c r="L3678" s="455">
        <f t="shared" ca="1" si="154"/>
        <v>-1837032133837.2295</v>
      </c>
      <c r="M3678" s="471">
        <f t="shared" si="156"/>
        <v>0.05</v>
      </c>
      <c r="N3678" s="475">
        <f t="shared" si="157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55"/>
        <v>-1837032133837.2295</v>
      </c>
      <c r="J3679" s="455">
        <f t="array" ref="J3679">IFERROR(INDEX('Retirement Calculator'!K:K,MATCH('Lorri 401b'!N3679,'Retirement Calculator'!A:A,0),0),0)</f>
        <v>0</v>
      </c>
      <c r="K3679" s="455">
        <f t="shared" ca="1" si="153"/>
        <v>-7654300557.6551228</v>
      </c>
      <c r="L3679" s="455">
        <f t="shared" ca="1" si="154"/>
        <v>-1844686434394.8845</v>
      </c>
      <c r="M3679" s="471">
        <f t="shared" si="156"/>
        <v>0.05</v>
      </c>
      <c r="N3679" s="475">
        <f t="shared" si="157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55"/>
        <v>-1844686434394.8845</v>
      </c>
      <c r="J3680" s="455">
        <f t="array" ref="J3680">IFERROR(INDEX('Retirement Calculator'!K:K,MATCH('Lorri 401b'!N3680,'Retirement Calculator'!A:A,0),0),0)</f>
        <v>0</v>
      </c>
      <c r="K3680" s="455">
        <f t="shared" ca="1" si="153"/>
        <v>-7686193476.6453524</v>
      </c>
      <c r="L3680" s="455">
        <f t="shared" ca="1" si="154"/>
        <v>-1852372627871.5298</v>
      </c>
      <c r="M3680" s="471">
        <f t="shared" si="156"/>
        <v>0.05</v>
      </c>
      <c r="N3680" s="475">
        <f t="shared" si="157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55"/>
        <v>-1852372627871.5298</v>
      </c>
      <c r="J3681" s="455">
        <f t="array" ref="J3681">IFERROR(INDEX('Retirement Calculator'!K:K,MATCH('Lorri 401b'!N3681,'Retirement Calculator'!A:A,0),0),0)</f>
        <v>0</v>
      </c>
      <c r="K3681" s="455">
        <f t="shared" ca="1" si="153"/>
        <v>-7718219282.7980404</v>
      </c>
      <c r="L3681" s="455">
        <f t="shared" ca="1" si="154"/>
        <v>-1860090847154.3279</v>
      </c>
      <c r="M3681" s="471">
        <f t="shared" si="156"/>
        <v>0.05</v>
      </c>
      <c r="N3681" s="475">
        <f t="shared" si="157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55"/>
        <v>-1860090847154.3279</v>
      </c>
      <c r="J3682" s="455">
        <f t="array" ref="J3682">IFERROR(INDEX('Retirement Calculator'!K:K,MATCH('Lorri 401b'!N3682,'Retirement Calculator'!A:A,0),0),0)</f>
        <v>0</v>
      </c>
      <c r="K3682" s="455">
        <f t="shared" ca="1" si="153"/>
        <v>-7750378529.8096991</v>
      </c>
      <c r="L3682" s="455">
        <f t="shared" ca="1" si="154"/>
        <v>-1867841225684.1377</v>
      </c>
      <c r="M3682" s="471">
        <f t="shared" si="156"/>
        <v>0.05</v>
      </c>
      <c r="N3682" s="475">
        <f t="shared" si="157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55"/>
        <v>-1867841225684.1377</v>
      </c>
      <c r="J3683" s="455">
        <f t="array" ref="J3683">IFERROR(INDEX('Retirement Calculator'!K:K,MATCH('Lorri 401b'!N3683,'Retirement Calculator'!A:A,0),0),0)</f>
        <v>0</v>
      </c>
      <c r="K3683" s="455">
        <f t="shared" ca="1" si="153"/>
        <v>-7782671773.6839066</v>
      </c>
      <c r="L3683" s="455">
        <f t="shared" ca="1" si="154"/>
        <v>-1875623897457.8215</v>
      </c>
      <c r="M3683" s="471">
        <f t="shared" si="156"/>
        <v>0.05</v>
      </c>
      <c r="N3683" s="475">
        <f t="shared" si="157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55"/>
        <v>-1875623897457.8215</v>
      </c>
      <c r="J3684" s="455">
        <f t="array" ref="J3684">IFERROR(INDEX('Retirement Calculator'!K:K,MATCH('Lorri 401b'!N3684,'Retirement Calculator'!A:A,0),0),0)</f>
        <v>0</v>
      </c>
      <c r="K3684" s="455">
        <f t="shared" ca="1" si="153"/>
        <v>-7815099572.740922</v>
      </c>
      <c r="L3684" s="455">
        <f t="shared" ca="1" si="154"/>
        <v>-1883438997030.5625</v>
      </c>
      <c r="M3684" s="471">
        <f t="shared" si="156"/>
        <v>0.05</v>
      </c>
      <c r="N3684" s="475">
        <f t="shared" si="157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55"/>
        <v>-1883438997030.5625</v>
      </c>
      <c r="J3685" s="455">
        <f t="array" ref="J3685">IFERROR(INDEX('Retirement Calculator'!K:K,MATCH('Lorri 401b'!N3685,'Retirement Calculator'!A:A,0),0),0)</f>
        <v>0</v>
      </c>
      <c r="K3685" s="455">
        <f t="shared" ca="1" si="153"/>
        <v>-7847662487.6273432</v>
      </c>
      <c r="L3685" s="455">
        <f t="shared" ca="1" si="154"/>
        <v>-1891286659518.1899</v>
      </c>
      <c r="M3685" s="471">
        <f t="shared" si="156"/>
        <v>0.05</v>
      </c>
      <c r="N3685" s="475">
        <f t="shared" si="157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55"/>
        <v>-1891286659518.1899</v>
      </c>
      <c r="J3686" s="455">
        <f t="array" ref="J3686">IFERROR(INDEX('Retirement Calculator'!K:K,MATCH('Lorri 401b'!N3686,'Retirement Calculator'!A:A,0),0),0)</f>
        <v>0</v>
      </c>
      <c r="K3686" s="455">
        <f t="shared" ca="1" si="153"/>
        <v>-7880361081.3257914</v>
      </c>
      <c r="L3686" s="455">
        <f t="shared" ca="1" si="154"/>
        <v>-1899167020599.5156</v>
      </c>
      <c r="M3686" s="471">
        <f t="shared" si="156"/>
        <v>0.05</v>
      </c>
      <c r="N3686" s="475">
        <f t="shared" si="157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55"/>
        <v>-1899167020599.5156</v>
      </c>
      <c r="J3687" s="455">
        <f t="array" ref="J3687">IFERROR(INDEX('Retirement Calculator'!K:K,MATCH('Lorri 401b'!N3687,'Retirement Calculator'!A:A,0),0),0)</f>
        <v>0</v>
      </c>
      <c r="K3687" s="455">
        <f t="shared" ca="1" si="153"/>
        <v>-7913195919.1646481</v>
      </c>
      <c r="L3687" s="455">
        <f t="shared" ca="1" si="154"/>
        <v>-1907080216518.6802</v>
      </c>
      <c r="M3687" s="471">
        <f t="shared" si="156"/>
        <v>0.05</v>
      </c>
      <c r="N3687" s="475">
        <f t="shared" si="157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55"/>
        <v>-1907080216518.6802</v>
      </c>
      <c r="J3688" s="455">
        <f t="array" ref="J3688">IFERROR(INDEX('Retirement Calculator'!K:K,MATCH('Lorri 401b'!N3688,'Retirement Calculator'!A:A,0),0),0)</f>
        <v>0</v>
      </c>
      <c r="K3688" s="455">
        <f t="shared" ca="1" si="153"/>
        <v>-7946167568.8278332</v>
      </c>
      <c r="L3688" s="455">
        <f t="shared" ca="1" si="154"/>
        <v>-1915026384087.5081</v>
      </c>
      <c r="M3688" s="471">
        <f t="shared" si="156"/>
        <v>0.05</v>
      </c>
      <c r="N3688" s="475">
        <f t="shared" si="157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55"/>
        <v>-1915026384087.5081</v>
      </c>
      <c r="J3689" s="455">
        <f t="array" ref="J3689">IFERROR(INDEX('Retirement Calculator'!K:K,MATCH('Lorri 401b'!N3689,'Retirement Calculator'!A:A,0),0),0)</f>
        <v>0</v>
      </c>
      <c r="K3689" s="455">
        <f t="shared" ca="1" si="153"/>
        <v>-7979276600.3646164</v>
      </c>
      <c r="L3689" s="455">
        <f t="shared" ca="1" si="154"/>
        <v>-1923005660687.8726</v>
      </c>
      <c r="M3689" s="471">
        <f t="shared" si="156"/>
        <v>0.05</v>
      </c>
      <c r="N3689" s="475">
        <f t="shared" si="157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55"/>
        <v>-1923005660687.8726</v>
      </c>
      <c r="J3690" s="455">
        <f t="array" ref="J3690">IFERROR(INDEX('Retirement Calculator'!K:K,MATCH('Lorri 401b'!N3690,'Retirement Calculator'!A:A,0),0),0)</f>
        <v>0</v>
      </c>
      <c r="K3690" s="455">
        <f t="shared" ca="1" si="153"/>
        <v>-8012523586.1994686</v>
      </c>
      <c r="L3690" s="455">
        <f t="shared" ca="1" si="154"/>
        <v>-1931018184274.072</v>
      </c>
      <c r="M3690" s="471">
        <f t="shared" si="156"/>
        <v>0.05</v>
      </c>
      <c r="N3690" s="475">
        <f t="shared" si="157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55"/>
        <v>-1931018184274.072</v>
      </c>
      <c r="J3691" s="455">
        <f t="array" ref="J3691">IFERROR(INDEX('Retirement Calculator'!K:K,MATCH('Lorri 401b'!N3691,'Retirement Calculator'!A:A,0),0),0)</f>
        <v>0</v>
      </c>
      <c r="K3691" s="455">
        <f t="shared" ca="1" si="153"/>
        <v>-8045909101.1419659</v>
      </c>
      <c r="L3691" s="455">
        <f t="shared" ca="1" si="154"/>
        <v>-1939064093375.2139</v>
      </c>
      <c r="M3691" s="471">
        <f t="shared" si="156"/>
        <v>0.05</v>
      </c>
      <c r="N3691" s="475">
        <f t="shared" si="157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55"/>
        <v>-1939064093375.2139</v>
      </c>
      <c r="J3692" s="455">
        <f t="array" ref="J3692">IFERROR(INDEX('Retirement Calculator'!K:K,MATCH('Lorri 401b'!N3692,'Retirement Calculator'!A:A,0),0),0)</f>
        <v>0</v>
      </c>
      <c r="K3692" s="455">
        <f t="shared" ca="1" si="153"/>
        <v>-8079433722.3967257</v>
      </c>
      <c r="L3692" s="455">
        <f t="shared" ca="1" si="154"/>
        <v>-1947143527097.6106</v>
      </c>
      <c r="M3692" s="471">
        <f t="shared" si="156"/>
        <v>0.05</v>
      </c>
      <c r="N3692" s="475">
        <f t="shared" si="157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55"/>
        <v>-1947143527097.6106</v>
      </c>
      <c r="J3693" s="455">
        <f t="array" ref="J3693">IFERROR(INDEX('Retirement Calculator'!K:K,MATCH('Lorri 401b'!N3693,'Retirement Calculator'!A:A,0),0),0)</f>
        <v>0</v>
      </c>
      <c r="K3693" s="455">
        <f t="shared" ca="1" si="153"/>
        <v>-8113098029.5733786</v>
      </c>
      <c r="L3693" s="455">
        <f t="shared" ca="1" si="154"/>
        <v>-1955256625127.1841</v>
      </c>
      <c r="M3693" s="471">
        <f t="shared" si="156"/>
        <v>0.05</v>
      </c>
      <c r="N3693" s="475">
        <f t="shared" si="157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55"/>
        <v>-1955256625127.1841</v>
      </c>
      <c r="J3694" s="455">
        <f t="array" ref="J3694">IFERROR(INDEX('Retirement Calculator'!K:K,MATCH('Lorri 401b'!N3694,'Retirement Calculator'!A:A,0),0),0)</f>
        <v>0</v>
      </c>
      <c r="K3694" s="455">
        <f t="shared" ca="1" si="153"/>
        <v>-8146902604.6966</v>
      </c>
      <c r="L3694" s="455">
        <f t="shared" ca="1" si="154"/>
        <v>-1963403527731.8806</v>
      </c>
      <c r="M3694" s="471">
        <f t="shared" si="156"/>
        <v>0.05</v>
      </c>
      <c r="N3694" s="475">
        <f t="shared" si="157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55"/>
        <v>-1963403527731.8806</v>
      </c>
      <c r="J3695" s="455">
        <f t="array" ref="J3695">IFERROR(INDEX('Retirement Calculator'!K:K,MATCH('Lorri 401b'!N3695,'Retirement Calculator'!A:A,0),0),0)</f>
        <v>0</v>
      </c>
      <c r="K3695" s="455">
        <f t="shared" ca="1" si="153"/>
        <v>-8180848032.2161684</v>
      </c>
      <c r="L3695" s="455">
        <f t="shared" ca="1" si="154"/>
        <v>-1971584375764.0967</v>
      </c>
      <c r="M3695" s="471">
        <f t="shared" si="156"/>
        <v>0.05</v>
      </c>
      <c r="N3695" s="475">
        <f t="shared" si="157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55"/>
        <v>-1971584375764.0967</v>
      </c>
      <c r="J3696" s="455">
        <f t="array" ref="J3696">IFERROR(INDEX('Retirement Calculator'!K:K,MATCH('Lorri 401b'!N3696,'Retirement Calculator'!A:A,0),0),0)</f>
        <v>0</v>
      </c>
      <c r="K3696" s="455">
        <f t="shared" ca="1" si="153"/>
        <v>-8214934899.0170698</v>
      </c>
      <c r="L3696" s="455">
        <f t="shared" ca="1" si="154"/>
        <v>-1979799310663.1138</v>
      </c>
      <c r="M3696" s="471">
        <f t="shared" si="156"/>
        <v>0.05</v>
      </c>
      <c r="N3696" s="475">
        <f t="shared" si="157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55"/>
        <v>-1979799310663.1138</v>
      </c>
      <c r="J3697" s="455">
        <f t="array" ref="J3697">IFERROR(INDEX('Retirement Calculator'!K:K,MATCH('Lorri 401b'!N3697,'Retirement Calculator'!A:A,0),0),0)</f>
        <v>0</v>
      </c>
      <c r="K3697" s="455">
        <f t="shared" ca="1" si="153"/>
        <v>-8249163794.4296417</v>
      </c>
      <c r="L3697" s="455">
        <f t="shared" ca="1" si="154"/>
        <v>-1988048474457.5435</v>
      </c>
      <c r="M3697" s="471">
        <f t="shared" si="156"/>
        <v>0.05</v>
      </c>
      <c r="N3697" s="475">
        <f t="shared" si="157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55"/>
        <v>-1988048474457.5435</v>
      </c>
      <c r="J3698" s="455">
        <f t="array" ref="J3698">IFERROR(INDEX('Retirement Calculator'!K:K,MATCH('Lorri 401b'!N3698,'Retirement Calculator'!A:A,0),0),0)</f>
        <v>0</v>
      </c>
      <c r="K3698" s="455">
        <f t="shared" ca="1" si="153"/>
        <v>-8283535310.2397633</v>
      </c>
      <c r="L3698" s="455">
        <f t="shared" ca="1" si="154"/>
        <v>-1996332009767.7832</v>
      </c>
      <c r="M3698" s="471">
        <f t="shared" si="156"/>
        <v>0.05</v>
      </c>
      <c r="N3698" s="475">
        <f t="shared" si="157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55"/>
        <v>-1996332009767.7832</v>
      </c>
      <c r="J3699" s="455">
        <f t="array" ref="J3699">IFERROR(INDEX('Retirement Calculator'!K:K,MATCH('Lorri 401b'!N3699,'Retirement Calculator'!A:A,0),0),0)</f>
        <v>0</v>
      </c>
      <c r="K3699" s="455">
        <f t="shared" ca="1" si="153"/>
        <v>-8318050040.6990967</v>
      </c>
      <c r="L3699" s="455">
        <f t="shared" ca="1" si="154"/>
        <v>-2004650059808.4824</v>
      </c>
      <c r="M3699" s="471">
        <f t="shared" si="156"/>
        <v>0.05</v>
      </c>
      <c r="N3699" s="475">
        <f t="shared" si="157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55"/>
        <v>-2004650059808.4824</v>
      </c>
      <c r="J3700" s="455">
        <f t="array" ref="J3700">IFERROR(INDEX('Retirement Calculator'!K:K,MATCH('Lorri 401b'!N3700,'Retirement Calculator'!A:A,0),0),0)</f>
        <v>0</v>
      </c>
      <c r="K3700" s="455">
        <f t="shared" ca="1" si="153"/>
        <v>-8352708582.5353432</v>
      </c>
      <c r="L3700" s="455">
        <f t="shared" ca="1" si="154"/>
        <v>-2013002768391.0178</v>
      </c>
      <c r="M3700" s="471">
        <f t="shared" si="156"/>
        <v>0.05</v>
      </c>
      <c r="N3700" s="475">
        <f t="shared" si="157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55"/>
        <v>-2013002768391.0178</v>
      </c>
      <c r="J3701" s="455">
        <f t="array" ref="J3701">IFERROR(INDEX('Retirement Calculator'!K:K,MATCH('Lorri 401b'!N3701,'Retirement Calculator'!A:A,0),0),0)</f>
        <v>0</v>
      </c>
      <c r="K3701" s="455">
        <f t="shared" ca="1" si="153"/>
        <v>-8387511534.962574</v>
      </c>
      <c r="L3701" s="455">
        <f t="shared" ca="1" si="154"/>
        <v>-2021390279925.9805</v>
      </c>
      <c r="M3701" s="471">
        <f t="shared" si="156"/>
        <v>0.05</v>
      </c>
      <c r="N3701" s="475">
        <f t="shared" si="157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55"/>
        <v>-2021390279925.9805</v>
      </c>
      <c r="J3702" s="455">
        <f t="array" ref="J3702">IFERROR(INDEX('Retirement Calculator'!K:K,MATCH('Lorri 401b'!N3702,'Retirement Calculator'!A:A,0),0),0)</f>
        <v>0</v>
      </c>
      <c r="K3702" s="455">
        <f t="shared" ca="1" si="153"/>
        <v>-8422459499.6915855</v>
      </c>
      <c r="L3702" s="455">
        <f t="shared" ca="1" si="154"/>
        <v>-2029812739425.6721</v>
      </c>
      <c r="M3702" s="471">
        <f t="shared" si="156"/>
        <v>0.05</v>
      </c>
      <c r="N3702" s="475">
        <f t="shared" si="157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55"/>
        <v>-2029812739425.6721</v>
      </c>
      <c r="J3703" s="455">
        <f t="array" ref="J3703">IFERROR(INDEX('Retirement Calculator'!K:K,MATCH('Lorri 401b'!N3703,'Retirement Calculator'!A:A,0),0),0)</f>
        <v>0</v>
      </c>
      <c r="K3703" s="455">
        <f t="shared" ca="1" si="153"/>
        <v>-8457553080.9403</v>
      </c>
      <c r="L3703" s="455">
        <f t="shared" ca="1" si="154"/>
        <v>-2038270292506.6123</v>
      </c>
      <c r="M3703" s="471">
        <f t="shared" si="156"/>
        <v>0.05</v>
      </c>
      <c r="N3703" s="475">
        <f t="shared" si="157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55"/>
        <v>-2038270292506.6123</v>
      </c>
      <c r="J3704" s="455">
        <f t="array" ref="J3704">IFERROR(INDEX('Retirement Calculator'!K:K,MATCH('Lorri 401b'!N3704,'Retirement Calculator'!A:A,0),0),0)</f>
        <v>0</v>
      </c>
      <c r="K3704" s="455">
        <f t="shared" ca="1" si="153"/>
        <v>-8492792885.4442167</v>
      </c>
      <c r="L3704" s="455">
        <f t="shared" ca="1" si="154"/>
        <v>-2046763085392.0566</v>
      </c>
      <c r="M3704" s="471">
        <f t="shared" si="156"/>
        <v>0.05</v>
      </c>
      <c r="N3704" s="475">
        <f t="shared" si="157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55"/>
        <v>-2046763085392.0566</v>
      </c>
      <c r="J3705" s="455">
        <f t="array" ref="J3705">IFERROR(INDEX('Retirement Calculator'!K:K,MATCH('Lorri 401b'!N3705,'Retirement Calculator'!A:A,0),0),0)</f>
        <v>0</v>
      </c>
      <c r="K3705" s="455">
        <f t="shared" ca="1" si="153"/>
        <v>-8528179522.4669037</v>
      </c>
      <c r="L3705" s="455">
        <f t="shared" ca="1" si="154"/>
        <v>-2055291264914.5234</v>
      </c>
      <c r="M3705" s="471">
        <f t="shared" si="156"/>
        <v>0.05</v>
      </c>
      <c r="N3705" s="475">
        <f t="shared" si="157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55"/>
        <v>-2055291264914.5234</v>
      </c>
      <c r="J3706" s="455">
        <f t="array" ref="J3706">IFERROR(INDEX('Retirement Calculator'!K:K,MATCH('Lorri 401b'!N3706,'Retirement Calculator'!A:A,0),0),0)</f>
        <v>0</v>
      </c>
      <c r="K3706" s="455">
        <f t="shared" ca="1" si="153"/>
        <v>-8563713603.8105135</v>
      </c>
      <c r="L3706" s="455">
        <f t="shared" ca="1" si="154"/>
        <v>-2063854978518.334</v>
      </c>
      <c r="M3706" s="471">
        <f t="shared" si="156"/>
        <v>0.05</v>
      </c>
      <c r="N3706" s="475">
        <f t="shared" si="157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55"/>
        <v>-2063854978518.334</v>
      </c>
      <c r="J3707" s="455">
        <f t="array" ref="J3707">IFERROR(INDEX('Retirement Calculator'!K:K,MATCH('Lorri 401b'!N3707,'Retirement Calculator'!A:A,0),0),0)</f>
        <v>0</v>
      </c>
      <c r="K3707" s="455">
        <f t="shared" ca="1" si="153"/>
        <v>-8599395743.8263931</v>
      </c>
      <c r="L3707" s="455">
        <f t="shared" ca="1" si="154"/>
        <v>-2072454374262.1604</v>
      </c>
      <c r="M3707" s="471">
        <f t="shared" si="156"/>
        <v>0.05</v>
      </c>
      <c r="N3707" s="475">
        <f t="shared" si="157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55"/>
        <v>-2072454374262.1604</v>
      </c>
      <c r="J3708" s="455">
        <f t="array" ref="J3708">IFERROR(INDEX('Retirement Calculator'!K:K,MATCH('Lorri 401b'!N3708,'Retirement Calculator'!A:A,0),0),0)</f>
        <v>0</v>
      </c>
      <c r="K3708" s="455">
        <f t="shared" ca="1" si="153"/>
        <v>-8635226559.4256687</v>
      </c>
      <c r="L3708" s="455">
        <f t="shared" ca="1" si="154"/>
        <v>-2081089600821.5862</v>
      </c>
      <c r="M3708" s="471">
        <f t="shared" si="156"/>
        <v>0.05</v>
      </c>
      <c r="N3708" s="475">
        <f t="shared" si="157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55"/>
        <v>-2081089600821.5862</v>
      </c>
      <c r="J3709" s="455">
        <f t="array" ref="J3709">IFERROR(INDEX('Retirement Calculator'!K:K,MATCH('Lorri 401b'!N3709,'Retirement Calculator'!A:A,0),0),0)</f>
        <v>0</v>
      </c>
      <c r="K3709" s="455">
        <f t="shared" ca="1" si="153"/>
        <v>-8671206670.0899429</v>
      </c>
      <c r="L3709" s="455">
        <f t="shared" ca="1" si="154"/>
        <v>-2089760807491.676</v>
      </c>
      <c r="M3709" s="471">
        <f t="shared" si="156"/>
        <v>0.05</v>
      </c>
      <c r="N3709" s="475">
        <f t="shared" si="157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55"/>
        <v>-2089760807491.676</v>
      </c>
      <c r="J3710" s="455">
        <f t="array" ref="J3710">IFERROR(INDEX('Retirement Calculator'!K:K,MATCH('Lorri 401b'!N3710,'Retirement Calculator'!A:A,0),0),0)</f>
        <v>0</v>
      </c>
      <c r="K3710" s="455">
        <f t="shared" ca="1" si="153"/>
        <v>-8707336697.8819847</v>
      </c>
      <c r="L3710" s="455">
        <f t="shared" ca="1" si="154"/>
        <v>-2098468144189.5581</v>
      </c>
      <c r="M3710" s="471">
        <f t="shared" si="156"/>
        <v>0.05</v>
      </c>
      <c r="N3710" s="475">
        <f t="shared" si="157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55"/>
        <v>-2098468144189.5581</v>
      </c>
      <c r="J3711" s="455">
        <f t="array" ref="J3711">IFERROR(INDEX('Retirement Calculator'!K:K,MATCH('Lorri 401b'!N3711,'Retirement Calculator'!A:A,0),0),0)</f>
        <v>0</v>
      </c>
      <c r="K3711" s="455">
        <f t="shared" ca="1" si="153"/>
        <v>-8743617267.4564915</v>
      </c>
      <c r="L3711" s="455">
        <f t="shared" ca="1" si="154"/>
        <v>-2107211761457.0146</v>
      </c>
      <c r="M3711" s="471">
        <f t="shared" si="156"/>
        <v>0.05</v>
      </c>
      <c r="N3711" s="475">
        <f t="shared" si="157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55"/>
        <v>-2107211761457.0146</v>
      </c>
      <c r="J3712" s="455">
        <f t="array" ref="J3712">IFERROR(INDEX('Retirement Calculator'!K:K,MATCH('Lorri 401b'!N3712,'Retirement Calculator'!A:A,0),0),0)</f>
        <v>0</v>
      </c>
      <c r="K3712" s="455">
        <f t="shared" ca="1" si="153"/>
        <v>-8780049006.0708942</v>
      </c>
      <c r="L3712" s="455">
        <f t="shared" ca="1" si="154"/>
        <v>-2115991810463.0854</v>
      </c>
      <c r="M3712" s="471">
        <f t="shared" si="156"/>
        <v>0.05</v>
      </c>
      <c r="N3712" s="475">
        <f t="shared" si="157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55"/>
        <v>-2115991810463.0854</v>
      </c>
      <c r="J3713" s="455">
        <f t="array" ref="J3713">IFERROR(INDEX('Retirement Calculator'!K:K,MATCH('Lorri 401b'!N3713,'Retirement Calculator'!A:A,0),0),0)</f>
        <v>0</v>
      </c>
      <c r="K3713" s="455">
        <f t="shared" ca="1" si="153"/>
        <v>-8816632543.5961895</v>
      </c>
      <c r="L3713" s="455">
        <f t="shared" ca="1" si="154"/>
        <v>-2124808443006.6816</v>
      </c>
      <c r="M3713" s="471">
        <f t="shared" si="156"/>
        <v>0.05</v>
      </c>
      <c r="N3713" s="475">
        <f t="shared" si="157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55"/>
        <v>-2124808443006.6816</v>
      </c>
      <c r="J3714" s="455">
        <f t="array" ref="J3714">IFERROR(INDEX('Retirement Calculator'!K:K,MATCH('Lorri 401b'!N3714,'Retirement Calculator'!A:A,0),0),0)</f>
        <v>0</v>
      </c>
      <c r="K3714" s="455">
        <f t="shared" ca="1" si="153"/>
        <v>-8853368512.5278397</v>
      </c>
      <c r="L3714" s="455">
        <f t="shared" ca="1" si="154"/>
        <v>-2133661811519.2095</v>
      </c>
      <c r="M3714" s="471">
        <f t="shared" si="156"/>
        <v>0.05</v>
      </c>
      <c r="N3714" s="475">
        <f t="shared" si="157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55"/>
        <v>-2133661811519.2095</v>
      </c>
      <c r="J3715" s="455">
        <f t="array" ref="J3715">IFERROR(INDEX('Retirement Calculator'!K:K,MATCH('Lorri 401b'!N3715,'Retirement Calculator'!A:A,0),0),0)</f>
        <v>0</v>
      </c>
      <c r="K3715" s="455">
        <f t="shared" ca="1" si="153"/>
        <v>-8890257547.996706</v>
      </c>
      <c r="L3715" s="455">
        <f t="shared" ca="1" si="154"/>
        <v>-2142552069067.2063</v>
      </c>
      <c r="M3715" s="471">
        <f t="shared" si="156"/>
        <v>0.05</v>
      </c>
      <c r="N3715" s="475">
        <f t="shared" si="157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55"/>
        <v>-2142552069067.2063</v>
      </c>
      <c r="J3716" s="455">
        <f t="array" ref="J3716">IFERROR(INDEX('Retirement Calculator'!K:K,MATCH('Lorri 401b'!N3716,'Retirement Calculator'!A:A,0),0),0)</f>
        <v>0</v>
      </c>
      <c r="K3716" s="455">
        <f t="shared" ca="1" si="153"/>
        <v>-8927300287.7800274</v>
      </c>
      <c r="L3716" s="455">
        <f t="shared" ca="1" si="154"/>
        <v>-2151479369354.9863</v>
      </c>
      <c r="M3716" s="471">
        <f t="shared" si="156"/>
        <v>0.05</v>
      </c>
      <c r="N3716" s="475">
        <f t="shared" si="157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55"/>
        <v>-2151479369354.9863</v>
      </c>
      <c r="J3717" s="455">
        <f t="array" ref="J3717">IFERROR(INDEX('Retirement Calculator'!K:K,MATCH('Lorri 401b'!N3717,'Retirement Calculator'!A:A,0),0),0)</f>
        <v>0</v>
      </c>
      <c r="K3717" s="455">
        <f t="shared" ca="1" si="153"/>
        <v>-8964497372.3124428</v>
      </c>
      <c r="L3717" s="455">
        <f t="shared" ca="1" si="154"/>
        <v>-2160443866727.2988</v>
      </c>
      <c r="M3717" s="471">
        <f t="shared" si="156"/>
        <v>0.05</v>
      </c>
      <c r="N3717" s="475">
        <f t="shared" si="157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55"/>
        <v>-2160443866727.2988</v>
      </c>
      <c r="J3718" s="455">
        <f t="array" ref="J3718">IFERROR(INDEX('Retirement Calculator'!K:K,MATCH('Lorri 401b'!N3718,'Retirement Calculator'!A:A,0),0),0)</f>
        <v>0</v>
      </c>
      <c r="K3718" s="455">
        <f t="shared" ca="1" si="153"/>
        <v>-9001849444.6970768</v>
      </c>
      <c r="L3718" s="455">
        <f t="shared" ca="1" si="154"/>
        <v>-2169445716171.9958</v>
      </c>
      <c r="M3718" s="471">
        <f t="shared" si="156"/>
        <v>0.05</v>
      </c>
      <c r="N3718" s="475">
        <f t="shared" si="157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55"/>
        <v>-2169445716171.9958</v>
      </c>
      <c r="J3719" s="455">
        <f t="array" ref="J3719">IFERROR(INDEX('Retirement Calculator'!K:K,MATCH('Lorri 401b'!N3719,'Retirement Calculator'!A:A,0),0),0)</f>
        <v>0</v>
      </c>
      <c r="K3719" s="455">
        <f t="shared" ca="1" si="153"/>
        <v>-9039357150.71665</v>
      </c>
      <c r="L3719" s="455">
        <f t="shared" ca="1" si="154"/>
        <v>-2178485073322.7124</v>
      </c>
      <c r="M3719" s="471">
        <f t="shared" si="156"/>
        <v>0.05</v>
      </c>
      <c r="N3719" s="475">
        <f t="shared" si="157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55"/>
        <v>-2178485073322.7124</v>
      </c>
      <c r="J3720" s="455">
        <f t="array" ref="J3720">IFERROR(INDEX('Retirement Calculator'!K:K,MATCH('Lorri 401b'!N3720,'Retirement Calculator'!A:A,0),0),0)</f>
        <v>0</v>
      </c>
      <c r="K3720" s="455">
        <f t="shared" ca="1" si="153"/>
        <v>-9077021138.844635</v>
      </c>
      <c r="L3720" s="455">
        <f t="shared" ca="1" si="154"/>
        <v>-2187562094461.5571</v>
      </c>
      <c r="M3720" s="471">
        <f t="shared" si="156"/>
        <v>0.05</v>
      </c>
      <c r="N3720" s="475">
        <f t="shared" si="157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55"/>
        <v>-2187562094461.5571</v>
      </c>
      <c r="J3721" s="455">
        <f t="array" ref="J3721">IFERROR(INDEX('Retirement Calculator'!K:K,MATCH('Lorri 401b'!N3721,'Retirement Calculator'!A:A,0),0),0)</f>
        <v>0</v>
      </c>
      <c r="K3721" s="455">
        <f t="shared" ca="1" si="153"/>
        <v>-9114842060.2564888</v>
      </c>
      <c r="L3721" s="455">
        <f t="shared" ca="1" si="154"/>
        <v>-2196676936521.8137</v>
      </c>
      <c r="M3721" s="471">
        <f t="shared" si="156"/>
        <v>0.05</v>
      </c>
      <c r="N3721" s="475">
        <f t="shared" si="157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55"/>
        <v>-2196676936521.8137</v>
      </c>
      <c r="J3722" s="455">
        <f t="array" ref="J3722">IFERROR(INDEX('Retirement Calculator'!K:K,MATCH('Lorri 401b'!N3722,'Retirement Calculator'!A:A,0),0),0)</f>
        <v>0</v>
      </c>
      <c r="K3722" s="455">
        <f t="shared" ca="1" si="153"/>
        <v>-9152820568.8408909</v>
      </c>
      <c r="L3722" s="455">
        <f t="shared" ca="1" si="154"/>
        <v>-2205829757090.6548</v>
      </c>
      <c r="M3722" s="471">
        <f t="shared" si="156"/>
        <v>0.05</v>
      </c>
      <c r="N3722" s="475">
        <f t="shared" si="157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55"/>
        <v>-2205829757090.6548</v>
      </c>
      <c r="J3723" s="455">
        <f t="array" ref="J3723">IFERROR(INDEX('Retirement Calculator'!K:K,MATCH('Lorri 401b'!N3723,'Retirement Calculator'!A:A,0),0),0)</f>
        <v>0</v>
      </c>
      <c r="K3723" s="455">
        <f t="shared" ca="1" si="153"/>
        <v>-9190957321.2110615</v>
      </c>
      <c r="L3723" s="455">
        <f t="shared" ca="1" si="154"/>
        <v>-2215020714411.8657</v>
      </c>
      <c r="M3723" s="471">
        <f t="shared" si="156"/>
        <v>0.05</v>
      </c>
      <c r="N3723" s="475">
        <f t="shared" si="157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55"/>
        <v>-2215020714411.8657</v>
      </c>
      <c r="J3724" s="455">
        <f t="array" ref="J3724">IFERROR(INDEX('Retirement Calculator'!K:K,MATCH('Lorri 401b'!N3724,'Retirement Calculator'!A:A,0),0),0)</f>
        <v>0</v>
      </c>
      <c r="K3724" s="455">
        <f t="shared" ca="1" si="153"/>
        <v>-9229252976.7161064</v>
      </c>
      <c r="L3724" s="455">
        <f t="shared" ca="1" si="154"/>
        <v>-2224249967388.582</v>
      </c>
      <c r="M3724" s="471">
        <f t="shared" si="156"/>
        <v>0.05</v>
      </c>
      <c r="N3724" s="475">
        <f t="shared" si="157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55"/>
        <v>-2224249967388.582</v>
      </c>
      <c r="J3725" s="455">
        <f t="array" ref="J3725">IFERROR(INDEX('Retirement Calculator'!K:K,MATCH('Lorri 401b'!N3725,'Retirement Calculator'!A:A,0),0),0)</f>
        <v>0</v>
      </c>
      <c r="K3725" s="455">
        <f t="shared" ca="1" si="153"/>
        <v>-9267708197.452425</v>
      </c>
      <c r="L3725" s="455">
        <f t="shared" ca="1" si="154"/>
        <v>-2233517675586.0347</v>
      </c>
      <c r="M3725" s="471">
        <f t="shared" si="156"/>
        <v>0.05</v>
      </c>
      <c r="N3725" s="475">
        <f t="shared" si="157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55"/>
        <v>-2233517675586.0347</v>
      </c>
      <c r="J3726" s="455">
        <f t="array" ref="J3726">IFERROR(INDEX('Retirement Calculator'!K:K,MATCH('Lorri 401b'!N3726,'Retirement Calculator'!A:A,0),0),0)</f>
        <v>0</v>
      </c>
      <c r="K3726" s="455">
        <f t="shared" ca="1" si="153"/>
        <v>-9306323648.2751446</v>
      </c>
      <c r="L3726" s="455">
        <f t="shared" ca="1" si="154"/>
        <v>-2242823999234.3096</v>
      </c>
      <c r="M3726" s="471">
        <f t="shared" si="156"/>
        <v>0.05</v>
      </c>
      <c r="N3726" s="475">
        <f t="shared" si="157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55"/>
        <v>-2242823999234.3096</v>
      </c>
      <c r="J3727" s="455">
        <f t="array" ref="J3727">IFERROR(INDEX('Retirement Calculator'!K:K,MATCH('Lorri 401b'!N3727,'Retirement Calculator'!A:A,0),0),0)</f>
        <v>0</v>
      </c>
      <c r="K3727" s="455">
        <f t="shared" ca="1" si="153"/>
        <v>-9345099996.8096237</v>
      </c>
      <c r="L3727" s="455">
        <f t="shared" ca="1" si="154"/>
        <v>-2252169099231.1191</v>
      </c>
      <c r="M3727" s="471">
        <f t="shared" si="156"/>
        <v>0.05</v>
      </c>
      <c r="N3727" s="475">
        <f t="shared" si="157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55"/>
        <v>-2252169099231.1191</v>
      </c>
      <c r="J3728" s="455">
        <f t="array" ref="J3728">IFERROR(INDEX('Retirement Calculator'!K:K,MATCH('Lorri 401b'!N3728,'Retirement Calculator'!A:A,0),0),0)</f>
        <v>0</v>
      </c>
      <c r="K3728" s="455">
        <f t="shared" ca="1" si="153"/>
        <v>-9384037913.4629955</v>
      </c>
      <c r="L3728" s="455">
        <f t="shared" ca="1" si="154"/>
        <v>-2261553137144.582</v>
      </c>
      <c r="M3728" s="471">
        <f t="shared" si="156"/>
        <v>0.05</v>
      </c>
      <c r="N3728" s="475">
        <f t="shared" si="157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55"/>
        <v>-2261553137144.582</v>
      </c>
      <c r="J3729" s="455">
        <f t="array" ref="J3729">IFERROR(INDEX('Retirement Calculator'!K:K,MATCH('Lorri 401b'!N3729,'Retirement Calculator'!A:A,0),0),0)</f>
        <v>0</v>
      </c>
      <c r="K3729" s="455">
        <f t="shared" ca="1" si="153"/>
        <v>-9423138071.4357586</v>
      </c>
      <c r="L3729" s="455">
        <f t="shared" ca="1" si="154"/>
        <v>-2270976275216.0176</v>
      </c>
      <c r="M3729" s="471">
        <f t="shared" si="156"/>
        <v>0.05</v>
      </c>
      <c r="N3729" s="475">
        <f t="shared" si="157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55"/>
        <v>-2270976275216.0176</v>
      </c>
      <c r="J3730" s="455">
        <f t="array" ref="J3730">IFERROR(INDEX('Retirement Calculator'!K:K,MATCH('Lorri 401b'!N3730,'Retirement Calculator'!A:A,0),0),0)</f>
        <v>0</v>
      </c>
      <c r="K3730" s="455">
        <f t="shared" ca="1" si="153"/>
        <v>-9462401146.7334061</v>
      </c>
      <c r="L3730" s="455">
        <f t="shared" ca="1" si="154"/>
        <v>-2280438676362.751</v>
      </c>
      <c r="M3730" s="471">
        <f t="shared" si="156"/>
        <v>0.05</v>
      </c>
      <c r="N3730" s="475">
        <f t="shared" si="157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55"/>
        <v>-2280438676362.751</v>
      </c>
      <c r="J3731" s="455">
        <f t="array" ref="J3731">IFERROR(INDEX('Retirement Calculator'!K:K,MATCH('Lorri 401b'!N3731,'Retirement Calculator'!A:A,0),0),0)</f>
        <v>0</v>
      </c>
      <c r="K3731" s="455">
        <f t="shared" ca="1" si="153"/>
        <v>-9501827818.1781292</v>
      </c>
      <c r="L3731" s="455">
        <f t="shared" ca="1" si="154"/>
        <v>-2289940504180.9292</v>
      </c>
      <c r="M3731" s="471">
        <f t="shared" si="156"/>
        <v>0.05</v>
      </c>
      <c r="N3731" s="475">
        <f t="shared" si="157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55"/>
        <v>-2289940504180.9292</v>
      </c>
      <c r="J3732" s="455">
        <f t="array" ref="J3732">IFERROR(INDEX('Retirement Calculator'!K:K,MATCH('Lorri 401b'!N3732,'Retirement Calculator'!A:A,0),0),0)</f>
        <v>0</v>
      </c>
      <c r="K3732" s="455">
        <f t="shared" ca="1" si="153"/>
        <v>-9541418767.4205379</v>
      </c>
      <c r="L3732" s="455">
        <f t="shared" ca="1" si="154"/>
        <v>-2299481922948.3496</v>
      </c>
      <c r="M3732" s="471">
        <f t="shared" si="156"/>
        <v>0.05</v>
      </c>
      <c r="N3732" s="475">
        <f t="shared" si="157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55"/>
        <v>-2299481922948.3496</v>
      </c>
      <c r="J3733" s="455">
        <f t="array" ref="J3733">IFERROR(INDEX('Retirement Calculator'!K:K,MATCH('Lorri 401b'!N3733,'Retirement Calculator'!A:A,0),0),0)</f>
        <v>0</v>
      </c>
      <c r="K3733" s="455">
        <f t="shared" ca="1" si="153"/>
        <v>-9581174678.9514561</v>
      </c>
      <c r="L3733" s="455">
        <f t="shared" ca="1" si="154"/>
        <v>-2309063097627.3013</v>
      </c>
      <c r="M3733" s="471">
        <f t="shared" si="156"/>
        <v>0.05</v>
      </c>
      <c r="N3733" s="475">
        <f t="shared" si="157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55"/>
        <v>-2309063097627.3013</v>
      </c>
      <c r="J3734" s="455">
        <f t="array" ref="J3734">IFERROR(INDEX('Retirement Calculator'!K:K,MATCH('Lorri 401b'!N3734,'Retirement Calculator'!A:A,0),0),0)</f>
        <v>0</v>
      </c>
      <c r="K3734" s="455">
        <f t="shared" ca="1" si="153"/>
        <v>-9621096240.1137543</v>
      </c>
      <c r="L3734" s="455">
        <f t="shared" ca="1" si="154"/>
        <v>-2318684193867.415</v>
      </c>
      <c r="M3734" s="471">
        <f t="shared" si="156"/>
        <v>0.05</v>
      </c>
      <c r="N3734" s="475">
        <f t="shared" si="157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55"/>
        <v>-2318684193867.415</v>
      </c>
      <c r="J3735" s="455">
        <f t="array" ref="J3735">IFERROR(INDEX('Retirement Calculator'!K:K,MATCH('Lorri 401b'!N3735,'Retirement Calculator'!A:A,0),0),0)</f>
        <v>0</v>
      </c>
      <c r="K3735" s="455">
        <f t="shared" ca="1" si="153"/>
        <v>-9661184141.1142292</v>
      </c>
      <c r="L3735" s="455">
        <f t="shared" ca="1" si="154"/>
        <v>-2328345378008.5293</v>
      </c>
      <c r="M3735" s="471">
        <f t="shared" si="156"/>
        <v>0.05</v>
      </c>
      <c r="N3735" s="475">
        <f t="shared" si="157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55"/>
        <v>-2328345378008.5293</v>
      </c>
      <c r="J3736" s="455">
        <f t="array" ref="J3736">IFERROR(INDEX('Retirement Calculator'!K:K,MATCH('Lorri 401b'!N3736,'Retirement Calculator'!A:A,0),0),0)</f>
        <v>0</v>
      </c>
      <c r="K3736" s="455">
        <f t="shared" ca="1" si="153"/>
        <v>-9701439075.0355377</v>
      </c>
      <c r="L3736" s="455">
        <f t="shared" ca="1" si="154"/>
        <v>-2338046817083.5649</v>
      </c>
      <c r="M3736" s="471">
        <f t="shared" si="156"/>
        <v>0.05</v>
      </c>
      <c r="N3736" s="475">
        <f t="shared" si="157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55"/>
        <v>-2338046817083.5649</v>
      </c>
      <c r="J3737" s="455">
        <f t="array" ref="J3737">IFERROR(INDEX('Retirement Calculator'!K:K,MATCH('Lorri 401b'!N3737,'Retirement Calculator'!A:A,0),0),0)</f>
        <v>0</v>
      </c>
      <c r="K3737" s="455">
        <f t="shared" ca="1" si="153"/>
        <v>-9741861737.8481865</v>
      </c>
      <c r="L3737" s="455">
        <f t="shared" ca="1" si="154"/>
        <v>-2347788678821.4131</v>
      </c>
      <c r="M3737" s="471">
        <f t="shared" si="156"/>
        <v>0.05</v>
      </c>
      <c r="N3737" s="475">
        <f t="shared" si="157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55"/>
        <v>-2347788678821.4131</v>
      </c>
      <c r="J3738" s="455">
        <f t="array" ref="J3738">IFERROR(INDEX('Retirement Calculator'!K:K,MATCH('Lorri 401b'!N3738,'Retirement Calculator'!A:A,0),0),0)</f>
        <v>0</v>
      </c>
      <c r="K3738" s="455">
        <f t="shared" ca="1" si="153"/>
        <v>-9782452828.422554</v>
      </c>
      <c r="L3738" s="455">
        <f t="shared" ca="1" si="154"/>
        <v>-2357571131649.8354</v>
      </c>
      <c r="M3738" s="471">
        <f t="shared" si="156"/>
        <v>0.05</v>
      </c>
      <c r="N3738" s="475">
        <f t="shared" si="157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55"/>
        <v>-2357571131649.8354</v>
      </c>
      <c r="J3739" s="455">
        <f t="array" ref="J3739">IFERROR(INDEX('Retirement Calculator'!K:K,MATCH('Lorri 401b'!N3739,'Retirement Calculator'!A:A,0),0),0)</f>
        <v>0</v>
      </c>
      <c r="K3739" s="455">
        <f t="shared" ca="1" si="153"/>
        <v>-9823213048.5409813</v>
      </c>
      <c r="L3739" s="455">
        <f t="shared" ca="1" si="154"/>
        <v>-2367394344698.3765</v>
      </c>
      <c r="M3739" s="471">
        <f t="shared" si="156"/>
        <v>0.05</v>
      </c>
      <c r="N3739" s="475">
        <f t="shared" si="157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55"/>
        <v>-2367394344698.3765</v>
      </c>
      <c r="J3740" s="455">
        <f t="array" ref="J3740">IFERROR(INDEX('Retirement Calculator'!K:K,MATCH('Lorri 401b'!N3740,'Retirement Calculator'!A:A,0),0),0)</f>
        <v>0</v>
      </c>
      <c r="K3740" s="455">
        <f t="shared" ca="1" si="153"/>
        <v>-9864143102.9099026</v>
      </c>
      <c r="L3740" s="455">
        <f t="shared" ca="1" si="154"/>
        <v>-2377258487801.2861</v>
      </c>
      <c r="M3740" s="471">
        <f t="shared" si="156"/>
        <v>0.05</v>
      </c>
      <c r="N3740" s="475">
        <f t="shared" si="157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55"/>
        <v>-2377258487801.2861</v>
      </c>
      <c r="J3741" s="455">
        <f t="array" ref="J3741">IFERROR(INDEX('Retirement Calculator'!K:K,MATCH('Lorri 401b'!N3741,'Retirement Calculator'!A:A,0),0),0)</f>
        <v>0</v>
      </c>
      <c r="K3741" s="455">
        <f t="shared" ca="1" si="153"/>
        <v>-9905243699.1720257</v>
      </c>
      <c r="L3741" s="455">
        <f t="shared" ca="1" si="154"/>
        <v>-2387163731500.458</v>
      </c>
      <c r="M3741" s="471">
        <f t="shared" si="156"/>
        <v>0.05</v>
      </c>
      <c r="N3741" s="475">
        <f t="shared" si="157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55"/>
        <v>-2387163731500.458</v>
      </c>
      <c r="J3742" s="455">
        <f t="array" ref="J3742">IFERROR(INDEX('Retirement Calculator'!K:K,MATCH('Lorri 401b'!N3742,'Retirement Calculator'!A:A,0),0),0)</f>
        <v>0</v>
      </c>
      <c r="K3742" s="455">
        <f t="shared" ca="1" si="153"/>
        <v>-9946515547.9185753</v>
      </c>
      <c r="L3742" s="455">
        <f t="shared" ca="1" si="154"/>
        <v>-2397110247048.3765</v>
      </c>
      <c r="M3742" s="471">
        <f t="shared" si="156"/>
        <v>0.05</v>
      </c>
      <c r="N3742" s="475">
        <f t="shared" si="157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55"/>
        <v>-2397110247048.3765</v>
      </c>
      <c r="J3743" s="455">
        <f t="array" ref="J3743">IFERROR(INDEX('Retirement Calculator'!K:K,MATCH('Lorri 401b'!N3743,'Retirement Calculator'!A:A,0),0),0)</f>
        <v>0</v>
      </c>
      <c r="K3743" s="455">
        <f t="shared" ca="1" si="153"/>
        <v>-9987959362.7015686</v>
      </c>
      <c r="L3743" s="455">
        <f t="shared" ca="1" si="154"/>
        <v>-2407098206411.0781</v>
      </c>
      <c r="M3743" s="471">
        <f t="shared" si="156"/>
        <v>0.05</v>
      </c>
      <c r="N3743" s="475">
        <f t="shared" si="157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55"/>
        <v>-2407098206411.0781</v>
      </c>
      <c r="J3744" s="455">
        <f t="array" ref="J3744">IFERROR(INDEX('Retirement Calculator'!K:K,MATCH('Lorri 401b'!N3744,'Retirement Calculator'!A:A,0),0),0)</f>
        <v>0</v>
      </c>
      <c r="K3744" s="455">
        <f t="shared" ca="1" si="153"/>
        <v>-10029575860.046158</v>
      </c>
      <c r="L3744" s="455">
        <f t="shared" ca="1" si="154"/>
        <v>-2417127782271.1245</v>
      </c>
      <c r="M3744" s="471">
        <f t="shared" si="156"/>
        <v>0.05</v>
      </c>
      <c r="N3744" s="475">
        <f t="shared" si="157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55"/>
        <v>-2417127782271.1245</v>
      </c>
      <c r="J3745" s="455">
        <f t="array" ref="J3745">IFERROR(INDEX('Retirement Calculator'!K:K,MATCH('Lorri 401b'!N3745,'Retirement Calculator'!A:A,0),0),0)</f>
        <v>0</v>
      </c>
      <c r="K3745" s="455">
        <f t="shared" ca="1" si="153"/>
        <v>-10071365759.463018</v>
      </c>
      <c r="L3745" s="455">
        <f t="shared" ca="1" si="154"/>
        <v>-2427199148030.5874</v>
      </c>
      <c r="M3745" s="471">
        <f t="shared" si="156"/>
        <v>0.05</v>
      </c>
      <c r="N3745" s="475">
        <f t="shared" si="157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55"/>
        <v>-2427199148030.5874</v>
      </c>
      <c r="J3746" s="455">
        <f t="array" ref="J3746">IFERROR(INDEX('Retirement Calculator'!K:K,MATCH('Lorri 401b'!N3746,'Retirement Calculator'!A:A,0),0),0)</f>
        <v>0</v>
      </c>
      <c r="K3746" s="455">
        <f t="shared" ca="1" si="153"/>
        <v>-10113329783.460781</v>
      </c>
      <c r="L3746" s="455">
        <f t="shared" ca="1" si="154"/>
        <v>-2437312477814.0483</v>
      </c>
      <c r="M3746" s="471">
        <f t="shared" si="156"/>
        <v>0.05</v>
      </c>
      <c r="N3746" s="475">
        <f t="shared" si="157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55"/>
        <v>-2437312477814.0483</v>
      </c>
      <c r="J3747" s="455">
        <f t="array" ref="J3747">IFERROR(INDEX('Retirement Calculator'!K:K,MATCH('Lorri 401b'!N3747,'Retirement Calculator'!A:A,0),0),0)</f>
        <v>0</v>
      </c>
      <c r="K3747" s="455">
        <f t="shared" ca="1" si="153"/>
        <v>-10155468657.558535</v>
      </c>
      <c r="L3747" s="455">
        <f t="shared" ca="1" si="154"/>
        <v>-2447467946471.6069</v>
      </c>
      <c r="M3747" s="471">
        <f t="shared" si="156"/>
        <v>0.05</v>
      </c>
      <c r="N3747" s="475">
        <f t="shared" si="157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55"/>
        <v>-2447467946471.6069</v>
      </c>
      <c r="J3748" s="455">
        <f t="array" ref="J3748">IFERROR(INDEX('Retirement Calculator'!K:K,MATCH('Lorri 401b'!N3748,'Retirement Calculator'!A:A,0),0),0)</f>
        <v>0</v>
      </c>
      <c r="K3748" s="455">
        <f t="shared" ca="1" si="153"/>
        <v>-10197783110.298363</v>
      </c>
      <c r="L3748" s="455">
        <f t="shared" ca="1" si="154"/>
        <v>-2457665729581.9053</v>
      </c>
      <c r="M3748" s="471">
        <f t="shared" si="156"/>
        <v>0.05</v>
      </c>
      <c r="N3748" s="475">
        <f t="shared" si="157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55"/>
        <v>-2457665729581.9053</v>
      </c>
      <c r="J3749" s="455">
        <f t="array" ref="J3749">IFERROR(INDEX('Retirement Calculator'!K:K,MATCH('Lorri 401b'!N3749,'Retirement Calculator'!A:A,0),0),0)</f>
        <v>0</v>
      </c>
      <c r="K3749" s="455">
        <f t="shared" ca="1" si="153"/>
        <v>-10240273873.257938</v>
      </c>
      <c r="L3749" s="455">
        <f t="shared" ca="1" si="154"/>
        <v>-2467906003455.1631</v>
      </c>
      <c r="M3749" s="471">
        <f t="shared" si="156"/>
        <v>0.05</v>
      </c>
      <c r="N3749" s="475">
        <f t="shared" si="157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55"/>
        <v>-2467906003455.1631</v>
      </c>
      <c r="J3750" s="455">
        <f t="array" ref="J3750">IFERROR(INDEX('Retirement Calculator'!K:K,MATCH('Lorri 401b'!N3750,'Retirement Calculator'!A:A,0),0),0)</f>
        <v>0</v>
      </c>
      <c r="K3750" s="455">
        <f t="shared" ca="1" si="153"/>
        <v>-10282941681.063179</v>
      </c>
      <c r="L3750" s="455">
        <f t="shared" ca="1" si="154"/>
        <v>-2478188945136.2261</v>
      </c>
      <c r="M3750" s="471">
        <f t="shared" si="156"/>
        <v>0.05</v>
      </c>
      <c r="N3750" s="475">
        <f t="shared" si="157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55"/>
        <v>-2478188945136.2261</v>
      </c>
      <c r="J3751" s="455">
        <f t="array" ref="J3751">IFERROR(INDEX('Retirement Calculator'!K:K,MATCH('Lorri 401b'!N3751,'Retirement Calculator'!A:A,0),0),0)</f>
        <v>0</v>
      </c>
      <c r="K3751" s="455">
        <f t="shared" ca="1" si="153"/>
        <v>-10325787271.400942</v>
      </c>
      <c r="L3751" s="455">
        <f t="shared" ca="1" si="154"/>
        <v>-2488514732407.627</v>
      </c>
      <c r="M3751" s="471">
        <f t="shared" si="156"/>
        <v>0.05</v>
      </c>
      <c r="N3751" s="475">
        <f t="shared" si="157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55"/>
        <v>-2488514732407.627</v>
      </c>
      <c r="J3752" s="455">
        <f t="array" ref="J3752">IFERROR(INDEX('Retirement Calculator'!K:K,MATCH('Lorri 401b'!N3752,'Retirement Calculator'!A:A,0),0),0)</f>
        <v>0</v>
      </c>
      <c r="K3752" s="455">
        <f t="shared" ca="1" si="153"/>
        <v>-10368811385.031778</v>
      </c>
      <c r="L3752" s="455">
        <f t="shared" ca="1" si="154"/>
        <v>-2498883543792.6587</v>
      </c>
      <c r="M3752" s="471">
        <f t="shared" si="156"/>
        <v>0.05</v>
      </c>
      <c r="N3752" s="475">
        <f t="shared" si="157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55"/>
        <v>-2498883543792.6587</v>
      </c>
      <c r="J3753" s="455">
        <f t="array" ref="J3753">IFERROR(INDEX('Retirement Calculator'!K:K,MATCH('Lorri 401b'!N3753,'Retirement Calculator'!A:A,0),0),0)</f>
        <v>0</v>
      </c>
      <c r="K3753" s="455">
        <f t="shared" ca="1" si="153"/>
        <v>-10412014765.802744</v>
      </c>
      <c r="L3753" s="455">
        <f t="shared" ca="1" si="154"/>
        <v>-2509295558558.4614</v>
      </c>
      <c r="M3753" s="471">
        <f t="shared" si="156"/>
        <v>0.05</v>
      </c>
      <c r="N3753" s="475">
        <f t="shared" si="157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55"/>
        <v>-2509295558558.4614</v>
      </c>
      <c r="J3754" s="455">
        <f t="array" ref="J3754">IFERROR(INDEX('Retirement Calculator'!K:K,MATCH('Lorri 401b'!N3754,'Retirement Calculator'!A:A,0),0),0)</f>
        <v>0</v>
      </c>
      <c r="K3754" s="455">
        <f t="shared" ca="1" si="153"/>
        <v>-10455398160.660255</v>
      </c>
      <c r="L3754" s="455">
        <f t="shared" ca="1" si="154"/>
        <v>-2519750956719.1216</v>
      </c>
      <c r="M3754" s="471">
        <f t="shared" si="156"/>
        <v>0.05</v>
      </c>
      <c r="N3754" s="475">
        <f t="shared" si="157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55"/>
        <v>-2519750956719.1216</v>
      </c>
      <c r="J3755" s="455">
        <f t="array" ref="J3755">IFERROR(INDEX('Retirement Calculator'!K:K,MATCH('Lorri 401b'!N3755,'Retirement Calculator'!A:A,0),0),0)</f>
        <v>0</v>
      </c>
      <c r="K3755" s="455">
        <f t="shared" ca="1" si="153"/>
        <v>-10498962319.663006</v>
      </c>
      <c r="L3755" s="455">
        <f t="shared" ca="1" si="154"/>
        <v>-2530249919038.7847</v>
      </c>
      <c r="M3755" s="471">
        <f t="shared" si="156"/>
        <v>0.05</v>
      </c>
      <c r="N3755" s="475">
        <f t="shared" si="157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55"/>
        <v>-2530249919038.7847</v>
      </c>
      <c r="J3756" s="455">
        <f t="array" ref="J3756">IFERROR(INDEX('Retirement Calculator'!K:K,MATCH('Lorri 401b'!N3756,'Retirement Calculator'!A:A,0),0),0)</f>
        <v>0</v>
      </c>
      <c r="K3756" s="455">
        <f t="shared" ca="1" si="153"/>
        <v>-10542707995.994936</v>
      </c>
      <c r="L3756" s="455">
        <f t="shared" ca="1" si="154"/>
        <v>-2540792627034.7798</v>
      </c>
      <c r="M3756" s="471">
        <f t="shared" si="156"/>
        <v>0.05</v>
      </c>
      <c r="N3756" s="475">
        <f t="shared" si="157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55"/>
        <v>-2540792627034.7798</v>
      </c>
      <c r="J3757" s="455">
        <f t="array" ref="J3757">IFERROR(INDEX('Retirement Calculator'!K:K,MATCH('Lorri 401b'!N3757,'Retirement Calculator'!A:A,0),0),0)</f>
        <v>0</v>
      </c>
      <c r="K3757" s="455">
        <f t="shared" ca="1" si="153"/>
        <v>-10586635945.978249</v>
      </c>
      <c r="L3757" s="455">
        <f t="shared" ca="1" si="154"/>
        <v>-2551379262980.7578</v>
      </c>
      <c r="M3757" s="471">
        <f t="shared" si="156"/>
        <v>0.05</v>
      </c>
      <c r="N3757" s="475">
        <f t="shared" si="157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55"/>
        <v>-2551379262980.7578</v>
      </c>
      <c r="J3758" s="455">
        <f t="array" ref="J3758">IFERROR(INDEX('Retirement Calculator'!K:K,MATCH('Lorri 401b'!N3758,'Retirement Calculator'!A:A,0),0),0)</f>
        <v>0</v>
      </c>
      <c r="K3758" s="455">
        <f t="shared" ca="1" si="153"/>
        <v>-10630746929.086491</v>
      </c>
      <c r="L3758" s="455">
        <f t="shared" ca="1" si="154"/>
        <v>-2562010009909.8442</v>
      </c>
      <c r="M3758" s="471">
        <f t="shared" si="156"/>
        <v>0.05</v>
      </c>
      <c r="N3758" s="475">
        <f t="shared" si="157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55"/>
        <v>-2562010009909.8442</v>
      </c>
      <c r="J3759" s="455">
        <f t="array" ref="J3759">IFERROR(INDEX('Retirement Calculator'!K:K,MATCH('Lorri 401b'!N3759,'Retirement Calculator'!A:A,0),0),0)</f>
        <v>0</v>
      </c>
      <c r="K3759" s="455">
        <f t="shared" ca="1" si="153"/>
        <v>-10675041707.957684</v>
      </c>
      <c r="L3759" s="455">
        <f t="shared" ca="1" si="154"/>
        <v>-2572685051617.8018</v>
      </c>
      <c r="M3759" s="471">
        <f t="shared" si="156"/>
        <v>0.05</v>
      </c>
      <c r="N3759" s="475">
        <f t="shared" si="157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55"/>
        <v>-2572685051617.8018</v>
      </c>
      <c r="J3760" s="455">
        <f t="array" ref="J3760">IFERROR(INDEX('Retirement Calculator'!K:K,MATCH('Lorri 401b'!N3760,'Retirement Calculator'!A:A,0),0),0)</f>
        <v>0</v>
      </c>
      <c r="K3760" s="455">
        <f t="shared" ca="1" si="153"/>
        <v>-10719521048.407507</v>
      </c>
      <c r="L3760" s="455">
        <f t="shared" ca="1" si="154"/>
        <v>-2583404572666.2095</v>
      </c>
      <c r="M3760" s="471">
        <f t="shared" si="156"/>
        <v>0.05</v>
      </c>
      <c r="N3760" s="475">
        <f t="shared" si="157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55"/>
        <v>-2583404572666.2095</v>
      </c>
      <c r="J3761" s="455">
        <f t="array" ref="J3761">IFERROR(INDEX('Retirement Calculator'!K:K,MATCH('Lorri 401b'!N3761,'Retirement Calculator'!A:A,0),0),0)</f>
        <v>0</v>
      </c>
      <c r="K3761" s="455">
        <f t="shared" ca="1" si="153"/>
        <v>-10764185719.442539</v>
      </c>
      <c r="L3761" s="455">
        <f t="shared" ca="1" si="154"/>
        <v>-2594168758385.6519</v>
      </c>
      <c r="M3761" s="471">
        <f t="shared" si="156"/>
        <v>0.05</v>
      </c>
      <c r="N3761" s="475">
        <f t="shared" si="157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55"/>
        <v>-2594168758385.6519</v>
      </c>
      <c r="J3762" s="455">
        <f t="array" ref="J3762">IFERROR(INDEX('Retirement Calculator'!K:K,MATCH('Lorri 401b'!N3762,'Retirement Calculator'!A:A,0),0),0)</f>
        <v>0</v>
      </c>
      <c r="K3762" s="455">
        <f t="shared" ca="1" si="153"/>
        <v>-10809036493.27355</v>
      </c>
      <c r="L3762" s="455">
        <f t="shared" ca="1" si="154"/>
        <v>-2604977794878.9253</v>
      </c>
      <c r="M3762" s="471">
        <f t="shared" si="156"/>
        <v>0.05</v>
      </c>
      <c r="N3762" s="475">
        <f t="shared" si="157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55"/>
        <v>-2604977794878.9253</v>
      </c>
      <c r="J3763" s="455">
        <f t="array" ref="J3763">IFERROR(INDEX('Retirement Calculator'!K:K,MATCH('Lorri 401b'!N3763,'Retirement Calculator'!A:A,0),0),0)</f>
        <v>0</v>
      </c>
      <c r="K3763" s="455">
        <f t="shared" ca="1" si="153"/>
        <v>-10854074145.328856</v>
      </c>
      <c r="L3763" s="455">
        <f t="shared" ca="1" si="154"/>
        <v>-2615831869024.2539</v>
      </c>
      <c r="M3763" s="471">
        <f t="shared" si="156"/>
        <v>0.05</v>
      </c>
      <c r="N3763" s="475">
        <f t="shared" si="157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55"/>
        <v>-2615831869024.2539</v>
      </c>
      <c r="J3764" s="455">
        <f t="array" ref="J3764">IFERROR(INDEX('Retirement Calculator'!K:K,MATCH('Lorri 401b'!N3764,'Retirement Calculator'!A:A,0),0),0)</f>
        <v>0</v>
      </c>
      <c r="K3764" s="455">
        <f t="shared" ca="1" si="153"/>
        <v>-10899299454.267725</v>
      </c>
      <c r="L3764" s="455">
        <f t="shared" ca="1" si="154"/>
        <v>-2626731168478.5215</v>
      </c>
      <c r="M3764" s="471">
        <f t="shared" si="156"/>
        <v>0.05</v>
      </c>
      <c r="N3764" s="475">
        <f t="shared" si="157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55"/>
        <v>-2626731168478.5215</v>
      </c>
      <c r="J3765" s="455">
        <f t="array" ref="J3765">IFERROR(INDEX('Retirement Calculator'!K:K,MATCH('Lorri 401b'!N3765,'Retirement Calculator'!A:A,0),0),0)</f>
        <v>0</v>
      </c>
      <c r="K3765" s="455">
        <f t="shared" ca="1" si="153"/>
        <v>-10944713201.993839</v>
      </c>
      <c r="L3765" s="455">
        <f t="shared" ca="1" si="154"/>
        <v>-2637675881680.5151</v>
      </c>
      <c r="M3765" s="471">
        <f t="shared" si="156"/>
        <v>0.05</v>
      </c>
      <c r="N3765" s="475">
        <f t="shared" si="157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55"/>
        <v>-2637675881680.5151</v>
      </c>
      <c r="J3766" s="455">
        <f t="array" ref="J3766">IFERROR(INDEX('Retirement Calculator'!K:K,MATCH('Lorri 401b'!N3766,'Retirement Calculator'!A:A,0),0),0)</f>
        <v>0</v>
      </c>
      <c r="K3766" s="455">
        <f t="shared" ca="1" si="153"/>
        <v>-10990316173.668814</v>
      </c>
      <c r="L3766" s="455">
        <f t="shared" ca="1" si="154"/>
        <v>-2648666197854.1841</v>
      </c>
      <c r="M3766" s="471">
        <f t="shared" si="156"/>
        <v>0.05</v>
      </c>
      <c r="N3766" s="475">
        <f t="shared" si="157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55"/>
        <v>-2648666197854.1841</v>
      </c>
      <c r="J3767" s="455">
        <f t="array" ref="J3767">IFERROR(INDEX('Retirement Calculator'!K:K,MATCH('Lorri 401b'!N3767,'Retirement Calculator'!A:A,0),0),0)</f>
        <v>0</v>
      </c>
      <c r="K3767" s="455">
        <f t="shared" ca="1" si="153"/>
        <v>-11036109157.725767</v>
      </c>
      <c r="L3767" s="455">
        <f t="shared" ca="1" si="154"/>
        <v>-2659702307011.9097</v>
      </c>
      <c r="M3767" s="471">
        <f t="shared" si="156"/>
        <v>0.05</v>
      </c>
      <c r="N3767" s="475">
        <f t="shared" si="157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55"/>
        <v>-2659702307011.9097</v>
      </c>
      <c r="J3768" s="455">
        <f t="array" ref="J3768">IFERROR(INDEX('Retirement Calculator'!K:K,MATCH('Lorri 401b'!N3768,'Retirement Calculator'!A:A,0),0),0)</f>
        <v>0</v>
      </c>
      <c r="K3768" s="455">
        <f t="shared" ca="1" si="153"/>
        <v>-11082092945.882957</v>
      </c>
      <c r="L3768" s="455">
        <f t="shared" ca="1" si="154"/>
        <v>-2670784399957.7925</v>
      </c>
      <c r="M3768" s="471">
        <f t="shared" si="156"/>
        <v>0.05</v>
      </c>
      <c r="N3768" s="475">
        <f t="shared" si="157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55"/>
        <v>-2670784399957.7925</v>
      </c>
      <c r="J3769" s="455">
        <f t="array" ref="J3769">IFERROR(INDEX('Retirement Calculator'!K:K,MATCH('Lorri 401b'!N3769,'Retirement Calculator'!A:A,0),0),0)</f>
        <v>0</v>
      </c>
      <c r="K3769" s="455">
        <f t="shared" ca="1" si="153"/>
        <v>-11128268333.157469</v>
      </c>
      <c r="L3769" s="455">
        <f t="shared" ca="1" si="154"/>
        <v>-2681912668290.9497</v>
      </c>
      <c r="M3769" s="471">
        <f t="shared" si="156"/>
        <v>0.05</v>
      </c>
      <c r="N3769" s="475">
        <f t="shared" si="157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55"/>
        <v>-2681912668290.9497</v>
      </c>
      <c r="J3770" s="455">
        <f t="array" ref="J3770">IFERROR(INDEX('Retirement Calculator'!K:K,MATCH('Lorri 401b'!N3770,'Retirement Calculator'!A:A,0),0),0)</f>
        <v>0</v>
      </c>
      <c r="K3770" s="455">
        <f t="shared" ca="1" si="153"/>
        <v>-11174636117.878958</v>
      </c>
      <c r="L3770" s="455">
        <f t="shared" ca="1" si="154"/>
        <v>-2693087304408.8286</v>
      </c>
      <c r="M3770" s="471">
        <f t="shared" si="156"/>
        <v>0.05</v>
      </c>
      <c r="N3770" s="475">
        <f t="shared" si="157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55"/>
        <v>-2693087304408.8286</v>
      </c>
      <c r="J3771" s="455">
        <f t="array" ref="J3771">IFERROR(INDEX('Retirement Calculator'!K:K,MATCH('Lorri 401b'!N3771,'Retirement Calculator'!A:A,0),0),0)</f>
        <v>0</v>
      </c>
      <c r="K3771" s="455">
        <f t="shared" ca="1" si="153"/>
        <v>-11221197101.703453</v>
      </c>
      <c r="L3771" s="455">
        <f t="shared" ca="1" si="154"/>
        <v>-2704308501510.5322</v>
      </c>
      <c r="M3771" s="471">
        <f t="shared" si="156"/>
        <v>0.05</v>
      </c>
      <c r="N3771" s="475">
        <f t="shared" si="157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55"/>
        <v>-2704308501510.5322</v>
      </c>
      <c r="J3772" s="455">
        <f t="array" ref="J3772">IFERROR(INDEX('Retirement Calculator'!K:K,MATCH('Lorri 401b'!N3772,'Retirement Calculator'!A:A,0),0),0)</f>
        <v>0</v>
      </c>
      <c r="K3772" s="455">
        <f t="shared" ca="1" si="153"/>
        <v>-11267952089.627218</v>
      </c>
      <c r="L3772" s="455">
        <f t="shared" ca="1" si="154"/>
        <v>-2715576453600.1597</v>
      </c>
      <c r="M3772" s="471">
        <f t="shared" si="156"/>
        <v>0.05</v>
      </c>
      <c r="N3772" s="475">
        <f t="shared" si="157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55"/>
        <v>-2715576453600.1597</v>
      </c>
      <c r="J3773" s="455">
        <f t="array" ref="J3773">IFERROR(INDEX('Retirement Calculator'!K:K,MATCH('Lorri 401b'!N3773,'Retirement Calculator'!A:A,0),0),0)</f>
        <v>0</v>
      </c>
      <c r="K3773" s="455">
        <f t="shared" ca="1" si="153"/>
        <v>-11314901890.000666</v>
      </c>
      <c r="L3773" s="455">
        <f t="shared" ca="1" si="154"/>
        <v>-2726891355490.1602</v>
      </c>
      <c r="M3773" s="471">
        <f t="shared" si="156"/>
        <v>0.05</v>
      </c>
      <c r="N3773" s="475">
        <f t="shared" si="157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55"/>
        <v>-2726891355490.1602</v>
      </c>
      <c r="J3774" s="455">
        <f t="array" ref="J3774">IFERROR(INDEX('Retirement Calculator'!K:K,MATCH('Lorri 401b'!N3774,'Retirement Calculator'!A:A,0),0),0)</f>
        <v>0</v>
      </c>
      <c r="K3774" s="455">
        <f t="shared" ca="1" si="153"/>
        <v>-11362047314.542334</v>
      </c>
      <c r="L3774" s="455">
        <f t="shared" ca="1" si="154"/>
        <v>-2738253402804.7026</v>
      </c>
      <c r="M3774" s="471">
        <f t="shared" si="156"/>
        <v>0.05</v>
      </c>
      <c r="N3774" s="475">
        <f t="shared" si="157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55"/>
        <v>-2738253402804.7026</v>
      </c>
      <c r="J3775" s="455">
        <f t="array" ref="J3775">IFERROR(INDEX('Retirement Calculator'!K:K,MATCH('Lorri 401b'!N3775,'Retirement Calculator'!A:A,0),0),0)</f>
        <v>0</v>
      </c>
      <c r="K3775" s="455">
        <f t="shared" ca="1" si="153"/>
        <v>-11409389178.352928</v>
      </c>
      <c r="L3775" s="455">
        <f t="shared" ca="1" si="154"/>
        <v>-2749662791983.0557</v>
      </c>
      <c r="M3775" s="471">
        <f t="shared" si="156"/>
        <v>0.05</v>
      </c>
      <c r="N3775" s="475">
        <f t="shared" si="157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55"/>
        <v>-2749662791983.0557</v>
      </c>
      <c r="J3776" s="455">
        <f t="array" ref="J3776">IFERROR(INDEX('Retirement Calculator'!K:K,MATCH('Lorri 401b'!N3776,'Retirement Calculator'!A:A,0),0),0)</f>
        <v>0</v>
      </c>
      <c r="K3776" s="455">
        <f t="shared" ca="1" si="153"/>
        <v>-11456928299.929398</v>
      </c>
      <c r="L3776" s="455">
        <f t="shared" ca="1" si="154"/>
        <v>-2761119720282.9849</v>
      </c>
      <c r="M3776" s="471">
        <f t="shared" si="156"/>
        <v>0.05</v>
      </c>
      <c r="N3776" s="475">
        <f t="shared" si="157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55"/>
        <v>-2761119720282.9849</v>
      </c>
      <c r="J3777" s="455">
        <f t="array" ref="J3777">IFERROR(INDEX('Retirement Calculator'!K:K,MATCH('Lorri 401b'!N3777,'Retirement Calculator'!A:A,0),0),0)</f>
        <v>0</v>
      </c>
      <c r="K3777" s="455">
        <f t="shared" ca="1" si="153"/>
        <v>-11504665501.179104</v>
      </c>
      <c r="L3777" s="455">
        <f t="shared" ca="1" si="154"/>
        <v>-2772624385784.1641</v>
      </c>
      <c r="M3777" s="471">
        <f t="shared" si="156"/>
        <v>0.05</v>
      </c>
      <c r="N3777" s="475">
        <f t="shared" si="157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55"/>
        <v>-2772624385784.1641</v>
      </c>
      <c r="J3778" s="455">
        <f t="array" ref="J3778">IFERROR(INDEX('Retirement Calculator'!K:K,MATCH('Lorri 401b'!N3778,'Retirement Calculator'!A:A,0),0),0)</f>
        <v>0</v>
      </c>
      <c r="K3778" s="455">
        <f t="shared" ca="1" si="153"/>
        <v>-11552601607.434017</v>
      </c>
      <c r="L3778" s="455">
        <f t="shared" ca="1" si="154"/>
        <v>-2784176987391.5981</v>
      </c>
      <c r="M3778" s="471">
        <f t="shared" si="156"/>
        <v>0.05</v>
      </c>
      <c r="N3778" s="475">
        <f t="shared" si="157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55"/>
        <v>-2784176987391.5981</v>
      </c>
      <c r="J3779" s="455">
        <f t="array" ref="J3779">IFERROR(INDEX('Retirement Calculator'!K:K,MATCH('Lorri 401b'!N3779,'Retirement Calculator'!A:A,0),0),0)</f>
        <v>0</v>
      </c>
      <c r="K3779" s="455">
        <f t="shared" ca="1" si="153"/>
        <v>-11600737447.464993</v>
      </c>
      <c r="L3779" s="455">
        <f t="shared" ca="1" si="154"/>
        <v>-2795777724839.063</v>
      </c>
      <c r="M3779" s="471">
        <f t="shared" si="156"/>
        <v>0.05</v>
      </c>
      <c r="N3779" s="475">
        <f t="shared" si="157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55"/>
        <v>-2795777724839.063</v>
      </c>
      <c r="J3780" s="455">
        <f t="array" ref="J3780">IFERROR(INDEX('Retirement Calculator'!K:K,MATCH('Lorri 401b'!N3780,'Retirement Calculator'!A:A,0),0),0)</f>
        <v>0</v>
      </c>
      <c r="K3780" s="455">
        <f t="shared" ca="1" si="153"/>
        <v>-11649073853.496096</v>
      </c>
      <c r="L3780" s="455">
        <f t="shared" ca="1" si="154"/>
        <v>-2807426798692.5591</v>
      </c>
      <c r="M3780" s="471">
        <f t="shared" si="156"/>
        <v>0.05</v>
      </c>
      <c r="N3780" s="475">
        <f t="shared" si="157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55"/>
        <v>-2807426798692.5591</v>
      </c>
      <c r="J3781" s="455">
        <f t="array" ref="J3781">IFERROR(INDEX('Retirement Calculator'!K:K,MATCH('Lorri 401b'!N3781,'Retirement Calculator'!A:A,0),0),0)</f>
        <v>0</v>
      </c>
      <c r="K3781" s="455">
        <f t="shared" ca="1" si="153"/>
        <v>-11697611661.218996</v>
      </c>
      <c r="L3781" s="455">
        <f t="shared" ca="1" si="154"/>
        <v>-2819124410353.7783</v>
      </c>
      <c r="M3781" s="471">
        <f t="shared" si="156"/>
        <v>0.05</v>
      </c>
      <c r="N3781" s="475">
        <f t="shared" si="157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55"/>
        <v>-2819124410353.7783</v>
      </c>
      <c r="J3782" s="455">
        <f t="array" ref="J3782">IFERROR(INDEX('Retirement Calculator'!K:K,MATCH('Lorri 401b'!N3782,'Retirement Calculator'!A:A,0),0),0)</f>
        <v>0</v>
      </c>
      <c r="K3782" s="455">
        <f t="shared" ca="1" si="153"/>
        <v>-11746351709.807409</v>
      </c>
      <c r="L3782" s="455">
        <f t="shared" ca="1" si="154"/>
        <v>-2830870762063.5859</v>
      </c>
      <c r="M3782" s="471">
        <f t="shared" si="156"/>
        <v>0.05</v>
      </c>
      <c r="N3782" s="475">
        <f t="shared" si="157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55"/>
        <v>-2830870762063.5859</v>
      </c>
      <c r="J3783" s="455">
        <f t="array" ref="J3783">IFERROR(INDEX('Retirement Calculator'!K:K,MATCH('Lorri 401b'!N3783,'Retirement Calculator'!A:A,0),0),0)</f>
        <v>0</v>
      </c>
      <c r="K3783" s="455">
        <f t="shared" ca="1" si="153"/>
        <v>-11795294841.931608</v>
      </c>
      <c r="L3783" s="455">
        <f t="shared" ca="1" si="154"/>
        <v>-2842666056905.5176</v>
      </c>
      <c r="M3783" s="471">
        <f t="shared" si="156"/>
        <v>0.05</v>
      </c>
      <c r="N3783" s="475">
        <f t="shared" si="157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55"/>
        <v>-2842666056905.5176</v>
      </c>
      <c r="J3784" s="455">
        <f t="array" ref="J3784">IFERROR(INDEX('Retirement Calculator'!K:K,MATCH('Lorri 401b'!N3784,'Retirement Calculator'!A:A,0),0),0)</f>
        <v>0</v>
      </c>
      <c r="K3784" s="455">
        <f t="shared" ca="1" si="153"/>
        <v>-11844441903.772989</v>
      </c>
      <c r="L3784" s="455">
        <f t="shared" ca="1" si="154"/>
        <v>-2854510498809.2905</v>
      </c>
      <c r="M3784" s="471">
        <f t="shared" si="156"/>
        <v>0.05</v>
      </c>
      <c r="N3784" s="475">
        <f t="shared" si="157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55"/>
        <v>-2854510498809.2905</v>
      </c>
      <c r="J3785" s="455">
        <f t="array" ref="J3785">IFERROR(INDEX('Retirement Calculator'!K:K,MATCH('Lorri 401b'!N3785,'Retirement Calculator'!A:A,0),0),0)</f>
        <v>0</v>
      </c>
      <c r="K3785" s="455">
        <f t="shared" ca="1" si="153"/>
        <v>-11893793745.03871</v>
      </c>
      <c r="L3785" s="455">
        <f t="shared" ca="1" si="154"/>
        <v>-2866404292554.3291</v>
      </c>
      <c r="M3785" s="471">
        <f t="shared" si="156"/>
        <v>0.05</v>
      </c>
      <c r="N3785" s="475">
        <f t="shared" si="157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55"/>
        <v>-2866404292554.3291</v>
      </c>
      <c r="J3786" s="455">
        <f t="array" ref="J3786">IFERROR(INDEX('Retirement Calculator'!K:K,MATCH('Lorri 401b'!N3786,'Retirement Calculator'!A:A,0),0),0)</f>
        <v>0</v>
      </c>
      <c r="K3786" s="455">
        <f t="shared" ca="1" si="153"/>
        <v>-11943351218.976372</v>
      </c>
      <c r="L3786" s="455">
        <f t="shared" ca="1" si="154"/>
        <v>-2878347643773.3057</v>
      </c>
      <c r="M3786" s="471">
        <f t="shared" si="156"/>
        <v>0.05</v>
      </c>
      <c r="N3786" s="475">
        <f t="shared" si="157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55"/>
        <v>-2878347643773.3057</v>
      </c>
      <c r="J3787" s="455">
        <f t="array" ref="J3787">IFERROR(INDEX('Retirement Calculator'!K:K,MATCH('Lorri 401b'!N3787,'Retirement Calculator'!A:A,0),0),0)</f>
        <v>0</v>
      </c>
      <c r="K3787" s="455">
        <f t="shared" ca="1" si="153"/>
        <v>-11993115182.388773</v>
      </c>
      <c r="L3787" s="455">
        <f t="shared" ca="1" si="154"/>
        <v>-2890340758955.6943</v>
      </c>
      <c r="M3787" s="471">
        <f t="shared" si="156"/>
        <v>0.05</v>
      </c>
      <c r="N3787" s="475">
        <f t="shared" si="157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55"/>
        <v>-2890340758955.6943</v>
      </c>
      <c r="J3788" s="455">
        <f t="array" ref="J3788">IFERROR(INDEX('Retirement Calculator'!K:K,MATCH('Lorri 401b'!N3788,'Retirement Calculator'!A:A,0),0),0)</f>
        <v>0</v>
      </c>
      <c r="K3788" s="455">
        <f t="shared" ca="1" si="153"/>
        <v>-12043086495.648726</v>
      </c>
      <c r="L3788" s="455">
        <f t="shared" ca="1" si="154"/>
        <v>-2902383845451.3433</v>
      </c>
      <c r="M3788" s="471">
        <f t="shared" si="156"/>
        <v>0.05</v>
      </c>
      <c r="N3788" s="475">
        <f t="shared" si="157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55"/>
        <v>-2902383845451.3433</v>
      </c>
      <c r="J3789" s="455">
        <f t="array" ref="J3789">IFERROR(INDEX('Retirement Calculator'!K:K,MATCH('Lorri 401b'!N3789,'Retirement Calculator'!A:A,0),0),0)</f>
        <v>0</v>
      </c>
      <c r="K3789" s="455">
        <f t="shared" ca="1" si="153"/>
        <v>-12093266022.71393</v>
      </c>
      <c r="L3789" s="455">
        <f t="shared" ca="1" si="154"/>
        <v>-2914477111474.0571</v>
      </c>
      <c r="M3789" s="471">
        <f t="shared" si="156"/>
        <v>0.05</v>
      </c>
      <c r="N3789" s="475">
        <f t="shared" si="157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55"/>
        <v>-2914477111474.0571</v>
      </c>
      <c r="J3790" s="455">
        <f t="array" ref="J3790">IFERROR(INDEX('Retirement Calculator'!K:K,MATCH('Lorri 401b'!N3790,'Retirement Calculator'!A:A,0),0),0)</f>
        <v>0</v>
      </c>
      <c r="K3790" s="455">
        <f t="shared" ca="1" si="153"/>
        <v>-12143654631.141905</v>
      </c>
      <c r="L3790" s="455">
        <f t="shared" ca="1" si="154"/>
        <v>-2926620766105.1992</v>
      </c>
      <c r="M3790" s="471">
        <f t="shared" si="156"/>
        <v>0.05</v>
      </c>
      <c r="N3790" s="475">
        <f t="shared" si="157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55"/>
        <v>-2926620766105.1992</v>
      </c>
      <c r="J3791" s="455">
        <f t="array" ref="J3791">IFERROR(INDEX('Retirement Calculator'!K:K,MATCH('Lorri 401b'!N3791,'Retirement Calculator'!A:A,0),0),0)</f>
        <v>0</v>
      </c>
      <c r="K3791" s="455">
        <f t="shared" ca="1" si="153"/>
        <v>-12194253192.104996</v>
      </c>
      <c r="L3791" s="455">
        <f t="shared" ca="1" si="154"/>
        <v>-2938815019297.3042</v>
      </c>
      <c r="M3791" s="471">
        <f t="shared" si="156"/>
        <v>0.05</v>
      </c>
      <c r="N3791" s="475">
        <f t="shared" si="157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55"/>
        <v>-2938815019297.3042</v>
      </c>
      <c r="J3792" s="455">
        <f t="array" ref="J3792">IFERROR(INDEX('Retirement Calculator'!K:K,MATCH('Lorri 401b'!N3792,'Retirement Calculator'!A:A,0),0),0)</f>
        <v>0</v>
      </c>
      <c r="K3792" s="455">
        <f t="shared" ca="1" si="153"/>
        <v>-12245062580.405434</v>
      </c>
      <c r="L3792" s="455">
        <f t="shared" ca="1" si="154"/>
        <v>-2951060081877.7095</v>
      </c>
      <c r="M3792" s="471">
        <f t="shared" si="156"/>
        <v>0.05</v>
      </c>
      <c r="N3792" s="475">
        <f t="shared" si="157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55"/>
        <v>-2951060081877.7095</v>
      </c>
      <c r="J3793" s="455">
        <f t="array" ref="J3793">IFERROR(INDEX('Retirement Calculator'!K:K,MATCH('Lorri 401b'!N3793,'Retirement Calculator'!A:A,0),0),0)</f>
        <v>0</v>
      </c>
      <c r="K3793" s="455">
        <f t="shared" ca="1" si="153"/>
        <v>-12296083674.490456</v>
      </c>
      <c r="L3793" s="455">
        <f t="shared" ca="1" si="154"/>
        <v>-2963356165552.1997</v>
      </c>
      <c r="M3793" s="471">
        <f t="shared" si="156"/>
        <v>0.05</v>
      </c>
      <c r="N3793" s="475">
        <f t="shared" si="157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55"/>
        <v>-2963356165552.1997</v>
      </c>
      <c r="J3794" s="455">
        <f t="array" ref="J3794">IFERROR(INDEX('Retirement Calculator'!K:K,MATCH('Lorri 401b'!N3794,'Retirement Calculator'!A:A,0),0),0)</f>
        <v>0</v>
      </c>
      <c r="K3794" s="455">
        <f t="shared" ca="1" si="153"/>
        <v>-12347317356.467499</v>
      </c>
      <c r="L3794" s="455">
        <f t="shared" ca="1" si="154"/>
        <v>-2975703482908.667</v>
      </c>
      <c r="M3794" s="471">
        <f t="shared" si="156"/>
        <v>0.05</v>
      </c>
      <c r="N3794" s="475">
        <f t="shared" si="157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55"/>
        <v>-2975703482908.667</v>
      </c>
      <c r="J3795" s="455">
        <f t="array" ref="J3795">IFERROR(INDEX('Retirement Calculator'!K:K,MATCH('Lorri 401b'!N3795,'Retirement Calculator'!A:A,0),0),0)</f>
        <v>0</v>
      </c>
      <c r="K3795" s="455">
        <f t="shared" ca="1" si="153"/>
        <v>-12398764512.119446</v>
      </c>
      <c r="L3795" s="455">
        <f t="shared" ca="1" si="154"/>
        <v>-2988102247420.7866</v>
      </c>
      <c r="M3795" s="471">
        <f t="shared" si="156"/>
        <v>0.05</v>
      </c>
      <c r="N3795" s="475">
        <f t="shared" si="157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55"/>
        <v>-2988102247420.7866</v>
      </c>
      <c r="J3796" s="455">
        <f t="array" ref="J3796">IFERROR(INDEX('Retirement Calculator'!K:K,MATCH('Lorri 401b'!N3796,'Retirement Calculator'!A:A,0),0),0)</f>
        <v>0</v>
      </c>
      <c r="K3796" s="455">
        <f t="shared" ca="1" si="153"/>
        <v>-12450426030.919945</v>
      </c>
      <c r="L3796" s="455">
        <f t="shared" ca="1" si="154"/>
        <v>-3000552673451.7065</v>
      </c>
      <c r="M3796" s="471">
        <f t="shared" si="156"/>
        <v>0.05</v>
      </c>
      <c r="N3796" s="475">
        <f t="shared" si="157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55"/>
        <v>-3000552673451.7065</v>
      </c>
      <c r="J3797" s="455">
        <f t="array" ref="J3797">IFERROR(INDEX('Retirement Calculator'!K:K,MATCH('Lorri 401b'!N3797,'Retirement Calculator'!A:A,0),0),0)</f>
        <v>0</v>
      </c>
      <c r="K3797" s="455">
        <f t="shared" ca="1" si="153"/>
        <v>-12502302806.048777</v>
      </c>
      <c r="L3797" s="455">
        <f t="shared" ca="1" si="154"/>
        <v>-3013054976257.7554</v>
      </c>
      <c r="M3797" s="471">
        <f t="shared" si="156"/>
        <v>0.05</v>
      </c>
      <c r="N3797" s="475">
        <f t="shared" si="157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55"/>
        <v>-3013054976257.7554</v>
      </c>
      <c r="J3798" s="455">
        <f t="array" ref="J3798">IFERROR(INDEX('Retirement Calculator'!K:K,MATCH('Lorri 401b'!N3798,'Retirement Calculator'!A:A,0),0),0)</f>
        <v>0</v>
      </c>
      <c r="K3798" s="455">
        <f t="shared" ca="1" si="153"/>
        <v>-12554395734.407314</v>
      </c>
      <c r="L3798" s="455">
        <f t="shared" ca="1" si="154"/>
        <v>-3025609371992.1626</v>
      </c>
      <c r="M3798" s="471">
        <f t="shared" si="156"/>
        <v>0.05</v>
      </c>
      <c r="N3798" s="475">
        <f t="shared" si="157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55"/>
        <v>-3025609371992.1626</v>
      </c>
      <c r="J3799" s="455">
        <f t="array" ref="J3799">IFERROR(INDEX('Retirement Calculator'!K:K,MATCH('Lorri 401b'!N3799,'Retirement Calculator'!A:A,0),0),0)</f>
        <v>0</v>
      </c>
      <c r="K3799" s="455">
        <f t="shared" ca="1" si="153"/>
        <v>-12606705716.63401</v>
      </c>
      <c r="L3799" s="455">
        <f t="shared" ca="1" si="154"/>
        <v>-3038216077708.7964</v>
      </c>
      <c r="M3799" s="471">
        <f t="shared" si="156"/>
        <v>0.05</v>
      </c>
      <c r="N3799" s="475">
        <f t="shared" si="157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55"/>
        <v>-3038216077708.7964</v>
      </c>
      <c r="J3800" s="455">
        <f t="array" ref="J3800">IFERROR(INDEX('Retirement Calculator'!K:K,MATCH('Lorri 401b'!N3800,'Retirement Calculator'!A:A,0),0),0)</f>
        <v>0</v>
      </c>
      <c r="K3800" s="455">
        <f t="shared" ca="1" si="153"/>
        <v>-12659233657.119986</v>
      </c>
      <c r="L3800" s="455">
        <f t="shared" ca="1" si="154"/>
        <v>-3050875311365.9165</v>
      </c>
      <c r="M3800" s="471">
        <f t="shared" si="156"/>
        <v>0.05</v>
      </c>
      <c r="N3800" s="475">
        <f t="shared" si="157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55"/>
        <v>-3050875311365.9165</v>
      </c>
      <c r="J3801" s="455">
        <f t="array" ref="J3801">IFERROR(INDEX('Retirement Calculator'!K:K,MATCH('Lorri 401b'!N3801,'Retirement Calculator'!A:A,0),0),0)</f>
        <v>0</v>
      </c>
      <c r="K3801" s="455">
        <f t="shared" ca="1" si="153"/>
        <v>-12711980464.024652</v>
      </c>
      <c r="L3801" s="455">
        <f t="shared" ca="1" si="154"/>
        <v>-3063587291829.9409</v>
      </c>
      <c r="M3801" s="471">
        <f t="shared" si="156"/>
        <v>0.05</v>
      </c>
      <c r="N3801" s="475">
        <f t="shared" si="157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55"/>
        <v>-3063587291829.9409</v>
      </c>
      <c r="J3802" s="455">
        <f t="array" ref="J3802">IFERROR(INDEX('Retirement Calculator'!K:K,MATCH('Lorri 401b'!N3802,'Retirement Calculator'!A:A,0),0),0)</f>
        <v>0</v>
      </c>
      <c r="K3802" s="455">
        <f t="shared" ca="1" si="153"/>
        <v>-12764947049.29142</v>
      </c>
      <c r="L3802" s="455">
        <f t="shared" ca="1" si="154"/>
        <v>-3076352238879.2324</v>
      </c>
      <c r="M3802" s="471">
        <f t="shared" si="156"/>
        <v>0.05</v>
      </c>
      <c r="N3802" s="475">
        <f t="shared" si="157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55"/>
        <v>-3076352238879.2324</v>
      </c>
      <c r="J3803" s="455">
        <f t="array" ref="J3803">IFERROR(INDEX('Retirement Calculator'!K:K,MATCH('Lorri 401b'!N3803,'Retirement Calculator'!A:A,0),0),0)</f>
        <v>0</v>
      </c>
      <c r="K3803" s="455">
        <f t="shared" ca="1" si="153"/>
        <v>-12818134328.663467</v>
      </c>
      <c r="L3803" s="455">
        <f t="shared" ca="1" si="154"/>
        <v>-3089170373207.896</v>
      </c>
      <c r="M3803" s="471">
        <f t="shared" si="156"/>
        <v>0.05</v>
      </c>
      <c r="N3803" s="475">
        <f t="shared" si="157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55"/>
        <v>-3089170373207.896</v>
      </c>
      <c r="J3804" s="455">
        <f t="array" ref="J3804">IFERROR(INDEX('Retirement Calculator'!K:K,MATCH('Lorri 401b'!N3804,'Retirement Calculator'!A:A,0),0),0)</f>
        <v>0</v>
      </c>
      <c r="K3804" s="455">
        <f t="shared" ca="1" si="153"/>
        <v>-12871543221.699566</v>
      </c>
      <c r="L3804" s="455">
        <f t="shared" ca="1" si="154"/>
        <v>-3102041916429.5957</v>
      </c>
      <c r="M3804" s="471">
        <f t="shared" si="156"/>
        <v>0.05</v>
      </c>
      <c r="N3804" s="475">
        <f t="shared" si="157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55"/>
        <v>-3102041916429.5957</v>
      </c>
      <c r="J3805" s="455">
        <f t="array" ref="J3805">IFERROR(INDEX('Retirement Calculator'!K:K,MATCH('Lorri 401b'!N3805,'Retirement Calculator'!A:A,0),0),0)</f>
        <v>0</v>
      </c>
      <c r="K3805" s="455">
        <f t="shared" ca="1" si="153"/>
        <v>-12925174651.789982</v>
      </c>
      <c r="L3805" s="455">
        <f t="shared" ca="1" si="154"/>
        <v>-3114967091081.3857</v>
      </c>
      <c r="M3805" s="471">
        <f t="shared" si="156"/>
        <v>0.05</v>
      </c>
      <c r="N3805" s="475">
        <f t="shared" si="157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55"/>
        <v>-3114967091081.3857</v>
      </c>
      <c r="J3806" s="455">
        <f t="array" ref="J3806">IFERROR(INDEX('Retirement Calculator'!K:K,MATCH('Lorri 401b'!N3806,'Retirement Calculator'!A:A,0),0),0)</f>
        <v>0</v>
      </c>
      <c r="K3806" s="455">
        <f t="shared" ca="1" si="153"/>
        <v>-12979029546.17244</v>
      </c>
      <c r="L3806" s="455">
        <f t="shared" ca="1" si="154"/>
        <v>-3127946120627.5581</v>
      </c>
      <c r="M3806" s="471">
        <f t="shared" si="156"/>
        <v>0.05</v>
      </c>
      <c r="N3806" s="475">
        <f t="shared" si="157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55"/>
        <v>-3127946120627.5581</v>
      </c>
      <c r="J3807" s="455">
        <f t="array" ref="J3807">IFERROR(INDEX('Retirement Calculator'!K:K,MATCH('Lorri 401b'!N3807,'Retirement Calculator'!A:A,0),0),0)</f>
        <v>0</v>
      </c>
      <c r="K3807" s="455">
        <f t="shared" ca="1" si="153"/>
        <v>-13033108835.948158</v>
      </c>
      <c r="L3807" s="455">
        <f t="shared" ca="1" si="154"/>
        <v>-3140979229463.5063</v>
      </c>
      <c r="M3807" s="471">
        <f t="shared" si="156"/>
        <v>0.05</v>
      </c>
      <c r="N3807" s="475">
        <f t="shared" si="157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55"/>
        <v>-3140979229463.5063</v>
      </c>
      <c r="J3808" s="455">
        <f t="array" ref="J3808">IFERROR(INDEX('Retirement Calculator'!K:K,MATCH('Lorri 401b'!N3808,'Retirement Calculator'!A:A,0),0),0)</f>
        <v>0</v>
      </c>
      <c r="K3808" s="455">
        <f t="shared" ca="1" si="153"/>
        <v>-13087413456.097942</v>
      </c>
      <c r="L3808" s="455">
        <f t="shared" ca="1" si="154"/>
        <v>-3154066642919.6045</v>
      </c>
      <c r="M3808" s="471">
        <f t="shared" si="156"/>
        <v>0.05</v>
      </c>
      <c r="N3808" s="475">
        <f t="shared" si="157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55"/>
        <v>-3154066642919.6045</v>
      </c>
      <c r="J3809" s="455">
        <f t="array" ref="J3809">IFERROR(INDEX('Retirement Calculator'!K:K,MATCH('Lorri 401b'!N3809,'Retirement Calculator'!A:A,0),0),0)</f>
        <v>0</v>
      </c>
      <c r="K3809" s="455">
        <f t="shared" ca="1" si="153"/>
        <v>-13141944345.498352</v>
      </c>
      <c r="L3809" s="455">
        <f t="shared" ca="1" si="154"/>
        <v>-3167208587265.103</v>
      </c>
      <c r="M3809" s="471">
        <f t="shared" si="156"/>
        <v>0.05</v>
      </c>
      <c r="N3809" s="475">
        <f t="shared" si="157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55"/>
        <v>-3167208587265.103</v>
      </c>
      <c r="J3810" s="455">
        <f t="array" ref="J3810">IFERROR(INDEX('Retirement Calculator'!K:K,MATCH('Lorri 401b'!N3810,'Retirement Calculator'!A:A,0),0),0)</f>
        <v>0</v>
      </c>
      <c r="K3810" s="455">
        <f t="shared" ca="1" si="153"/>
        <v>-13196702446.937929</v>
      </c>
      <c r="L3810" s="455">
        <f t="shared" ca="1" si="154"/>
        <v>-3180405289712.041</v>
      </c>
      <c r="M3810" s="471">
        <f t="shared" si="156"/>
        <v>0.05</v>
      </c>
      <c r="N3810" s="475">
        <f t="shared" si="157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55"/>
        <v>-3180405289712.041</v>
      </c>
      <c r="J3811" s="455">
        <f t="array" ref="J3811">IFERROR(INDEX('Retirement Calculator'!K:K,MATCH('Lorri 401b'!N3811,'Retirement Calculator'!A:A,0),0),0)</f>
        <v>0</v>
      </c>
      <c r="K3811" s="455">
        <f t="shared" ca="1" si="153"/>
        <v>-13251688707.133505</v>
      </c>
      <c r="L3811" s="455">
        <f t="shared" ca="1" si="154"/>
        <v>-3193656978419.1743</v>
      </c>
      <c r="M3811" s="471">
        <f t="shared" si="156"/>
        <v>0.05</v>
      </c>
      <c r="N3811" s="475">
        <f t="shared" si="157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55"/>
        <v>-3193656978419.1743</v>
      </c>
      <c r="J3812" s="455">
        <f t="array" ref="J3812">IFERROR(INDEX('Retirement Calculator'!K:K,MATCH('Lorri 401b'!N3812,'Retirement Calculator'!A:A,0),0),0)</f>
        <v>0</v>
      </c>
      <c r="K3812" s="455">
        <f t="shared" ca="1" si="153"/>
        <v>-13306904076.746559</v>
      </c>
      <c r="L3812" s="455">
        <f t="shared" ca="1" si="154"/>
        <v>-3206963882495.9209</v>
      </c>
      <c r="M3812" s="471">
        <f t="shared" si="156"/>
        <v>0.05</v>
      </c>
      <c r="N3812" s="475">
        <f t="shared" si="157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55"/>
        <v>-3206963882495.9209</v>
      </c>
      <c r="J3813" s="455">
        <f t="array" ref="J3813">IFERROR(INDEX('Retirement Calculator'!K:K,MATCH('Lorri 401b'!N3813,'Retirement Calculator'!A:A,0),0),0)</f>
        <v>0</v>
      </c>
      <c r="K3813" s="455">
        <f t="shared" ca="1" si="153"/>
        <v>-13362349510.39967</v>
      </c>
      <c r="L3813" s="455">
        <f t="shared" ca="1" si="154"/>
        <v>-3220326232006.3208</v>
      </c>
      <c r="M3813" s="471">
        <f t="shared" si="156"/>
        <v>0.05</v>
      </c>
      <c r="N3813" s="475">
        <f t="shared" si="157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55"/>
        <v>-3220326232006.3208</v>
      </c>
      <c r="J3814" s="455">
        <f t="array" ref="J3814">IFERROR(INDEX('Retirement Calculator'!K:K,MATCH('Lorri 401b'!N3814,'Retirement Calculator'!A:A,0),0),0)</f>
        <v>0</v>
      </c>
      <c r="K3814" s="455">
        <f t="shared" ca="1" si="153"/>
        <v>-13418025966.693003</v>
      </c>
      <c r="L3814" s="455">
        <f t="shared" ca="1" si="154"/>
        <v>-3233744257973.0137</v>
      </c>
      <c r="M3814" s="471">
        <f t="shared" si="156"/>
        <v>0.05</v>
      </c>
      <c r="N3814" s="475">
        <f t="shared" si="157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55"/>
        <v>-3233744257973.0137</v>
      </c>
      <c r="J3815" s="455">
        <f t="array" ref="J3815">IFERROR(INDEX('Retirement Calculator'!K:K,MATCH('Lorri 401b'!N3815,'Retirement Calculator'!A:A,0),0),0)</f>
        <v>0</v>
      </c>
      <c r="K3815" s="455">
        <f t="shared" ca="1" si="153"/>
        <v>-13473934408.22089</v>
      </c>
      <c r="L3815" s="455">
        <f t="shared" ca="1" si="154"/>
        <v>-3247218192381.2344</v>
      </c>
      <c r="M3815" s="471">
        <f t="shared" si="156"/>
        <v>0.05</v>
      </c>
      <c r="N3815" s="475">
        <f t="shared" si="157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55"/>
        <v>-3247218192381.2344</v>
      </c>
      <c r="J3816" s="455">
        <f t="array" ref="J3816">IFERROR(INDEX('Retirement Calculator'!K:K,MATCH('Lorri 401b'!N3816,'Retirement Calculator'!A:A,0),0),0)</f>
        <v>0</v>
      </c>
      <c r="K3816" s="455">
        <f t="shared" ca="1" si="153"/>
        <v>-13530075801.588476</v>
      </c>
      <c r="L3816" s="455">
        <f t="shared" ca="1" si="154"/>
        <v>-3260748268182.8228</v>
      </c>
      <c r="M3816" s="471">
        <f t="shared" si="156"/>
        <v>0.05</v>
      </c>
      <c r="N3816" s="475">
        <f t="shared" si="157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55"/>
        <v>-3260748268182.8228</v>
      </c>
      <c r="J3817" s="455">
        <f t="array" ref="J3817">IFERROR(INDEX('Retirement Calculator'!K:K,MATCH('Lorri 401b'!N3817,'Retirement Calculator'!A:A,0),0),0)</f>
        <v>0</v>
      </c>
      <c r="K3817" s="455">
        <f t="shared" ca="1" si="153"/>
        <v>-13586451117.428429</v>
      </c>
      <c r="L3817" s="455">
        <f t="shared" ca="1" si="154"/>
        <v>-3274334719300.251</v>
      </c>
      <c r="M3817" s="471">
        <f t="shared" si="156"/>
        <v>0.05</v>
      </c>
      <c r="N3817" s="475">
        <f t="shared" si="157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55"/>
        <v>-3274334719300.251</v>
      </c>
      <c r="J3818" s="455">
        <f t="array" ref="J3818">IFERROR(INDEX('Retirement Calculator'!K:K,MATCH('Lorri 401b'!N3818,'Retirement Calculator'!A:A,0),0),0)</f>
        <v>0</v>
      </c>
      <c r="K3818" s="455">
        <f t="shared" ca="1" si="153"/>
        <v>-13643061330.417713</v>
      </c>
      <c r="L3818" s="455">
        <f t="shared" ca="1" si="154"/>
        <v>-3287977780630.6685</v>
      </c>
      <c r="M3818" s="471">
        <f t="shared" si="156"/>
        <v>0.05</v>
      </c>
      <c r="N3818" s="475">
        <f t="shared" si="157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55"/>
        <v>-3287977780630.6685</v>
      </c>
      <c r="J3819" s="455">
        <f t="array" ref="J3819">IFERROR(INDEX('Retirement Calculator'!K:K,MATCH('Lorri 401b'!N3819,'Retirement Calculator'!A:A,0),0),0)</f>
        <v>0</v>
      </c>
      <c r="K3819" s="455">
        <f t="shared" ca="1" si="153"/>
        <v>-13699907419.294453</v>
      </c>
      <c r="L3819" s="455">
        <f t="shared" ca="1" si="154"/>
        <v>-3301677688049.9629</v>
      </c>
      <c r="M3819" s="471">
        <f t="shared" si="156"/>
        <v>0.05</v>
      </c>
      <c r="N3819" s="475">
        <f t="shared" si="157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55"/>
        <v>-3301677688049.9629</v>
      </c>
      <c r="J3820" s="455">
        <f t="array" ref="J3820">IFERROR(INDEX('Retirement Calculator'!K:K,MATCH('Lorri 401b'!N3820,'Retirement Calculator'!A:A,0),0),0)</f>
        <v>0</v>
      </c>
      <c r="K3820" s="455">
        <f t="shared" ca="1" si="153"/>
        <v>-13756990366.874846</v>
      </c>
      <c r="L3820" s="455">
        <f t="shared" ca="1" si="154"/>
        <v>-3315434678416.8379</v>
      </c>
      <c r="M3820" s="471">
        <f t="shared" si="156"/>
        <v>0.05</v>
      </c>
      <c r="N3820" s="475">
        <f t="shared" si="157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55"/>
        <v>-3315434678416.8379</v>
      </c>
      <c r="J3821" s="455">
        <f t="array" ref="J3821">IFERROR(INDEX('Retirement Calculator'!K:K,MATCH('Lorri 401b'!N3821,'Retirement Calculator'!A:A,0),0),0)</f>
        <v>0</v>
      </c>
      <c r="K3821" s="455">
        <f t="shared" ca="1" si="153"/>
        <v>-13814311160.070158</v>
      </c>
      <c r="L3821" s="455">
        <f t="shared" ca="1" si="154"/>
        <v>-3329248989576.9082</v>
      </c>
      <c r="M3821" s="471">
        <f t="shared" si="156"/>
        <v>0.05</v>
      </c>
      <c r="N3821" s="475">
        <f t="shared" si="157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55"/>
        <v>-3329248989576.9082</v>
      </c>
      <c r="J3822" s="455">
        <f t="array" ref="J3822">IFERROR(INDEX('Retirement Calculator'!K:K,MATCH('Lorri 401b'!N3822,'Retirement Calculator'!A:A,0),0),0)</f>
        <v>0</v>
      </c>
      <c r="K3822" s="455">
        <f t="shared" ca="1" si="153"/>
        <v>-13871870789.903784</v>
      </c>
      <c r="L3822" s="455">
        <f t="shared" ca="1" si="154"/>
        <v>-3343120860366.812</v>
      </c>
      <c r="M3822" s="471">
        <f t="shared" si="156"/>
        <v>0.05</v>
      </c>
      <c r="N3822" s="475">
        <f t="shared" si="157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55"/>
        <v>-3343120860366.812</v>
      </c>
      <c r="J3823" s="455">
        <f t="array" ref="J3823">IFERROR(INDEX('Retirement Calculator'!K:K,MATCH('Lorri 401b'!N3823,'Retirement Calculator'!A:A,0),0),0)</f>
        <v>0</v>
      </c>
      <c r="K3823" s="455">
        <f t="shared" ca="1" si="153"/>
        <v>-13929670251.528383</v>
      </c>
      <c r="L3823" s="455">
        <f t="shared" ca="1" si="154"/>
        <v>-3357050530618.3403</v>
      </c>
      <c r="M3823" s="471">
        <f t="shared" si="156"/>
        <v>0.05</v>
      </c>
      <c r="N3823" s="475">
        <f t="shared" si="157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55"/>
        <v>-3357050530618.3403</v>
      </c>
      <c r="J3824" s="455">
        <f t="array" ref="J3824">IFERROR(INDEX('Retirement Calculator'!K:K,MATCH('Lorri 401b'!N3824,'Retirement Calculator'!A:A,0),0),0)</f>
        <v>0</v>
      </c>
      <c r="K3824" s="455">
        <f t="shared" ca="1" si="153"/>
        <v>-13987710544.243084</v>
      </c>
      <c r="L3824" s="455">
        <f t="shared" ca="1" si="154"/>
        <v>-3371038241162.5835</v>
      </c>
      <c r="M3824" s="471">
        <f t="shared" si="156"/>
        <v>0.05</v>
      </c>
      <c r="N3824" s="475">
        <f t="shared" si="157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55"/>
        <v>-3371038241162.5835</v>
      </c>
      <c r="J3825" s="455">
        <f t="array" ref="J3825">IFERROR(INDEX('Retirement Calculator'!K:K,MATCH('Lorri 401b'!N3825,'Retirement Calculator'!A:A,0),0),0)</f>
        <v>0</v>
      </c>
      <c r="K3825" s="455">
        <f t="shared" ca="1" si="153"/>
        <v>-14045992671.510765</v>
      </c>
      <c r="L3825" s="455">
        <f t="shared" ca="1" si="154"/>
        <v>-3385084233834.0942</v>
      </c>
      <c r="M3825" s="471">
        <f t="shared" si="156"/>
        <v>0.05</v>
      </c>
      <c r="N3825" s="475">
        <f t="shared" si="157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55"/>
        <v>-3385084233834.0942</v>
      </c>
      <c r="J3826" s="455">
        <f t="array" ref="J3826">IFERROR(INDEX('Retirement Calculator'!K:K,MATCH('Lorri 401b'!N3826,'Retirement Calculator'!A:A,0),0),0)</f>
        <v>0</v>
      </c>
      <c r="K3826" s="455">
        <f t="shared" ca="1" si="153"/>
        <v>-14104517640.975393</v>
      </c>
      <c r="L3826" s="455">
        <f t="shared" ca="1" si="154"/>
        <v>-3399188751475.0698</v>
      </c>
      <c r="M3826" s="471">
        <f t="shared" si="156"/>
        <v>0.05</v>
      </c>
      <c r="N3826" s="475">
        <f t="shared" si="157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55"/>
        <v>-3399188751475.0698</v>
      </c>
      <c r="J3827" s="455">
        <f t="array" ref="J3827">IFERROR(INDEX('Retirement Calculator'!K:K,MATCH('Lorri 401b'!N3827,'Retirement Calculator'!A:A,0),0),0)</f>
        <v>0</v>
      </c>
      <c r="K3827" s="455">
        <f t="shared" ca="1" si="153"/>
        <v>-14163286464.479458</v>
      </c>
      <c r="L3827" s="455">
        <f t="shared" ca="1" si="154"/>
        <v>-3413352037939.5493</v>
      </c>
      <c r="M3827" s="471">
        <f t="shared" si="156"/>
        <v>0.05</v>
      </c>
      <c r="N3827" s="475">
        <f t="shared" si="157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55"/>
        <v>-3413352037939.5493</v>
      </c>
      <c r="J3828" s="455">
        <f t="array" ref="J3828">IFERROR(INDEX('Retirement Calculator'!K:K,MATCH('Lorri 401b'!N3828,'Retirement Calculator'!A:A,0),0),0)</f>
        <v>0</v>
      </c>
      <c r="K3828" s="455">
        <f t="shared" ca="1" si="153"/>
        <v>-14222300158.081455</v>
      </c>
      <c r="L3828" s="455">
        <f t="shared" ca="1" si="154"/>
        <v>-3427574338097.6309</v>
      </c>
      <c r="M3828" s="471">
        <f t="shared" si="156"/>
        <v>0.05</v>
      </c>
      <c r="N3828" s="475">
        <f t="shared" si="157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55"/>
        <v>-3427574338097.6309</v>
      </c>
      <c r="J3829" s="455">
        <f t="array" ref="J3829">IFERROR(INDEX('Retirement Calculator'!K:K,MATCH('Lorri 401b'!N3829,'Retirement Calculator'!A:A,0),0),0)</f>
        <v>0</v>
      </c>
      <c r="K3829" s="455">
        <f t="shared" ca="1" si="153"/>
        <v>-14281559742.073462</v>
      </c>
      <c r="L3829" s="455">
        <f t="shared" ca="1" si="154"/>
        <v>-3441855897839.7041</v>
      </c>
      <c r="M3829" s="471">
        <f t="shared" si="156"/>
        <v>0.05</v>
      </c>
      <c r="N3829" s="475">
        <f t="shared" si="157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55"/>
        <v>-3441855897839.7041</v>
      </c>
      <c r="J3830" s="455">
        <f t="array" ref="J3830">IFERROR(INDEX('Retirement Calculator'!K:K,MATCH('Lorri 401b'!N3830,'Retirement Calculator'!A:A,0),0),0)</f>
        <v>0</v>
      </c>
      <c r="K3830" s="455">
        <f t="shared" ca="1" si="153"/>
        <v>-14341066240.998764</v>
      </c>
      <c r="L3830" s="455">
        <f t="shared" ca="1" si="154"/>
        <v>-3456196964080.7026</v>
      </c>
      <c r="M3830" s="471">
        <f t="shared" si="156"/>
        <v>0.05</v>
      </c>
      <c r="N3830" s="475">
        <f t="shared" si="157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55"/>
        <v>-3456196964080.7026</v>
      </c>
      <c r="J3831" s="455">
        <f t="array" ref="J3831">IFERROR(INDEX('Retirement Calculator'!K:K,MATCH('Lorri 401b'!N3831,'Retirement Calculator'!A:A,0),0),0)</f>
        <v>0</v>
      </c>
      <c r="K3831" s="455">
        <f t="shared" ca="1" si="153"/>
        <v>-14400820683.669594</v>
      </c>
      <c r="L3831" s="455">
        <f t="shared" ca="1" si="154"/>
        <v>-3470597784764.3721</v>
      </c>
      <c r="M3831" s="471">
        <f t="shared" si="156"/>
        <v>0.05</v>
      </c>
      <c r="N3831" s="475">
        <f t="shared" si="157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55"/>
        <v>-3470597784764.3721</v>
      </c>
      <c r="J3832" s="455">
        <f t="array" ref="J3832">IFERROR(INDEX('Retirement Calculator'!K:K,MATCH('Lorri 401b'!N3832,'Retirement Calculator'!A:A,0),0),0)</f>
        <v>0</v>
      </c>
      <c r="K3832" s="455">
        <f t="shared" ca="1" si="153"/>
        <v>-14460824103.184883</v>
      </c>
      <c r="L3832" s="455">
        <f t="shared" ca="1" si="154"/>
        <v>-3485058608867.5571</v>
      </c>
      <c r="M3832" s="471">
        <f t="shared" si="156"/>
        <v>0.05</v>
      </c>
      <c r="N3832" s="475">
        <f t="shared" si="157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55"/>
        <v>-3485058608867.5571</v>
      </c>
      <c r="J3833" s="455">
        <f t="array" ref="J3833">IFERROR(INDEX('Retirement Calculator'!K:K,MATCH('Lorri 401b'!N3833,'Retirement Calculator'!A:A,0),0),0)</f>
        <v>0</v>
      </c>
      <c r="K3833" s="455">
        <f t="shared" ref="K3833:K4087" ca="1" si="158">IPMT(M3833/12,1,12,-I3833+J3833,,0)</f>
        <v>-14521077536.948154</v>
      </c>
      <c r="L3833" s="455">
        <f t="shared" ref="L3833:L4087" ca="1" si="159">I3833-J3833+K3833</f>
        <v>-3499579686404.5054</v>
      </c>
      <c r="M3833" s="471">
        <f t="shared" si="156"/>
        <v>0.05</v>
      </c>
      <c r="N3833" s="475">
        <f t="shared" si="157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60">L3833</f>
        <v>-3499579686404.5054</v>
      </c>
      <c r="J3834" s="455">
        <f t="array" ref="J3834">IFERROR(INDEX('Retirement Calculator'!K:K,MATCH('Lorri 401b'!N3834,'Retirement Calculator'!A:A,0),0),0)</f>
        <v>0</v>
      </c>
      <c r="K3834" s="455">
        <f t="shared" ca="1" si="158"/>
        <v>-14581582026.685438</v>
      </c>
      <c r="L3834" s="455">
        <f t="shared" ca="1" si="159"/>
        <v>-3514161268431.1909</v>
      </c>
      <c r="M3834" s="471">
        <f t="shared" ref="M3834:M4088" si="161">M3833</f>
        <v>0.05</v>
      </c>
      <c r="N3834" s="475">
        <f t="shared" ref="N3834:N4088" si="162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60"/>
        <v>-3514161268431.1909</v>
      </c>
      <c r="J3835" s="455">
        <f t="array" ref="J3835">IFERROR(INDEX('Retirement Calculator'!K:K,MATCH('Lorri 401b'!N3835,'Retirement Calculator'!A:A,0),0),0)</f>
        <v>0</v>
      </c>
      <c r="K3835" s="455">
        <f t="shared" ca="1" si="158"/>
        <v>-14642338618.463293</v>
      </c>
      <c r="L3835" s="455">
        <f t="shared" ca="1" si="159"/>
        <v>-3528803607049.6543</v>
      </c>
      <c r="M3835" s="471">
        <f t="shared" si="161"/>
        <v>0.05</v>
      </c>
      <c r="N3835" s="475">
        <f t="shared" si="162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60"/>
        <v>-3528803607049.6543</v>
      </c>
      <c r="J3836" s="455">
        <f t="array" ref="J3836">IFERROR(INDEX('Retirement Calculator'!K:K,MATCH('Lorri 401b'!N3836,'Retirement Calculator'!A:A,0),0),0)</f>
        <v>0</v>
      </c>
      <c r="K3836" s="455">
        <f t="shared" ca="1" si="158"/>
        <v>-14703348362.706892</v>
      </c>
      <c r="L3836" s="455">
        <f t="shared" ca="1" si="159"/>
        <v>-3543506955412.3613</v>
      </c>
      <c r="M3836" s="471">
        <f t="shared" si="161"/>
        <v>0.05</v>
      </c>
      <c r="N3836" s="475">
        <f t="shared" si="162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60"/>
        <v>-3543506955412.3613</v>
      </c>
      <c r="J3837" s="455">
        <f t="array" ref="J3837">IFERROR(INDEX('Retirement Calculator'!K:K,MATCH('Lorri 401b'!N3837,'Retirement Calculator'!A:A,0),0),0)</f>
        <v>0</v>
      </c>
      <c r="K3837" s="455">
        <f t="shared" ca="1" si="158"/>
        <v>-14764612314.218172</v>
      </c>
      <c r="L3837" s="455">
        <f t="shared" ca="1" si="159"/>
        <v>-3558271567726.5796</v>
      </c>
      <c r="M3837" s="471">
        <f t="shared" si="161"/>
        <v>0.05</v>
      </c>
      <c r="N3837" s="475">
        <f t="shared" si="162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60"/>
        <v>-3558271567726.5796</v>
      </c>
      <c r="J3838" s="455">
        <f t="array" ref="J3838">IFERROR(INDEX('Retirement Calculator'!K:K,MATCH('Lorri 401b'!N3838,'Retirement Calculator'!A:A,0),0),0)</f>
        <v>0</v>
      </c>
      <c r="K3838" s="455">
        <f t="shared" ca="1" si="158"/>
        <v>-14826131532.194084</v>
      </c>
      <c r="L3838" s="455">
        <f t="shared" ca="1" si="159"/>
        <v>-3573097699258.7734</v>
      </c>
      <c r="M3838" s="471">
        <f t="shared" si="161"/>
        <v>0.05</v>
      </c>
      <c r="N3838" s="475">
        <f t="shared" si="162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60"/>
        <v>-3573097699258.7734</v>
      </c>
      <c r="J3839" s="455">
        <f t="array" ref="J3839">IFERROR(INDEX('Retirement Calculator'!K:K,MATCH('Lorri 401b'!N3839,'Retirement Calculator'!A:A,0),0),0)</f>
        <v>0</v>
      </c>
      <c r="K3839" s="455">
        <f t="shared" ca="1" si="158"/>
        <v>-14887907080.244888</v>
      </c>
      <c r="L3839" s="455">
        <f t="shared" ca="1" si="159"/>
        <v>-3587985606339.0186</v>
      </c>
      <c r="M3839" s="471">
        <f t="shared" si="161"/>
        <v>0.05</v>
      </c>
      <c r="N3839" s="475">
        <f t="shared" si="162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60"/>
        <v>-3587985606339.0186</v>
      </c>
      <c r="J3840" s="455">
        <f t="array" ref="J3840">IFERROR(INDEX('Retirement Calculator'!K:K,MATCH('Lorri 401b'!N3840,'Retirement Calculator'!A:A,0),0),0)</f>
        <v>0</v>
      </c>
      <c r="K3840" s="455">
        <f t="shared" ca="1" si="158"/>
        <v>-14949940026.412577</v>
      </c>
      <c r="L3840" s="455">
        <f t="shared" ca="1" si="159"/>
        <v>-3602935546365.4312</v>
      </c>
      <c r="M3840" s="471">
        <f t="shared" si="161"/>
        <v>0.05</v>
      </c>
      <c r="N3840" s="475">
        <f t="shared" si="162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60"/>
        <v>-3602935546365.4312</v>
      </c>
      <c r="J3841" s="455">
        <f t="array" ref="J3841">IFERROR(INDEX('Retirement Calculator'!K:K,MATCH('Lorri 401b'!N3841,'Retirement Calculator'!A:A,0),0),0)</f>
        <v>0</v>
      </c>
      <c r="K3841" s="455">
        <f t="shared" ca="1" si="158"/>
        <v>-15012231443.189299</v>
      </c>
      <c r="L3841" s="455">
        <f t="shared" ca="1" si="159"/>
        <v>-3617947777808.6206</v>
      </c>
      <c r="M3841" s="471">
        <f t="shared" si="161"/>
        <v>0.05</v>
      </c>
      <c r="N3841" s="475">
        <f t="shared" si="162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60"/>
        <v>-3617947777808.6206</v>
      </c>
      <c r="J3842" s="455">
        <f t="array" ref="J3842">IFERROR(INDEX('Retirement Calculator'!K:K,MATCH('Lorri 401b'!N3842,'Retirement Calculator'!A:A,0),0),0)</f>
        <v>0</v>
      </c>
      <c r="K3842" s="455">
        <f t="shared" ca="1" si="158"/>
        <v>-15074782407.535919</v>
      </c>
      <c r="L3842" s="455">
        <f t="shared" ca="1" si="159"/>
        <v>-3633022560216.1567</v>
      </c>
      <c r="M3842" s="471">
        <f t="shared" si="161"/>
        <v>0.05</v>
      </c>
      <c r="N3842" s="475">
        <f t="shared" si="162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60"/>
        <v>-3633022560216.1567</v>
      </c>
      <c r="J3843" s="455">
        <f t="array" ref="J3843">IFERROR(INDEX('Retirement Calculator'!K:K,MATCH('Lorri 401b'!N3843,'Retirement Calculator'!A:A,0),0),0)</f>
        <v>0</v>
      </c>
      <c r="K3843" s="455">
        <f t="shared" ca="1" si="158"/>
        <v>-15137594000.900652</v>
      </c>
      <c r="L3843" s="455">
        <f t="shared" ca="1" si="159"/>
        <v>-3648160154217.0576</v>
      </c>
      <c r="M3843" s="471">
        <f t="shared" si="161"/>
        <v>0.05</v>
      </c>
      <c r="N3843" s="475">
        <f t="shared" si="162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60"/>
        <v>-3648160154217.0576</v>
      </c>
      <c r="J3844" s="455">
        <f t="array" ref="J3844">IFERROR(INDEX('Retirement Calculator'!K:K,MATCH('Lorri 401b'!N3844,'Retirement Calculator'!A:A,0),0),0)</f>
        <v>0</v>
      </c>
      <c r="K3844" s="455">
        <f t="shared" ca="1" si="158"/>
        <v>-15200667309.23774</v>
      </c>
      <c r="L3844" s="455">
        <f t="shared" ca="1" si="159"/>
        <v>-3663360821526.2954</v>
      </c>
      <c r="M3844" s="471">
        <f t="shared" si="161"/>
        <v>0.05</v>
      </c>
      <c r="N3844" s="475">
        <f t="shared" si="162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60"/>
        <v>-3663360821526.2954</v>
      </c>
      <c r="J3845" s="455">
        <f t="array" ref="J3845">IFERROR(INDEX('Retirement Calculator'!K:K,MATCH('Lorri 401b'!N3845,'Retirement Calculator'!A:A,0),0),0)</f>
        <v>0</v>
      </c>
      <c r="K3845" s="455">
        <f t="shared" ca="1" si="158"/>
        <v>-15264003423.026228</v>
      </c>
      <c r="L3845" s="455">
        <f t="shared" ca="1" si="159"/>
        <v>-3678624824949.3218</v>
      </c>
      <c r="M3845" s="471">
        <f t="shared" si="161"/>
        <v>0.05</v>
      </c>
      <c r="N3845" s="475">
        <f t="shared" si="162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60"/>
        <v>-3678624824949.3218</v>
      </c>
      <c r="J3846" s="455">
        <f t="array" ref="J3846">IFERROR(INDEX('Retirement Calculator'!K:K,MATCH('Lorri 401b'!N3846,'Retirement Calculator'!A:A,0),0),0)</f>
        <v>0</v>
      </c>
      <c r="K3846" s="455">
        <f t="shared" ca="1" si="158"/>
        <v>-15327603437.288841</v>
      </c>
      <c r="L3846" s="455">
        <f t="shared" ca="1" si="159"/>
        <v>-3693952428386.6108</v>
      </c>
      <c r="M3846" s="471">
        <f t="shared" si="161"/>
        <v>0.05</v>
      </c>
      <c r="N3846" s="475">
        <f t="shared" si="162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60"/>
        <v>-3693952428386.6108</v>
      </c>
      <c r="J3847" s="455">
        <f t="array" ref="J3847">IFERROR(INDEX('Retirement Calculator'!K:K,MATCH('Lorri 401b'!N3847,'Retirement Calculator'!A:A,0),0),0)</f>
        <v>0</v>
      </c>
      <c r="K3847" s="455">
        <f t="shared" ca="1" si="158"/>
        <v>-15391468451.610878</v>
      </c>
      <c r="L3847" s="455">
        <f t="shared" ca="1" si="159"/>
        <v>-3709343896838.2217</v>
      </c>
      <c r="M3847" s="471">
        <f t="shared" si="161"/>
        <v>0.05</v>
      </c>
      <c r="N3847" s="475">
        <f t="shared" si="162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60"/>
        <v>-3709343896838.2217</v>
      </c>
      <c r="J3848" s="455">
        <f t="array" ref="J3848">IFERROR(INDEX('Retirement Calculator'!K:K,MATCH('Lorri 401b'!N3848,'Retirement Calculator'!A:A,0),0),0)</f>
        <v>0</v>
      </c>
      <c r="K3848" s="455">
        <f t="shared" ca="1" si="158"/>
        <v>-15455599570.159258</v>
      </c>
      <c r="L3848" s="455">
        <f t="shared" ca="1" si="159"/>
        <v>-3724799496408.3809</v>
      </c>
      <c r="M3848" s="471">
        <f t="shared" si="161"/>
        <v>0.05</v>
      </c>
      <c r="N3848" s="475">
        <f t="shared" si="162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60"/>
        <v>-3724799496408.3809</v>
      </c>
      <c r="J3849" s="455">
        <f t="array" ref="J3849">IFERROR(INDEX('Retirement Calculator'!K:K,MATCH('Lorri 401b'!N3849,'Retirement Calculator'!A:A,0),0),0)</f>
        <v>0</v>
      </c>
      <c r="K3849" s="455">
        <f t="shared" ca="1" si="158"/>
        <v>-15519997901.701586</v>
      </c>
      <c r="L3849" s="455">
        <f t="shared" ca="1" si="159"/>
        <v>-3740319494310.0825</v>
      </c>
      <c r="M3849" s="471">
        <f t="shared" si="161"/>
        <v>0.05</v>
      </c>
      <c r="N3849" s="475">
        <f t="shared" si="162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60"/>
        <v>-3740319494310.0825</v>
      </c>
      <c r="J3850" s="455">
        <f t="array" ref="J3850">IFERROR(INDEX('Retirement Calculator'!K:K,MATCH('Lorri 401b'!N3850,'Retirement Calculator'!A:A,0),0),0)</f>
        <v>0</v>
      </c>
      <c r="K3850" s="455">
        <f t="shared" ca="1" si="158"/>
        <v>-15584664559.625343</v>
      </c>
      <c r="L3850" s="455">
        <f t="shared" ca="1" si="159"/>
        <v>-3755904158869.708</v>
      </c>
      <c r="M3850" s="471">
        <f t="shared" si="161"/>
        <v>0.05</v>
      </c>
      <c r="N3850" s="475">
        <f t="shared" si="162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60"/>
        <v>-3755904158869.708</v>
      </c>
      <c r="J3851" s="455">
        <f t="array" ref="J3851">IFERROR(INDEX('Retirement Calculator'!K:K,MATCH('Lorri 401b'!N3851,'Retirement Calculator'!A:A,0),0),0)</f>
        <v>0</v>
      </c>
      <c r="K3851" s="455">
        <f t="shared" ca="1" si="158"/>
        <v>-15649600661.957117</v>
      </c>
      <c r="L3851" s="455">
        <f t="shared" ca="1" si="159"/>
        <v>-3771553759531.665</v>
      </c>
      <c r="M3851" s="471">
        <f t="shared" si="161"/>
        <v>0.05</v>
      </c>
      <c r="N3851" s="475">
        <f t="shared" si="162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60"/>
        <v>-3771553759531.665</v>
      </c>
      <c r="J3852" s="455">
        <f t="array" ref="J3852">IFERROR(INDEX('Retirement Calculator'!K:K,MATCH('Lorri 401b'!N3852,'Retirement Calculator'!A:A,0),0),0)</f>
        <v>0</v>
      </c>
      <c r="K3852" s="455">
        <f t="shared" ca="1" si="158"/>
        <v>-15714807331.381937</v>
      </c>
      <c r="L3852" s="455">
        <f t="shared" ca="1" si="159"/>
        <v>-3787268566863.0469</v>
      </c>
      <c r="M3852" s="471">
        <f t="shared" si="161"/>
        <v>0.05</v>
      </c>
      <c r="N3852" s="475">
        <f t="shared" si="162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60"/>
        <v>-3787268566863.0469</v>
      </c>
      <c r="J3853" s="455">
        <f t="array" ref="J3853">IFERROR(INDEX('Retirement Calculator'!K:K,MATCH('Lorri 401b'!N3853,'Retirement Calculator'!A:A,0),0),0)</f>
        <v>0</v>
      </c>
      <c r="K3853" s="455">
        <f t="shared" ca="1" si="158"/>
        <v>-15780285695.262695</v>
      </c>
      <c r="L3853" s="455">
        <f t="shared" ca="1" si="159"/>
        <v>-3803048852558.3096</v>
      </c>
      <c r="M3853" s="471">
        <f t="shared" si="161"/>
        <v>0.05</v>
      </c>
      <c r="N3853" s="475">
        <f t="shared" si="162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60"/>
        <v>-3803048852558.3096</v>
      </c>
      <c r="J3854" s="455">
        <f t="array" ref="J3854">IFERROR(INDEX('Retirement Calculator'!K:K,MATCH('Lorri 401b'!N3854,'Retirement Calculator'!A:A,0),0),0)</f>
        <v>0</v>
      </c>
      <c r="K3854" s="455">
        <f t="shared" ca="1" si="158"/>
        <v>-15846036885.659624</v>
      </c>
      <c r="L3854" s="455">
        <f t="shared" ca="1" si="159"/>
        <v>-3818894889443.9692</v>
      </c>
      <c r="M3854" s="471">
        <f t="shared" si="161"/>
        <v>0.05</v>
      </c>
      <c r="N3854" s="475">
        <f t="shared" si="162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60"/>
        <v>-3818894889443.9692</v>
      </c>
      <c r="J3855" s="455">
        <f t="array" ref="J3855">IFERROR(INDEX('Retirement Calculator'!K:K,MATCH('Lorri 401b'!N3855,'Retirement Calculator'!A:A,0),0),0)</f>
        <v>0</v>
      </c>
      <c r="K3855" s="455">
        <f t="shared" ca="1" si="158"/>
        <v>-15912062039.349871</v>
      </c>
      <c r="L3855" s="455">
        <f t="shared" ca="1" si="159"/>
        <v>-3834806951483.3193</v>
      </c>
      <c r="M3855" s="471">
        <f t="shared" si="161"/>
        <v>0.05</v>
      </c>
      <c r="N3855" s="475">
        <f t="shared" si="162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60"/>
        <v>-3834806951483.3193</v>
      </c>
      <c r="J3856" s="455">
        <f t="array" ref="J3856">IFERROR(INDEX('Retirement Calculator'!K:K,MATCH('Lorri 401b'!N3856,'Retirement Calculator'!A:A,0),0),0)</f>
        <v>0</v>
      </c>
      <c r="K3856" s="455">
        <f t="shared" ca="1" si="158"/>
        <v>-15978362297.847166</v>
      </c>
      <c r="L3856" s="455">
        <f t="shared" ca="1" si="159"/>
        <v>-3850785313781.1665</v>
      </c>
      <c r="M3856" s="471">
        <f t="shared" si="161"/>
        <v>0.05</v>
      </c>
      <c r="N3856" s="475">
        <f t="shared" si="162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60"/>
        <v>-3850785313781.1665</v>
      </c>
      <c r="J3857" s="455">
        <f t="array" ref="J3857">IFERROR(INDEX('Retirement Calculator'!K:K,MATCH('Lorri 401b'!N3857,'Retirement Calculator'!A:A,0),0),0)</f>
        <v>0</v>
      </c>
      <c r="K3857" s="455">
        <f t="shared" ca="1" si="158"/>
        <v>-16044938807.421526</v>
      </c>
      <c r="L3857" s="455">
        <f t="shared" ca="1" si="159"/>
        <v>-3866830252588.5879</v>
      </c>
      <c r="M3857" s="471">
        <f t="shared" si="161"/>
        <v>0.05</v>
      </c>
      <c r="N3857" s="475">
        <f t="shared" si="162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60"/>
        <v>-3866830252588.5879</v>
      </c>
      <c r="J3858" s="455">
        <f t="array" ref="J3858">IFERROR(INDEX('Retirement Calculator'!K:K,MATCH('Lorri 401b'!N3858,'Retirement Calculator'!A:A,0),0),0)</f>
        <v>0</v>
      </c>
      <c r="K3858" s="455">
        <f t="shared" ca="1" si="158"/>
        <v>-16111792719.119116</v>
      </c>
      <c r="L3858" s="455">
        <f t="shared" ca="1" si="159"/>
        <v>-3882942045307.707</v>
      </c>
      <c r="M3858" s="471">
        <f t="shared" si="161"/>
        <v>0.05</v>
      </c>
      <c r="N3858" s="475">
        <f t="shared" si="162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60"/>
        <v>-3882942045307.707</v>
      </c>
      <c r="J3859" s="455">
        <f t="array" ref="J3859">IFERROR(INDEX('Retirement Calculator'!K:K,MATCH('Lorri 401b'!N3859,'Retirement Calculator'!A:A,0),0),0)</f>
        <v>0</v>
      </c>
      <c r="K3859" s="455">
        <f t="shared" ca="1" si="158"/>
        <v>-16178925188.782114</v>
      </c>
      <c r="L3859" s="455">
        <f t="shared" ca="1" si="159"/>
        <v>-3899120970496.4893</v>
      </c>
      <c r="M3859" s="471">
        <f t="shared" si="161"/>
        <v>0.05</v>
      </c>
      <c r="N3859" s="475">
        <f t="shared" si="162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60"/>
        <v>-3899120970496.4893</v>
      </c>
      <c r="J3860" s="455">
        <f t="array" ref="J3860">IFERROR(INDEX('Retirement Calculator'!K:K,MATCH('Lorri 401b'!N3860,'Retirement Calculator'!A:A,0),0),0)</f>
        <v>0</v>
      </c>
      <c r="K3860" s="455">
        <f t="shared" ca="1" si="158"/>
        <v>-16246337377.068705</v>
      </c>
      <c r="L3860" s="455">
        <f t="shared" ca="1" si="159"/>
        <v>-3915367307873.5581</v>
      </c>
      <c r="M3860" s="471">
        <f t="shared" si="161"/>
        <v>0.05</v>
      </c>
      <c r="N3860" s="475">
        <f t="shared" si="162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60"/>
        <v>-3915367307873.5581</v>
      </c>
      <c r="J3861" s="455">
        <f t="array" ref="J3861">IFERROR(INDEX('Retirement Calculator'!K:K,MATCH('Lorri 401b'!N3861,'Retirement Calculator'!A:A,0),0),0)</f>
        <v>0</v>
      </c>
      <c r="K3861" s="455">
        <f t="shared" ca="1" si="158"/>
        <v>-16314030449.473158</v>
      </c>
      <c r="L3861" s="455">
        <f t="shared" ca="1" si="159"/>
        <v>-3931681338323.0313</v>
      </c>
      <c r="M3861" s="471">
        <f t="shared" si="161"/>
        <v>0.05</v>
      </c>
      <c r="N3861" s="475">
        <f t="shared" si="162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60"/>
        <v>-3931681338323.0313</v>
      </c>
      <c r="J3862" s="455">
        <f t="array" ref="J3862">IFERROR(INDEX('Retirement Calculator'!K:K,MATCH('Lorri 401b'!N3862,'Retirement Calculator'!A:A,0),0),0)</f>
        <v>0</v>
      </c>
      <c r="K3862" s="455">
        <f t="shared" ca="1" si="158"/>
        <v>-16382005576.345963</v>
      </c>
      <c r="L3862" s="455">
        <f t="shared" ca="1" si="159"/>
        <v>-3948063343899.3774</v>
      </c>
      <c r="M3862" s="471">
        <f t="shared" si="161"/>
        <v>0.05</v>
      </c>
      <c r="N3862" s="475">
        <f t="shared" si="162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60"/>
        <v>-3948063343899.3774</v>
      </c>
      <c r="J3863" s="455">
        <f t="array" ref="J3863">IFERROR(INDEX('Retirement Calculator'!K:K,MATCH('Lorri 401b'!N3863,'Retirement Calculator'!A:A,0),0),0)</f>
        <v>0</v>
      </c>
      <c r="K3863" s="455">
        <f t="shared" ca="1" si="158"/>
        <v>-16450263932.914072</v>
      </c>
      <c r="L3863" s="455">
        <f t="shared" ca="1" si="159"/>
        <v>-3964513607832.2915</v>
      </c>
      <c r="M3863" s="471">
        <f t="shared" si="161"/>
        <v>0.05</v>
      </c>
      <c r="N3863" s="475">
        <f t="shared" si="162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60"/>
        <v>-3964513607832.2915</v>
      </c>
      <c r="J3864" s="455">
        <f t="array" ref="J3864">IFERROR(INDEX('Retirement Calculator'!K:K,MATCH('Lorri 401b'!N3864,'Retirement Calculator'!A:A,0),0),0)</f>
        <v>0</v>
      </c>
      <c r="K3864" s="455">
        <f t="shared" ca="1" si="158"/>
        <v>-16518806699.301214</v>
      </c>
      <c r="L3864" s="455">
        <f t="shared" ca="1" si="159"/>
        <v>-3981032414531.5928</v>
      </c>
      <c r="M3864" s="471">
        <f t="shared" si="161"/>
        <v>0.05</v>
      </c>
      <c r="N3864" s="475">
        <f t="shared" si="162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60"/>
        <v>-3981032414531.5928</v>
      </c>
      <c r="J3865" s="455">
        <f t="array" ref="J3865">IFERROR(INDEX('Retirement Calculator'!K:K,MATCH('Lorri 401b'!N3865,'Retirement Calculator'!A:A,0),0),0)</f>
        <v>0</v>
      </c>
      <c r="K3865" s="455">
        <f t="shared" ca="1" si="158"/>
        <v>-16587635060.548306</v>
      </c>
      <c r="L3865" s="455">
        <f t="shared" ca="1" si="159"/>
        <v>-3997620049592.1411</v>
      </c>
      <c r="M3865" s="471">
        <f t="shared" si="161"/>
        <v>0.05</v>
      </c>
      <c r="N3865" s="475">
        <f t="shared" si="162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60"/>
        <v>-3997620049592.1411</v>
      </c>
      <c r="J3866" s="455">
        <f t="array" ref="J3866">IFERROR(INDEX('Retirement Calculator'!K:K,MATCH('Lorri 401b'!N3866,'Retirement Calculator'!A:A,0),0),0)</f>
        <v>0</v>
      </c>
      <c r="K3866" s="455">
        <f t="shared" ca="1" si="158"/>
        <v>-16656750206.633923</v>
      </c>
      <c r="L3866" s="455">
        <f t="shared" ca="1" si="159"/>
        <v>-4014276799798.7749</v>
      </c>
      <c r="M3866" s="471">
        <f t="shared" si="161"/>
        <v>0.05</v>
      </c>
      <c r="N3866" s="475">
        <f t="shared" si="162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60"/>
        <v>-4014276799798.7749</v>
      </c>
      <c r="J3867" s="455">
        <f t="array" ref="J3867">IFERROR(INDEX('Retirement Calculator'!K:K,MATCH('Lorri 401b'!N3867,'Retirement Calculator'!A:A,0),0),0)</f>
        <v>0</v>
      </c>
      <c r="K3867" s="455">
        <f t="shared" ca="1" si="158"/>
        <v>-16726153332.494896</v>
      </c>
      <c r="L3867" s="455">
        <f t="shared" ca="1" si="159"/>
        <v>-4031002953131.27</v>
      </c>
      <c r="M3867" s="471">
        <f t="shared" si="161"/>
        <v>0.05</v>
      </c>
      <c r="N3867" s="475">
        <f t="shared" si="162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60"/>
        <v>-4031002953131.27</v>
      </c>
      <c r="J3868" s="455">
        <f t="array" ref="J3868">IFERROR(INDEX('Retirement Calculator'!K:K,MATCH('Lorri 401b'!N3868,'Retirement Calculator'!A:A,0),0),0)</f>
        <v>0</v>
      </c>
      <c r="K3868" s="455">
        <f t="shared" ca="1" si="158"/>
        <v>-16795845638.046961</v>
      </c>
      <c r="L3868" s="455">
        <f t="shared" ca="1" si="159"/>
        <v>-4047798798769.3169</v>
      </c>
      <c r="M3868" s="471">
        <f t="shared" si="161"/>
        <v>0.05</v>
      </c>
      <c r="N3868" s="475">
        <f t="shared" si="162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60"/>
        <v>-4047798798769.3169</v>
      </c>
      <c r="J3869" s="455">
        <f t="array" ref="J3869">IFERROR(INDEX('Retirement Calculator'!K:K,MATCH('Lorri 401b'!N3869,'Retirement Calculator'!A:A,0),0),0)</f>
        <v>0</v>
      </c>
      <c r="K3869" s="455">
        <f t="shared" ca="1" si="158"/>
        <v>-16865828328.205486</v>
      </c>
      <c r="L3869" s="455">
        <f t="shared" ca="1" si="159"/>
        <v>-4064664627097.5225</v>
      </c>
      <c r="M3869" s="471">
        <f t="shared" si="161"/>
        <v>0.05</v>
      </c>
      <c r="N3869" s="475">
        <f t="shared" si="162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60"/>
        <v>-4064664627097.5225</v>
      </c>
      <c r="J3870" s="455">
        <f t="array" ref="J3870">IFERROR(INDEX('Retirement Calculator'!K:K,MATCH('Lorri 401b'!N3870,'Retirement Calculator'!A:A,0),0),0)</f>
        <v>0</v>
      </c>
      <c r="K3870" s="455">
        <f t="shared" ca="1" si="158"/>
        <v>-16936102612.906343</v>
      </c>
      <c r="L3870" s="455">
        <f t="shared" ca="1" si="159"/>
        <v>-4081600729710.4287</v>
      </c>
      <c r="M3870" s="471">
        <f t="shared" si="161"/>
        <v>0.05</v>
      </c>
      <c r="N3870" s="475">
        <f t="shared" si="162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60"/>
        <v>-4081600729710.4287</v>
      </c>
      <c r="J3871" s="455">
        <f t="array" ref="J3871">IFERROR(INDEX('Retirement Calculator'!K:K,MATCH('Lorri 401b'!N3871,'Retirement Calculator'!A:A,0),0),0)</f>
        <v>0</v>
      </c>
      <c r="K3871" s="455">
        <f t="shared" ca="1" si="158"/>
        <v>-17006669707.126785</v>
      </c>
      <c r="L3871" s="455">
        <f t="shared" ca="1" si="159"/>
        <v>-4098607399417.5557</v>
      </c>
      <c r="M3871" s="471">
        <f t="shared" si="161"/>
        <v>0.05</v>
      </c>
      <c r="N3871" s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60"/>
        <v>-4098607399417.5557</v>
      </c>
      <c r="J3872" s="455">
        <f t="array" ref="J3872">IFERROR(INDEX('Retirement Calculator'!K:K,MATCH('Lorri 401b'!N3872,'Retirement Calculator'!A:A,0),0),0)</f>
        <v>0</v>
      </c>
      <c r="K3872" s="455">
        <f t="shared" ca="1" si="158"/>
        <v>-17077530830.906481</v>
      </c>
      <c r="L3872" s="455">
        <f t="shared" ca="1" si="159"/>
        <v>-4115684930248.4619</v>
      </c>
      <c r="M3872" s="471">
        <f t="shared" si="161"/>
        <v>0.05</v>
      </c>
      <c r="N3872" s="475">
        <f t="shared" si="162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60"/>
        <v>-4115684930248.4619</v>
      </c>
      <c r="J3873" s="455">
        <f t="array" ref="J3873">IFERROR(INDEX('Retirement Calculator'!K:K,MATCH('Lorri 401b'!N3873,'Retirement Calculator'!A:A,0),0),0)</f>
        <v>0</v>
      </c>
      <c r="K3873" s="455">
        <f t="shared" ca="1" si="158"/>
        <v>-17148687209.368591</v>
      </c>
      <c r="L3873" s="455">
        <f t="shared" ca="1" si="159"/>
        <v>-4132833617457.8306</v>
      </c>
      <c r="M3873" s="471">
        <f t="shared" si="161"/>
        <v>0.05</v>
      </c>
      <c r="N3873" s="475">
        <f t="shared" si="162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60"/>
        <v>-4132833617457.8306</v>
      </c>
      <c r="J3874" s="455">
        <f t="array" ref="J3874">IFERROR(INDEX('Retirement Calculator'!K:K,MATCH('Lorri 401b'!N3874,'Retirement Calculator'!A:A,0),0),0)</f>
        <v>0</v>
      </c>
      <c r="K3874" s="455">
        <f t="shared" ca="1" si="158"/>
        <v>-17220140072.740959</v>
      </c>
      <c r="L3874" s="455">
        <f t="shared" ca="1" si="159"/>
        <v>-4150053757530.5713</v>
      </c>
      <c r="M3874" s="471">
        <f t="shared" si="161"/>
        <v>0.05</v>
      </c>
      <c r="N3874" s="475">
        <f t="shared" si="162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60"/>
        <v>-4150053757530.5713</v>
      </c>
      <c r="J3875" s="455">
        <f t="array" ref="J3875">IFERROR(INDEX('Retirement Calculator'!K:K,MATCH('Lorri 401b'!N3875,'Retirement Calculator'!A:A,0),0),0)</f>
        <v>0</v>
      </c>
      <c r="K3875" s="455">
        <f t="shared" ca="1" si="158"/>
        <v>-17291890656.37738</v>
      </c>
      <c r="L3875" s="455">
        <f t="shared" ca="1" si="159"/>
        <v>-4167345648186.9487</v>
      </c>
      <c r="M3875" s="471">
        <f t="shared" si="161"/>
        <v>0.05</v>
      </c>
      <c r="N3875" s="475">
        <f t="shared" si="162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60"/>
        <v>-4167345648186.9487</v>
      </c>
      <c r="J3876" s="455">
        <f t="array" ref="J3876">IFERROR(INDEX('Retirement Calculator'!K:K,MATCH('Lorri 401b'!N3876,'Retirement Calculator'!A:A,0),0),0)</f>
        <v>0</v>
      </c>
      <c r="K3876" s="455">
        <f t="shared" ca="1" si="158"/>
        <v>-17363940200.778954</v>
      </c>
      <c r="L3876" s="455">
        <f t="shared" ca="1" si="159"/>
        <v>-4184709588387.7275</v>
      </c>
      <c r="M3876" s="471">
        <f t="shared" si="161"/>
        <v>0.05</v>
      </c>
      <c r="N3876" s="475">
        <f t="shared" si="162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60"/>
        <v>-4184709588387.7275</v>
      </c>
      <c r="J3877" s="455">
        <f t="array" ref="J3877">IFERROR(INDEX('Retirement Calculator'!K:K,MATCH('Lorri 401b'!N3877,'Retirement Calculator'!A:A,0),0),0)</f>
        <v>0</v>
      </c>
      <c r="K3877" s="455">
        <f t="shared" ca="1" si="158"/>
        <v>-17436289951.615532</v>
      </c>
      <c r="L3877" s="455">
        <f t="shared" ca="1" si="159"/>
        <v>-4202145878339.3433</v>
      </c>
      <c r="M3877" s="471">
        <f t="shared" si="161"/>
        <v>0.05</v>
      </c>
      <c r="N3877" s="475">
        <f t="shared" si="162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60"/>
        <v>-4202145878339.3433</v>
      </c>
      <c r="J3878" s="455">
        <f t="array" ref="J3878">IFERROR(INDEX('Retirement Calculator'!K:K,MATCH('Lorri 401b'!N3878,'Retirement Calculator'!A:A,0),0),0)</f>
        <v>0</v>
      </c>
      <c r="K3878" s="455">
        <f t="shared" ca="1" si="158"/>
        <v>-17508941159.747261</v>
      </c>
      <c r="L3878" s="455">
        <f t="shared" ca="1" si="159"/>
        <v>-4219654819499.0903</v>
      </c>
      <c r="M3878" s="471">
        <f t="shared" si="161"/>
        <v>0.05</v>
      </c>
      <c r="N3878" s="475">
        <f t="shared" si="162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60"/>
        <v>-4219654819499.0903</v>
      </c>
      <c r="J3879" s="455">
        <f t="array" ref="J3879">IFERROR(INDEX('Retirement Calculator'!K:K,MATCH('Lorri 401b'!N3879,'Retirement Calculator'!A:A,0),0),0)</f>
        <v>0</v>
      </c>
      <c r="K3879" s="455">
        <f t="shared" ca="1" si="158"/>
        <v>-17581895081.246208</v>
      </c>
      <c r="L3879" s="455">
        <f t="shared" ca="1" si="159"/>
        <v>-4237236714580.3364</v>
      </c>
      <c r="M3879" s="471">
        <f t="shared" si="161"/>
        <v>0.05</v>
      </c>
      <c r="N3879" s="475">
        <f t="shared" si="162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60"/>
        <v>-4237236714580.3364</v>
      </c>
      <c r="J3880" s="455">
        <f t="array" ref="J3880">IFERROR(INDEX('Retirement Calculator'!K:K,MATCH('Lorri 401b'!N3880,'Retirement Calculator'!A:A,0),0),0)</f>
        <v>0</v>
      </c>
      <c r="K3880" s="455">
        <f t="shared" ca="1" si="158"/>
        <v>-17655152977.418068</v>
      </c>
      <c r="L3880" s="455">
        <f t="shared" ca="1" si="159"/>
        <v>-4254891867557.7544</v>
      </c>
      <c r="M3880" s="471">
        <f t="shared" si="161"/>
        <v>0.05</v>
      </c>
      <c r="N3880" s="475">
        <f t="shared" si="162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60"/>
        <v>-4254891867557.7544</v>
      </c>
      <c r="J3881" s="455">
        <f t="array" ref="J3881">IFERROR(INDEX('Retirement Calculator'!K:K,MATCH('Lorri 401b'!N3881,'Retirement Calculator'!A:A,0),0),0)</f>
        <v>0</v>
      </c>
      <c r="K3881" s="455">
        <f t="shared" ca="1" si="158"/>
        <v>-17728716114.823975</v>
      </c>
      <c r="L3881" s="455">
        <f t="shared" ca="1" si="159"/>
        <v>-4272620583672.5781</v>
      </c>
      <c r="M3881" s="471">
        <f t="shared" si="161"/>
        <v>0.05</v>
      </c>
      <c r="N3881" s="475">
        <f t="shared" si="162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60"/>
        <v>-4272620583672.5781</v>
      </c>
      <c r="J3882" s="455">
        <f t="array" ref="J3882">IFERROR(INDEX('Retirement Calculator'!K:K,MATCH('Lorri 401b'!N3882,'Retirement Calculator'!A:A,0),0),0)</f>
        <v>0</v>
      </c>
      <c r="K3882" s="455">
        <f t="shared" ca="1" si="158"/>
        <v>-17802585765.30241</v>
      </c>
      <c r="L3882" s="455">
        <f t="shared" ca="1" si="159"/>
        <v>-4290423169437.8804</v>
      </c>
      <c r="M3882" s="471">
        <f t="shared" si="161"/>
        <v>0.05</v>
      </c>
      <c r="N3882" s="475">
        <f t="shared" si="162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60"/>
        <v>-4290423169437.8804</v>
      </c>
      <c r="J3883" s="455">
        <f t="array" ref="J3883">IFERROR(INDEX('Retirement Calculator'!K:K,MATCH('Lorri 401b'!N3883,'Retirement Calculator'!A:A,0),0),0)</f>
        <v>0</v>
      </c>
      <c r="K3883" s="455">
        <f t="shared" ca="1" si="158"/>
        <v>-17876763205.991169</v>
      </c>
      <c r="L3883" s="455">
        <f t="shared" ca="1" si="159"/>
        <v>-4308299932643.8716</v>
      </c>
      <c r="M3883" s="471">
        <f t="shared" si="161"/>
        <v>0.05</v>
      </c>
      <c r="N3883" s="475">
        <f t="shared" si="162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60"/>
        <v>-4308299932643.8716</v>
      </c>
      <c r="J3884" s="455">
        <f t="array" ref="J3884">IFERROR(INDEX('Retirement Calculator'!K:K,MATCH('Lorri 401b'!N3884,'Retirement Calculator'!A:A,0),0),0)</f>
        <v>0</v>
      </c>
      <c r="K3884" s="455">
        <f t="shared" ca="1" si="158"/>
        <v>-17951249719.349464</v>
      </c>
      <c r="L3884" s="455">
        <f t="shared" ca="1" si="159"/>
        <v>-4326251182363.2212</v>
      </c>
      <c r="M3884" s="471">
        <f t="shared" si="161"/>
        <v>0.05</v>
      </c>
      <c r="N3884" s="475">
        <f t="shared" si="162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60"/>
        <v>-4326251182363.2212</v>
      </c>
      <c r="J3885" s="455">
        <f t="array" ref="J3885">IFERROR(INDEX('Retirement Calculator'!K:K,MATCH('Lorri 401b'!N3885,'Retirement Calculator'!A:A,0),0),0)</f>
        <v>0</v>
      </c>
      <c r="K3885" s="455">
        <f t="shared" ca="1" si="158"/>
        <v>-18026046593.180084</v>
      </c>
      <c r="L3885" s="455">
        <f t="shared" ca="1" si="159"/>
        <v>-4344277228956.4014</v>
      </c>
      <c r="M3885" s="471">
        <f t="shared" si="161"/>
        <v>0.05</v>
      </c>
      <c r="N3885" s="475">
        <f t="shared" si="162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60"/>
        <v>-4344277228956.4014</v>
      </c>
      <c r="J3886" s="455">
        <f t="array" ref="J3886">IFERROR(INDEX('Retirement Calculator'!K:K,MATCH('Lorri 401b'!N3886,'Retirement Calculator'!A:A,0),0),0)</f>
        <v>0</v>
      </c>
      <c r="K3886" s="455">
        <f t="shared" ca="1" si="158"/>
        <v>-18101155120.651672</v>
      </c>
      <c r="L3886" s="455">
        <f t="shared" ca="1" si="159"/>
        <v>-4362378384077.0532</v>
      </c>
      <c r="M3886" s="471">
        <f t="shared" si="161"/>
        <v>0.05</v>
      </c>
      <c r="N3886" s="475">
        <f t="shared" si="162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60"/>
        <v>-4362378384077.0532</v>
      </c>
      <c r="J3887" s="455">
        <f t="array" ref="J3887">IFERROR(INDEX('Retirement Calculator'!K:K,MATCH('Lorri 401b'!N3887,'Retirement Calculator'!A:A,0),0),0)</f>
        <v>0</v>
      </c>
      <c r="K3887" s="455">
        <f t="shared" ca="1" si="158"/>
        <v>-18176576600.321053</v>
      </c>
      <c r="L3887" s="455">
        <f t="shared" ca="1" si="159"/>
        <v>-4380554960677.3745</v>
      </c>
      <c r="M3887" s="471">
        <f t="shared" si="161"/>
        <v>0.05</v>
      </c>
      <c r="N3887" s="475">
        <f t="shared" si="162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60"/>
        <v>-4380554960677.3745</v>
      </c>
      <c r="J3888" s="455">
        <f t="array" ref="J3888">IFERROR(INDEX('Retirement Calculator'!K:K,MATCH('Lorri 401b'!N3888,'Retirement Calculator'!A:A,0),0),0)</f>
        <v>0</v>
      </c>
      <c r="K3888" s="455">
        <f t="shared" ca="1" si="158"/>
        <v>-18252312336.155727</v>
      </c>
      <c r="L3888" s="455">
        <f t="shared" ca="1" si="159"/>
        <v>-4398807273013.5303</v>
      </c>
      <c r="M3888" s="471">
        <f t="shared" si="161"/>
        <v>0.05</v>
      </c>
      <c r="N3888" s="475">
        <f t="shared" si="162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60"/>
        <v>-4398807273013.5303</v>
      </c>
      <c r="J3889" s="455">
        <f t="array" ref="J3889">IFERROR(INDEX('Retirement Calculator'!K:K,MATCH('Lorri 401b'!N3889,'Retirement Calculator'!A:A,0),0),0)</f>
        <v>0</v>
      </c>
      <c r="K3889" s="455">
        <f t="shared" ca="1" si="158"/>
        <v>-18328363637.556377</v>
      </c>
      <c r="L3889" s="455">
        <f t="shared" ca="1" si="159"/>
        <v>-4417135636651.0869</v>
      </c>
      <c r="M3889" s="471">
        <f t="shared" si="161"/>
        <v>0.05</v>
      </c>
      <c r="N3889" s="475">
        <f t="shared" si="162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60"/>
        <v>-4417135636651.0869</v>
      </c>
      <c r="J3890" s="455">
        <f t="array" ref="J3890">IFERROR(INDEX('Retirement Calculator'!K:K,MATCH('Lorri 401b'!N3890,'Retirement Calculator'!A:A,0),0),0)</f>
        <v>0</v>
      </c>
      <c r="K3890" s="455">
        <f t="shared" ca="1" si="158"/>
        <v>-18404731819.379528</v>
      </c>
      <c r="L3890" s="455">
        <f t="shared" ca="1" si="159"/>
        <v>-4435540368470.4668</v>
      </c>
      <c r="M3890" s="471">
        <f t="shared" si="161"/>
        <v>0.05</v>
      </c>
      <c r="N3890" s="475">
        <f t="shared" si="162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60"/>
        <v>-4435540368470.4668</v>
      </c>
      <c r="J3891" s="455">
        <f t="array" ref="J3891">IFERROR(INDEX('Retirement Calculator'!K:K,MATCH('Lorri 401b'!N3891,'Retirement Calculator'!A:A,0),0),0)</f>
        <v>0</v>
      </c>
      <c r="K3891" s="455">
        <f t="shared" ca="1" si="158"/>
        <v>-18481418201.960278</v>
      </c>
      <c r="L3891" s="455">
        <f t="shared" ca="1" si="159"/>
        <v>-4454021786672.4268</v>
      </c>
      <c r="M3891" s="471">
        <f t="shared" si="161"/>
        <v>0.05</v>
      </c>
      <c r="N3891" s="475">
        <f t="shared" si="162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60"/>
        <v>-4454021786672.4268</v>
      </c>
      <c r="J3892" s="455">
        <f t="array" ref="J3892">IFERROR(INDEX('Retirement Calculator'!K:K,MATCH('Lorri 401b'!N3892,'Retirement Calculator'!A:A,0),0),0)</f>
        <v>0</v>
      </c>
      <c r="K3892" s="455">
        <f t="shared" ca="1" si="158"/>
        <v>-18558424111.135113</v>
      </c>
      <c r="L3892" s="455">
        <f t="shared" ca="1" si="159"/>
        <v>-4472580210783.5615</v>
      </c>
      <c r="M3892" s="471">
        <f t="shared" si="161"/>
        <v>0.05</v>
      </c>
      <c r="N3892" s="475">
        <f t="shared" si="162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60"/>
        <v>-4472580210783.5615</v>
      </c>
      <c r="J3893" s="455">
        <f t="array" ref="J3893">IFERROR(INDEX('Retirement Calculator'!K:K,MATCH('Lorri 401b'!N3893,'Retirement Calculator'!A:A,0),0),0)</f>
        <v>0</v>
      </c>
      <c r="K3893" s="455">
        <f t="shared" ca="1" si="158"/>
        <v>-18635750878.264839</v>
      </c>
      <c r="L3893" s="455">
        <f t="shared" ca="1" si="159"/>
        <v>-4491215961661.8262</v>
      </c>
      <c r="M3893" s="471">
        <f t="shared" si="161"/>
        <v>0.05</v>
      </c>
      <c r="N3893" s="475">
        <f t="shared" si="162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60"/>
        <v>-4491215961661.8262</v>
      </c>
      <c r="J3894" s="455">
        <f t="array" ref="J3894">IFERROR(INDEX('Retirement Calculator'!K:K,MATCH('Lorri 401b'!N3894,'Retirement Calculator'!A:A,0),0),0)</f>
        <v>0</v>
      </c>
      <c r="K3894" s="455">
        <f t="shared" ca="1" si="158"/>
        <v>-18713399840.25761</v>
      </c>
      <c r="L3894" s="455">
        <f t="shared" ca="1" si="159"/>
        <v>-4509929361502.084</v>
      </c>
      <c r="M3894" s="471">
        <f t="shared" si="161"/>
        <v>0.05</v>
      </c>
      <c r="N3894" s="475">
        <f t="shared" si="162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60"/>
        <v>-4509929361502.084</v>
      </c>
      <c r="J3895" s="455">
        <f t="array" ref="J3895">IFERROR(INDEX('Retirement Calculator'!K:K,MATCH('Lorri 401b'!N3895,'Retirement Calculator'!A:A,0),0),0)</f>
        <v>0</v>
      </c>
      <c r="K3895" s="455">
        <f t="shared" ca="1" si="158"/>
        <v>-18791372339.592018</v>
      </c>
      <c r="L3895" s="455">
        <f t="shared" ca="1" si="159"/>
        <v>-4528720733841.6758</v>
      </c>
      <c r="M3895" s="471">
        <f t="shared" si="161"/>
        <v>0.05</v>
      </c>
      <c r="N3895" s="475">
        <f t="shared" si="162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60"/>
        <v>-4528720733841.6758</v>
      </c>
      <c r="J3896" s="455">
        <f t="array" ref="J3896">IFERROR(INDEX('Retirement Calculator'!K:K,MATCH('Lorri 401b'!N3896,'Retirement Calculator'!A:A,0),0),0)</f>
        <v>0</v>
      </c>
      <c r="K3896" s="455">
        <f t="shared" ca="1" si="158"/>
        <v>-18869669724.340317</v>
      </c>
      <c r="L3896" s="455">
        <f t="shared" ca="1" si="159"/>
        <v>-4547590403566.0156</v>
      </c>
      <c r="M3896" s="471">
        <f t="shared" si="161"/>
        <v>0.05</v>
      </c>
      <c r="N3896" s="475">
        <f t="shared" si="162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60"/>
        <v>-4547590403566.0156</v>
      </c>
      <c r="J3897" s="455">
        <f t="array" ref="J3897">IFERROR(INDEX('Retirement Calculator'!K:K,MATCH('Lorri 401b'!N3897,'Retirement Calculator'!A:A,0),0),0)</f>
        <v>0</v>
      </c>
      <c r="K3897" s="455">
        <f t="shared" ca="1" si="158"/>
        <v>-18948293348.19173</v>
      </c>
      <c r="L3897" s="455">
        <f t="shared" ca="1" si="159"/>
        <v>-4566538696914.207</v>
      </c>
      <c r="M3897" s="471">
        <f t="shared" si="161"/>
        <v>0.05</v>
      </c>
      <c r="N3897" s="475">
        <f t="shared" si="162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60"/>
        <v>-4566538696914.207</v>
      </c>
      <c r="J3898" s="455">
        <f t="array" ref="J3898">IFERROR(INDEX('Retirement Calculator'!K:K,MATCH('Lorri 401b'!N3898,'Retirement Calculator'!A:A,0),0),0)</f>
        <v>0</v>
      </c>
      <c r="K3898" s="455">
        <f t="shared" ca="1" si="158"/>
        <v>-19027244570.475861</v>
      </c>
      <c r="L3898" s="455">
        <f t="shared" ca="1" si="159"/>
        <v>-4585565941484.6826</v>
      </c>
      <c r="M3898" s="471">
        <f t="shared" si="161"/>
        <v>0.05</v>
      </c>
      <c r="N3898" s="475">
        <f t="shared" si="162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60"/>
        <v>-4585565941484.6826</v>
      </c>
      <c r="J3899" s="455">
        <f t="array" ref="J3899">IFERROR(INDEX('Retirement Calculator'!K:K,MATCH('Lorri 401b'!N3899,'Retirement Calculator'!A:A,0),0),0)</f>
        <v>0</v>
      </c>
      <c r="K3899" s="455">
        <f t="shared" ca="1" si="158"/>
        <v>-19106524756.186176</v>
      </c>
      <c r="L3899" s="455">
        <f t="shared" ca="1" si="159"/>
        <v>-4604672466240.8691</v>
      </c>
      <c r="M3899" s="471">
        <f t="shared" si="161"/>
        <v>0.05</v>
      </c>
      <c r="N3899" s="475">
        <f t="shared" si="162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60"/>
        <v>-4604672466240.8691</v>
      </c>
      <c r="J3900" s="455">
        <f t="array" ref="J3900">IFERROR(INDEX('Retirement Calculator'!K:K,MATCH('Lorri 401b'!N3900,'Retirement Calculator'!A:A,0),0),0)</f>
        <v>0</v>
      </c>
      <c r="K3900" s="455">
        <f t="shared" ca="1" si="158"/>
        <v>-19186135276.00362</v>
      </c>
      <c r="L3900" s="455">
        <f t="shared" ca="1" si="159"/>
        <v>-4623858601516.873</v>
      </c>
      <c r="M3900" s="471">
        <f t="shared" si="161"/>
        <v>0.05</v>
      </c>
      <c r="N3900" s="475">
        <f t="shared" si="162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60"/>
        <v>-4623858601516.873</v>
      </c>
      <c r="J3901" s="455">
        <f t="array" ref="J3901">IFERROR(INDEX('Retirement Calculator'!K:K,MATCH('Lorri 401b'!N3901,'Retirement Calculator'!A:A,0),0),0)</f>
        <v>0</v>
      </c>
      <c r="K3901" s="455">
        <f t="shared" ca="1" si="158"/>
        <v>-19266077506.320305</v>
      </c>
      <c r="L3901" s="455">
        <f t="shared" ca="1" si="159"/>
        <v>-4643124679023.1934</v>
      </c>
      <c r="M3901" s="471">
        <f t="shared" si="161"/>
        <v>0.05</v>
      </c>
      <c r="N3901" s="475">
        <f t="shared" si="162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60"/>
        <v>-4643124679023.1934</v>
      </c>
      <c r="J3902" s="455">
        <f t="array" ref="J3902">IFERROR(INDEX('Retirement Calculator'!K:K,MATCH('Lorri 401b'!N3902,'Retirement Calculator'!A:A,0),0),0)</f>
        <v>0</v>
      </c>
      <c r="K3902" s="455">
        <f t="shared" ca="1" si="158"/>
        <v>-19346352829.263306</v>
      </c>
      <c r="L3902" s="455">
        <f t="shared" ca="1" si="159"/>
        <v>-4662471031852.457</v>
      </c>
      <c r="M3902" s="471">
        <f t="shared" si="161"/>
        <v>0.05</v>
      </c>
      <c r="N3902" s="475">
        <f t="shared" si="162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60"/>
        <v>-4662471031852.457</v>
      </c>
      <c r="J3903" s="455">
        <f t="array" ref="J3903">IFERROR(INDEX('Retirement Calculator'!K:K,MATCH('Lorri 401b'!N3903,'Retirement Calculator'!A:A,0),0),0)</f>
        <v>0</v>
      </c>
      <c r="K3903" s="455">
        <f t="shared" ca="1" si="158"/>
        <v>-19426962632.718571</v>
      </c>
      <c r="L3903" s="455">
        <f t="shared" ca="1" si="159"/>
        <v>-4681897994485.1758</v>
      </c>
      <c r="M3903" s="471">
        <f t="shared" si="161"/>
        <v>0.05</v>
      </c>
      <c r="N3903" s="475">
        <f t="shared" si="162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60"/>
        <v>-4681897994485.1758</v>
      </c>
      <c r="J3904" s="455">
        <f t="array" ref="J3904">IFERROR(INDEX('Retirement Calculator'!K:K,MATCH('Lorri 401b'!N3904,'Retirement Calculator'!A:A,0),0),0)</f>
        <v>0</v>
      </c>
      <c r="K3904" s="455">
        <f t="shared" ca="1" si="158"/>
        <v>-19507908310.3549</v>
      </c>
      <c r="L3904" s="455">
        <f t="shared" ca="1" si="159"/>
        <v>-4701405902795.5303</v>
      </c>
      <c r="M3904" s="471">
        <f t="shared" si="161"/>
        <v>0.05</v>
      </c>
      <c r="N3904" s="475">
        <f t="shared" si="162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60"/>
        <v>-4701405902795.5303</v>
      </c>
      <c r="J3905" s="455">
        <f t="array" ref="J3905">IFERROR(INDEX('Retirement Calculator'!K:K,MATCH('Lorri 401b'!N3905,'Retirement Calculator'!A:A,0),0),0)</f>
        <v>0</v>
      </c>
      <c r="K3905" s="455">
        <f t="shared" ca="1" si="158"/>
        <v>-19589191261.648041</v>
      </c>
      <c r="L3905" s="455">
        <f t="shared" ca="1" si="159"/>
        <v>-4720995094057.1787</v>
      </c>
      <c r="M3905" s="471">
        <f t="shared" si="161"/>
        <v>0.05</v>
      </c>
      <c r="N3905" s="475">
        <f t="shared" si="162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60"/>
        <v>-4720995094057.1787</v>
      </c>
      <c r="J3906" s="455">
        <f t="array" ref="J3906">IFERROR(INDEX('Retirement Calculator'!K:K,MATCH('Lorri 401b'!N3906,'Retirement Calculator'!A:A,0),0),0)</f>
        <v>0</v>
      </c>
      <c r="K3906" s="455">
        <f t="shared" ca="1" si="158"/>
        <v>-19670812891.904911</v>
      </c>
      <c r="L3906" s="455">
        <f t="shared" ca="1" si="159"/>
        <v>-4740665906949.084</v>
      </c>
      <c r="M3906" s="471">
        <f t="shared" si="161"/>
        <v>0.05</v>
      </c>
      <c r="N3906" s="475">
        <f t="shared" si="162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60"/>
        <v>-4740665906949.084</v>
      </c>
      <c r="J3907" s="455">
        <f t="array" ref="J3907">IFERROR(INDEX('Retirement Calculator'!K:K,MATCH('Lorri 401b'!N3907,'Retirement Calculator'!A:A,0),0),0)</f>
        <v>0</v>
      </c>
      <c r="K3907" s="455">
        <f t="shared" ca="1" si="158"/>
        <v>-19752774612.287849</v>
      </c>
      <c r="L3907" s="455">
        <f t="shared" ca="1" si="159"/>
        <v>-4760418681561.3721</v>
      </c>
      <c r="M3907" s="471">
        <f t="shared" si="161"/>
        <v>0.05</v>
      </c>
      <c r="N3907" s="475">
        <f t="shared" si="162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60"/>
        <v>-4760418681561.3721</v>
      </c>
      <c r="J3908" s="455">
        <f t="array" ref="J3908">IFERROR(INDEX('Retirement Calculator'!K:K,MATCH('Lorri 401b'!N3908,'Retirement Calculator'!A:A,0),0),0)</f>
        <v>0</v>
      </c>
      <c r="K3908" s="455">
        <f t="shared" ca="1" si="158"/>
        <v>-19835077839.83905</v>
      </c>
      <c r="L3908" s="455">
        <f t="shared" ca="1" si="159"/>
        <v>-4780253759401.2109</v>
      </c>
      <c r="M3908" s="471">
        <f t="shared" si="161"/>
        <v>0.05</v>
      </c>
      <c r="N3908" s="475">
        <f t="shared" si="162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60"/>
        <v>-4780253759401.2109</v>
      </c>
      <c r="J3909" s="455">
        <f t="array" ref="J3909">IFERROR(INDEX('Retirement Calculator'!K:K,MATCH('Lorri 401b'!N3909,'Retirement Calculator'!A:A,0),0),0)</f>
        <v>0</v>
      </c>
      <c r="K3909" s="455">
        <f t="shared" ca="1" si="158"/>
        <v>-19917723997.505047</v>
      </c>
      <c r="L3909" s="455">
        <f t="shared" ca="1" si="159"/>
        <v>-4800171483398.7158</v>
      </c>
      <c r="M3909" s="471">
        <f t="shared" si="161"/>
        <v>0.05</v>
      </c>
      <c r="N3909" s="475">
        <f t="shared" si="162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60"/>
        <v>-4800171483398.7158</v>
      </c>
      <c r="J3910" s="455">
        <f t="array" ref="J3910">IFERROR(INDEX('Retirement Calculator'!K:K,MATCH('Lorri 401b'!N3910,'Retirement Calculator'!A:A,0),0),0)</f>
        <v>0</v>
      </c>
      <c r="K3910" s="455">
        <f t="shared" ca="1" si="158"/>
        <v>-20000714514.161316</v>
      </c>
      <c r="L3910" s="455">
        <f t="shared" ca="1" si="159"/>
        <v>-4820172197912.877</v>
      </c>
      <c r="M3910" s="471">
        <f t="shared" si="161"/>
        <v>0.05</v>
      </c>
      <c r="N3910" s="475">
        <f t="shared" si="162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60"/>
        <v>-4820172197912.877</v>
      </c>
      <c r="J3911" s="455">
        <f t="array" ref="J3911">IFERROR(INDEX('Retirement Calculator'!K:K,MATCH('Lorri 401b'!N3911,'Retirement Calculator'!A:A,0),0),0)</f>
        <v>0</v>
      </c>
      <c r="K3911" s="455">
        <f t="shared" ca="1" si="158"/>
        <v>-20084050824.636986</v>
      </c>
      <c r="L3911" s="455">
        <f t="shared" ca="1" si="159"/>
        <v>-4840256248737.5137</v>
      </c>
      <c r="M3911" s="471">
        <f t="shared" si="161"/>
        <v>0.05</v>
      </c>
      <c r="N3911" s="475">
        <f t="shared" si="162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60"/>
        <v>-4840256248737.5137</v>
      </c>
      <c r="J3912" s="455">
        <f t="array" ref="J3912">IFERROR(INDEX('Retirement Calculator'!K:K,MATCH('Lorri 401b'!N3912,'Retirement Calculator'!A:A,0),0),0)</f>
        <v>0</v>
      </c>
      <c r="K3912" s="455">
        <f t="shared" ca="1" si="158"/>
        <v>-20167734369.739639</v>
      </c>
      <c r="L3912" s="455">
        <f t="shared" ca="1" si="159"/>
        <v>-4860423983107.2529</v>
      </c>
      <c r="M3912" s="471">
        <f t="shared" si="161"/>
        <v>0.05</v>
      </c>
      <c r="N3912" s="475">
        <f t="shared" si="162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60"/>
        <v>-4860423983107.2529</v>
      </c>
      <c r="J3913" s="455">
        <f t="array" ref="J3913">IFERROR(INDEX('Retirement Calculator'!K:K,MATCH('Lorri 401b'!N3913,'Retirement Calculator'!A:A,0),0),0)</f>
        <v>0</v>
      </c>
      <c r="K3913" s="455">
        <f t="shared" ca="1" si="158"/>
        <v>-20251766596.28022</v>
      </c>
      <c r="L3913" s="455">
        <f t="shared" ca="1" si="159"/>
        <v>-4880675749703.5332</v>
      </c>
      <c r="M3913" s="471">
        <f t="shared" si="161"/>
        <v>0.05</v>
      </c>
      <c r="N3913" s="475">
        <f t="shared" si="162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60"/>
        <v>-4880675749703.5332</v>
      </c>
      <c r="J3914" s="455">
        <f t="array" ref="J3914">IFERROR(INDEX('Retirement Calculator'!K:K,MATCH('Lorri 401b'!N3914,'Retirement Calculator'!A:A,0),0),0)</f>
        <v>0</v>
      </c>
      <c r="K3914" s="455">
        <f t="shared" ca="1" si="158"/>
        <v>-20336148957.098053</v>
      </c>
      <c r="L3914" s="455">
        <f t="shared" ca="1" si="159"/>
        <v>-4901011898660.6309</v>
      </c>
      <c r="M3914" s="471">
        <f t="shared" si="161"/>
        <v>0.05</v>
      </c>
      <c r="N3914" s="475">
        <f t="shared" si="162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60"/>
        <v>-4901011898660.6309</v>
      </c>
      <c r="J3915" s="455">
        <f t="array" ref="J3915">IFERROR(INDEX('Retirement Calculator'!K:K,MATCH('Lorri 401b'!N3915,'Retirement Calculator'!A:A,0),0),0)</f>
        <v>0</v>
      </c>
      <c r="K3915" s="455">
        <f t="shared" ca="1" si="158"/>
        <v>-20420882911.08596</v>
      </c>
      <c r="L3915" s="455">
        <f t="shared" ca="1" si="159"/>
        <v>-4921432781571.7168</v>
      </c>
      <c r="M3915" s="471">
        <f t="shared" si="161"/>
        <v>0.05</v>
      </c>
      <c r="N3915" s="475">
        <f t="shared" si="162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60"/>
        <v>-4921432781571.7168</v>
      </c>
      <c r="J3916" s="455">
        <f t="array" ref="J3916">IFERROR(INDEX('Retirement Calculator'!K:K,MATCH('Lorri 401b'!N3916,'Retirement Calculator'!A:A,0),0),0)</f>
        <v>0</v>
      </c>
      <c r="K3916" s="455">
        <f t="shared" ca="1" si="158"/>
        <v>-20505969923.215485</v>
      </c>
      <c r="L3916" s="455">
        <f t="shared" ca="1" si="159"/>
        <v>-4941938751494.9326</v>
      </c>
      <c r="M3916" s="471">
        <f t="shared" si="161"/>
        <v>0.05</v>
      </c>
      <c r="N3916" s="475">
        <f t="shared" si="162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60"/>
        <v>-4941938751494.9326</v>
      </c>
      <c r="J3917" s="455">
        <f t="array" ref="J3917">IFERROR(INDEX('Retirement Calculator'!K:K,MATCH('Lorri 401b'!N3917,'Retirement Calculator'!A:A,0),0),0)</f>
        <v>0</v>
      </c>
      <c r="K3917" s="455">
        <f t="shared" ca="1" si="158"/>
        <v>-20591411464.562218</v>
      </c>
      <c r="L3917" s="455">
        <f t="shared" ca="1" si="159"/>
        <v>-4962530162959.4951</v>
      </c>
      <c r="M3917" s="471">
        <f t="shared" si="161"/>
        <v>0.05</v>
      </c>
      <c r="N3917" s="475">
        <f t="shared" si="162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60"/>
        <v>-4962530162959.4951</v>
      </c>
      <c r="J3918" s="455">
        <f t="array" ref="J3918">IFERROR(INDEX('Retirement Calculator'!K:K,MATCH('Lorri 401b'!N3918,'Retirement Calculator'!A:A,0),0),0)</f>
        <v>0</v>
      </c>
      <c r="K3918" s="455">
        <f t="shared" ca="1" si="158"/>
        <v>-20677209012.33123</v>
      </c>
      <c r="L3918" s="455">
        <f t="shared" ca="1" si="159"/>
        <v>-4983207371971.8262</v>
      </c>
      <c r="M3918" s="471">
        <f t="shared" si="161"/>
        <v>0.05</v>
      </c>
      <c r="N3918" s="475">
        <f t="shared" si="162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60"/>
        <v>-4983207371971.8262</v>
      </c>
      <c r="J3919" s="455">
        <f t="array" ref="J3919">IFERROR(INDEX('Retirement Calculator'!K:K,MATCH('Lorri 401b'!N3919,'Retirement Calculator'!A:A,0),0),0)</f>
        <v>0</v>
      </c>
      <c r="K3919" s="455">
        <f t="shared" ca="1" si="158"/>
        <v>-20763364049.88261</v>
      </c>
      <c r="L3919" s="455">
        <f t="shared" ca="1" si="159"/>
        <v>-5003970736021.709</v>
      </c>
      <c r="M3919" s="471">
        <f t="shared" si="161"/>
        <v>0.05</v>
      </c>
      <c r="N3919" s="475">
        <f t="shared" si="162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60"/>
        <v>-5003970736021.709</v>
      </c>
      <c r="J3920" s="455">
        <f t="array" ref="J3920">IFERROR(INDEX('Retirement Calculator'!K:K,MATCH('Lorri 401b'!N3920,'Retirement Calculator'!A:A,0),0),0)</f>
        <v>0</v>
      </c>
      <c r="K3920" s="455">
        <f t="shared" ca="1" si="158"/>
        <v>-20849878066.757122</v>
      </c>
      <c r="L3920" s="455">
        <f t="shared" ca="1" si="159"/>
        <v>-5024820614088.4658</v>
      </c>
      <c r="M3920" s="471">
        <f t="shared" si="161"/>
        <v>0.05</v>
      </c>
      <c r="N3920" s="475">
        <f t="shared" si="162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60"/>
        <v>-5024820614088.4658</v>
      </c>
      <c r="J3921" s="455">
        <f t="array" ref="J3921">IFERROR(INDEX('Retirement Calculator'!K:K,MATCH('Lorri 401b'!N3921,'Retirement Calculator'!A:A,0),0),0)</f>
        <v>0</v>
      </c>
      <c r="K3921" s="455">
        <f t="shared" ca="1" si="158"/>
        <v>-20936752558.701942</v>
      </c>
      <c r="L3921" s="455">
        <f t="shared" ca="1" si="159"/>
        <v>-5045757366647.168</v>
      </c>
      <c r="M3921" s="471">
        <f t="shared" si="161"/>
        <v>0.05</v>
      </c>
      <c r="N3921" s="475">
        <f t="shared" si="162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60"/>
        <v>-5045757366647.168</v>
      </c>
      <c r="J3922" s="455">
        <f t="array" ref="J3922">IFERROR(INDEX('Retirement Calculator'!K:K,MATCH('Lorri 401b'!N3922,'Retirement Calculator'!A:A,0),0),0)</f>
        <v>0</v>
      </c>
      <c r="K3922" s="455">
        <f t="shared" ca="1" si="158"/>
        <v>-21023989027.696533</v>
      </c>
      <c r="L3922" s="455">
        <f t="shared" ca="1" si="159"/>
        <v>-5066781355674.8643</v>
      </c>
      <c r="M3922" s="471">
        <f t="shared" si="161"/>
        <v>0.05</v>
      </c>
      <c r="N3922" s="475">
        <f t="shared" si="162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60"/>
        <v>-5066781355674.8643</v>
      </c>
      <c r="J3923" s="455">
        <f t="array" ref="J3923">IFERROR(INDEX('Retirement Calculator'!K:K,MATCH('Lorri 401b'!N3923,'Retirement Calculator'!A:A,0),0),0)</f>
        <v>0</v>
      </c>
      <c r="K3923" s="455">
        <f t="shared" ca="1" si="158"/>
        <v>-21111588981.9786</v>
      </c>
      <c r="L3923" s="455">
        <f t="shared" ca="1" si="159"/>
        <v>-5087892944656.8428</v>
      </c>
      <c r="M3923" s="471">
        <f t="shared" si="161"/>
        <v>0.05</v>
      </c>
      <c r="N3923" s="475">
        <f t="shared" si="162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60"/>
        <v>-5087892944656.8428</v>
      </c>
      <c r="J3924" s="455">
        <f t="array" ref="J3924">IFERROR(INDEX('Retirement Calculator'!K:K,MATCH('Lorri 401b'!N3924,'Retirement Calculator'!A:A,0),0),0)</f>
        <v>0</v>
      </c>
      <c r="K3924" s="455">
        <f t="shared" ca="1" si="158"/>
        <v>-21199553936.070179</v>
      </c>
      <c r="L3924" s="455">
        <f t="shared" ca="1" si="159"/>
        <v>-5109092498592.9131</v>
      </c>
      <c r="M3924" s="471">
        <f t="shared" si="161"/>
        <v>0.05</v>
      </c>
      <c r="N3924" s="475">
        <f t="shared" si="162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60"/>
        <v>-5109092498592.9131</v>
      </c>
      <c r="J3925" s="455">
        <f t="array" ref="J3925">IFERROR(INDEX('Retirement Calculator'!K:K,MATCH('Lorri 401b'!N3925,'Retirement Calculator'!A:A,0),0),0)</f>
        <v>0</v>
      </c>
      <c r="K3925" s="455">
        <f t="shared" ca="1" si="158"/>
        <v>-21287885410.803802</v>
      </c>
      <c r="L3925" s="455">
        <f t="shared" ca="1" si="159"/>
        <v>-5130380384003.7168</v>
      </c>
      <c r="M3925" s="471">
        <f t="shared" si="161"/>
        <v>0.05</v>
      </c>
      <c r="N3925" s="475">
        <f t="shared" si="162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60"/>
        <v>-5130380384003.7168</v>
      </c>
      <c r="J3926" s="455">
        <f t="array" ref="J3926">IFERROR(INDEX('Retirement Calculator'!K:K,MATCH('Lorri 401b'!N3926,'Retirement Calculator'!A:A,0),0),0)</f>
        <v>0</v>
      </c>
      <c r="K3926" s="455">
        <f t="shared" ca="1" si="158"/>
        <v>-21376584933.34882</v>
      </c>
      <c r="L3926" s="455">
        <f t="shared" ca="1" si="159"/>
        <v>-5151756968937.0654</v>
      </c>
      <c r="M3926" s="471">
        <f t="shared" si="161"/>
        <v>0.05</v>
      </c>
      <c r="N3926" s="475">
        <f t="shared" si="162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60"/>
        <v>-5151756968937.0654</v>
      </c>
      <c r="J3927" s="455">
        <f t="array" ref="J3927">IFERROR(INDEX('Retirement Calculator'!K:K,MATCH('Lorri 401b'!N3927,'Retirement Calculator'!A:A,0),0),0)</f>
        <v>0</v>
      </c>
      <c r="K3927" s="455">
        <f t="shared" ca="1" si="158"/>
        <v>-21465654037.237774</v>
      </c>
      <c r="L3927" s="455">
        <f t="shared" ca="1" si="159"/>
        <v>-5173222622974.3027</v>
      </c>
      <c r="M3927" s="471">
        <f t="shared" si="161"/>
        <v>0.05</v>
      </c>
      <c r="N3927" s="475">
        <f t="shared" si="162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60"/>
        <v>-5173222622974.3027</v>
      </c>
      <c r="J3928" s="455">
        <f t="array" ref="J3928">IFERROR(INDEX('Retirement Calculator'!K:K,MATCH('Lorri 401b'!N3928,'Retirement Calculator'!A:A,0),0),0)</f>
        <v>0</v>
      </c>
      <c r="K3928" s="455">
        <f t="shared" ca="1" si="158"/>
        <v>-21555094262.392929</v>
      </c>
      <c r="L3928" s="455">
        <f t="shared" ca="1" si="159"/>
        <v>-5194777717236.6953</v>
      </c>
      <c r="M3928" s="471">
        <f t="shared" si="161"/>
        <v>0.05</v>
      </c>
      <c r="N3928" s="475">
        <f t="shared" si="162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60"/>
        <v>-5194777717236.6953</v>
      </c>
      <c r="J3929" s="455">
        <f t="array" ref="J3929">IFERROR(INDEX('Retirement Calculator'!K:K,MATCH('Lorri 401b'!N3929,'Retirement Calculator'!A:A,0),0),0)</f>
        <v>0</v>
      </c>
      <c r="K3929" s="455">
        <f t="shared" ca="1" si="158"/>
        <v>-21644907155.152897</v>
      </c>
      <c r="L3929" s="455">
        <f t="shared" ca="1" si="159"/>
        <v>-5216422624391.8486</v>
      </c>
      <c r="M3929" s="471">
        <f t="shared" si="161"/>
        <v>0.05</v>
      </c>
      <c r="N3929" s="475">
        <f t="shared" si="162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60"/>
        <v>-5216422624391.8486</v>
      </c>
      <c r="J3930" s="455">
        <f t="array" ref="J3930">IFERROR(INDEX('Retirement Calculator'!K:K,MATCH('Lorri 401b'!N3930,'Retirement Calculator'!A:A,0),0),0)</f>
        <v>0</v>
      </c>
      <c r="K3930" s="455">
        <f t="shared" ca="1" si="158"/>
        <v>-21735094268.29937</v>
      </c>
      <c r="L3930" s="455">
        <f t="shared" ca="1" si="159"/>
        <v>-5238157718660.1484</v>
      </c>
      <c r="M3930" s="471">
        <f t="shared" si="161"/>
        <v>0.05</v>
      </c>
      <c r="N3930" s="475">
        <f t="shared" si="162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60"/>
        <v>-5238157718660.1484</v>
      </c>
      <c r="J3931" s="455">
        <f t="array" ref="J3931">IFERROR(INDEX('Retirement Calculator'!K:K,MATCH('Lorri 401b'!N3931,'Retirement Calculator'!A:A,0),0),0)</f>
        <v>0</v>
      </c>
      <c r="K3931" s="455">
        <f t="shared" ca="1" si="158"/>
        <v>-21825657161.08395</v>
      </c>
      <c r="L3931" s="455">
        <f t="shared" ca="1" si="159"/>
        <v>-5259983375821.2324</v>
      </c>
      <c r="M3931" s="471">
        <f t="shared" si="161"/>
        <v>0.05</v>
      </c>
      <c r="N3931" s="475">
        <f t="shared" si="162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60"/>
        <v>-5259983375821.2324</v>
      </c>
      <c r="J3932" s="455">
        <f t="array" ref="J3932">IFERROR(INDEX('Retirement Calculator'!K:K,MATCH('Lorri 401b'!N3932,'Retirement Calculator'!A:A,0),0),0)</f>
        <v>0</v>
      </c>
      <c r="K3932" s="455">
        <f t="shared" ca="1" si="158"/>
        <v>-21916597399.255135</v>
      </c>
      <c r="L3932" s="455">
        <f t="shared" ca="1" si="159"/>
        <v>-5281899973220.4873</v>
      </c>
      <c r="M3932" s="471">
        <f t="shared" si="161"/>
        <v>0.05</v>
      </c>
      <c r="N3932" s="475">
        <f t="shared" si="162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60"/>
        <v>-5281899973220.4873</v>
      </c>
      <c r="J3933" s="455">
        <f t="array" ref="J3933">IFERROR(INDEX('Retirement Calculator'!K:K,MATCH('Lorri 401b'!N3933,'Retirement Calculator'!A:A,0),0),0)</f>
        <v>0</v>
      </c>
      <c r="K3933" s="455">
        <f t="shared" ca="1" si="158"/>
        <v>-22007916555.085365</v>
      </c>
      <c r="L3933" s="455">
        <f t="shared" ca="1" si="159"/>
        <v>-5303907889775.5723</v>
      </c>
      <c r="M3933" s="471">
        <f t="shared" si="161"/>
        <v>0.05</v>
      </c>
      <c r="N3933" s="475">
        <f t="shared" si="162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60"/>
        <v>-5303907889775.5723</v>
      </c>
      <c r="J3934" s="455">
        <f t="array" ref="J3934">IFERROR(INDEX('Retirement Calculator'!K:K,MATCH('Lorri 401b'!N3934,'Retirement Calculator'!A:A,0),0),0)</f>
        <v>0</v>
      </c>
      <c r="K3934" s="455">
        <f t="shared" ca="1" si="158"/>
        <v>-22099616207.398216</v>
      </c>
      <c r="L3934" s="455">
        <f t="shared" ca="1" si="159"/>
        <v>-5326007505982.9707</v>
      </c>
      <c r="M3934" s="471">
        <f t="shared" si="161"/>
        <v>0.05</v>
      </c>
      <c r="N3934" s="475">
        <f t="shared" si="162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60"/>
        <v>-5326007505982.9707</v>
      </c>
      <c r="J3935" s="455">
        <f t="array" ref="J3935">IFERROR(INDEX('Retirement Calculator'!K:K,MATCH('Lorri 401b'!N3935,'Retirement Calculator'!A:A,0),0),0)</f>
        <v>0</v>
      </c>
      <c r="K3935" s="455">
        <f t="shared" ca="1" si="158"/>
        <v>-22191697941.595711</v>
      </c>
      <c r="L3935" s="455">
        <f t="shared" ca="1" si="159"/>
        <v>-5348199203924.5664</v>
      </c>
      <c r="M3935" s="471">
        <f t="shared" si="161"/>
        <v>0.05</v>
      </c>
      <c r="N3935" s="475">
        <f t="shared" si="162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60"/>
        <v>-5348199203924.5664</v>
      </c>
      <c r="J3936" s="455">
        <f t="array" ref="J3936">IFERROR(INDEX('Retirement Calculator'!K:K,MATCH('Lorri 401b'!N3936,'Retirement Calculator'!A:A,0),0),0)</f>
        <v>0</v>
      </c>
      <c r="K3936" s="455">
        <f t="shared" ca="1" si="158"/>
        <v>-22284163349.685692</v>
      </c>
      <c r="L3936" s="455">
        <f t="shared" ca="1" si="159"/>
        <v>-5370483367274.252</v>
      </c>
      <c r="M3936" s="471">
        <f t="shared" si="161"/>
        <v>0.05</v>
      </c>
      <c r="N3936" s="475">
        <f t="shared" si="162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60"/>
        <v>-5370483367274.252</v>
      </c>
      <c r="J3937" s="455">
        <f t="array" ref="J3937">IFERROR(INDEX('Retirement Calculator'!K:K,MATCH('Lorri 401b'!N3937,'Retirement Calculator'!A:A,0),0),0)</f>
        <v>0</v>
      </c>
      <c r="K3937" s="455">
        <f t="shared" ca="1" si="158"/>
        <v>-22377014030.309383</v>
      </c>
      <c r="L3937" s="455">
        <f t="shared" ca="1" si="159"/>
        <v>-5392860381304.5615</v>
      </c>
      <c r="M3937" s="471">
        <f t="shared" si="161"/>
        <v>0.05</v>
      </c>
      <c r="N3937" s="475">
        <f t="shared" si="162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60"/>
        <v>-5392860381304.5615</v>
      </c>
      <c r="J3938" s="455">
        <f t="array" ref="J3938">IFERROR(INDEX('Retirement Calculator'!K:K,MATCH('Lorri 401b'!N3938,'Retirement Calculator'!A:A,0),0),0)</f>
        <v>0</v>
      </c>
      <c r="K3938" s="455">
        <f t="shared" ca="1" si="158"/>
        <v>-22470251588.769005</v>
      </c>
      <c r="L3938" s="455">
        <f t="shared" ca="1" si="159"/>
        <v>-5415330632893.3301</v>
      </c>
      <c r="M3938" s="471">
        <f t="shared" si="161"/>
        <v>0.05</v>
      </c>
      <c r="N3938" s="475">
        <f t="shared" si="162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60"/>
        <v>-5415330632893.3301</v>
      </c>
      <c r="J3939" s="455">
        <f t="array" ref="J3939">IFERROR(INDEX('Retirement Calculator'!K:K,MATCH('Lorri 401b'!N3939,'Retirement Calculator'!A:A,0),0),0)</f>
        <v>0</v>
      </c>
      <c r="K3939" s="455">
        <f t="shared" ca="1" si="158"/>
        <v>-22563877637.055542</v>
      </c>
      <c r="L3939" s="455">
        <f t="shared" ca="1" si="159"/>
        <v>-5437894510530.3857</v>
      </c>
      <c r="M3939" s="471">
        <f t="shared" si="161"/>
        <v>0.05</v>
      </c>
      <c r="N3939" s="475">
        <f t="shared" si="162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60"/>
        <v>-5437894510530.3857</v>
      </c>
      <c r="J3940" s="455">
        <f t="array" ref="J3940">IFERROR(INDEX('Retirement Calculator'!K:K,MATCH('Lorri 401b'!N3940,'Retirement Calculator'!A:A,0),0),0)</f>
        <v>0</v>
      </c>
      <c r="K3940" s="455">
        <f t="shared" ca="1" si="158"/>
        <v>-22657893793.876606</v>
      </c>
      <c r="L3940" s="455">
        <f t="shared" ca="1" si="159"/>
        <v>-5460552404324.2627</v>
      </c>
      <c r="M3940" s="471">
        <f t="shared" si="161"/>
        <v>0.05</v>
      </c>
      <c r="N3940" s="475">
        <f t="shared" si="162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60"/>
        <v>-5460552404324.2627</v>
      </c>
      <c r="J3941" s="455">
        <f t="array" ref="J3941">IFERROR(INDEX('Retirement Calculator'!K:K,MATCH('Lorri 401b'!N3941,'Retirement Calculator'!A:A,0),0),0)</f>
        <v>0</v>
      </c>
      <c r="K3941" s="455">
        <f t="shared" ca="1" si="158"/>
        <v>-22752301684.684429</v>
      </c>
      <c r="L3941" s="455">
        <f t="shared" ca="1" si="159"/>
        <v>-5483304706008.9473</v>
      </c>
      <c r="M3941" s="471">
        <f t="shared" si="161"/>
        <v>0.05</v>
      </c>
      <c r="N3941" s="475">
        <f t="shared" si="162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60"/>
        <v>-5483304706008.9473</v>
      </c>
      <c r="J3942" s="455">
        <f t="array" ref="J3942">IFERROR(INDEX('Retirement Calculator'!K:K,MATCH('Lorri 401b'!N3942,'Retirement Calculator'!A:A,0),0),0)</f>
        <v>0</v>
      </c>
      <c r="K3942" s="455">
        <f t="shared" ca="1" si="158"/>
        <v>-22847102941.703945</v>
      </c>
      <c r="L3942" s="455">
        <f t="shared" ca="1" si="159"/>
        <v>-5506151808950.6514</v>
      </c>
      <c r="M3942" s="471">
        <f t="shared" si="161"/>
        <v>0.05</v>
      </c>
      <c r="N3942" s="475">
        <f t="shared" si="162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60"/>
        <v>-5506151808950.6514</v>
      </c>
      <c r="J3943" s="455">
        <f t="array" ref="J3943">IFERROR(INDEX('Retirement Calculator'!K:K,MATCH('Lorri 401b'!N3943,'Retirement Calculator'!A:A,0),0),0)</f>
        <v>0</v>
      </c>
      <c r="K3943" s="455">
        <f t="shared" ca="1" si="158"/>
        <v>-22942299203.961048</v>
      </c>
      <c r="L3943" s="455">
        <f t="shared" ca="1" si="159"/>
        <v>-5529094108154.6123</v>
      </c>
      <c r="M3943" s="471">
        <f t="shared" si="161"/>
        <v>0.05</v>
      </c>
      <c r="N3943" s="475">
        <f t="shared" si="162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60"/>
        <v>-5529094108154.6123</v>
      </c>
      <c r="J3944" s="455">
        <f t="array" ref="J3944">IFERROR(INDEX('Retirement Calculator'!K:K,MATCH('Lorri 401b'!N3944,'Retirement Calculator'!A:A,0),0),0)</f>
        <v>0</v>
      </c>
      <c r="K3944" s="455">
        <f t="shared" ca="1" si="158"/>
        <v>-23037892117.310883</v>
      </c>
      <c r="L3944" s="455">
        <f t="shared" ca="1" si="159"/>
        <v>-5552132000271.9229</v>
      </c>
      <c r="M3944" s="471">
        <f t="shared" si="161"/>
        <v>0.05</v>
      </c>
      <c r="N3944" s="475">
        <f t="shared" si="162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60"/>
        <v>-5552132000271.9229</v>
      </c>
      <c r="J3945" s="455">
        <f t="array" ref="J3945">IFERROR(INDEX('Retirement Calculator'!K:K,MATCH('Lorri 401b'!N3945,'Retirement Calculator'!A:A,0),0),0)</f>
        <v>0</v>
      </c>
      <c r="K3945" s="455">
        <f t="shared" ca="1" si="158"/>
        <v>-23133883334.466347</v>
      </c>
      <c r="L3945" s="455">
        <f t="shared" ca="1" si="159"/>
        <v>-5575265883606.3896</v>
      </c>
      <c r="M3945" s="471">
        <f t="shared" si="161"/>
        <v>0.05</v>
      </c>
      <c r="N3945" s="475">
        <f t="shared" si="162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60"/>
        <v>-5575265883606.3896</v>
      </c>
      <c r="J3946" s="455">
        <f t="array" ref="J3946">IFERROR(INDEX('Retirement Calculator'!K:K,MATCH('Lorri 401b'!N3946,'Retirement Calculator'!A:A,0),0),0)</f>
        <v>0</v>
      </c>
      <c r="K3946" s="455">
        <f t="shared" ca="1" si="158"/>
        <v>-23230274515.026623</v>
      </c>
      <c r="L3946" s="455">
        <f t="shared" ca="1" si="159"/>
        <v>-5598496158121.416</v>
      </c>
      <c r="M3946" s="471">
        <f t="shared" si="161"/>
        <v>0.05</v>
      </c>
      <c r="N3946" s="475">
        <f t="shared" si="162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60"/>
        <v>-5598496158121.416</v>
      </c>
      <c r="J3947" s="455">
        <f t="array" ref="J3947">IFERROR(INDEX('Retirement Calculator'!K:K,MATCH('Lorri 401b'!N3947,'Retirement Calculator'!A:A,0),0),0)</f>
        <v>0</v>
      </c>
      <c r="K3947" s="455">
        <f t="shared" ca="1" si="158"/>
        <v>-23327067325.505901</v>
      </c>
      <c r="L3947" s="455">
        <f t="shared" ca="1" si="159"/>
        <v>-5621823225446.9219</v>
      </c>
      <c r="M3947" s="471">
        <f t="shared" si="161"/>
        <v>0.05</v>
      </c>
      <c r="N3947" s="475">
        <f t="shared" si="162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60"/>
        <v>-5621823225446.9219</v>
      </c>
      <c r="J3948" s="455">
        <f t="array" ref="J3948">IFERROR(INDEX('Retirement Calculator'!K:K,MATCH('Lorri 401b'!N3948,'Retirement Calculator'!A:A,0),0),0)</f>
        <v>0</v>
      </c>
      <c r="K3948" s="455">
        <f t="shared" ca="1" si="158"/>
        <v>-23424263439.362175</v>
      </c>
      <c r="L3948" s="455">
        <f t="shared" ca="1" si="159"/>
        <v>-5645247488886.2842</v>
      </c>
      <c r="M3948" s="471">
        <f t="shared" si="161"/>
        <v>0.05</v>
      </c>
      <c r="N3948" s="475">
        <f t="shared" si="162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60"/>
        <v>-5645247488886.2842</v>
      </c>
      <c r="J3949" s="455">
        <f t="array" ref="J3949">IFERROR(INDEX('Retirement Calculator'!K:K,MATCH('Lorri 401b'!N3949,'Retirement Calculator'!A:A,0),0),0)</f>
        <v>0</v>
      </c>
      <c r="K3949" s="455">
        <f t="shared" ca="1" si="158"/>
        <v>-23521864537.026184</v>
      </c>
      <c r="L3949" s="455">
        <f t="shared" ca="1" si="159"/>
        <v>-5668769353423.3105</v>
      </c>
      <c r="M3949" s="471">
        <f t="shared" si="161"/>
        <v>0.05</v>
      </c>
      <c r="N3949" s="475">
        <f t="shared" si="162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60"/>
        <v>-5668769353423.3105</v>
      </c>
      <c r="J3950" s="455">
        <f t="array" ref="J3950">IFERROR(INDEX('Retirement Calculator'!K:K,MATCH('Lorri 401b'!N3950,'Retirement Calculator'!A:A,0),0),0)</f>
        <v>0</v>
      </c>
      <c r="K3950" s="455">
        <f t="shared" ca="1" si="158"/>
        <v>-23619872305.930462</v>
      </c>
      <c r="L3950" s="455">
        <f t="shared" ca="1" si="159"/>
        <v>-5692389225729.2412</v>
      </c>
      <c r="M3950" s="471">
        <f t="shared" si="161"/>
        <v>0.05</v>
      </c>
      <c r="N3950" s="475">
        <f t="shared" si="162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60"/>
        <v>-5692389225729.2412</v>
      </c>
      <c r="J3951" s="455">
        <f t="array" ref="J3951">IFERROR(INDEX('Retirement Calculator'!K:K,MATCH('Lorri 401b'!N3951,'Retirement Calculator'!A:A,0),0),0)</f>
        <v>0</v>
      </c>
      <c r="K3951" s="455">
        <f t="shared" ca="1" si="158"/>
        <v>-23718288440.538506</v>
      </c>
      <c r="L3951" s="455">
        <f t="shared" ca="1" si="159"/>
        <v>-5716107514169.7793</v>
      </c>
      <c r="M3951" s="471">
        <f t="shared" si="161"/>
        <v>0.05</v>
      </c>
      <c r="N3951" s="475">
        <f t="shared" si="162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60"/>
        <v>-5716107514169.7793</v>
      </c>
      <c r="J3952" s="455">
        <f t="array" ref="J3952">IFERROR(INDEX('Retirement Calculator'!K:K,MATCH('Lorri 401b'!N3952,'Retirement Calculator'!A:A,0),0),0)</f>
        <v>0</v>
      </c>
      <c r="K3952" s="455">
        <f t="shared" ca="1" si="158"/>
        <v>-23817114642.374081</v>
      </c>
      <c r="L3952" s="455">
        <f t="shared" ca="1" si="159"/>
        <v>-5739924628812.1533</v>
      </c>
      <c r="M3952" s="471">
        <f t="shared" si="161"/>
        <v>0.05</v>
      </c>
      <c r="N3952" s="475">
        <f t="shared" si="162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60"/>
        <v>-5739924628812.1533</v>
      </c>
      <c r="J3953" s="455">
        <f t="array" ref="J3953">IFERROR(INDEX('Retirement Calculator'!K:K,MATCH('Lorri 401b'!N3953,'Retirement Calculator'!A:A,0),0),0)</f>
        <v>0</v>
      </c>
      <c r="K3953" s="455">
        <f t="shared" ca="1" si="158"/>
        <v>-23916352620.05064</v>
      </c>
      <c r="L3953" s="455">
        <f t="shared" ca="1" si="159"/>
        <v>-5763840981432.2041</v>
      </c>
      <c r="M3953" s="471">
        <f t="shared" si="161"/>
        <v>0.05</v>
      </c>
      <c r="N3953" s="475">
        <f t="shared" si="162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60"/>
        <v>-5763840981432.2041</v>
      </c>
      <c r="J3954" s="455">
        <f t="array" ref="J3954">IFERROR(INDEX('Retirement Calculator'!K:K,MATCH('Lorri 401b'!N3954,'Retirement Calculator'!A:A,0),0),0)</f>
        <v>0</v>
      </c>
      <c r="K3954" s="455">
        <f t="shared" ca="1" si="158"/>
        <v>-24016004089.30085</v>
      </c>
      <c r="L3954" s="455">
        <f t="shared" ca="1" si="159"/>
        <v>-5787856985521.5049</v>
      </c>
      <c r="M3954" s="471">
        <f t="shared" si="161"/>
        <v>0.05</v>
      </c>
      <c r="N3954" s="475">
        <f t="shared" si="162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60"/>
        <v>-5787856985521.5049</v>
      </c>
      <c r="J3955" s="455">
        <f t="array" ref="J3955">IFERROR(INDEX('Retirement Calculator'!K:K,MATCH('Lorri 401b'!N3955,'Retirement Calculator'!A:A,0),0),0)</f>
        <v>0</v>
      </c>
      <c r="K3955" s="455">
        <f t="shared" ca="1" si="158"/>
        <v>-24116070773.006271</v>
      </c>
      <c r="L3955" s="455">
        <f t="shared" ca="1" si="159"/>
        <v>-5811973056294.5107</v>
      </c>
      <c r="M3955" s="471">
        <f t="shared" si="161"/>
        <v>0.05</v>
      </c>
      <c r="N3955" s="475">
        <f t="shared" si="162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60"/>
        <v>-5811973056294.5107</v>
      </c>
      <c r="J3956" s="455">
        <f t="array" ref="J3956">IFERROR(INDEX('Retirement Calculator'!K:K,MATCH('Lorri 401b'!N3956,'Retirement Calculator'!A:A,0),0),0)</f>
        <v>0</v>
      </c>
      <c r="K3956" s="455">
        <f t="shared" ca="1" si="158"/>
        <v>-24216554401.227127</v>
      </c>
      <c r="L3956" s="455">
        <f t="shared" ca="1" si="159"/>
        <v>-5836189610695.7383</v>
      </c>
      <c r="M3956" s="471">
        <f t="shared" si="161"/>
        <v>0.05</v>
      </c>
      <c r="N3956" s="475">
        <f t="shared" si="162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60"/>
        <v>-5836189610695.7383</v>
      </c>
      <c r="J3957" s="455">
        <f t="array" ref="J3957">IFERROR(INDEX('Retirement Calculator'!K:K,MATCH('Lorri 401b'!N3957,'Retirement Calculator'!A:A,0),0),0)</f>
        <v>0</v>
      </c>
      <c r="K3957" s="455">
        <f t="shared" ca="1" si="158"/>
        <v>-24317456711.232243</v>
      </c>
      <c r="L3957" s="455">
        <f t="shared" ca="1" si="159"/>
        <v>-5860507067406.9707</v>
      </c>
      <c r="M3957" s="471">
        <f t="shared" si="161"/>
        <v>0.05</v>
      </c>
      <c r="N3957" s="475">
        <f t="shared" si="162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60"/>
        <v>-5860507067406.9707</v>
      </c>
      <c r="J3958" s="455">
        <f t="array" ref="J3958">IFERROR(INDEX('Retirement Calculator'!K:K,MATCH('Lorri 401b'!N3958,'Retirement Calculator'!A:A,0),0),0)</f>
        <v>0</v>
      </c>
      <c r="K3958" s="455">
        <f t="shared" ca="1" si="158"/>
        <v>-24418779447.529045</v>
      </c>
      <c r="L3958" s="455">
        <f t="shared" ca="1" si="159"/>
        <v>-5884925846854.5</v>
      </c>
      <c r="M3958" s="471">
        <f t="shared" si="161"/>
        <v>0.05</v>
      </c>
      <c r="N3958" s="475">
        <f t="shared" si="162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60"/>
        <v>-5884925846854.5</v>
      </c>
      <c r="J3959" s="455">
        <f t="array" ref="J3959">IFERROR(INDEX('Retirement Calculator'!K:K,MATCH('Lorri 401b'!N3959,'Retirement Calculator'!A:A,0),0),0)</f>
        <v>0</v>
      </c>
      <c r="K3959" s="455">
        <f t="shared" ca="1" si="158"/>
        <v>-24520524361.893749</v>
      </c>
      <c r="L3959" s="455">
        <f t="shared" ca="1" si="159"/>
        <v>-5909446371216.3936</v>
      </c>
      <c r="M3959" s="471">
        <f t="shared" si="161"/>
        <v>0.05</v>
      </c>
      <c r="N3959" s="475">
        <f t="shared" si="162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60"/>
        <v>-5909446371216.3936</v>
      </c>
      <c r="J3960" s="455">
        <f t="array" ref="J3960">IFERROR(INDEX('Retirement Calculator'!K:K,MATCH('Lorri 401b'!N3960,'Retirement Calculator'!A:A,0),0),0)</f>
        <v>0</v>
      </c>
      <c r="K3960" s="455">
        <f t="shared" ca="1" si="158"/>
        <v>-24622693213.401638</v>
      </c>
      <c r="L3960" s="455">
        <f t="shared" ca="1" si="159"/>
        <v>-5934069064429.7949</v>
      </c>
      <c r="M3960" s="471">
        <f t="shared" si="161"/>
        <v>0.05</v>
      </c>
      <c r="N3960" s="475">
        <f t="shared" si="162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60"/>
        <v>-5934069064429.7949</v>
      </c>
      <c r="J3961" s="455">
        <f t="array" ref="J3961">IFERROR(INDEX('Retirement Calculator'!K:K,MATCH('Lorri 401b'!N3961,'Retirement Calculator'!A:A,0),0),0)</f>
        <v>0</v>
      </c>
      <c r="K3961" s="455">
        <f t="shared" ca="1" si="158"/>
        <v>-24725287768.457478</v>
      </c>
      <c r="L3961" s="455">
        <f t="shared" ca="1" si="159"/>
        <v>-5958794352198.252</v>
      </c>
      <c r="M3961" s="471">
        <f t="shared" si="161"/>
        <v>0.05</v>
      </c>
      <c r="N3961" s="475">
        <f t="shared" si="162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60"/>
        <v>-5958794352198.252</v>
      </c>
      <c r="J3962" s="455">
        <f t="array" ref="J3962">IFERROR(INDEX('Retirement Calculator'!K:K,MATCH('Lorri 401b'!N3962,'Retirement Calculator'!A:A,0),0),0)</f>
        <v>0</v>
      </c>
      <c r="K3962" s="455">
        <f t="shared" ca="1" si="158"/>
        <v>-24828309800.82605</v>
      </c>
      <c r="L3962" s="455">
        <f t="shared" ca="1" si="159"/>
        <v>-5983622661999.0781</v>
      </c>
      <c r="M3962" s="471">
        <f t="shared" si="161"/>
        <v>0.05</v>
      </c>
      <c r="N3962" s="475">
        <f t="shared" si="162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60"/>
        <v>-5983622661999.0781</v>
      </c>
      <c r="J3963" s="455">
        <f t="array" ref="J3963">IFERROR(INDEX('Retirement Calculator'!K:K,MATCH('Lorri 401b'!N3963,'Retirement Calculator'!A:A,0),0),0)</f>
        <v>0</v>
      </c>
      <c r="K3963" s="455">
        <f t="shared" ca="1" si="158"/>
        <v>-24931761091.662827</v>
      </c>
      <c r="L3963" s="455">
        <f t="shared" ca="1" si="159"/>
        <v>-6008554423090.7412</v>
      </c>
      <c r="M3963" s="471">
        <f t="shared" si="161"/>
        <v>0.05</v>
      </c>
      <c r="N3963" s="475">
        <f t="shared" si="162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60"/>
        <v>-6008554423090.7412</v>
      </c>
      <c r="J3964" s="455">
        <f t="array" ref="J3964">IFERROR(INDEX('Retirement Calculator'!K:K,MATCH('Lorri 401b'!N3964,'Retirement Calculator'!A:A,0),0),0)</f>
        <v>0</v>
      </c>
      <c r="K3964" s="455">
        <f t="shared" ca="1" si="158"/>
        <v>-25035643429.544754</v>
      </c>
      <c r="L3964" s="455">
        <f t="shared" ca="1" si="159"/>
        <v>-6033590066520.2861</v>
      </c>
      <c r="M3964" s="471">
        <f t="shared" si="161"/>
        <v>0.05</v>
      </c>
      <c r="N3964" s="475">
        <f t="shared" si="162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60"/>
        <v>-6033590066520.2861</v>
      </c>
      <c r="J3965" s="455">
        <f t="array" ref="J3965">IFERROR(INDEX('Retirement Calculator'!K:K,MATCH('Lorri 401b'!N3965,'Retirement Calculator'!A:A,0),0),0)</f>
        <v>0</v>
      </c>
      <c r="K3965" s="455">
        <f t="shared" ca="1" si="158"/>
        <v>-25139958610.50119</v>
      </c>
      <c r="L3965" s="455">
        <f t="shared" ca="1" si="159"/>
        <v>-6058730025130.7871</v>
      </c>
      <c r="M3965" s="471">
        <f t="shared" si="161"/>
        <v>0.05</v>
      </c>
      <c r="N3965" s="475">
        <f t="shared" si="162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60"/>
        <v>-6058730025130.7871</v>
      </c>
      <c r="J3966" s="455">
        <f t="array" ref="J3966">IFERROR(INDEX('Retirement Calculator'!K:K,MATCH('Lorri 401b'!N3966,'Retirement Calculator'!A:A,0),0),0)</f>
        <v>0</v>
      </c>
      <c r="K3966" s="455">
        <f t="shared" ca="1" si="158"/>
        <v>-25244708438.044945</v>
      </c>
      <c r="L3966" s="455">
        <f t="shared" ca="1" si="159"/>
        <v>-6083974733568.832</v>
      </c>
      <c r="M3966" s="471">
        <f t="shared" si="161"/>
        <v>0.05</v>
      </c>
      <c r="N3966" s="475">
        <f t="shared" si="162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60"/>
        <v>-6083974733568.832</v>
      </c>
      <c r="J3967" s="455">
        <f t="array" ref="J3967">IFERROR(INDEX('Retirement Calculator'!K:K,MATCH('Lorri 401b'!N3967,'Retirement Calculator'!A:A,0),0),0)</f>
        <v>0</v>
      </c>
      <c r="K3967" s="455">
        <f t="shared" ca="1" si="158"/>
        <v>-25349894723.203468</v>
      </c>
      <c r="L3967" s="455">
        <f t="shared" ca="1" si="159"/>
        <v>-6109324628292.0352</v>
      </c>
      <c r="M3967" s="471">
        <f t="shared" si="161"/>
        <v>0.05</v>
      </c>
      <c r="N3967" s="475">
        <f t="shared" si="162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60"/>
        <v>-6109324628292.0352</v>
      </c>
      <c r="J3968" s="455">
        <f t="array" ref="J3968">IFERROR(INDEX('Retirement Calculator'!K:K,MATCH('Lorri 401b'!N3968,'Retirement Calculator'!A:A,0),0),0)</f>
        <v>0</v>
      </c>
      <c r="K3968" s="455">
        <f t="shared" ca="1" si="158"/>
        <v>-25455519284.550148</v>
      </c>
      <c r="L3968" s="455">
        <f t="shared" ca="1" si="159"/>
        <v>-6134780147576.585</v>
      </c>
      <c r="M3968" s="471">
        <f t="shared" si="161"/>
        <v>0.05</v>
      </c>
      <c r="N3968" s="475">
        <f t="shared" si="162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60"/>
        <v>-6134780147576.585</v>
      </c>
      <c r="J3969" s="455">
        <f t="array" ref="J3969">IFERROR(INDEX('Retirement Calculator'!K:K,MATCH('Lorri 401b'!N3969,'Retirement Calculator'!A:A,0),0),0)</f>
        <v>0</v>
      </c>
      <c r="K3969" s="455">
        <f t="shared" ca="1" si="158"/>
        <v>-25561583948.235771</v>
      </c>
      <c r="L3969" s="455">
        <f t="shared" ca="1" si="159"/>
        <v>-6160341731524.8203</v>
      </c>
      <c r="M3969" s="471">
        <f t="shared" si="161"/>
        <v>0.05</v>
      </c>
      <c r="N3969" s="475">
        <f t="shared" si="162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60"/>
        <v>-6160341731524.8203</v>
      </c>
      <c r="J3970" s="455">
        <f t="array" ref="J3970">IFERROR(INDEX('Retirement Calculator'!K:K,MATCH('Lorri 401b'!N3970,'Retirement Calculator'!A:A,0),0),0)</f>
        <v>0</v>
      </c>
      <c r="K3970" s="455">
        <f t="shared" ca="1" si="158"/>
        <v>-25668090548.020084</v>
      </c>
      <c r="L3970" s="455">
        <f t="shared" ca="1" si="159"/>
        <v>-6186009822072.8408</v>
      </c>
      <c r="M3970" s="471">
        <f t="shared" si="161"/>
        <v>0.05</v>
      </c>
      <c r="N3970" s="475">
        <f t="shared" si="162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60"/>
        <v>-6186009822072.8408</v>
      </c>
      <c r="J3971" s="455">
        <f t="array" ref="J3971">IFERROR(INDEX('Retirement Calculator'!K:K,MATCH('Lorri 401b'!N3971,'Retirement Calculator'!A:A,0),0),0)</f>
        <v>0</v>
      </c>
      <c r="K3971" s="455">
        <f t="shared" ca="1" si="158"/>
        <v>-25775040925.303505</v>
      </c>
      <c r="L3971" s="455">
        <f t="shared" ca="1" si="159"/>
        <v>-6211784862998.1445</v>
      </c>
      <c r="M3971" s="471">
        <f t="shared" si="161"/>
        <v>0.05</v>
      </c>
      <c r="N3971" s="475">
        <f t="shared" si="162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60"/>
        <v>-6211784862998.1445</v>
      </c>
      <c r="J3972" s="455">
        <f t="array" ref="J3972">IFERROR(INDEX('Retirement Calculator'!K:K,MATCH('Lorri 401b'!N3972,'Retirement Calculator'!A:A,0),0),0)</f>
        <v>0</v>
      </c>
      <c r="K3972" s="455">
        <f t="shared" ca="1" si="158"/>
        <v>-25882436929.158936</v>
      </c>
      <c r="L3972" s="455">
        <f t="shared" ca="1" si="159"/>
        <v>-6237667299927.3037</v>
      </c>
      <c r="M3972" s="471">
        <f t="shared" si="161"/>
        <v>0.05</v>
      </c>
      <c r="N3972" s="475">
        <f t="shared" si="162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60"/>
        <v>-6237667299927.3037</v>
      </c>
      <c r="J3973" s="455">
        <f t="array" ref="J3973">IFERROR(INDEX('Retirement Calculator'!K:K,MATCH('Lorri 401b'!N3973,'Retirement Calculator'!A:A,0),0),0)</f>
        <v>0</v>
      </c>
      <c r="K3973" s="455">
        <f t="shared" ca="1" si="158"/>
        <v>-25990280416.363766</v>
      </c>
      <c r="L3973" s="455">
        <f t="shared" ca="1" si="159"/>
        <v>-6263657580343.667</v>
      </c>
      <c r="M3973" s="471">
        <f t="shared" si="161"/>
        <v>0.05</v>
      </c>
      <c r="N3973" s="475">
        <f t="shared" si="162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60"/>
        <v>-6263657580343.667</v>
      </c>
      <c r="J3974" s="455">
        <f t="array" ref="J3974">IFERROR(INDEX('Retirement Calculator'!K:K,MATCH('Lorri 401b'!N3974,'Retirement Calculator'!A:A,0),0),0)</f>
        <v>0</v>
      </c>
      <c r="K3974" s="455">
        <f t="shared" ca="1" si="158"/>
        <v>-26098573251.431946</v>
      </c>
      <c r="L3974" s="455">
        <f t="shared" ca="1" si="159"/>
        <v>-6289756153595.0986</v>
      </c>
      <c r="M3974" s="471">
        <f t="shared" si="161"/>
        <v>0.05</v>
      </c>
      <c r="N3974" s="475">
        <f t="shared" si="162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60"/>
        <v>-6289756153595.0986</v>
      </c>
      <c r="J3975" s="455">
        <f t="array" ref="J3975">IFERROR(INDEX('Retirement Calculator'!K:K,MATCH('Lorri 401b'!N3975,'Retirement Calculator'!A:A,0),0),0)</f>
        <v>0</v>
      </c>
      <c r="K3975" s="455">
        <f t="shared" ca="1" si="158"/>
        <v>-26207317306.646244</v>
      </c>
      <c r="L3975" s="455">
        <f t="shared" ca="1" si="159"/>
        <v>-6315963470901.7451</v>
      </c>
      <c r="M3975" s="471">
        <f t="shared" si="161"/>
        <v>0.05</v>
      </c>
      <c r="N3975" s="475">
        <f t="shared" si="162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60"/>
        <v>-6315963470901.7451</v>
      </c>
      <c r="J3976" s="455">
        <f t="array" ref="J3976">IFERROR(INDEX('Retirement Calculator'!K:K,MATCH('Lorri 401b'!N3976,'Retirement Calculator'!A:A,0),0),0)</f>
        <v>0</v>
      </c>
      <c r="K3976" s="455">
        <f t="shared" ca="1" si="158"/>
        <v>-26316514462.090603</v>
      </c>
      <c r="L3976" s="455">
        <f t="shared" ca="1" si="159"/>
        <v>-6342279985363.8359</v>
      </c>
      <c r="M3976" s="471">
        <f t="shared" si="161"/>
        <v>0.05</v>
      </c>
      <c r="N3976" s="475">
        <f t="shared" si="162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60"/>
        <v>-6342279985363.8359</v>
      </c>
      <c r="J3977" s="455">
        <f t="array" ref="J3977">IFERROR(INDEX('Retirement Calculator'!K:K,MATCH('Lorri 401b'!N3977,'Retirement Calculator'!A:A,0),0),0)</f>
        <v>0</v>
      </c>
      <c r="K3977" s="455">
        <f t="shared" ca="1" si="158"/>
        <v>-26426166605.682648</v>
      </c>
      <c r="L3977" s="455">
        <f t="shared" ca="1" si="159"/>
        <v>-6368706151969.5186</v>
      </c>
      <c r="M3977" s="471">
        <f t="shared" si="161"/>
        <v>0.05</v>
      </c>
      <c r="N3977" s="475">
        <f t="shared" si="162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60"/>
        <v>-6368706151969.5186</v>
      </c>
      <c r="J3978" s="455">
        <f t="array" ref="J3978">IFERROR(INDEX('Retirement Calculator'!K:K,MATCH('Lorri 401b'!N3978,'Retirement Calculator'!A:A,0),0),0)</f>
        <v>0</v>
      </c>
      <c r="K3978" s="455">
        <f t="shared" ca="1" si="158"/>
        <v>-26536275633.206326</v>
      </c>
      <c r="L3978" s="455">
        <f t="shared" ca="1" si="159"/>
        <v>-6395242427602.7246</v>
      </c>
      <c r="M3978" s="471">
        <f t="shared" si="161"/>
        <v>0.05</v>
      </c>
      <c r="N3978" s="475">
        <f t="shared" si="162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60"/>
        <v>-6395242427602.7246</v>
      </c>
      <c r="J3979" s="455">
        <f t="array" ref="J3979">IFERROR(INDEX('Retirement Calculator'!K:K,MATCH('Lorri 401b'!N3979,'Retirement Calculator'!A:A,0),0),0)</f>
        <v>0</v>
      </c>
      <c r="K3979" s="455">
        <f t="shared" ca="1" si="158"/>
        <v>-26646843448.344685</v>
      </c>
      <c r="L3979" s="455">
        <f t="shared" ca="1" si="159"/>
        <v>-6421889271051.0693</v>
      </c>
      <c r="M3979" s="471">
        <f t="shared" si="161"/>
        <v>0.05</v>
      </c>
      <c r="N3979" s="475">
        <f t="shared" si="162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60"/>
        <v>-6421889271051.0693</v>
      </c>
      <c r="J3980" s="455">
        <f t="array" ref="J3980">IFERROR(INDEX('Retirement Calculator'!K:K,MATCH('Lorri 401b'!N3980,'Retirement Calculator'!A:A,0),0),0)</f>
        <v>0</v>
      </c>
      <c r="K3980" s="455">
        <f t="shared" ca="1" si="158"/>
        <v>-26757871962.712788</v>
      </c>
      <c r="L3980" s="455">
        <f t="shared" ca="1" si="159"/>
        <v>-6448647143013.7822</v>
      </c>
      <c r="M3980" s="471">
        <f t="shared" si="161"/>
        <v>0.05</v>
      </c>
      <c r="N3980" s="475">
        <f t="shared" si="162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60"/>
        <v>-6448647143013.7822</v>
      </c>
      <c r="J3981" s="455">
        <f t="array" ref="J3981">IFERROR(INDEX('Retirement Calculator'!K:K,MATCH('Lorri 401b'!N3981,'Retirement Calculator'!A:A,0),0),0)</f>
        <v>0</v>
      </c>
      <c r="K3981" s="455">
        <f t="shared" ca="1" si="158"/>
        <v>-26869363095.890759</v>
      </c>
      <c r="L3981" s="455">
        <f t="shared" ca="1" si="159"/>
        <v>-6475516506109.6729</v>
      </c>
      <c r="M3981" s="471">
        <f t="shared" si="161"/>
        <v>0.05</v>
      </c>
      <c r="N3981" s="475">
        <f t="shared" si="162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60"/>
        <v>-6475516506109.6729</v>
      </c>
      <c r="J3982" s="455">
        <f t="array" ref="J3982">IFERROR(INDEX('Retirement Calculator'!K:K,MATCH('Lorri 401b'!N3982,'Retirement Calculator'!A:A,0),0),0)</f>
        <v>0</v>
      </c>
      <c r="K3982" s="455">
        <f t="shared" ca="1" si="158"/>
        <v>-26981318775.45697</v>
      </c>
      <c r="L3982" s="455">
        <f t="shared" ca="1" si="159"/>
        <v>-6502497824885.1299</v>
      </c>
      <c r="M3982" s="471">
        <f t="shared" si="161"/>
        <v>0.05</v>
      </c>
      <c r="N3982" s="475">
        <f t="shared" si="162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60"/>
        <v>-6502497824885.1299</v>
      </c>
      <c r="J3983" s="455">
        <f t="array" ref="J3983">IFERROR(INDEX('Retirement Calculator'!K:K,MATCH('Lorri 401b'!N3983,'Retirement Calculator'!A:A,0),0),0)</f>
        <v>0</v>
      </c>
      <c r="K3983" s="455">
        <f t="shared" ca="1" si="158"/>
        <v>-27093740937.021374</v>
      </c>
      <c r="L3983" s="455">
        <f t="shared" ca="1" si="159"/>
        <v>-6529591565822.1514</v>
      </c>
      <c r="M3983" s="471">
        <f t="shared" si="161"/>
        <v>0.05</v>
      </c>
      <c r="N3983" s="475">
        <f t="shared" si="162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60"/>
        <v>-6529591565822.1514</v>
      </c>
      <c r="J3984" s="455">
        <f t="array" ref="J3984">IFERROR(INDEX('Retirement Calculator'!K:K,MATCH('Lorri 401b'!N3984,'Retirement Calculator'!A:A,0),0),0)</f>
        <v>0</v>
      </c>
      <c r="K3984" s="455">
        <f t="shared" ca="1" si="158"/>
        <v>-27206631524.258965</v>
      </c>
      <c r="L3984" s="455">
        <f t="shared" ca="1" si="159"/>
        <v>-6556798197346.4102</v>
      </c>
      <c r="M3984" s="471">
        <f t="shared" si="161"/>
        <v>0.05</v>
      </c>
      <c r="N3984" s="475">
        <f t="shared" si="162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60"/>
        <v>-6556798197346.4102</v>
      </c>
      <c r="J3985" s="455">
        <f t="array" ref="J3985">IFERROR(INDEX('Retirement Calculator'!K:K,MATCH('Lorri 401b'!N3985,'Retirement Calculator'!A:A,0),0),0)</f>
        <v>0</v>
      </c>
      <c r="K3985" s="455">
        <f t="shared" ca="1" si="158"/>
        <v>-27319992488.943375</v>
      </c>
      <c r="L3985" s="455">
        <f t="shared" ca="1" si="159"/>
        <v>-6584118189835.3535</v>
      </c>
      <c r="M3985" s="471">
        <f t="shared" si="161"/>
        <v>0.05</v>
      </c>
      <c r="N3985" s="475">
        <f t="shared" si="162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60"/>
        <v>-6584118189835.3535</v>
      </c>
      <c r="J3986" s="455">
        <f t="array" ref="J3986">IFERROR(INDEX('Retirement Calculator'!K:K,MATCH('Lorri 401b'!N3986,'Retirement Calculator'!A:A,0),0),0)</f>
        <v>0</v>
      </c>
      <c r="K3986" s="455">
        <f t="shared" ca="1" si="158"/>
        <v>-27433825790.98064</v>
      </c>
      <c r="L3986" s="455">
        <f t="shared" ca="1" si="159"/>
        <v>-6611552015626.334</v>
      </c>
      <c r="M3986" s="471">
        <f t="shared" si="161"/>
        <v>0.05</v>
      </c>
      <c r="N3986" s="475">
        <f t="shared" si="162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60"/>
        <v>-6611552015626.334</v>
      </c>
      <c r="J3987" s="455">
        <f t="array" ref="J3987">IFERROR(INDEX('Retirement Calculator'!K:K,MATCH('Lorri 401b'!N3987,'Retirement Calculator'!A:A,0),0),0)</f>
        <v>0</v>
      </c>
      <c r="K3987" s="455">
        <f t="shared" ca="1" si="158"/>
        <v>-27548133398.443058</v>
      </c>
      <c r="L3987" s="455">
        <f t="shared" ca="1" si="159"/>
        <v>-6639100149024.7773</v>
      </c>
      <c r="M3987" s="471">
        <f t="shared" si="161"/>
        <v>0.05</v>
      </c>
      <c r="N3987" s="475">
        <f t="shared" si="162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60"/>
        <v>-6639100149024.7773</v>
      </c>
      <c r="J3988" s="455">
        <f t="array" ref="J3988">IFERROR(INDEX('Retirement Calculator'!K:K,MATCH('Lorri 401b'!N3988,'Retirement Calculator'!A:A,0),0),0)</f>
        <v>0</v>
      </c>
      <c r="K3988" s="455">
        <f t="shared" ca="1" si="158"/>
        <v>-27662917287.603237</v>
      </c>
      <c r="L3988" s="455">
        <f t="shared" ca="1" si="159"/>
        <v>-6666763066312.3809</v>
      </c>
      <c r="M3988" s="471">
        <f t="shared" si="161"/>
        <v>0.05</v>
      </c>
      <c r="N3988" s="475">
        <f t="shared" si="162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60"/>
        <v>-6666763066312.3809</v>
      </c>
      <c r="J3989" s="455">
        <f t="array" ref="J3989">IFERROR(INDEX('Retirement Calculator'!K:K,MATCH('Lorri 401b'!N3989,'Retirement Calculator'!A:A,0),0),0)</f>
        <v>0</v>
      </c>
      <c r="K3989" s="455">
        <f t="shared" ca="1" si="158"/>
        <v>-27778179442.968254</v>
      </c>
      <c r="L3989" s="455">
        <f t="shared" ca="1" si="159"/>
        <v>-6694541245755.3486</v>
      </c>
      <c r="M3989" s="471">
        <f t="shared" si="161"/>
        <v>0.05</v>
      </c>
      <c r="N3989" s="475">
        <f t="shared" si="162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60"/>
        <v>-6694541245755.3486</v>
      </c>
      <c r="J3990" s="455">
        <f t="array" ref="J3990">IFERROR(INDEX('Retirement Calculator'!K:K,MATCH('Lorri 401b'!N3990,'Retirement Calculator'!A:A,0),0),0)</f>
        <v>0</v>
      </c>
      <c r="K3990" s="455">
        <f t="shared" ca="1" si="158"/>
        <v>-27893921857.313953</v>
      </c>
      <c r="L3990" s="455">
        <f t="shared" ca="1" si="159"/>
        <v>-6722435167612.6621</v>
      </c>
      <c r="M3990" s="471">
        <f t="shared" si="161"/>
        <v>0.05</v>
      </c>
      <c r="N3990" s="475">
        <f t="shared" si="162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60"/>
        <v>-6722435167612.6621</v>
      </c>
      <c r="J3991" s="455">
        <f t="array" ref="J3991">IFERROR(INDEX('Retirement Calculator'!K:K,MATCH('Lorri 401b'!N3991,'Retirement Calculator'!A:A,0),0),0)</f>
        <v>0</v>
      </c>
      <c r="K3991" s="455">
        <f t="shared" ca="1" si="158"/>
        <v>-28010146531.719425</v>
      </c>
      <c r="L3991" s="455">
        <f t="shared" ca="1" si="159"/>
        <v>-6750445314144.3818</v>
      </c>
      <c r="M3991" s="471">
        <f t="shared" si="161"/>
        <v>0.05</v>
      </c>
      <c r="N3991" s="475">
        <f t="shared" si="162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60"/>
        <v>-6750445314144.3818</v>
      </c>
      <c r="J3992" s="455">
        <f t="array" ref="J3992">IFERROR(INDEX('Retirement Calculator'!K:K,MATCH('Lorri 401b'!N3992,'Retirement Calculator'!A:A,0),0),0)</f>
        <v>0</v>
      </c>
      <c r="K3992" s="455">
        <f t="shared" ca="1" si="158"/>
        <v>-28126855475.601589</v>
      </c>
      <c r="L3992" s="455">
        <f t="shared" ca="1" si="159"/>
        <v>-6778572169619.9834</v>
      </c>
      <c r="M3992" s="471">
        <f t="shared" si="161"/>
        <v>0.05</v>
      </c>
      <c r="N3992" s="475">
        <f t="shared" si="162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60"/>
        <v>-6778572169619.9834</v>
      </c>
      <c r="J3993" s="455">
        <f t="array" ref="J3993">IFERROR(INDEX('Retirement Calculator'!K:K,MATCH('Lorri 401b'!N3993,'Retirement Calculator'!A:A,0),0),0)</f>
        <v>0</v>
      </c>
      <c r="K3993" s="455">
        <f t="shared" ca="1" si="158"/>
        <v>-28244050706.749931</v>
      </c>
      <c r="L3993" s="455">
        <f t="shared" ca="1" si="159"/>
        <v>-6806816220326.7334</v>
      </c>
      <c r="M3993" s="471">
        <f t="shared" si="161"/>
        <v>0.05</v>
      </c>
      <c r="N3993" s="475">
        <f t="shared" si="162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60"/>
        <v>-6806816220326.7334</v>
      </c>
      <c r="J3994" s="455">
        <f t="array" ref="J3994">IFERROR(INDEX('Retirement Calculator'!K:K,MATCH('Lorri 401b'!N3994,'Retirement Calculator'!A:A,0),0),0)</f>
        <v>0</v>
      </c>
      <c r="K3994" s="455">
        <f t="shared" ca="1" si="158"/>
        <v>-28361734251.361389</v>
      </c>
      <c r="L3994" s="455">
        <f t="shared" ca="1" si="159"/>
        <v>-6835177954578.0947</v>
      </c>
      <c r="M3994" s="471">
        <f t="shared" si="161"/>
        <v>0.05</v>
      </c>
      <c r="N3994" s="475">
        <f t="shared" si="162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60"/>
        <v>-6835177954578.0947</v>
      </c>
      <c r="J3995" s="455">
        <f t="array" ref="J3995">IFERROR(INDEX('Retirement Calculator'!K:K,MATCH('Lorri 401b'!N3995,'Retirement Calculator'!A:A,0),0),0)</f>
        <v>0</v>
      </c>
      <c r="K3995" s="455">
        <f t="shared" ca="1" si="158"/>
        <v>-28479908144.075394</v>
      </c>
      <c r="L3995" s="455">
        <f t="shared" ca="1" si="159"/>
        <v>-6863657862722.1699</v>
      </c>
      <c r="M3995" s="471">
        <f t="shared" si="161"/>
        <v>0.05</v>
      </c>
      <c r="N3995" s="475">
        <f t="shared" si="162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60"/>
        <v>-6863657862722.1699</v>
      </c>
      <c r="J3996" s="455">
        <f t="array" ref="J3996">IFERROR(INDEX('Retirement Calculator'!K:K,MATCH('Lorri 401b'!N3996,'Retirement Calculator'!A:A,0),0),0)</f>
        <v>0</v>
      </c>
      <c r="K3996" s="455">
        <f t="shared" ca="1" si="158"/>
        <v>-28598574428.009041</v>
      </c>
      <c r="L3996" s="455">
        <f t="shared" ca="1" si="159"/>
        <v>-6892256437150.1787</v>
      </c>
      <c r="M3996" s="471">
        <f t="shared" si="161"/>
        <v>0.05</v>
      </c>
      <c r="N3996" s="475">
        <f t="shared" si="162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60"/>
        <v>-6892256437150.1787</v>
      </c>
      <c r="J3997" s="455">
        <f t="array" ref="J3997">IFERROR(INDEX('Retirement Calculator'!K:K,MATCH('Lorri 401b'!N3997,'Retirement Calculator'!A:A,0),0),0)</f>
        <v>0</v>
      </c>
      <c r="K3997" s="455">
        <f t="shared" ca="1" si="158"/>
        <v>-28717735154.792412</v>
      </c>
      <c r="L3997" s="455">
        <f t="shared" ca="1" si="159"/>
        <v>-6920974172304.9707</v>
      </c>
      <c r="M3997" s="471">
        <f t="shared" si="161"/>
        <v>0.05</v>
      </c>
      <c r="N3997" s="475">
        <f t="shared" si="162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60"/>
        <v>-6920974172304.9707</v>
      </c>
      <c r="J3998" s="455">
        <f t="array" ref="J3998">IFERROR(INDEX('Retirement Calculator'!K:K,MATCH('Lorri 401b'!N3998,'Retirement Calculator'!A:A,0),0),0)</f>
        <v>0</v>
      </c>
      <c r="K3998" s="455">
        <f t="shared" ca="1" si="158"/>
        <v>-28837392384.604038</v>
      </c>
      <c r="L3998" s="455">
        <f t="shared" ca="1" si="159"/>
        <v>-6949811564689.5752</v>
      </c>
      <c r="M3998" s="471">
        <f t="shared" si="161"/>
        <v>0.05</v>
      </c>
      <c r="N3998" s="475">
        <f t="shared" si="162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60"/>
        <v>-6949811564689.5752</v>
      </c>
      <c r="J3999" s="455">
        <f t="array" ref="J3999">IFERROR(INDEX('Retirement Calculator'!K:K,MATCH('Lorri 401b'!N3999,'Retirement Calculator'!A:A,0),0),0)</f>
        <v>0</v>
      </c>
      <c r="K3999" s="455">
        <f t="shared" ca="1" si="158"/>
        <v>-28957548186.206562</v>
      </c>
      <c r="L3999" s="455">
        <f t="shared" ca="1" si="159"/>
        <v>-6978769112875.7822</v>
      </c>
      <c r="M3999" s="471">
        <f t="shared" si="161"/>
        <v>0.05</v>
      </c>
      <c r="N3999" s="475">
        <f t="shared" si="162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60"/>
        <v>-6978769112875.7822</v>
      </c>
      <c r="J4000" s="455">
        <f t="array" ref="J4000">IFERROR(INDEX('Retirement Calculator'!K:K,MATCH('Lorri 401b'!N4000,'Retirement Calculator'!A:A,0),0),0)</f>
        <v>0</v>
      </c>
      <c r="K4000" s="455">
        <f t="shared" ca="1" si="158"/>
        <v>-29078204636.982426</v>
      </c>
      <c r="L4000" s="455">
        <f t="shared" ca="1" si="159"/>
        <v>-7007847317512.7646</v>
      </c>
      <c r="M4000" s="471">
        <f t="shared" si="161"/>
        <v>0.05</v>
      </c>
      <c r="N4000" s="475">
        <f t="shared" si="162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60"/>
        <v>-7007847317512.7646</v>
      </c>
      <c r="J4001" s="455">
        <f t="array" ref="J4001">IFERROR(INDEX('Retirement Calculator'!K:K,MATCH('Lorri 401b'!N4001,'Retirement Calculator'!A:A,0),0),0)</f>
        <v>0</v>
      </c>
      <c r="K4001" s="455">
        <f t="shared" ca="1" si="158"/>
        <v>-29199363822.969849</v>
      </c>
      <c r="L4001" s="455">
        <f t="shared" ca="1" si="159"/>
        <v>-7037046681335.7344</v>
      </c>
      <c r="M4001" s="471">
        <f t="shared" si="161"/>
        <v>0.05</v>
      </c>
      <c r="N4001" s="475">
        <f t="shared" si="162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60"/>
        <v>-7037046681335.7344</v>
      </c>
      <c r="J4002" s="455">
        <f t="array" ref="J4002">IFERROR(INDEX('Retirement Calculator'!K:K,MATCH('Lorri 401b'!N4002,'Retirement Calculator'!A:A,0),0),0)</f>
        <v>0</v>
      </c>
      <c r="K4002" s="455">
        <f t="shared" ca="1" si="158"/>
        <v>-29321027838.898891</v>
      </c>
      <c r="L4002" s="455">
        <f t="shared" ca="1" si="159"/>
        <v>-7066367709174.6328</v>
      </c>
      <c r="M4002" s="471">
        <f t="shared" si="161"/>
        <v>0.05</v>
      </c>
      <c r="N4002" s="475">
        <f t="shared" si="162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60"/>
        <v>-7066367709174.6328</v>
      </c>
      <c r="J4003" s="455">
        <f t="array" ref="J4003">IFERROR(INDEX('Retirement Calculator'!K:K,MATCH('Lorri 401b'!N4003,'Retirement Calculator'!A:A,0),0),0)</f>
        <v>0</v>
      </c>
      <c r="K4003" s="455">
        <f t="shared" ca="1" si="158"/>
        <v>-29443198788.227634</v>
      </c>
      <c r="L4003" s="455">
        <f t="shared" ca="1" si="159"/>
        <v>-7095810907962.8604</v>
      </c>
      <c r="M4003" s="471">
        <f t="shared" si="161"/>
        <v>0.05</v>
      </c>
      <c r="N4003" s="475">
        <f t="shared" si="162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60"/>
        <v>-7095810907962.8604</v>
      </c>
      <c r="J4004" s="455">
        <f t="array" ref="J4004">IFERROR(INDEX('Retirement Calculator'!K:K,MATCH('Lorri 401b'!N4004,'Retirement Calculator'!A:A,0),0),0)</f>
        <v>0</v>
      </c>
      <c r="K4004" s="455">
        <f t="shared" ca="1" si="158"/>
        <v>-29565878783.178585</v>
      </c>
      <c r="L4004" s="455">
        <f t="shared" ca="1" si="159"/>
        <v>-7125376786746.0391</v>
      </c>
      <c r="M4004" s="471">
        <f t="shared" si="161"/>
        <v>0.05</v>
      </c>
      <c r="N4004" s="475">
        <f t="shared" si="162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60"/>
        <v>-7125376786746.0391</v>
      </c>
      <c r="J4005" s="455">
        <f t="array" ref="J4005">IFERROR(INDEX('Retirement Calculator'!K:K,MATCH('Lorri 401b'!N4005,'Retirement Calculator'!A:A,0),0),0)</f>
        <v>0</v>
      </c>
      <c r="K4005" s="455">
        <f t="shared" ca="1" si="158"/>
        <v>-29689069944.775162</v>
      </c>
      <c r="L4005" s="455">
        <f t="shared" ca="1" si="159"/>
        <v>-7155065856690.8145</v>
      </c>
      <c r="M4005" s="471">
        <f t="shared" si="161"/>
        <v>0.05</v>
      </c>
      <c r="N4005" s="475">
        <f t="shared" si="162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60"/>
        <v>-7155065856690.8145</v>
      </c>
      <c r="J4006" s="455">
        <f t="array" ref="J4006">IFERROR(INDEX('Retirement Calculator'!K:K,MATCH('Lorri 401b'!N4006,'Retirement Calculator'!A:A,0),0),0)</f>
        <v>0</v>
      </c>
      <c r="K4006" s="455">
        <f t="shared" ca="1" si="158"/>
        <v>-29812774402.878387</v>
      </c>
      <c r="L4006" s="455">
        <f t="shared" ca="1" si="159"/>
        <v>-7184878631093.6924</v>
      </c>
      <c r="M4006" s="471">
        <f t="shared" si="161"/>
        <v>0.05</v>
      </c>
      <c r="N4006" s="475">
        <f t="shared" si="162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60"/>
        <v>-7184878631093.6924</v>
      </c>
      <c r="J4007" s="455">
        <f t="array" ref="J4007">IFERROR(INDEX('Retirement Calculator'!K:K,MATCH('Lorri 401b'!N4007,'Retirement Calculator'!A:A,0),0),0)</f>
        <v>0</v>
      </c>
      <c r="K4007" s="455">
        <f t="shared" ca="1" si="158"/>
        <v>-29936994296.223717</v>
      </c>
      <c r="L4007" s="455">
        <f t="shared" ca="1" si="159"/>
        <v>-7214815625389.916</v>
      </c>
      <c r="M4007" s="471">
        <f t="shared" si="161"/>
        <v>0.05</v>
      </c>
      <c r="N4007" s="475">
        <f t="shared" si="162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60"/>
        <v>-7214815625389.916</v>
      </c>
      <c r="J4008" s="455">
        <f t="array" ref="J4008">IFERROR(INDEX('Retirement Calculator'!K:K,MATCH('Lorri 401b'!N4008,'Retirement Calculator'!A:A,0),0),0)</f>
        <v>0</v>
      </c>
      <c r="K4008" s="455">
        <f t="shared" ca="1" si="158"/>
        <v>-30061731772.457989</v>
      </c>
      <c r="L4008" s="455">
        <f t="shared" ca="1" si="159"/>
        <v>-7244877357162.374</v>
      </c>
      <c r="M4008" s="471">
        <f t="shared" si="161"/>
        <v>0.05</v>
      </c>
      <c r="N4008" s="475">
        <f t="shared" si="162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60"/>
        <v>-7244877357162.374</v>
      </c>
      <c r="J4009" s="455">
        <f t="array" ref="J4009">IFERROR(INDEX('Retirement Calculator'!K:K,MATCH('Lorri 401b'!N4009,'Retirement Calculator'!A:A,0),0),0)</f>
        <v>0</v>
      </c>
      <c r="K4009" s="455">
        <f t="shared" ca="1" si="158"/>
        <v>-30186988988.176563</v>
      </c>
      <c r="L4009" s="455">
        <f t="shared" ca="1" si="159"/>
        <v>-7275064346150.5508</v>
      </c>
      <c r="M4009" s="471">
        <f t="shared" si="161"/>
        <v>0.05</v>
      </c>
      <c r="N4009" s="475">
        <f t="shared" si="162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60"/>
        <v>-7275064346150.5508</v>
      </c>
      <c r="J4010" s="455">
        <f t="array" ref="J4010">IFERROR(INDEX('Retirement Calculator'!K:K,MATCH('Lorri 401b'!N4010,'Retirement Calculator'!A:A,0),0),0)</f>
        <v>0</v>
      </c>
      <c r="K4010" s="455">
        <f t="shared" ca="1" si="158"/>
        <v>-30312768108.960629</v>
      </c>
      <c r="L4010" s="455">
        <f t="shared" ca="1" si="159"/>
        <v>-7305377114259.5117</v>
      </c>
      <c r="M4010" s="471">
        <f t="shared" si="161"/>
        <v>0.05</v>
      </c>
      <c r="N4010" s="475">
        <f t="shared" si="162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60"/>
        <v>-7305377114259.5117</v>
      </c>
      <c r="J4011" s="455">
        <f t="array" ref="J4011">IFERROR(INDEX('Retirement Calculator'!K:K,MATCH('Lorri 401b'!N4011,'Retirement Calculator'!A:A,0),0),0)</f>
        <v>0</v>
      </c>
      <c r="K4011" s="455">
        <f t="shared" ca="1" si="158"/>
        <v>-30439071309.414631</v>
      </c>
      <c r="L4011" s="455">
        <f t="shared" ca="1" si="159"/>
        <v>-7335816185568.9268</v>
      </c>
      <c r="M4011" s="471">
        <f t="shared" si="161"/>
        <v>0.05</v>
      </c>
      <c r="N4011" s="475">
        <f t="shared" si="162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60"/>
        <v>-7335816185568.9268</v>
      </c>
      <c r="J4012" s="455">
        <f t="array" ref="J4012">IFERROR(INDEX('Retirement Calculator'!K:K,MATCH('Lorri 401b'!N4012,'Retirement Calculator'!A:A,0),0),0)</f>
        <v>0</v>
      </c>
      <c r="K4012" s="455">
        <f t="shared" ca="1" si="158"/>
        <v>-30565900773.203857</v>
      </c>
      <c r="L4012" s="455">
        <f t="shared" ca="1" si="159"/>
        <v>-7366382086342.1309</v>
      </c>
      <c r="M4012" s="471">
        <f t="shared" si="161"/>
        <v>0.05</v>
      </c>
      <c r="N4012" s="475">
        <f t="shared" si="162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60"/>
        <v>-7366382086342.1309</v>
      </c>
      <c r="J4013" s="455">
        <f t="array" ref="J4013">IFERROR(INDEX('Retirement Calculator'!K:K,MATCH('Lorri 401b'!N4013,'Retirement Calculator'!A:A,0),0),0)</f>
        <v>0</v>
      </c>
      <c r="K4013" s="455">
        <f t="shared" ca="1" si="158"/>
        <v>-30693258693.092213</v>
      </c>
      <c r="L4013" s="455">
        <f t="shared" ca="1" si="159"/>
        <v>-7397075345035.2227</v>
      </c>
      <c r="M4013" s="471">
        <f t="shared" si="161"/>
        <v>0.05</v>
      </c>
      <c r="N4013" s="475">
        <f t="shared" si="162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60"/>
        <v>-7397075345035.2227</v>
      </c>
      <c r="J4014" s="455">
        <f t="array" ref="J4014">IFERROR(INDEX('Retirement Calculator'!K:K,MATCH('Lorri 401b'!N4014,'Retirement Calculator'!A:A,0),0),0)</f>
        <v>0</v>
      </c>
      <c r="K4014" s="455">
        <f t="shared" ca="1" si="158"/>
        <v>-30821147270.980095</v>
      </c>
      <c r="L4014" s="455">
        <f t="shared" ca="1" si="159"/>
        <v>-7427896492306.2031</v>
      </c>
      <c r="M4014" s="471">
        <f t="shared" si="161"/>
        <v>0.05</v>
      </c>
      <c r="N4014" s="475">
        <f t="shared" si="162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60"/>
        <v>-7427896492306.2031</v>
      </c>
      <c r="J4015" s="455">
        <f t="array" ref="J4015">IFERROR(INDEX('Retirement Calculator'!K:K,MATCH('Lorri 401b'!N4015,'Retirement Calculator'!A:A,0),0),0)</f>
        <v>0</v>
      </c>
      <c r="K4015" s="455">
        <f t="shared" ca="1" si="158"/>
        <v>-30949568717.942513</v>
      </c>
      <c r="L4015" s="455">
        <f t="shared" ca="1" si="159"/>
        <v>-7458846061024.1455</v>
      </c>
      <c r="M4015" s="471">
        <f t="shared" si="161"/>
        <v>0.05</v>
      </c>
      <c r="N4015" s="475">
        <f t="shared" si="162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60"/>
        <v>-7458846061024.1455</v>
      </c>
      <c r="J4016" s="455">
        <f t="array" ref="J4016">IFERROR(INDEX('Retirement Calculator'!K:K,MATCH('Lorri 401b'!N4016,'Retirement Calculator'!A:A,0),0),0)</f>
        <v>0</v>
      </c>
      <c r="K4016" s="455">
        <f t="shared" ca="1" si="158"/>
        <v>-31078525254.267273</v>
      </c>
      <c r="L4016" s="455">
        <f t="shared" ca="1" si="159"/>
        <v>-7489924586278.4131</v>
      </c>
      <c r="M4016" s="471">
        <f t="shared" si="161"/>
        <v>0.05</v>
      </c>
      <c r="N4016" s="475">
        <f t="shared" si="162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60"/>
        <v>-7489924586278.4131</v>
      </c>
      <c r="J4017" s="455">
        <f t="array" ref="J4017">IFERROR(INDEX('Retirement Calculator'!K:K,MATCH('Lorri 401b'!N4017,'Retirement Calculator'!A:A,0),0),0)</f>
        <v>0</v>
      </c>
      <c r="K4017" s="455">
        <f t="shared" ca="1" si="158"/>
        <v>-31208019109.493389</v>
      </c>
      <c r="L4017" s="455">
        <f t="shared" ca="1" si="159"/>
        <v>-7521132605387.9063</v>
      </c>
      <c r="M4017" s="471">
        <f t="shared" si="161"/>
        <v>0.05</v>
      </c>
      <c r="N4017" s="475">
        <f t="shared" si="162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60"/>
        <v>-7521132605387.9063</v>
      </c>
      <c r="J4018" s="455">
        <f t="array" ref="J4018">IFERROR(INDEX('Retirement Calculator'!K:K,MATCH('Lorri 401b'!N4018,'Retirement Calculator'!A:A,0),0),0)</f>
        <v>0</v>
      </c>
      <c r="K4018" s="455">
        <f t="shared" ca="1" si="158"/>
        <v>-31338052522.449608</v>
      </c>
      <c r="L4018" s="455">
        <f t="shared" ca="1" si="159"/>
        <v>-7552470657910.3555</v>
      </c>
      <c r="M4018" s="471">
        <f t="shared" si="161"/>
        <v>0.05</v>
      </c>
      <c r="N4018" s="475">
        <f t="shared" si="162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60"/>
        <v>-7552470657910.3555</v>
      </c>
      <c r="J4019" s="455">
        <f t="array" ref="J4019">IFERROR(INDEX('Retirement Calculator'!K:K,MATCH('Lorri 401b'!N4019,'Retirement Calculator'!A:A,0),0),0)</f>
        <v>0</v>
      </c>
      <c r="K4019" s="455">
        <f t="shared" ca="1" si="158"/>
        <v>-31468627741.293148</v>
      </c>
      <c r="L4019" s="455">
        <f t="shared" ca="1" si="159"/>
        <v>-7583939285651.6484</v>
      </c>
      <c r="M4019" s="471">
        <f t="shared" si="161"/>
        <v>0.05</v>
      </c>
      <c r="N4019" s="475">
        <f t="shared" si="162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60"/>
        <v>-7583939285651.6484</v>
      </c>
      <c r="J4020" s="455">
        <f t="array" ref="J4020">IFERROR(INDEX('Retirement Calculator'!K:K,MATCH('Lorri 401b'!N4020,'Retirement Calculator'!A:A,0),0),0)</f>
        <v>0</v>
      </c>
      <c r="K4020" s="455">
        <f t="shared" ca="1" si="158"/>
        <v>-31599747023.548534</v>
      </c>
      <c r="L4020" s="455">
        <f t="shared" ca="1" si="159"/>
        <v>-7615539032675.1973</v>
      </c>
      <c r="M4020" s="471">
        <f t="shared" si="161"/>
        <v>0.05</v>
      </c>
      <c r="N4020" s="475">
        <f t="shared" si="162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60"/>
        <v>-7615539032675.1973</v>
      </c>
      <c r="J4021" s="455">
        <f t="array" ref="J4021">IFERROR(INDEX('Retirement Calculator'!K:K,MATCH('Lorri 401b'!N4021,'Retirement Calculator'!A:A,0),0),0)</f>
        <v>0</v>
      </c>
      <c r="K4021" s="455">
        <f t="shared" ca="1" si="158"/>
        <v>-31731412636.146652</v>
      </c>
      <c r="L4021" s="455">
        <f t="shared" ca="1" si="159"/>
        <v>-7647270445311.3438</v>
      </c>
      <c r="M4021" s="471">
        <f t="shared" si="161"/>
        <v>0.05</v>
      </c>
      <c r="N4021" s="475">
        <f t="shared" si="162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60"/>
        <v>-7647270445311.3438</v>
      </c>
      <c r="J4022" s="455">
        <f t="array" ref="J4022">IFERROR(INDEX('Retirement Calculator'!K:K,MATCH('Lorri 401b'!N4022,'Retirement Calculator'!A:A,0),0),0)</f>
        <v>0</v>
      </c>
      <c r="K4022" s="455">
        <f t="shared" ca="1" si="158"/>
        <v>-31863626855.463936</v>
      </c>
      <c r="L4022" s="455">
        <f t="shared" ca="1" si="159"/>
        <v>-7679134072166.8076</v>
      </c>
      <c r="M4022" s="471">
        <f t="shared" si="161"/>
        <v>0.05</v>
      </c>
      <c r="N4022" s="475">
        <f t="shared" si="162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60"/>
        <v>-7679134072166.8076</v>
      </c>
      <c r="J4023" s="455">
        <f t="array" ref="J4023">IFERROR(INDEX('Retirement Calculator'!K:K,MATCH('Lorri 401b'!N4023,'Retirement Calculator'!A:A,0),0),0)</f>
        <v>0</v>
      </c>
      <c r="K4023" s="455">
        <f t="shared" ca="1" si="158"/>
        <v>-31996391967.361698</v>
      </c>
      <c r="L4023" s="455">
        <f t="shared" ca="1" si="159"/>
        <v>-7711130464134.1689</v>
      </c>
      <c r="M4023" s="471">
        <f t="shared" si="161"/>
        <v>0.05</v>
      </c>
      <c r="N4023" s="475">
        <f t="shared" si="162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60"/>
        <v>-7711130464134.1689</v>
      </c>
      <c r="J4024" s="455">
        <f t="array" ref="J4024">IFERROR(INDEX('Retirement Calculator'!K:K,MATCH('Lorri 401b'!N4024,'Retirement Calculator'!A:A,0),0),0)</f>
        <v>0</v>
      </c>
      <c r="K4024" s="455">
        <f t="shared" ca="1" si="158"/>
        <v>-32129710267.2257</v>
      </c>
      <c r="L4024" s="455">
        <f t="shared" ca="1" si="159"/>
        <v>-7743260174401.3945</v>
      </c>
      <c r="M4024" s="471">
        <f t="shared" si="161"/>
        <v>0.05</v>
      </c>
      <c r="N4024" s="475">
        <f t="shared" si="162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60"/>
        <v>-7743260174401.3945</v>
      </c>
      <c r="J4025" s="455">
        <f t="array" ref="J4025">IFERROR(INDEX('Retirement Calculator'!K:K,MATCH('Lorri 401b'!N4025,'Retirement Calculator'!A:A,0),0),0)</f>
        <v>0</v>
      </c>
      <c r="K4025" s="455">
        <f t="shared" ca="1" si="158"/>
        <v>-32263584060.00581</v>
      </c>
      <c r="L4025" s="455">
        <f t="shared" ca="1" si="159"/>
        <v>-7775523758461.4004</v>
      </c>
      <c r="M4025" s="471">
        <f t="shared" si="161"/>
        <v>0.05</v>
      </c>
      <c r="N4025" s="475">
        <f t="shared" si="162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60"/>
        <v>-7775523758461.4004</v>
      </c>
      <c r="J4026" s="455">
        <f t="array" ref="J4026">IFERROR(INDEX('Retirement Calculator'!K:K,MATCH('Lorri 401b'!N4026,'Retirement Calculator'!A:A,0),0),0)</f>
        <v>0</v>
      </c>
      <c r="K4026" s="455">
        <f t="shared" ca="1" si="158"/>
        <v>-32398015660.25584</v>
      </c>
      <c r="L4026" s="455">
        <f t="shared" ca="1" si="159"/>
        <v>-7807921774121.6563</v>
      </c>
      <c r="M4026" s="471">
        <f t="shared" si="161"/>
        <v>0.05</v>
      </c>
      <c r="N4026" s="475">
        <f t="shared" si="162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60"/>
        <v>-7807921774121.6563</v>
      </c>
      <c r="J4027" s="455">
        <f t="array" ref="J4027">IFERROR(INDEX('Retirement Calculator'!K:K,MATCH('Lorri 401b'!N4027,'Retirement Calculator'!A:A,0),0),0)</f>
        <v>0</v>
      </c>
      <c r="K4027" s="455">
        <f t="shared" ca="1" si="158"/>
        <v>-32533007392.173573</v>
      </c>
      <c r="L4027" s="455">
        <f t="shared" ca="1" si="159"/>
        <v>-7840454781513.8301</v>
      </c>
      <c r="M4027" s="471">
        <f t="shared" si="161"/>
        <v>0.05</v>
      </c>
      <c r="N4027" s="475">
        <f t="shared" si="162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60"/>
        <v>-7840454781513.8301</v>
      </c>
      <c r="J4028" s="455">
        <f t="array" ref="J4028">IFERROR(INDEX('Retirement Calculator'!K:K,MATCH('Lorri 401b'!N4028,'Retirement Calculator'!A:A,0),0),0)</f>
        <v>0</v>
      </c>
      <c r="K4028" s="455">
        <f t="shared" ca="1" si="158"/>
        <v>-32668561589.640953</v>
      </c>
      <c r="L4028" s="455">
        <f t="shared" ca="1" si="159"/>
        <v>-7873123343103.4707</v>
      </c>
      <c r="M4028" s="471">
        <f t="shared" si="161"/>
        <v>0.05</v>
      </c>
      <c r="N4028" s="475">
        <f t="shared" si="162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60"/>
        <v>-7873123343103.4707</v>
      </c>
      <c r="J4029" s="455">
        <f t="array" ref="J4029">IFERROR(INDEX('Retirement Calculator'!K:K,MATCH('Lorri 401b'!N4029,'Retirement Calculator'!A:A,0),0),0)</f>
        <v>0</v>
      </c>
      <c r="K4029" s="455">
        <f t="shared" ca="1" si="158"/>
        <v>-32804680596.264462</v>
      </c>
      <c r="L4029" s="455">
        <f t="shared" ca="1" si="159"/>
        <v>-7905928023699.7354</v>
      </c>
      <c r="M4029" s="471">
        <f t="shared" si="161"/>
        <v>0.05</v>
      </c>
      <c r="N4029" s="475">
        <f t="shared" si="162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60"/>
        <v>-7905928023699.7354</v>
      </c>
      <c r="J4030" s="455">
        <f t="array" ref="J4030">IFERROR(INDEX('Retirement Calculator'!K:K,MATCH('Lorri 401b'!N4030,'Retirement Calculator'!A:A,0),0),0)</f>
        <v>0</v>
      </c>
      <c r="K4030" s="455">
        <f t="shared" ca="1" si="158"/>
        <v>-32941366765.415562</v>
      </c>
      <c r="L4030" s="455">
        <f t="shared" ca="1" si="159"/>
        <v>-7938869390465.1514</v>
      </c>
      <c r="M4030" s="471">
        <f t="shared" si="161"/>
        <v>0.05</v>
      </c>
      <c r="N4030" s="475">
        <f t="shared" si="162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60"/>
        <v>-7938869390465.1514</v>
      </c>
      <c r="J4031" s="455">
        <f t="array" ref="J4031">IFERROR(INDEX('Retirement Calculator'!K:K,MATCH('Lorri 401b'!N4031,'Retirement Calculator'!A:A,0),0),0)</f>
        <v>0</v>
      </c>
      <c r="K4031" s="455">
        <f t="shared" ca="1" si="158"/>
        <v>-33078622460.271465</v>
      </c>
      <c r="L4031" s="455">
        <f t="shared" ca="1" si="159"/>
        <v>-7971948012925.4229</v>
      </c>
      <c r="M4031" s="471">
        <f t="shared" si="161"/>
        <v>0.05</v>
      </c>
      <c r="N4031" s="475">
        <f t="shared" si="162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60"/>
        <v>-7971948012925.4229</v>
      </c>
      <c r="J4032" s="455">
        <f t="array" ref="J4032">IFERROR(INDEX('Retirement Calculator'!K:K,MATCH('Lorri 401b'!N4032,'Retirement Calculator'!A:A,0),0),0)</f>
        <v>0</v>
      </c>
      <c r="K4032" s="455">
        <f t="shared" ca="1" si="158"/>
        <v>-33216450053.85593</v>
      </c>
      <c r="L4032" s="455">
        <f t="shared" ca="1" si="159"/>
        <v>-8005164462979.2783</v>
      </c>
      <c r="M4032" s="471">
        <f t="shared" si="161"/>
        <v>0.05</v>
      </c>
      <c r="N4032" s="475">
        <f t="shared" si="162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60"/>
        <v>-8005164462979.2783</v>
      </c>
      <c r="J4033" s="455">
        <f t="array" ref="J4033">IFERROR(INDEX('Retirement Calculator'!K:K,MATCH('Lorri 401b'!N4033,'Retirement Calculator'!A:A,0),0),0)</f>
        <v>0</v>
      </c>
      <c r="K4033" s="455">
        <f t="shared" ca="1" si="158"/>
        <v>-33354851929.080326</v>
      </c>
      <c r="L4033" s="455">
        <f t="shared" ca="1" si="159"/>
        <v>-8038519314908.3584</v>
      </c>
      <c r="M4033" s="471">
        <f t="shared" si="161"/>
        <v>0.05</v>
      </c>
      <c r="N4033" s="475">
        <f t="shared" si="162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60"/>
        <v>-8038519314908.3584</v>
      </c>
      <c r="J4034" s="455">
        <f t="array" ref="J4034">IFERROR(INDEX('Retirement Calculator'!K:K,MATCH('Lorri 401b'!N4034,'Retirement Calculator'!A:A,0),0),0)</f>
        <v>0</v>
      </c>
      <c r="K4034" s="455">
        <f t="shared" ca="1" si="158"/>
        <v>-33493830478.784824</v>
      </c>
      <c r="L4034" s="455">
        <f t="shared" ca="1" si="159"/>
        <v>-8072013145387.1436</v>
      </c>
      <c r="M4034" s="471">
        <f t="shared" si="161"/>
        <v>0.05</v>
      </c>
      <c r="N4034" s="475">
        <f t="shared" si="162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60"/>
        <v>-8072013145387.1436</v>
      </c>
      <c r="J4035" s="455">
        <f t="array" ref="J4035">IFERROR(INDEX('Retirement Calculator'!K:K,MATCH('Lorri 401b'!N4035,'Retirement Calculator'!A:A,0),0),0)</f>
        <v>0</v>
      </c>
      <c r="K4035" s="455">
        <f t="shared" ca="1" si="158"/>
        <v>-33633388105.779766</v>
      </c>
      <c r="L4035" s="455">
        <f t="shared" ca="1" si="159"/>
        <v>-8105646533492.9229</v>
      </c>
      <c r="M4035" s="471">
        <f t="shared" si="161"/>
        <v>0.05</v>
      </c>
      <c r="N4035" s="475">
        <f t="shared" si="162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60"/>
        <v>-8105646533492.9229</v>
      </c>
      <c r="J4036" s="455">
        <f t="array" ref="J4036">IFERROR(INDEX('Retirement Calculator'!K:K,MATCH('Lorri 401b'!N4036,'Retirement Calculator'!A:A,0),0),0)</f>
        <v>0</v>
      </c>
      <c r="K4036" s="455">
        <f t="shared" ca="1" si="158"/>
        <v>-33773527222.887177</v>
      </c>
      <c r="L4036" s="455">
        <f t="shared" ca="1" si="159"/>
        <v>-8139420060715.8096</v>
      </c>
      <c r="M4036" s="471">
        <f t="shared" si="161"/>
        <v>0.05</v>
      </c>
      <c r="N4036" s="475">
        <f t="shared" si="162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60"/>
        <v>-8139420060715.8096</v>
      </c>
      <c r="J4037" s="455">
        <f t="array" ref="J4037">IFERROR(INDEX('Retirement Calculator'!K:K,MATCH('Lorri 401b'!N4037,'Retirement Calculator'!A:A,0),0),0)</f>
        <v>0</v>
      </c>
      <c r="K4037" s="455">
        <f t="shared" ca="1" si="158"/>
        <v>-33914250252.982536</v>
      </c>
      <c r="L4037" s="455">
        <f t="shared" ca="1" si="159"/>
        <v>-8173334310968.792</v>
      </c>
      <c r="M4037" s="471">
        <f t="shared" si="161"/>
        <v>0.05</v>
      </c>
      <c r="N4037" s="475">
        <f t="shared" si="162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60"/>
        <v>-8173334310968.792</v>
      </c>
      <c r="J4038" s="455">
        <f t="array" ref="J4038">IFERROR(INDEX('Retirement Calculator'!K:K,MATCH('Lorri 401b'!N4038,'Retirement Calculator'!A:A,0),0),0)</f>
        <v>0</v>
      </c>
      <c r="K4038" s="455">
        <f t="shared" ca="1" si="158"/>
        <v>-34055559629.036636</v>
      </c>
      <c r="L4038" s="455">
        <f t="shared" ca="1" si="159"/>
        <v>-8207389870597.8291</v>
      </c>
      <c r="M4038" s="471">
        <f t="shared" si="161"/>
        <v>0.05</v>
      </c>
      <c r="N4038" s="475">
        <f t="shared" si="162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60"/>
        <v>-8207389870597.8291</v>
      </c>
      <c r="J4039" s="455">
        <f t="array" ref="J4039">IFERROR(INDEX('Retirement Calculator'!K:K,MATCH('Lorri 401b'!N4039,'Retirement Calculator'!A:A,0),0),0)</f>
        <v>0</v>
      </c>
      <c r="K4039" s="455">
        <f t="shared" ca="1" si="158"/>
        <v>-34197457794.157619</v>
      </c>
      <c r="L4039" s="455">
        <f t="shared" ca="1" si="159"/>
        <v>-8241587328391.9863</v>
      </c>
      <c r="M4039" s="471">
        <f t="shared" si="161"/>
        <v>0.05</v>
      </c>
      <c r="N4039" s="475">
        <f t="shared" si="162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60"/>
        <v>-8241587328391.9863</v>
      </c>
      <c r="J4040" s="455">
        <f t="array" ref="J4040">IFERROR(INDEX('Retirement Calculator'!K:K,MATCH('Lorri 401b'!N4040,'Retirement Calculator'!A:A,0),0),0)</f>
        <v>0</v>
      </c>
      <c r="K4040" s="455">
        <f t="shared" ca="1" si="158"/>
        <v>-34339947201.63327</v>
      </c>
      <c r="L4040" s="455">
        <f t="shared" ca="1" si="159"/>
        <v>-8275927275593.6191</v>
      </c>
      <c r="M4040" s="471">
        <f t="shared" si="161"/>
        <v>0.05</v>
      </c>
      <c r="N4040" s="475">
        <f t="shared" si="162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60"/>
        <v>-8275927275593.6191</v>
      </c>
      <c r="J4041" s="455">
        <f t="array" ref="J4041">IFERROR(INDEX('Retirement Calculator'!K:K,MATCH('Lorri 401b'!N4041,'Retirement Calculator'!A:A,0),0),0)</f>
        <v>0</v>
      </c>
      <c r="K4041" s="455">
        <f t="shared" ca="1" si="158"/>
        <v>-34483030314.973412</v>
      </c>
      <c r="L4041" s="455">
        <f t="shared" ca="1" si="159"/>
        <v>-8310410305908.5928</v>
      </c>
      <c r="M4041" s="471">
        <f t="shared" si="161"/>
        <v>0.05</v>
      </c>
      <c r="N4041" s="475">
        <f t="shared" si="162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60"/>
        <v>-8310410305908.5928</v>
      </c>
      <c r="J4042" s="455">
        <f t="array" ref="J4042">IFERROR(INDEX('Retirement Calculator'!K:K,MATCH('Lorri 401b'!N4042,'Retirement Calculator'!A:A,0),0),0)</f>
        <v>0</v>
      </c>
      <c r="K4042" s="455">
        <f t="shared" ca="1" si="158"/>
        <v>-34626709607.952469</v>
      </c>
      <c r="L4042" s="455">
        <f t="shared" ca="1" si="159"/>
        <v>-8345037015516.5449</v>
      </c>
      <c r="M4042" s="471">
        <f t="shared" si="161"/>
        <v>0.05</v>
      </c>
      <c r="N4042" s="475">
        <f t="shared" si="162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60"/>
        <v>-8345037015516.5449</v>
      </c>
      <c r="J4043" s="455">
        <f t="array" ref="J4043">IFERROR(INDEX('Retirement Calculator'!K:K,MATCH('Lorri 401b'!N4043,'Retirement Calculator'!A:A,0),0),0)</f>
        <v>0</v>
      </c>
      <c r="K4043" s="455">
        <f t="shared" ca="1" si="158"/>
        <v>-34770987564.652267</v>
      </c>
      <c r="L4043" s="455">
        <f t="shared" ca="1" si="159"/>
        <v>-8379808003081.1973</v>
      </c>
      <c r="M4043" s="471">
        <f t="shared" si="161"/>
        <v>0.05</v>
      </c>
      <c r="N4043" s="475">
        <f t="shared" si="162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60"/>
        <v>-8379808003081.1973</v>
      </c>
      <c r="J4044" s="455">
        <f t="array" ref="J4044">IFERROR(INDEX('Retirement Calculator'!K:K,MATCH('Lorri 401b'!N4044,'Retirement Calculator'!A:A,0),0),0)</f>
        <v>0</v>
      </c>
      <c r="K4044" s="455">
        <f t="shared" ca="1" si="158"/>
        <v>-34915866679.50499</v>
      </c>
      <c r="L4044" s="455">
        <f t="shared" ca="1" si="159"/>
        <v>-8414723869760.7021</v>
      </c>
      <c r="M4044" s="471">
        <f t="shared" si="161"/>
        <v>0.05</v>
      </c>
      <c r="N4044" s="475">
        <f t="shared" si="162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60"/>
        <v>-8414723869760.7021</v>
      </c>
      <c r="J4045" s="455">
        <f t="array" ref="J4045">IFERROR(INDEX('Retirement Calculator'!K:K,MATCH('Lorri 401b'!N4045,'Retirement Calculator'!A:A,0),0),0)</f>
        <v>0</v>
      </c>
      <c r="K4045" s="455">
        <f t="shared" ca="1" si="158"/>
        <v>-35061349457.336266</v>
      </c>
      <c r="L4045" s="455">
        <f t="shared" ca="1" si="159"/>
        <v>-8449785219218.0381</v>
      </c>
      <c r="M4045" s="471">
        <f t="shared" si="161"/>
        <v>0.05</v>
      </c>
      <c r="N4045" s="475">
        <f t="shared" si="162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60"/>
        <v>-8449785219218.0381</v>
      </c>
      <c r="J4046" s="455">
        <f t="array" ref="J4046">IFERROR(INDEX('Retirement Calculator'!K:K,MATCH('Lorri 401b'!N4046,'Retirement Calculator'!A:A,0),0),0)</f>
        <v>0</v>
      </c>
      <c r="K4046" s="455">
        <f t="shared" ca="1" si="158"/>
        <v>-35207438413.408493</v>
      </c>
      <c r="L4046" s="455">
        <f t="shared" ca="1" si="159"/>
        <v>-8484992657631.4463</v>
      </c>
      <c r="M4046" s="471">
        <f t="shared" si="161"/>
        <v>0.05</v>
      </c>
      <c r="N4046" s="475">
        <f t="shared" si="162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60"/>
        <v>-8484992657631.4463</v>
      </c>
      <c r="J4047" s="455">
        <f t="array" ref="J4047">IFERROR(INDEX('Retirement Calculator'!K:K,MATCH('Lorri 401b'!N4047,'Retirement Calculator'!A:A,0),0),0)</f>
        <v>0</v>
      </c>
      <c r="K4047" s="455">
        <f t="shared" ca="1" si="158"/>
        <v>-35354136073.464355</v>
      </c>
      <c r="L4047" s="455">
        <f t="shared" ca="1" si="159"/>
        <v>-8520346793704.9102</v>
      </c>
      <c r="M4047" s="471">
        <f t="shared" si="161"/>
        <v>0.05</v>
      </c>
      <c r="N4047" s="475">
        <f t="shared" si="162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60"/>
        <v>-8520346793704.9102</v>
      </c>
      <c r="J4048" s="455">
        <f t="array" ref="J4048">IFERROR(INDEX('Retirement Calculator'!K:K,MATCH('Lorri 401b'!N4048,'Retirement Calculator'!A:A,0),0),0)</f>
        <v>0</v>
      </c>
      <c r="K4048" s="455">
        <f t="shared" ca="1" si="158"/>
        <v>-35501444973.770462</v>
      </c>
      <c r="L4048" s="455">
        <f t="shared" ca="1" si="159"/>
        <v>-8555848238678.6807</v>
      </c>
      <c r="M4048" s="471">
        <f t="shared" si="161"/>
        <v>0.05</v>
      </c>
      <c r="N4048" s="475">
        <f t="shared" si="162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60"/>
        <v>-8555848238678.6807</v>
      </c>
      <c r="J4049" s="455">
        <f t="array" ref="J4049">IFERROR(INDEX('Retirement Calculator'!K:K,MATCH('Lorri 401b'!N4049,'Retirement Calculator'!A:A,0),0),0)</f>
        <v>0</v>
      </c>
      <c r="K4049" s="455">
        <f t="shared" ca="1" si="158"/>
        <v>-35649367661.161171</v>
      </c>
      <c r="L4049" s="455">
        <f t="shared" ca="1" si="159"/>
        <v>-8591497606339.8418</v>
      </c>
      <c r="M4049" s="471">
        <f t="shared" si="161"/>
        <v>0.05</v>
      </c>
      <c r="N4049" s="475">
        <f t="shared" si="162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60"/>
        <v>-8591497606339.8418</v>
      </c>
      <c r="J4050" s="455">
        <f t="array" ref="J4050">IFERROR(INDEX('Retirement Calculator'!K:K,MATCH('Lorri 401b'!N4050,'Retirement Calculator'!A:A,0),0),0)</f>
        <v>0</v>
      </c>
      <c r="K4050" s="455">
        <f t="shared" ca="1" si="158"/>
        <v>-35797906693.08268</v>
      </c>
      <c r="L4050" s="455">
        <f t="shared" ca="1" si="159"/>
        <v>-8627295513032.9248</v>
      </c>
      <c r="M4050" s="471">
        <f t="shared" si="161"/>
        <v>0.05</v>
      </c>
      <c r="N4050" s="475">
        <f t="shared" si="162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60"/>
        <v>-8627295513032.9248</v>
      </c>
      <c r="J4051" s="455">
        <f t="array" ref="J4051">IFERROR(INDEX('Retirement Calculator'!K:K,MATCH('Lorri 401b'!N4051,'Retirement Calculator'!A:A,0),0),0)</f>
        <v>0</v>
      </c>
      <c r="K4051" s="455">
        <f t="shared" ca="1" si="158"/>
        <v>-35947064637.637184</v>
      </c>
      <c r="L4051" s="455">
        <f t="shared" ca="1" si="159"/>
        <v>-8663242577670.5615</v>
      </c>
      <c r="M4051" s="471">
        <f t="shared" si="161"/>
        <v>0.05</v>
      </c>
      <c r="N4051" s="475">
        <f t="shared" si="162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60"/>
        <v>-8663242577670.5615</v>
      </c>
      <c r="J4052" s="455">
        <f t="array" ref="J4052">IFERROR(INDEX('Retirement Calculator'!K:K,MATCH('Lorri 401b'!N4052,'Retirement Calculator'!A:A,0),0),0)</f>
        <v>0</v>
      </c>
      <c r="K4052" s="455">
        <f t="shared" ca="1" si="158"/>
        <v>-36096844073.627342</v>
      </c>
      <c r="L4052" s="455">
        <f t="shared" ca="1" si="159"/>
        <v>-8699339421744.1885</v>
      </c>
      <c r="M4052" s="471">
        <f t="shared" si="161"/>
        <v>0.05</v>
      </c>
      <c r="N4052" s="475">
        <f t="shared" si="162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60"/>
        <v>-8699339421744.1885</v>
      </c>
      <c r="J4053" s="455">
        <f t="array" ref="J4053">IFERROR(INDEX('Retirement Calculator'!K:K,MATCH('Lorri 401b'!N4053,'Retirement Calculator'!A:A,0),0),0)</f>
        <v>0</v>
      </c>
      <c r="K4053" s="455">
        <f t="shared" ca="1" si="158"/>
        <v>-36247247590.600784</v>
      </c>
      <c r="L4053" s="455">
        <f t="shared" ca="1" si="159"/>
        <v>-8735586669334.7891</v>
      </c>
      <c r="M4053" s="471">
        <f t="shared" si="161"/>
        <v>0.05</v>
      </c>
      <c r="N4053" s="475">
        <f t="shared" si="162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60"/>
        <v>-8735586669334.7891</v>
      </c>
      <c r="J4054" s="455">
        <f t="array" ref="J4054">IFERROR(INDEX('Retirement Calculator'!K:K,MATCH('Lorri 401b'!N4054,'Retirement Calculator'!A:A,0),0),0)</f>
        <v>0</v>
      </c>
      <c r="K4054" s="455">
        <f t="shared" ca="1" si="158"/>
        <v>-36398277788.894951</v>
      </c>
      <c r="L4054" s="455">
        <f t="shared" ca="1" si="159"/>
        <v>-8771984947123.6836</v>
      </c>
      <c r="M4054" s="471">
        <f t="shared" si="161"/>
        <v>0.05</v>
      </c>
      <c r="N4054" s="475">
        <f t="shared" si="162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60"/>
        <v>-8771984947123.6836</v>
      </c>
      <c r="J4055" s="455">
        <f t="array" ref="J4055">IFERROR(INDEX('Retirement Calculator'!K:K,MATCH('Lorri 401b'!N4055,'Retirement Calculator'!A:A,0),0),0)</f>
        <v>0</v>
      </c>
      <c r="K4055" s="455">
        <f t="shared" ca="1" si="158"/>
        <v>-36549937279.682014</v>
      </c>
      <c r="L4055" s="455">
        <f t="shared" ca="1" si="159"/>
        <v>-8808534884403.3652</v>
      </c>
      <c r="M4055" s="471">
        <f t="shared" si="161"/>
        <v>0.05</v>
      </c>
      <c r="N4055" s="475">
        <f t="shared" si="162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60"/>
        <v>-8808534884403.3652</v>
      </c>
      <c r="J4056" s="455">
        <f t="array" ref="J4056">IFERROR(INDEX('Retirement Calculator'!K:K,MATCH('Lorri 401b'!N4056,'Retirement Calculator'!A:A,0),0),0)</f>
        <v>0</v>
      </c>
      <c r="K4056" s="455">
        <f t="shared" ca="1" si="158"/>
        <v>-36702228685.014023</v>
      </c>
      <c r="L4056" s="455">
        <f t="shared" ca="1" si="159"/>
        <v>-8845237113088.3789</v>
      </c>
      <c r="M4056" s="471">
        <f t="shared" si="161"/>
        <v>0.05</v>
      </c>
      <c r="N4056" s="475">
        <f t="shared" si="162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60"/>
        <v>-8845237113088.3789</v>
      </c>
      <c r="J4057" s="455">
        <f t="array" ref="J4057">IFERROR(INDEX('Retirement Calculator'!K:K,MATCH('Lorri 401b'!N4057,'Retirement Calculator'!A:A,0),0),0)</f>
        <v>0</v>
      </c>
      <c r="K4057" s="455">
        <f t="shared" ca="1" si="158"/>
        <v>-36855154637.868248</v>
      </c>
      <c r="L4057" s="455">
        <f t="shared" ca="1" si="159"/>
        <v>-8882092267726.248</v>
      </c>
      <c r="M4057" s="471">
        <f t="shared" si="161"/>
        <v>0.05</v>
      </c>
      <c r="N4057" s="475">
        <f t="shared" si="162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60"/>
        <v>-8882092267726.248</v>
      </c>
      <c r="J4058" s="455">
        <f t="array" ref="J4058">IFERROR(INDEX('Retirement Calculator'!K:K,MATCH('Lorri 401b'!N4058,'Retirement Calculator'!A:A,0),0),0)</f>
        <v>0</v>
      </c>
      <c r="K4058" s="455">
        <f t="shared" ca="1" si="158"/>
        <v>-37008717782.192703</v>
      </c>
      <c r="L4058" s="455">
        <f t="shared" ca="1" si="159"/>
        <v>-8919100985508.4414</v>
      </c>
      <c r="M4058" s="471">
        <f t="shared" si="161"/>
        <v>0.05</v>
      </c>
      <c r="N4058" s="475">
        <f t="shared" si="162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60"/>
        <v>-8919100985508.4414</v>
      </c>
      <c r="J4059" s="455">
        <f t="array" ref="J4059">IFERROR(INDEX('Retirement Calculator'!K:K,MATCH('Lorri 401b'!N4059,'Retirement Calculator'!A:A,0),0),0)</f>
        <v>0</v>
      </c>
      <c r="K4059" s="455">
        <f t="shared" ca="1" si="158"/>
        <v>-37162920772.951836</v>
      </c>
      <c r="L4059" s="455">
        <f t="shared" ca="1" si="159"/>
        <v>-8956263906281.3926</v>
      </c>
      <c r="M4059" s="471">
        <f t="shared" si="161"/>
        <v>0.05</v>
      </c>
      <c r="N4059" s="475">
        <f t="shared" si="162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60"/>
        <v>-8956263906281.3926</v>
      </c>
      <c r="J4060" s="455">
        <f t="array" ref="J4060">IFERROR(INDEX('Retirement Calculator'!K:K,MATCH('Lorri 401b'!N4060,'Retirement Calculator'!A:A,0),0),0)</f>
        <v>0</v>
      </c>
      <c r="K4060" s="455">
        <f t="shared" ca="1" si="158"/>
        <v>-37317766276.17247</v>
      </c>
      <c r="L4060" s="455">
        <f t="shared" ca="1" si="159"/>
        <v>-8993581672557.5645</v>
      </c>
      <c r="M4060" s="471">
        <f t="shared" si="161"/>
        <v>0.05</v>
      </c>
      <c r="N4060" s="475">
        <f t="shared" si="162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60"/>
        <v>-8993581672557.5645</v>
      </c>
      <c r="J4061" s="455">
        <f t="array" ref="J4061">IFERROR(INDEX('Retirement Calculator'!K:K,MATCH('Lorri 401b'!N4061,'Retirement Calculator'!A:A,0),0),0)</f>
        <v>0</v>
      </c>
      <c r="K4061" s="455">
        <f t="shared" ca="1" si="158"/>
        <v>-37473256968.989853</v>
      </c>
      <c r="L4061" s="455">
        <f t="shared" ca="1" si="159"/>
        <v>-9031054929526.5547</v>
      </c>
      <c r="M4061" s="471">
        <f t="shared" si="161"/>
        <v>0.05</v>
      </c>
      <c r="N4061" s="475">
        <f t="shared" si="162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60"/>
        <v>-9031054929526.5547</v>
      </c>
      <c r="J4062" s="455">
        <f t="array" ref="J4062">IFERROR(INDEX('Retirement Calculator'!K:K,MATCH('Lorri 401b'!N4062,'Retirement Calculator'!A:A,0),0),0)</f>
        <v>0</v>
      </c>
      <c r="K4062" s="455">
        <f t="shared" ca="1" si="158"/>
        <v>-37629395539.693977</v>
      </c>
      <c r="L4062" s="455">
        <f t="shared" ca="1" si="159"/>
        <v>-9068684325066.248</v>
      </c>
      <c r="M4062" s="471">
        <f t="shared" si="161"/>
        <v>0.05</v>
      </c>
      <c r="N4062" s="475">
        <f t="shared" si="162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60"/>
        <v>-9068684325066.248</v>
      </c>
      <c r="J4063" s="455">
        <f t="array" ref="J4063">IFERROR(INDEX('Retirement Calculator'!K:K,MATCH('Lorri 401b'!N4063,'Retirement Calculator'!A:A,0),0),0)</f>
        <v>0</v>
      </c>
      <c r="K4063" s="455">
        <f t="shared" ca="1" si="158"/>
        <v>-37786184687.776031</v>
      </c>
      <c r="L4063" s="455">
        <f t="shared" ca="1" si="159"/>
        <v>-9106470509754.0234</v>
      </c>
      <c r="M4063" s="471">
        <f t="shared" si="161"/>
        <v>0.05</v>
      </c>
      <c r="N4063" s="475">
        <f t="shared" si="162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60"/>
        <v>-9106470509754.0234</v>
      </c>
      <c r="J4064" s="455">
        <f t="array" ref="J4064">IFERROR(INDEX('Retirement Calculator'!K:K,MATCH('Lorri 401b'!N4064,'Retirement Calculator'!A:A,0),0),0)</f>
        <v>0</v>
      </c>
      <c r="K4064" s="455">
        <f t="shared" ca="1" si="158"/>
        <v>-37943627123.975098</v>
      </c>
      <c r="L4064" s="455">
        <f t="shared" ca="1" si="159"/>
        <v>-9144414136877.998</v>
      </c>
      <c r="M4064" s="471">
        <f t="shared" si="161"/>
        <v>0.05</v>
      </c>
      <c r="N4064" s="475">
        <f t="shared" si="162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60"/>
        <v>-9144414136877.998</v>
      </c>
      <c r="J4065" s="455">
        <f t="array" ref="J4065">IFERROR(INDEX('Retirement Calculator'!K:K,MATCH('Lorri 401b'!N4065,'Retirement Calculator'!A:A,0),0),0)</f>
        <v>0</v>
      </c>
      <c r="K4065" s="455">
        <f t="shared" ca="1" si="158"/>
        <v>-38101725570.324989</v>
      </c>
      <c r="L4065" s="455">
        <f t="shared" ca="1" si="159"/>
        <v>-9182515862448.3223</v>
      </c>
      <c r="M4065" s="471">
        <f t="shared" si="161"/>
        <v>0.05</v>
      </c>
      <c r="N4065" s="475">
        <f t="shared" si="162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60"/>
        <v>-9182515862448.3223</v>
      </c>
      <c r="J4066" s="455">
        <f t="array" ref="J4066">IFERROR(INDEX('Retirement Calculator'!K:K,MATCH('Lorri 401b'!N4066,'Retirement Calculator'!A:A,0),0),0)</f>
        <v>0</v>
      </c>
      <c r="K4066" s="455">
        <f t="shared" ca="1" si="158"/>
        <v>-38260482760.20134</v>
      </c>
      <c r="L4066" s="455">
        <f t="shared" ca="1" si="159"/>
        <v>-9220776345208.5234</v>
      </c>
      <c r="M4066" s="471">
        <f t="shared" si="161"/>
        <v>0.05</v>
      </c>
      <c r="N4066" s="475">
        <f t="shared" si="162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60"/>
        <v>-9220776345208.5234</v>
      </c>
      <c r="J4067" s="455">
        <f t="array" ref="J4067">IFERROR(INDEX('Retirement Calculator'!K:K,MATCH('Lorri 401b'!N4067,'Retirement Calculator'!A:A,0),0),0)</f>
        <v>0</v>
      </c>
      <c r="K4067" s="455">
        <f t="shared" ca="1" si="158"/>
        <v>-38419901438.368851</v>
      </c>
      <c r="L4067" s="455">
        <f t="shared" ca="1" si="159"/>
        <v>-9259196246646.8926</v>
      </c>
      <c r="M4067" s="471">
        <f t="shared" si="161"/>
        <v>0.05</v>
      </c>
      <c r="N4067" s="475">
        <f t="shared" si="162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60"/>
        <v>-9259196246646.8926</v>
      </c>
      <c r="J4068" s="455">
        <f t="array" ref="J4068">IFERROR(INDEX('Retirement Calculator'!K:K,MATCH('Lorri 401b'!N4068,'Retirement Calculator'!A:A,0),0),0)</f>
        <v>0</v>
      </c>
      <c r="K4068" s="455">
        <f t="shared" ca="1" si="158"/>
        <v>-38579984361.028717</v>
      </c>
      <c r="L4068" s="455">
        <f t="shared" ca="1" si="159"/>
        <v>-9297776231007.9219</v>
      </c>
      <c r="M4068" s="471">
        <f t="shared" si="161"/>
        <v>0.05</v>
      </c>
      <c r="N4068" s="475">
        <f t="shared" si="162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60"/>
        <v>-9297776231007.9219</v>
      </c>
      <c r="J4069" s="455">
        <f t="array" ref="J4069">IFERROR(INDEX('Retirement Calculator'!K:K,MATCH('Lorri 401b'!N4069,'Retirement Calculator'!A:A,0),0),0)</f>
        <v>0</v>
      </c>
      <c r="K4069" s="455">
        <f t="shared" ca="1" si="158"/>
        <v>-38740734295.866341</v>
      </c>
      <c r="L4069" s="455">
        <f t="shared" ca="1" si="159"/>
        <v>-9336516965303.7891</v>
      </c>
      <c r="M4069" s="471">
        <f t="shared" si="161"/>
        <v>0.05</v>
      </c>
      <c r="N4069" s="475">
        <f t="shared" si="162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60"/>
        <v>-9336516965303.7891</v>
      </c>
      <c r="J4070" s="455">
        <f t="array" ref="J4070">IFERROR(INDEX('Retirement Calculator'!K:K,MATCH('Lorri 401b'!N4070,'Retirement Calculator'!A:A,0),0),0)</f>
        <v>0</v>
      </c>
      <c r="K4070" s="455">
        <f t="shared" ca="1" si="158"/>
        <v>-38902154022.099121</v>
      </c>
      <c r="L4070" s="455">
        <f t="shared" ca="1" si="159"/>
        <v>-9375419119325.8887</v>
      </c>
      <c r="M4070" s="471">
        <f t="shared" si="161"/>
        <v>0.05</v>
      </c>
      <c r="N4070" s="475">
        <f t="shared" si="162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60"/>
        <v>-9375419119325.8887</v>
      </c>
      <c r="J4071" s="455">
        <f t="array" ref="J4071">IFERROR(INDEX('Retirement Calculator'!K:K,MATCH('Lorri 401b'!N4071,'Retirement Calculator'!A:A,0),0),0)</f>
        <v>0</v>
      </c>
      <c r="K4071" s="455">
        <f t="shared" ca="1" si="158"/>
        <v>-39064246330.524536</v>
      </c>
      <c r="L4071" s="455">
        <f t="shared" ca="1" si="159"/>
        <v>-9414483365656.4141</v>
      </c>
      <c r="M4071" s="471">
        <f t="shared" si="161"/>
        <v>0.05</v>
      </c>
      <c r="N4071" s="475">
        <f t="shared" si="162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60"/>
        <v>-9414483365656.4141</v>
      </c>
      <c r="J4072" s="455">
        <f t="array" ref="J4072">IFERROR(INDEX('Retirement Calculator'!K:K,MATCH('Lorri 401b'!N4072,'Retirement Calculator'!A:A,0),0),0)</f>
        <v>0</v>
      </c>
      <c r="K4072" s="455">
        <f t="shared" ca="1" si="158"/>
        <v>-39227014023.56839</v>
      </c>
      <c r="L4072" s="455">
        <f t="shared" ca="1" si="159"/>
        <v>-9453710379679.9824</v>
      </c>
      <c r="M4072" s="471">
        <f t="shared" si="161"/>
        <v>0.05</v>
      </c>
      <c r="N4072" s="475">
        <f t="shared" si="162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60"/>
        <v>-9453710379679.9824</v>
      </c>
      <c r="J4073" s="455">
        <f t="array" ref="J4073">IFERROR(INDEX('Retirement Calculator'!K:K,MATCH('Lorri 401b'!N4073,'Retirement Calculator'!A:A,0),0),0)</f>
        <v>0</v>
      </c>
      <c r="K4073" s="455">
        <f t="shared" ca="1" si="158"/>
        <v>-39390459915.33326</v>
      </c>
      <c r="L4073" s="455">
        <f t="shared" ca="1" si="159"/>
        <v>-9493100839595.3164</v>
      </c>
      <c r="M4073" s="471">
        <f t="shared" si="161"/>
        <v>0.05</v>
      </c>
      <c r="N4073" s="475">
        <f t="shared" si="162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60"/>
        <v>-9493100839595.3164</v>
      </c>
      <c r="J4074" s="455">
        <f t="array" ref="J4074">IFERROR(INDEX('Retirement Calculator'!K:K,MATCH('Lorri 401b'!N4074,'Retirement Calculator'!A:A,0),0),0)</f>
        <v>0</v>
      </c>
      <c r="K4074" s="455">
        <f t="shared" ca="1" si="158"/>
        <v>-39554586831.647148</v>
      </c>
      <c r="L4074" s="455">
        <f t="shared" ca="1" si="159"/>
        <v>-9532655426426.9629</v>
      </c>
      <c r="M4074" s="471">
        <f t="shared" si="161"/>
        <v>0.05</v>
      </c>
      <c r="N4074" s="475">
        <f t="shared" si="162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60"/>
        <v>-9532655426426.9629</v>
      </c>
      <c r="J4075" s="455">
        <f t="array" ref="J4075">IFERROR(INDEX('Retirement Calculator'!K:K,MATCH('Lorri 401b'!N4075,'Retirement Calculator'!A:A,0),0),0)</f>
        <v>0</v>
      </c>
      <c r="K4075" s="455">
        <f t="shared" ca="1" si="158"/>
        <v>-39719397610.112343</v>
      </c>
      <c r="L4075" s="455">
        <f t="shared" ca="1" si="159"/>
        <v>-9572374824037.0762</v>
      </c>
      <c r="M4075" s="471">
        <f t="shared" si="161"/>
        <v>0.05</v>
      </c>
      <c r="N4075" s="475">
        <f t="shared" si="162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60"/>
        <v>-9572374824037.0762</v>
      </c>
      <c r="J4076" s="455">
        <f t="array" ref="J4076">IFERROR(INDEX('Retirement Calculator'!K:K,MATCH('Lorri 401b'!N4076,'Retirement Calculator'!A:A,0),0),0)</f>
        <v>0</v>
      </c>
      <c r="K4076" s="455">
        <f t="shared" ca="1" si="158"/>
        <v>-39884895100.15448</v>
      </c>
      <c r="L4076" s="455">
        <f t="shared" ca="1" si="159"/>
        <v>-9612259719137.2305</v>
      </c>
      <c r="M4076" s="471">
        <f t="shared" si="161"/>
        <v>0.05</v>
      </c>
      <c r="N4076" s="475">
        <f t="shared" si="162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60"/>
        <v>-9612259719137.2305</v>
      </c>
      <c r="J4077" s="455">
        <f t="array" ref="J4077">IFERROR(INDEX('Retirement Calculator'!K:K,MATCH('Lorri 401b'!N4077,'Retirement Calculator'!A:A,0),0),0)</f>
        <v>0</v>
      </c>
      <c r="K4077" s="455">
        <f t="shared" ca="1" si="158"/>
        <v>-40051082163.071793</v>
      </c>
      <c r="L4077" s="455">
        <f t="shared" ca="1" si="159"/>
        <v>-9652310801300.3027</v>
      </c>
      <c r="M4077" s="471">
        <f t="shared" si="161"/>
        <v>0.05</v>
      </c>
      <c r="N4077" s="475">
        <f t="shared" si="162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60"/>
        <v>-9652310801300.3027</v>
      </c>
      <c r="J4078" s="455">
        <f t="array" ref="J4078">IFERROR(INDEX('Retirement Calculator'!K:K,MATCH('Lorri 401b'!N4078,'Retirement Calculator'!A:A,0),0),0)</f>
        <v>0</v>
      </c>
      <c r="K4078" s="455">
        <f t="shared" ca="1" si="158"/>
        <v>-40217961672.084595</v>
      </c>
      <c r="L4078" s="455">
        <f t="shared" ca="1" si="159"/>
        <v>-9692528762972.3867</v>
      </c>
      <c r="M4078" s="471">
        <f t="shared" si="161"/>
        <v>0.05</v>
      </c>
      <c r="N4078" s="475">
        <f t="shared" si="162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60"/>
        <v>-9692528762972.3867</v>
      </c>
      <c r="J4079" s="455">
        <f t="array" ref="J4079">IFERROR(INDEX('Retirement Calculator'!K:K,MATCH('Lorri 401b'!N4079,'Retirement Calculator'!A:A,0),0),0)</f>
        <v>0</v>
      </c>
      <c r="K4079" s="455">
        <f t="shared" ca="1" si="158"/>
        <v>-40385536512.384941</v>
      </c>
      <c r="L4079" s="455">
        <f t="shared" ca="1" si="159"/>
        <v>-9732914299484.7715</v>
      </c>
      <c r="M4079" s="471">
        <f t="shared" si="161"/>
        <v>0.05</v>
      </c>
      <c r="N4079" s="475">
        <f t="shared" si="162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60"/>
        <v>-9732914299484.7715</v>
      </c>
      <c r="J4080" s="455">
        <f t="array" ref="J4080">IFERROR(INDEX('Retirement Calculator'!K:K,MATCH('Lorri 401b'!N4080,'Retirement Calculator'!A:A,0),0),0)</f>
        <v>0</v>
      </c>
      <c r="K4080" s="455">
        <f t="shared" ca="1" si="158"/>
        <v>-40553809581.186546</v>
      </c>
      <c r="L4080" s="455">
        <f t="shared" ca="1" si="159"/>
        <v>-9773468109065.959</v>
      </c>
      <c r="M4080" s="471">
        <f t="shared" si="161"/>
        <v>0.05</v>
      </c>
      <c r="N4080" s="475">
        <f t="shared" si="162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60"/>
        <v>-9773468109065.959</v>
      </c>
      <c r="J4081" s="455">
        <f t="array" ref="J4081">IFERROR(INDEX('Retirement Calculator'!K:K,MATCH('Lorri 401b'!N4081,'Retirement Calculator'!A:A,0),0),0)</f>
        <v>0</v>
      </c>
      <c r="K4081" s="455">
        <f t="shared" ca="1" si="158"/>
        <v>-40722783787.774826</v>
      </c>
      <c r="L4081" s="455">
        <f t="shared" ca="1" si="159"/>
        <v>-9814190892853.7344</v>
      </c>
      <c r="M4081" s="471">
        <f t="shared" si="161"/>
        <v>0.05</v>
      </c>
      <c r="N4081" s="475">
        <f t="shared" si="162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60"/>
        <v>-9814190892853.7344</v>
      </c>
      <c r="J4082" s="455">
        <f t="array" ref="J4082">IFERROR(INDEX('Retirement Calculator'!K:K,MATCH('Lorri 401b'!N4082,'Retirement Calculator'!A:A,0),0),0)</f>
        <v>0</v>
      </c>
      <c r="K4082" s="455">
        <f t="shared" ca="1" si="158"/>
        <v>-40892462053.557228</v>
      </c>
      <c r="L4082" s="455">
        <f t="shared" ca="1" si="159"/>
        <v>-9855083354907.291</v>
      </c>
      <c r="M4082" s="471">
        <f t="shared" si="161"/>
        <v>0.05</v>
      </c>
      <c r="N4082" s="475">
        <f t="shared" si="162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60"/>
        <v>-9855083354907.291</v>
      </c>
      <c r="J4083" s="455">
        <f t="array" ref="J4083">IFERROR(INDEX('Retirement Calculator'!K:K,MATCH('Lorri 401b'!N4083,'Retirement Calculator'!A:A,0),0),0)</f>
        <v>0</v>
      </c>
      <c r="K4083" s="455">
        <f t="shared" ca="1" si="158"/>
        <v>-41062847312.113708</v>
      </c>
      <c r="L4083" s="455">
        <f t="shared" ca="1" si="159"/>
        <v>-9896146202219.4043</v>
      </c>
      <c r="M4083" s="471">
        <f t="shared" si="161"/>
        <v>0.05</v>
      </c>
      <c r="N4083" s="475">
        <f t="shared" si="162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60"/>
        <v>-9896146202219.4043</v>
      </c>
      <c r="J4084" s="455">
        <f t="array" ref="J4084">IFERROR(INDEX('Retirement Calculator'!K:K,MATCH('Lorri 401b'!N4084,'Retirement Calculator'!A:A,0),0),0)</f>
        <v>0</v>
      </c>
      <c r="K4084" s="455">
        <f t="shared" ca="1" si="158"/>
        <v>-41233942509.24752</v>
      </c>
      <c r="L4084" s="455">
        <f t="shared" ca="1" si="159"/>
        <v>-9937380144728.6523</v>
      </c>
      <c r="M4084" s="471">
        <f t="shared" si="161"/>
        <v>0.05</v>
      </c>
      <c r="N4084" s="475">
        <f t="shared" si="162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60"/>
        <v>-9937380144728.6523</v>
      </c>
      <c r="J4085" s="455">
        <f t="array" ref="J4085">IFERROR(INDEX('Retirement Calculator'!K:K,MATCH('Lorri 401b'!N4085,'Retirement Calculator'!A:A,0),0),0)</f>
        <v>0</v>
      </c>
      <c r="K4085" s="455">
        <f t="shared" ca="1" si="158"/>
        <v>-41405750603.036049</v>
      </c>
      <c r="L4085" s="455">
        <f t="shared" ca="1" si="159"/>
        <v>-9978785895331.6875</v>
      </c>
      <c r="M4085" s="471">
        <f t="shared" si="161"/>
        <v>0.05</v>
      </c>
      <c r="N4085" s="475">
        <f t="shared" si="162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60"/>
        <v>-9978785895331.6875</v>
      </c>
      <c r="J4086" s="455">
        <f t="array" ref="J4086">IFERROR(INDEX('Retirement Calculator'!K:K,MATCH('Lorri 401b'!N4086,'Retirement Calculator'!A:A,0),0),0)</f>
        <v>0</v>
      </c>
      <c r="K4086" s="455">
        <f t="shared" ca="1" si="158"/>
        <v>-41578274563.882034</v>
      </c>
      <c r="L4086" s="455">
        <f t="shared" ca="1" si="159"/>
        <v>-10020364169895.57</v>
      </c>
      <c r="M4086" s="471">
        <f t="shared" si="161"/>
        <v>0.05</v>
      </c>
      <c r="N4086" s="475">
        <f t="shared" si="162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60"/>
        <v>-10020364169895.57</v>
      </c>
      <c r="J4087" s="455">
        <f t="array" ref="J4087">IFERROR(INDEX('Retirement Calculator'!K:K,MATCH('Lorri 401b'!N4087,'Retirement Calculator'!A:A,0),0),0)</f>
        <v>0</v>
      </c>
      <c r="K4087" s="455">
        <f t="shared" ca="1" si="158"/>
        <v>-41751517374.564873</v>
      </c>
      <c r="L4087" s="455">
        <f t="shared" ca="1" si="159"/>
        <v>-10062115687270.135</v>
      </c>
      <c r="M4087" s="471">
        <f t="shared" si="161"/>
        <v>0.05</v>
      </c>
      <c r="N4087" s="475">
        <f t="shared" si="162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60"/>
        <v>-10062115687270.135</v>
      </c>
      <c r="J4088" s="455">
        <f t="array" ref="J4088">IFERROR(INDEX('Retirement Calculator'!K:K,MATCH('Lorri 401b'!N4088,'Retirement Calculator'!A:A,0),0),0)</f>
        <v>0</v>
      </c>
      <c r="K4088" s="455">
        <f t="shared" ref="K4088:K4342" ca="1" si="163">IPMT(M4088/12,1,12,-I4088+J4088,,0)</f>
        <v>-41925482030.292229</v>
      </c>
      <c r="L4088" s="455">
        <f t="shared" ref="L4088:L4342" ca="1" si="164">I4088-J4088+K4088</f>
        <v>-10104041169300.428</v>
      </c>
      <c r="M4088" s="471">
        <f t="shared" si="161"/>
        <v>0.05</v>
      </c>
      <c r="N4088" s="475">
        <f t="shared" si="162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65">L4088</f>
        <v>-10104041169300.428</v>
      </c>
      <c r="J4089" s="455">
        <f t="array" ref="J4089">IFERROR(INDEX('Retirement Calculator'!K:K,MATCH('Lorri 401b'!N4089,'Retirement Calculator'!A:A,0),0),0)</f>
        <v>0</v>
      </c>
      <c r="K4089" s="455">
        <f t="shared" ca="1" si="163"/>
        <v>-42100171538.751785</v>
      </c>
      <c r="L4089" s="455">
        <f t="shared" ca="1" si="164"/>
        <v>-10146141340839.18</v>
      </c>
      <c r="M4089" s="471">
        <f t="shared" ref="M4089:M4343" si="166">M4088</f>
        <v>0.05</v>
      </c>
      <c r="N4089" s="475">
        <f t="shared" ref="N4089:N4343" si="167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65"/>
        <v>-10146141340839.18</v>
      </c>
      <c r="J4090" s="455">
        <f t="array" ref="J4090">IFERROR(INDEX('Retirement Calculator'!K:K,MATCH('Lorri 401b'!N4090,'Retirement Calculator'!A:A,0),0),0)</f>
        <v>0</v>
      </c>
      <c r="K4090" s="455">
        <f t="shared" ca="1" si="163"/>
        <v>-42275588920.163246</v>
      </c>
      <c r="L4090" s="455">
        <f t="shared" ca="1" si="164"/>
        <v>-10188416929759.344</v>
      </c>
      <c r="M4090" s="471">
        <f t="shared" si="166"/>
        <v>0.05</v>
      </c>
      <c r="N4090" s="475">
        <f t="shared" si="167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65"/>
        <v>-10188416929759.344</v>
      </c>
      <c r="J4091" s="455">
        <f t="array" ref="J4091">IFERROR(INDEX('Retirement Calculator'!K:K,MATCH('Lorri 401b'!N4091,'Retirement Calculator'!A:A,0),0),0)</f>
        <v>0</v>
      </c>
      <c r="K4091" s="455">
        <f t="shared" ca="1" si="163"/>
        <v>-42451737207.330597</v>
      </c>
      <c r="L4091" s="455">
        <f t="shared" ca="1" si="164"/>
        <v>-10230868666966.674</v>
      </c>
      <c r="M4091" s="471">
        <f t="shared" si="166"/>
        <v>0.05</v>
      </c>
      <c r="N4091" s="475">
        <f t="shared" si="167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65"/>
        <v>-10230868666966.674</v>
      </c>
      <c r="J4092" s="455">
        <f t="array" ref="J4092">IFERROR(INDEX('Retirement Calculator'!K:K,MATCH('Lorri 401b'!N4092,'Retirement Calculator'!A:A,0),0),0)</f>
        <v>0</v>
      </c>
      <c r="K4092" s="455">
        <f t="shared" ca="1" si="163"/>
        <v>-42628619445.694473</v>
      </c>
      <c r="L4092" s="455">
        <f t="shared" ca="1" si="164"/>
        <v>-10273497286412.369</v>
      </c>
      <c r="M4092" s="471">
        <f t="shared" si="166"/>
        <v>0.05</v>
      </c>
      <c r="N4092" s="475">
        <f t="shared" si="167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65"/>
        <v>-10273497286412.369</v>
      </c>
      <c r="J4093" s="455">
        <f t="array" ref="J4093">IFERROR(INDEX('Retirement Calculator'!K:K,MATCH('Lorri 401b'!N4093,'Retirement Calculator'!A:A,0),0),0)</f>
        <v>0</v>
      </c>
      <c r="K4093" s="455">
        <f t="shared" ca="1" si="163"/>
        <v>-42806238693.384872</v>
      </c>
      <c r="L4093" s="455">
        <f t="shared" ca="1" si="164"/>
        <v>-10316303525105.754</v>
      </c>
      <c r="M4093" s="471">
        <f t="shared" si="166"/>
        <v>0.05</v>
      </c>
      <c r="N4093" s="475">
        <f t="shared" si="167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65"/>
        <v>-10316303525105.754</v>
      </c>
      <c r="J4094" s="455">
        <f t="array" ref="J4094">IFERROR(INDEX('Retirement Calculator'!K:K,MATCH('Lorri 401b'!N4094,'Retirement Calculator'!A:A,0),0),0)</f>
        <v>0</v>
      </c>
      <c r="K4094" s="455">
        <f t="shared" ca="1" si="163"/>
        <v>-42984598021.273972</v>
      </c>
      <c r="L4094" s="455">
        <f t="shared" ca="1" si="164"/>
        <v>-10359288123127.027</v>
      </c>
      <c r="M4094" s="471">
        <f t="shared" si="166"/>
        <v>0.05</v>
      </c>
      <c r="N4094" s="475">
        <f t="shared" si="167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65"/>
        <v>-10359288123127.027</v>
      </c>
      <c r="J4095" s="455">
        <f t="array" ref="J4095">IFERROR(INDEX('Retirement Calculator'!K:K,MATCH('Lorri 401b'!N4095,'Retirement Calculator'!A:A,0),0),0)</f>
        <v>0</v>
      </c>
      <c r="K4095" s="455">
        <f t="shared" ca="1" si="163"/>
        <v>-43163700513.029282</v>
      </c>
      <c r="L4095" s="455">
        <f t="shared" ca="1" si="164"/>
        <v>-10402451823640.057</v>
      </c>
      <c r="M4095" s="471">
        <f t="shared" si="166"/>
        <v>0.05</v>
      </c>
      <c r="N4095" s="475">
        <f t="shared" si="167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65"/>
        <v>-10402451823640.057</v>
      </c>
      <c r="J4096" s="455">
        <f t="array" ref="J4096">IFERROR(INDEX('Retirement Calculator'!K:K,MATCH('Lorri 401b'!N4096,'Retirement Calculator'!A:A,0),0),0)</f>
        <v>0</v>
      </c>
      <c r="K4096" s="455">
        <f t="shared" ca="1" si="163"/>
        <v>-43343549265.166901</v>
      </c>
      <c r="L4096" s="455">
        <f t="shared" ca="1" si="164"/>
        <v>-10445795372905.223</v>
      </c>
      <c r="M4096" s="471">
        <f t="shared" si="166"/>
        <v>0.05</v>
      </c>
      <c r="N4096" s="475">
        <f t="shared" si="167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65"/>
        <v>-10445795372905.223</v>
      </c>
      <c r="J4097" s="455">
        <f t="array" ref="J4097">IFERROR(INDEX('Retirement Calculator'!K:K,MATCH('Lorri 401b'!N4097,'Retirement Calculator'!A:A,0),0),0)</f>
        <v>0</v>
      </c>
      <c r="K4097" s="455">
        <f t="shared" ca="1" si="163"/>
        <v>-43524147387.105095</v>
      </c>
      <c r="L4097" s="455">
        <f t="shared" ca="1" si="164"/>
        <v>-10489319520292.328</v>
      </c>
      <c r="M4097" s="471">
        <f t="shared" si="166"/>
        <v>0.05</v>
      </c>
      <c r="N4097" s="475">
        <f t="shared" si="167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65"/>
        <v>-10489319520292.328</v>
      </c>
      <c r="J4098" s="455">
        <f t="array" ref="J4098">IFERROR(INDEX('Retirement Calculator'!K:K,MATCH('Lorri 401b'!N4098,'Retirement Calculator'!A:A,0),0),0)</f>
        <v>0</v>
      </c>
      <c r="K4098" s="455">
        <f t="shared" ca="1" si="163"/>
        <v>-43705498001.218033</v>
      </c>
      <c r="L4098" s="455">
        <f t="shared" ca="1" si="164"/>
        <v>-10533025018293.547</v>
      </c>
      <c r="M4098" s="471">
        <f t="shared" si="166"/>
        <v>0.05</v>
      </c>
      <c r="N4098" s="475">
        <f t="shared" si="167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65"/>
        <v>-10533025018293.547</v>
      </c>
      <c r="J4099" s="455">
        <f t="array" ref="J4099">IFERROR(INDEX('Retirement Calculator'!K:K,MATCH('Lorri 401b'!N4099,'Retirement Calculator'!A:A,0),0),0)</f>
        <v>0</v>
      </c>
      <c r="K4099" s="455">
        <f t="shared" ca="1" si="163"/>
        <v>-43887604242.889778</v>
      </c>
      <c r="L4099" s="455">
        <f t="shared" ca="1" si="164"/>
        <v>-10576912622536.438</v>
      </c>
      <c r="M4099" s="471">
        <f t="shared" si="166"/>
        <v>0.05</v>
      </c>
      <c r="N4099" s="475">
        <f t="shared" si="167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65"/>
        <v>-10576912622536.438</v>
      </c>
      <c r="J4100" s="455">
        <f t="array" ref="J4100">IFERROR(INDEX('Retirement Calculator'!K:K,MATCH('Lorri 401b'!N4100,'Retirement Calculator'!A:A,0),0),0)</f>
        <v>0</v>
      </c>
      <c r="K4100" s="455">
        <f t="shared" ca="1" si="163"/>
        <v>-44070469260.568489</v>
      </c>
      <c r="L4100" s="455">
        <f t="shared" ca="1" si="164"/>
        <v>-10620983091797.006</v>
      </c>
      <c r="M4100" s="471">
        <f t="shared" si="166"/>
        <v>0.05</v>
      </c>
      <c r="N4100" s="475">
        <f t="shared" si="167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65"/>
        <v>-10620983091797.006</v>
      </c>
      <c r="J4101" s="455">
        <f t="array" ref="J4101">IFERROR(INDEX('Retirement Calculator'!K:K,MATCH('Lorri 401b'!N4101,'Retirement Calculator'!A:A,0),0),0)</f>
        <v>0</v>
      </c>
      <c r="K4101" s="455">
        <f t="shared" ca="1" si="163"/>
        <v>-44254096215.820854</v>
      </c>
      <c r="L4101" s="455">
        <f t="shared" ca="1" si="164"/>
        <v>-10665237188012.826</v>
      </c>
      <c r="M4101" s="471">
        <f t="shared" si="166"/>
        <v>0.05</v>
      </c>
      <c r="N4101" s="475">
        <f t="shared" si="167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65"/>
        <v>-10665237188012.826</v>
      </c>
      <c r="J4102" s="455">
        <f t="array" ref="J4102">IFERROR(INDEX('Retirement Calculator'!K:K,MATCH('Lorri 401b'!N4102,'Retirement Calculator'!A:A,0),0),0)</f>
        <v>0</v>
      </c>
      <c r="K4102" s="455">
        <f t="shared" ca="1" si="163"/>
        <v>-44438488283.386772</v>
      </c>
      <c r="L4102" s="455">
        <f t="shared" ca="1" si="164"/>
        <v>-10709675676296.213</v>
      </c>
      <c r="M4102" s="471">
        <f t="shared" si="166"/>
        <v>0.05</v>
      </c>
      <c r="N4102" s="475">
        <f t="shared" si="167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65"/>
        <v>-10709675676296.213</v>
      </c>
      <c r="J4103" s="455">
        <f t="array" ref="J4103">IFERROR(INDEX('Retirement Calculator'!K:K,MATCH('Lorri 401b'!N4103,'Retirement Calculator'!A:A,0),0),0)</f>
        <v>0</v>
      </c>
      <c r="K4103" s="455">
        <f t="shared" ca="1" si="163"/>
        <v>-44623648651.234222</v>
      </c>
      <c r="L4103" s="455">
        <f t="shared" ca="1" si="164"/>
        <v>-10754299324947.447</v>
      </c>
      <c r="M4103" s="471">
        <f t="shared" si="166"/>
        <v>0.05</v>
      </c>
      <c r="N4103" s="475">
        <f t="shared" si="167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65"/>
        <v>-10754299324947.447</v>
      </c>
      <c r="J4104" s="455">
        <f t="array" ref="J4104">IFERROR(INDEX('Retirement Calculator'!K:K,MATCH('Lorri 401b'!N4104,'Retirement Calculator'!A:A,0),0),0)</f>
        <v>0</v>
      </c>
      <c r="K4104" s="455">
        <f t="shared" ca="1" si="163"/>
        <v>-44809580520.614365</v>
      </c>
      <c r="L4104" s="455">
        <f t="shared" ca="1" si="164"/>
        <v>-10799108905468.063</v>
      </c>
      <c r="M4104" s="471">
        <f t="shared" si="166"/>
        <v>0.05</v>
      </c>
      <c r="N4104" s="475">
        <f t="shared" si="167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65"/>
        <v>-10799108905468.063</v>
      </c>
      <c r="J4105" s="455">
        <f t="array" ref="J4105">IFERROR(INDEX('Retirement Calculator'!K:K,MATCH('Lorri 401b'!N4105,'Retirement Calculator'!A:A,0),0),0)</f>
        <v>0</v>
      </c>
      <c r="K4105" s="455">
        <f t="shared" ca="1" si="163"/>
        <v>-44996287106.116928</v>
      </c>
      <c r="L4105" s="455">
        <f t="shared" ca="1" si="164"/>
        <v>-10844105192574.18</v>
      </c>
      <c r="M4105" s="471">
        <f t="shared" si="166"/>
        <v>0.05</v>
      </c>
      <c r="N4105" s="475">
        <f t="shared" si="167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65"/>
        <v>-10844105192574.18</v>
      </c>
      <c r="J4106" s="455">
        <f t="array" ref="J4106">IFERROR(INDEX('Retirement Calculator'!K:K,MATCH('Lorri 401b'!N4106,'Retirement Calculator'!A:A,0),0),0)</f>
        <v>0</v>
      </c>
      <c r="K4106" s="455">
        <f t="shared" ca="1" si="163"/>
        <v>-45183771635.725746</v>
      </c>
      <c r="L4106" s="455">
        <f t="shared" ca="1" si="164"/>
        <v>-10889288964209.906</v>
      </c>
      <c r="M4106" s="471">
        <f t="shared" si="166"/>
        <v>0.05</v>
      </c>
      <c r="N4106" s="475">
        <f t="shared" si="167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65"/>
        <v>-10889288964209.906</v>
      </c>
      <c r="J4107" s="455">
        <f t="array" ref="J4107">IFERROR(INDEX('Retirement Calculator'!K:K,MATCH('Lorri 401b'!N4107,'Retirement Calculator'!A:A,0),0),0)</f>
        <v>0</v>
      </c>
      <c r="K4107" s="455">
        <f t="shared" ca="1" si="163"/>
        <v>-45372037350.874611</v>
      </c>
      <c r="L4107" s="455">
        <f t="shared" ca="1" si="164"/>
        <v>-10934661001560.781</v>
      </c>
      <c r="M4107" s="471">
        <f t="shared" si="166"/>
        <v>0.05</v>
      </c>
      <c r="N4107" s="475">
        <f t="shared" si="167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65"/>
        <v>-10934661001560.781</v>
      </c>
      <c r="J4108" s="455">
        <f t="array" ref="J4108">IFERROR(INDEX('Retirement Calculator'!K:K,MATCH('Lorri 401b'!N4108,'Retirement Calculator'!A:A,0),0),0)</f>
        <v>0</v>
      </c>
      <c r="K4108" s="455">
        <f t="shared" ca="1" si="163"/>
        <v>-45561087506.503258</v>
      </c>
      <c r="L4108" s="455">
        <f t="shared" ca="1" si="164"/>
        <v>-10980222089067.285</v>
      </c>
      <c r="M4108" s="471">
        <f t="shared" si="166"/>
        <v>0.05</v>
      </c>
      <c r="N4108" s="475">
        <f t="shared" si="167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65"/>
        <v>-10980222089067.285</v>
      </c>
      <c r="J4109" s="455">
        <f t="array" ref="J4109">IFERROR(INDEX('Retirement Calculator'!K:K,MATCH('Lorri 401b'!N4109,'Retirement Calculator'!A:A,0),0),0)</f>
        <v>0</v>
      </c>
      <c r="K4109" s="455">
        <f t="shared" ca="1" si="163"/>
        <v>-45750925371.113686</v>
      </c>
      <c r="L4109" s="455">
        <f t="shared" ca="1" si="164"/>
        <v>-11025973014438.398</v>
      </c>
      <c r="M4109" s="471">
        <f t="shared" si="166"/>
        <v>0.05</v>
      </c>
      <c r="N4109" s="475">
        <f t="shared" si="167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65"/>
        <v>-11025973014438.398</v>
      </c>
      <c r="J4110" s="455">
        <f t="array" ref="J4110">IFERROR(INDEX('Retirement Calculator'!K:K,MATCH('Lorri 401b'!N4110,'Retirement Calculator'!A:A,0),0),0)</f>
        <v>0</v>
      </c>
      <c r="K4110" s="455">
        <f t="shared" ca="1" si="163"/>
        <v>-45941554226.82666</v>
      </c>
      <c r="L4110" s="455">
        <f t="shared" ca="1" si="164"/>
        <v>-11071914568665.225</v>
      </c>
      <c r="M4110" s="471">
        <f t="shared" si="166"/>
        <v>0.05</v>
      </c>
      <c r="N4110" s="475">
        <f t="shared" si="167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65"/>
        <v>-11071914568665.225</v>
      </c>
      <c r="J4111" s="455">
        <f t="array" ref="J4111">IFERROR(INDEX('Retirement Calculator'!K:K,MATCH('Lorri 401b'!N4111,'Retirement Calculator'!A:A,0),0),0)</f>
        <v>0</v>
      </c>
      <c r="K4111" s="455">
        <f t="shared" ca="1" si="163"/>
        <v>-46132977369.438438</v>
      </c>
      <c r="L4111" s="455">
        <f t="shared" ca="1" si="164"/>
        <v>-11118047546034.662</v>
      </c>
      <c r="M4111" s="471">
        <f t="shared" si="166"/>
        <v>0.05</v>
      </c>
      <c r="N4111" s="475">
        <f t="shared" si="167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65"/>
        <v>-11118047546034.662</v>
      </c>
      <c r="J4112" s="455">
        <f t="array" ref="J4112">IFERROR(INDEX('Retirement Calculator'!K:K,MATCH('Lorri 401b'!N4112,'Retirement Calculator'!A:A,0),0),0)</f>
        <v>0</v>
      </c>
      <c r="K4112" s="455">
        <f t="shared" ca="1" si="163"/>
        <v>-46325198108.47776</v>
      </c>
      <c r="L4112" s="455">
        <f t="shared" ca="1" si="164"/>
        <v>-11164372744143.141</v>
      </c>
      <c r="M4112" s="471">
        <f t="shared" si="166"/>
        <v>0.05</v>
      </c>
      <c r="N4112" s="475">
        <f t="shared" si="167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65"/>
        <v>-11164372744143.141</v>
      </c>
      <c r="J4113" s="455">
        <f t="array" ref="J4113">IFERROR(INDEX('Retirement Calculator'!K:K,MATCH('Lorri 401b'!N4113,'Retirement Calculator'!A:A,0),0),0)</f>
        <v>0</v>
      </c>
      <c r="K4113" s="455">
        <f t="shared" ca="1" si="163"/>
        <v>-46518219767.263084</v>
      </c>
      <c r="L4113" s="455">
        <f t="shared" ca="1" si="164"/>
        <v>-11210890963910.404</v>
      </c>
      <c r="M4113" s="471">
        <f t="shared" si="166"/>
        <v>0.05</v>
      </c>
      <c r="N4113" s="475">
        <f t="shared" si="167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65"/>
        <v>-11210890963910.404</v>
      </c>
      <c r="J4114" s="455">
        <f t="array" ref="J4114">IFERROR(INDEX('Retirement Calculator'!K:K,MATCH('Lorri 401b'!N4114,'Retirement Calculator'!A:A,0),0),0)</f>
        <v>0</v>
      </c>
      <c r="K4114" s="455">
        <f t="shared" ca="1" si="163"/>
        <v>-46712045682.960014</v>
      </c>
      <c r="L4114" s="455">
        <f t="shared" ca="1" si="164"/>
        <v>-11257603009593.365</v>
      </c>
      <c r="M4114" s="471">
        <f t="shared" si="166"/>
        <v>0.05</v>
      </c>
      <c r="N4114" s="475">
        <f t="shared" si="167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65"/>
        <v>-11257603009593.365</v>
      </c>
      <c r="J4115" s="455">
        <f t="array" ref="J4115">IFERROR(INDEX('Retirement Calculator'!K:K,MATCH('Lorri 401b'!N4115,'Retirement Calculator'!A:A,0),0),0)</f>
        <v>0</v>
      </c>
      <c r="K4115" s="455">
        <f t="shared" ca="1" si="163"/>
        <v>-46906679206.639023</v>
      </c>
      <c r="L4115" s="455">
        <f t="shared" ca="1" si="164"/>
        <v>-11304509688800.004</v>
      </c>
      <c r="M4115" s="471">
        <f t="shared" si="166"/>
        <v>0.05</v>
      </c>
      <c r="N4115" s="475">
        <f t="shared" si="167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65"/>
        <v>-11304509688800.004</v>
      </c>
      <c r="J4116" s="455">
        <f t="array" ref="J4116">IFERROR(INDEX('Retirement Calculator'!K:K,MATCH('Lorri 401b'!N4116,'Retirement Calculator'!A:A,0),0),0)</f>
        <v>0</v>
      </c>
      <c r="K4116" s="455">
        <f t="shared" ca="1" si="163"/>
        <v>-47102123703.333351</v>
      </c>
      <c r="L4116" s="455">
        <f t="shared" ca="1" si="164"/>
        <v>-11351611812503.338</v>
      </c>
      <c r="M4116" s="471">
        <f t="shared" si="166"/>
        <v>0.05</v>
      </c>
      <c r="N4116" s="475">
        <f t="shared" si="167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65"/>
        <v>-11351611812503.338</v>
      </c>
      <c r="J4117" s="455">
        <f t="array" ref="J4117">IFERROR(INDEX('Retirement Calculator'!K:K,MATCH('Lorri 401b'!N4117,'Retirement Calculator'!A:A,0),0),0)</f>
        <v>0</v>
      </c>
      <c r="K4117" s="455">
        <f t="shared" ca="1" si="163"/>
        <v>-47298382552.097244</v>
      </c>
      <c r="L4117" s="455">
        <f t="shared" ca="1" si="164"/>
        <v>-11398910195055.436</v>
      </c>
      <c r="M4117" s="471">
        <f t="shared" si="166"/>
        <v>0.05</v>
      </c>
      <c r="N4117" s="475">
        <f t="shared" si="167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65"/>
        <v>-11398910195055.436</v>
      </c>
      <c r="J4118" s="455">
        <f t="array" ref="J4118">IFERROR(INDEX('Retirement Calculator'!K:K,MATCH('Lorri 401b'!N4118,'Retirement Calculator'!A:A,0),0),0)</f>
        <v>0</v>
      </c>
      <c r="K4118" s="455">
        <f t="shared" ca="1" si="163"/>
        <v>-47495459146.064316</v>
      </c>
      <c r="L4118" s="455">
        <f t="shared" ca="1" si="164"/>
        <v>-11446405654201.5</v>
      </c>
      <c r="M4118" s="471">
        <f t="shared" si="166"/>
        <v>0.05</v>
      </c>
      <c r="N4118" s="475">
        <f t="shared" si="167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65"/>
        <v>-11446405654201.5</v>
      </c>
      <c r="J4119" s="455">
        <f t="array" ref="J4119">IFERROR(INDEX('Retirement Calculator'!K:K,MATCH('Lorri 401b'!N4119,'Retirement Calculator'!A:A,0),0),0)</f>
        <v>0</v>
      </c>
      <c r="K4119" s="455">
        <f t="shared" ca="1" si="163"/>
        <v>-47693356892.506248</v>
      </c>
      <c r="L4119" s="455">
        <f t="shared" ca="1" si="164"/>
        <v>-11494099011094.006</v>
      </c>
      <c r="M4119" s="471">
        <f t="shared" si="166"/>
        <v>0.05</v>
      </c>
      <c r="N4119" s="475">
        <f t="shared" si="167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65"/>
        <v>-11494099011094.006</v>
      </c>
      <c r="J4120" s="455">
        <f t="array" ref="J4120">IFERROR(INDEX('Retirement Calculator'!K:K,MATCH('Lorri 401b'!N4120,'Retirement Calculator'!A:A,0),0),0)</f>
        <v>0</v>
      </c>
      <c r="K4120" s="455">
        <f t="shared" ca="1" si="163"/>
        <v>-47892079212.891693</v>
      </c>
      <c r="L4120" s="455">
        <f t="shared" ca="1" si="164"/>
        <v>-11541991090306.898</v>
      </c>
      <c r="M4120" s="471">
        <f t="shared" si="166"/>
        <v>0.05</v>
      </c>
      <c r="N4120" s="475">
        <f t="shared" si="167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65"/>
        <v>-11541991090306.898</v>
      </c>
      <c r="J4121" s="455">
        <f t="array" ref="J4121">IFERROR(INDEX('Retirement Calculator'!K:K,MATCH('Lorri 401b'!N4121,'Retirement Calculator'!A:A,0),0),0)</f>
        <v>0</v>
      </c>
      <c r="K4121" s="455">
        <f t="shared" ca="1" si="163"/>
        <v>-48091629542.945412</v>
      </c>
      <c r="L4121" s="455">
        <f t="shared" ca="1" si="164"/>
        <v>-11590082719849.844</v>
      </c>
      <c r="M4121" s="471">
        <f t="shared" si="166"/>
        <v>0.05</v>
      </c>
      <c r="N4121" s="475">
        <f t="shared" si="167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65"/>
        <v>-11590082719849.844</v>
      </c>
      <c r="J4122" s="455">
        <f t="array" ref="J4122">IFERROR(INDEX('Retirement Calculator'!K:K,MATCH('Lorri 401b'!N4122,'Retirement Calculator'!A:A,0),0),0)</f>
        <v>0</v>
      </c>
      <c r="K4122" s="455">
        <f t="shared" ca="1" si="163"/>
        <v>-48292011332.70768</v>
      </c>
      <c r="L4122" s="455">
        <f t="shared" ca="1" si="164"/>
        <v>-11638374731182.551</v>
      </c>
      <c r="M4122" s="471">
        <f t="shared" si="166"/>
        <v>0.05</v>
      </c>
      <c r="N4122" s="475">
        <f t="shared" si="167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65"/>
        <v>-11638374731182.551</v>
      </c>
      <c r="J4123" s="455">
        <f t="array" ref="J4123">IFERROR(INDEX('Retirement Calculator'!K:K,MATCH('Lorri 401b'!N4123,'Retirement Calculator'!A:A,0),0),0)</f>
        <v>0</v>
      </c>
      <c r="K4123" s="455">
        <f t="shared" ca="1" si="163"/>
        <v>-48493228046.593964</v>
      </c>
      <c r="L4123" s="455">
        <f t="shared" ca="1" si="164"/>
        <v>-11686867959229.145</v>
      </c>
      <c r="M4123" s="471">
        <f t="shared" si="166"/>
        <v>0.05</v>
      </c>
      <c r="N4123" s="475">
        <f t="shared" si="167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65"/>
        <v>-11686867959229.145</v>
      </c>
      <c r="J4124" s="455">
        <f t="array" ref="J4124">IFERROR(INDEX('Retirement Calculator'!K:K,MATCH('Lorri 401b'!N4124,'Retirement Calculator'!A:A,0),0),0)</f>
        <v>0</v>
      </c>
      <c r="K4124" s="455">
        <f t="shared" ca="1" si="163"/>
        <v>-48695283163.454765</v>
      </c>
      <c r="L4124" s="455">
        <f t="shared" ca="1" si="164"/>
        <v>-11735563242392.6</v>
      </c>
      <c r="M4124" s="471">
        <f t="shared" si="166"/>
        <v>0.05</v>
      </c>
      <c r="N4124" s="475">
        <f t="shared" si="167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65"/>
        <v>-11735563242392.6</v>
      </c>
      <c r="J4125" s="455">
        <f t="array" ref="J4125">IFERROR(INDEX('Retirement Calculator'!K:K,MATCH('Lorri 401b'!N4125,'Retirement Calculator'!A:A,0),0),0)</f>
        <v>0</v>
      </c>
      <c r="K4125" s="455">
        <f t="shared" ca="1" si="163"/>
        <v>-48898180176.635834</v>
      </c>
      <c r="L4125" s="455">
        <f t="shared" ca="1" si="164"/>
        <v>-11784461422569.236</v>
      </c>
      <c r="M4125" s="471">
        <f t="shared" si="166"/>
        <v>0.05</v>
      </c>
      <c r="N4125" s="475">
        <f t="shared" si="167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65"/>
        <v>-11784461422569.236</v>
      </c>
      <c r="J4126" s="455">
        <f t="array" ref="J4126">IFERROR(INDEX('Retirement Calculator'!K:K,MATCH('Lorri 401b'!N4126,'Retirement Calculator'!A:A,0),0),0)</f>
        <v>0</v>
      </c>
      <c r="K4126" s="455">
        <f t="shared" ca="1" si="163"/>
        <v>-49101922594.038483</v>
      </c>
      <c r="L4126" s="455">
        <f t="shared" ca="1" si="164"/>
        <v>-11833563345163.275</v>
      </c>
      <c r="M4126" s="471">
        <f t="shared" si="166"/>
        <v>0.05</v>
      </c>
      <c r="N4126" s="475">
        <f t="shared" si="167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65"/>
        <v>-11833563345163.275</v>
      </c>
      <c r="J4127" s="455">
        <f t="array" ref="J4127">IFERROR(INDEX('Retirement Calculator'!K:K,MATCH('Lorri 401b'!N4127,'Retirement Calculator'!A:A,0),0),0)</f>
        <v>0</v>
      </c>
      <c r="K4127" s="455">
        <f t="shared" ca="1" si="163"/>
        <v>-49306513938.180313</v>
      </c>
      <c r="L4127" s="455">
        <f t="shared" ca="1" si="164"/>
        <v>-11882869859101.455</v>
      </c>
      <c r="M4127" s="471">
        <f t="shared" si="166"/>
        <v>0.05</v>
      </c>
      <c r="N4127" s="475">
        <f t="shared" si="167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65"/>
        <v>-11882869859101.455</v>
      </c>
      <c r="J4128" s="455">
        <f t="array" ref="J4128">IFERROR(INDEX('Retirement Calculator'!K:K,MATCH('Lorri 401b'!N4128,'Retirement Calculator'!A:A,0),0),0)</f>
        <v>0</v>
      </c>
      <c r="K4128" s="455">
        <f t="shared" ca="1" si="163"/>
        <v>-49511957746.256065</v>
      </c>
      <c r="L4128" s="455">
        <f t="shared" ca="1" si="164"/>
        <v>-11932381816847.711</v>
      </c>
      <c r="M4128" s="471">
        <f t="shared" si="166"/>
        <v>0.05</v>
      </c>
      <c r="N4128" s="475">
        <f t="shared" si="167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65"/>
        <v>-11932381816847.711</v>
      </c>
      <c r="J4129" s="455">
        <f t="array" ref="J4129">IFERROR(INDEX('Retirement Calculator'!K:K,MATCH('Lorri 401b'!N4129,'Retirement Calculator'!A:A,0),0),0)</f>
        <v>0</v>
      </c>
      <c r="K4129" s="455">
        <f t="shared" ca="1" si="163"/>
        <v>-49718257570.198792</v>
      </c>
      <c r="L4129" s="455">
        <f t="shared" ca="1" si="164"/>
        <v>-11982100074417.91</v>
      </c>
      <c r="M4129" s="471">
        <f t="shared" si="166"/>
        <v>0.05</v>
      </c>
      <c r="N4129" s="475">
        <f t="shared" si="167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65"/>
        <v>-11982100074417.91</v>
      </c>
      <c r="J4130" s="455">
        <f t="array" ref="J4130">IFERROR(INDEX('Retirement Calculator'!K:K,MATCH('Lorri 401b'!N4130,'Retirement Calculator'!A:A,0),0),0)</f>
        <v>0</v>
      </c>
      <c r="K4130" s="455">
        <f t="shared" ca="1" si="163"/>
        <v>-49925416976.741295</v>
      </c>
      <c r="L4130" s="455">
        <f t="shared" ca="1" si="164"/>
        <v>-12032025491394.652</v>
      </c>
      <c r="M4130" s="471">
        <f t="shared" si="166"/>
        <v>0.05</v>
      </c>
      <c r="N4130" s="475">
        <f t="shared" si="167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65"/>
        <v>-12032025491394.652</v>
      </c>
      <c r="J4131" s="455">
        <f t="array" ref="J4131">IFERROR(INDEX('Retirement Calculator'!K:K,MATCH('Lorri 401b'!N4131,'Retirement Calculator'!A:A,0),0),0)</f>
        <v>0</v>
      </c>
      <c r="K4131" s="455">
        <f t="shared" ca="1" si="163"/>
        <v>-50133439547.477715</v>
      </c>
      <c r="L4131" s="455">
        <f t="shared" ca="1" si="164"/>
        <v>-12082158930942.131</v>
      </c>
      <c r="M4131" s="471">
        <f t="shared" si="166"/>
        <v>0.05</v>
      </c>
      <c r="N4131" s="475">
        <f t="shared" si="167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65"/>
        <v>-12082158930942.131</v>
      </c>
      <c r="J4132" s="455">
        <f t="array" ref="J4132">IFERROR(INDEX('Retirement Calculator'!K:K,MATCH('Lorri 401b'!N4132,'Retirement Calculator'!A:A,0),0),0)</f>
        <v>0</v>
      </c>
      <c r="K4132" s="455">
        <f t="shared" ca="1" si="163"/>
        <v>-50342328878.925545</v>
      </c>
      <c r="L4132" s="455">
        <f t="shared" ca="1" si="164"/>
        <v>-12132501259821.057</v>
      </c>
      <c r="M4132" s="471">
        <f t="shared" si="166"/>
        <v>0.05</v>
      </c>
      <c r="N4132" s="475">
        <f t="shared" si="167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65"/>
        <v>-12132501259821.057</v>
      </c>
      <c r="J4133" s="455">
        <f t="array" ref="J4133">IFERROR(INDEX('Retirement Calculator'!K:K,MATCH('Lorri 401b'!N4133,'Retirement Calculator'!A:A,0),0),0)</f>
        <v>0</v>
      </c>
      <c r="K4133" s="455">
        <f t="shared" ca="1" si="163"/>
        <v>-50552088582.587738</v>
      </c>
      <c r="L4133" s="455">
        <f t="shared" ca="1" si="164"/>
        <v>-12183053348403.645</v>
      </c>
      <c r="M4133" s="471">
        <f t="shared" si="166"/>
        <v>0.05</v>
      </c>
      <c r="N4133" s="475">
        <f t="shared" si="167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65"/>
        <v>-12183053348403.645</v>
      </c>
      <c r="J4134" s="455">
        <f t="array" ref="J4134">IFERROR(INDEX('Retirement Calculator'!K:K,MATCH('Lorri 401b'!N4134,'Retirement Calculator'!A:A,0),0),0)</f>
        <v>0</v>
      </c>
      <c r="K4134" s="455">
        <f t="shared" ca="1" si="163"/>
        <v>-50762722285.015182</v>
      </c>
      <c r="L4134" s="455">
        <f t="shared" ca="1" si="164"/>
        <v>-12233816070688.66</v>
      </c>
      <c r="M4134" s="471">
        <f t="shared" si="166"/>
        <v>0.05</v>
      </c>
      <c r="N4134" s="475">
        <f t="shared" si="167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65"/>
        <v>-12233816070688.66</v>
      </c>
      <c r="J4135" s="455">
        <f t="array" ref="J4135">IFERROR(INDEX('Retirement Calculator'!K:K,MATCH('Lorri 401b'!N4135,'Retirement Calculator'!A:A,0),0),0)</f>
        <v>0</v>
      </c>
      <c r="K4135" s="455">
        <f t="shared" ca="1" si="163"/>
        <v>-50974233627.869415</v>
      </c>
      <c r="L4135" s="455">
        <f t="shared" ca="1" si="164"/>
        <v>-12284790304316.529</v>
      </c>
      <c r="M4135" s="471">
        <f t="shared" si="166"/>
        <v>0.05</v>
      </c>
      <c r="N4135" s="475">
        <f t="shared" si="167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65"/>
        <v>-12284790304316.529</v>
      </c>
      <c r="J4136" s="455">
        <f t="array" ref="J4136">IFERROR(INDEX('Retirement Calculator'!K:K,MATCH('Lorri 401b'!N4136,'Retirement Calculator'!A:A,0),0),0)</f>
        <v>0</v>
      </c>
      <c r="K4136" s="455">
        <f t="shared" ca="1" si="163"/>
        <v>-51186626267.985535</v>
      </c>
      <c r="L4136" s="455">
        <f t="shared" ca="1" si="164"/>
        <v>-12335976930584.516</v>
      </c>
      <c r="M4136" s="471">
        <f t="shared" si="166"/>
        <v>0.05</v>
      </c>
      <c r="N4136" s="475">
        <f t="shared" si="167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65"/>
        <v>-12335976930584.516</v>
      </c>
      <c r="J4137" s="455">
        <f t="array" ref="J4137">IFERROR(INDEX('Retirement Calculator'!K:K,MATCH('Lorri 401b'!N4137,'Retirement Calculator'!A:A,0),0),0)</f>
        <v>0</v>
      </c>
      <c r="K4137" s="455">
        <f t="shared" ca="1" si="163"/>
        <v>-51399903877.435478</v>
      </c>
      <c r="L4137" s="455">
        <f t="shared" ca="1" si="164"/>
        <v>-12387376834461.951</v>
      </c>
      <c r="M4137" s="471">
        <f t="shared" si="166"/>
        <v>0.05</v>
      </c>
      <c r="N4137" s="475">
        <f t="shared" si="167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65"/>
        <v>-12387376834461.951</v>
      </c>
      <c r="J4138" s="455">
        <f t="array" ref="J4138">IFERROR(INDEX('Retirement Calculator'!K:K,MATCH('Lorri 401b'!N4138,'Retirement Calculator'!A:A,0),0),0)</f>
        <v>0</v>
      </c>
      <c r="K4138" s="455">
        <f t="shared" ca="1" si="163"/>
        <v>-51614070143.591461</v>
      </c>
      <c r="L4138" s="455">
        <f t="shared" ca="1" si="164"/>
        <v>-12438990904605.543</v>
      </c>
      <c r="M4138" s="471">
        <f t="shared" si="166"/>
        <v>0.05</v>
      </c>
      <c r="N4138" s="475">
        <f t="shared" si="167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65"/>
        <v>-12438990904605.543</v>
      </c>
      <c r="J4139" s="455">
        <f t="array" ref="J4139">IFERROR(INDEX('Retirement Calculator'!K:K,MATCH('Lorri 401b'!N4139,'Retirement Calculator'!A:A,0),0),0)</f>
        <v>0</v>
      </c>
      <c r="K4139" s="455">
        <f t="shared" ca="1" si="163"/>
        <v>-51829128769.189758</v>
      </c>
      <c r="L4139" s="455">
        <f t="shared" ca="1" si="164"/>
        <v>-12490820033374.732</v>
      </c>
      <c r="M4139" s="471">
        <f t="shared" si="166"/>
        <v>0.05</v>
      </c>
      <c r="N4139" s="475">
        <f t="shared" si="167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65"/>
        <v>-12490820033374.732</v>
      </c>
      <c r="J4140" s="455">
        <f t="array" ref="J4140">IFERROR(INDEX('Retirement Calculator'!K:K,MATCH('Lorri 401b'!N4140,'Retirement Calculator'!A:A,0),0),0)</f>
        <v>0</v>
      </c>
      <c r="K4140" s="455">
        <f t="shared" ca="1" si="163"/>
        <v>-52045083472.394714</v>
      </c>
      <c r="L4140" s="455">
        <f t="shared" ca="1" si="164"/>
        <v>-12542865116847.127</v>
      </c>
      <c r="M4140" s="471">
        <f t="shared" si="166"/>
        <v>0.05</v>
      </c>
      <c r="N4140" s="475">
        <f t="shared" si="167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65"/>
        <v>-12542865116847.127</v>
      </c>
      <c r="J4141" s="455">
        <f t="array" ref="J4141">IFERROR(INDEX('Retirement Calculator'!K:K,MATCH('Lorri 401b'!N4141,'Retirement Calculator'!A:A,0),0),0)</f>
        <v>0</v>
      </c>
      <c r="K4141" s="455">
        <f t="shared" ca="1" si="163"/>
        <v>-52261937986.863029</v>
      </c>
      <c r="L4141" s="455">
        <f t="shared" ca="1" si="164"/>
        <v>-12595127054833.99</v>
      </c>
      <c r="M4141" s="471">
        <f t="shared" si="166"/>
        <v>0.05</v>
      </c>
      <c r="N4141" s="475">
        <f t="shared" si="167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65"/>
        <v>-12595127054833.99</v>
      </c>
      <c r="J4142" s="455">
        <f t="array" ref="J4142">IFERROR(INDEX('Retirement Calculator'!K:K,MATCH('Lorri 401b'!N4142,'Retirement Calculator'!A:A,0),0),0)</f>
        <v>0</v>
      </c>
      <c r="K4142" s="455">
        <f t="shared" ca="1" si="163"/>
        <v>-52479696061.808289</v>
      </c>
      <c r="L4142" s="455">
        <f t="shared" ca="1" si="164"/>
        <v>-12647606750895.799</v>
      </c>
      <c r="M4142" s="471">
        <f t="shared" si="166"/>
        <v>0.05</v>
      </c>
      <c r="N4142" s="475">
        <f t="shared" si="167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65"/>
        <v>-12647606750895.799</v>
      </c>
      <c r="J4143" s="455">
        <f t="array" ref="J4143">IFERROR(INDEX('Retirement Calculator'!K:K,MATCH('Lorri 401b'!N4143,'Retirement Calculator'!A:A,0),0),0)</f>
        <v>0</v>
      </c>
      <c r="K4143" s="455">
        <f t="shared" ca="1" si="163"/>
        <v>-52698361462.065826</v>
      </c>
      <c r="L4143" s="455">
        <f t="shared" ca="1" si="164"/>
        <v>-12700305112357.865</v>
      </c>
      <c r="M4143" s="471">
        <f t="shared" si="166"/>
        <v>0.05</v>
      </c>
      <c r="N4143" s="475">
        <f t="shared" si="167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65"/>
        <v>-12700305112357.865</v>
      </c>
      <c r="J4144" s="455">
        <f t="array" ref="J4144">IFERROR(INDEX('Retirement Calculator'!K:K,MATCH('Lorri 401b'!N4144,'Retirement Calculator'!A:A,0),0),0)</f>
        <v>0</v>
      </c>
      <c r="K4144" s="455">
        <f t="shared" ca="1" si="163"/>
        <v>-52917937968.157768</v>
      </c>
      <c r="L4144" s="455">
        <f t="shared" ca="1" si="164"/>
        <v>-12753223050326.023</v>
      </c>
      <c r="M4144" s="471">
        <f t="shared" si="166"/>
        <v>0.05</v>
      </c>
      <c r="N4144" s="475">
        <f t="shared" si="167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65"/>
        <v>-12753223050326.023</v>
      </c>
      <c r="J4145" s="455">
        <f t="array" ref="J4145">IFERROR(INDEX('Retirement Calculator'!K:K,MATCH('Lorri 401b'!N4145,'Retirement Calculator'!A:A,0),0),0)</f>
        <v>0</v>
      </c>
      <c r="K4145" s="455">
        <f t="shared" ca="1" si="163"/>
        <v>-53138429376.358429</v>
      </c>
      <c r="L4145" s="455">
        <f t="shared" ca="1" si="164"/>
        <v>-12806361479702.383</v>
      </c>
      <c r="M4145" s="471">
        <f t="shared" si="166"/>
        <v>0.05</v>
      </c>
      <c r="N4145" s="475">
        <f t="shared" si="167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65"/>
        <v>-12806361479702.383</v>
      </c>
      <c r="J4146" s="455">
        <f t="array" ref="J4146">IFERROR(INDEX('Retirement Calculator'!K:K,MATCH('Lorri 401b'!N4146,'Retirement Calculator'!A:A,0),0),0)</f>
        <v>0</v>
      </c>
      <c r="K4146" s="455">
        <f t="shared" ca="1" si="163"/>
        <v>-53359839498.759926</v>
      </c>
      <c r="L4146" s="455">
        <f t="shared" ca="1" si="164"/>
        <v>-12859721319201.143</v>
      </c>
      <c r="M4146" s="471">
        <f t="shared" si="166"/>
        <v>0.05</v>
      </c>
      <c r="N4146" s="475">
        <f t="shared" si="167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65"/>
        <v>-12859721319201.143</v>
      </c>
      <c r="J4147" s="455">
        <f t="array" ref="J4147">IFERROR(INDEX('Retirement Calculator'!K:K,MATCH('Lorri 401b'!N4147,'Retirement Calculator'!A:A,0),0),0)</f>
        <v>0</v>
      </c>
      <c r="K4147" s="455">
        <f t="shared" ca="1" si="163"/>
        <v>-53582172163.338097</v>
      </c>
      <c r="L4147" s="455">
        <f t="shared" ca="1" si="164"/>
        <v>-12913303491364.48</v>
      </c>
      <c r="M4147" s="471">
        <f t="shared" si="166"/>
        <v>0.05</v>
      </c>
      <c r="N4147" s="475">
        <f t="shared" si="167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65"/>
        <v>-12913303491364.48</v>
      </c>
      <c r="J4148" s="455">
        <f t="array" ref="J4148">IFERROR(INDEX('Retirement Calculator'!K:K,MATCH('Lorri 401b'!N4148,'Retirement Calculator'!A:A,0),0),0)</f>
        <v>0</v>
      </c>
      <c r="K4148" s="455">
        <f t="shared" ca="1" si="163"/>
        <v>-53805431214.018669</v>
      </c>
      <c r="L4148" s="455">
        <f t="shared" ca="1" si="164"/>
        <v>-12967108922578.5</v>
      </c>
      <c r="M4148" s="471">
        <f t="shared" si="166"/>
        <v>0.05</v>
      </c>
      <c r="N4148" s="475">
        <f t="shared" si="167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65"/>
        <v>-12967108922578.5</v>
      </c>
      <c r="J4149" s="455">
        <f t="array" ref="J4149">IFERROR(INDEX('Retirement Calculator'!K:K,MATCH('Lorri 401b'!N4149,'Retirement Calculator'!A:A,0),0),0)</f>
        <v>0</v>
      </c>
      <c r="K4149" s="455">
        <f t="shared" ca="1" si="163"/>
        <v>-54029620510.743752</v>
      </c>
      <c r="L4149" s="455">
        <f t="shared" ca="1" si="164"/>
        <v>-13021138543089.244</v>
      </c>
      <c r="M4149" s="471">
        <f t="shared" si="166"/>
        <v>0.05</v>
      </c>
      <c r="N4149" s="475">
        <f t="shared" si="167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65"/>
        <v>-13021138543089.244</v>
      </c>
      <c r="J4150" s="455">
        <f t="array" ref="J4150">IFERROR(INDEX('Retirement Calculator'!K:K,MATCH('Lorri 401b'!N4150,'Retirement Calculator'!A:A,0),0),0)</f>
        <v>0</v>
      </c>
      <c r="K4150" s="455">
        <f t="shared" ca="1" si="163"/>
        <v>-54254743929.538513</v>
      </c>
      <c r="L4150" s="455">
        <f t="shared" ca="1" si="164"/>
        <v>-13075393287018.783</v>
      </c>
      <c r="M4150" s="471">
        <f t="shared" si="166"/>
        <v>0.05</v>
      </c>
      <c r="N4150" s="475">
        <f t="shared" si="167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65"/>
        <v>-13075393287018.783</v>
      </c>
      <c r="J4151" s="455">
        <f t="array" ref="J4151">IFERROR(INDEX('Retirement Calculator'!K:K,MATCH('Lorri 401b'!N4151,'Retirement Calculator'!A:A,0),0),0)</f>
        <v>0</v>
      </c>
      <c r="K4151" s="455">
        <f t="shared" ca="1" si="163"/>
        <v>-54480805362.578262</v>
      </c>
      <c r="L4151" s="455">
        <f t="shared" ca="1" si="164"/>
        <v>-13129874092381.361</v>
      </c>
      <c r="M4151" s="471">
        <f t="shared" si="166"/>
        <v>0.05</v>
      </c>
      <c r="N4151" s="475">
        <f t="shared" si="167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65"/>
        <v>-13129874092381.361</v>
      </c>
      <c r="J4152" s="455">
        <f t="array" ref="J4152">IFERROR(INDEX('Retirement Calculator'!K:K,MATCH('Lorri 401b'!N4152,'Retirement Calculator'!A:A,0),0),0)</f>
        <v>0</v>
      </c>
      <c r="K4152" s="455">
        <f t="shared" ca="1" si="163"/>
        <v>-54707808718.255669</v>
      </c>
      <c r="L4152" s="455">
        <f t="shared" ca="1" si="164"/>
        <v>-13184581901099.617</v>
      </c>
      <c r="M4152" s="471">
        <f t="shared" si="166"/>
        <v>0.05</v>
      </c>
      <c r="N4152" s="475">
        <f t="shared" si="167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65"/>
        <v>-13184581901099.617</v>
      </c>
      <c r="J4153" s="455">
        <f t="array" ref="J4153">IFERROR(INDEX('Retirement Calculator'!K:K,MATCH('Lorri 401b'!N4153,'Retirement Calculator'!A:A,0),0),0)</f>
        <v>0</v>
      </c>
      <c r="K4153" s="455">
        <f t="shared" ca="1" si="163"/>
        <v>-54935757921.248405</v>
      </c>
      <c r="L4153" s="455">
        <f t="shared" ca="1" si="164"/>
        <v>-13239517659020.865</v>
      </c>
      <c r="M4153" s="471">
        <f t="shared" si="166"/>
        <v>0.05</v>
      </c>
      <c r="N4153" s="475">
        <f t="shared" si="167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65"/>
        <v>-13239517659020.865</v>
      </c>
      <c r="J4154" s="455">
        <f t="array" ref="J4154">IFERROR(INDEX('Retirement Calculator'!K:K,MATCH('Lorri 401b'!N4154,'Retirement Calculator'!A:A,0),0),0)</f>
        <v>0</v>
      </c>
      <c r="K4154" s="455">
        <f t="shared" ca="1" si="163"/>
        <v>-55164656912.586937</v>
      </c>
      <c r="L4154" s="455">
        <f t="shared" ca="1" si="164"/>
        <v>-13294682315933.453</v>
      </c>
      <c r="M4154" s="471">
        <f t="shared" si="166"/>
        <v>0.05</v>
      </c>
      <c r="N4154" s="475">
        <f t="shared" si="167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65"/>
        <v>-13294682315933.453</v>
      </c>
      <c r="J4155" s="455">
        <f t="array" ref="J4155">IFERROR(INDEX('Retirement Calculator'!K:K,MATCH('Lorri 401b'!N4155,'Retirement Calculator'!A:A,0),0),0)</f>
        <v>0</v>
      </c>
      <c r="K4155" s="455">
        <f t="shared" ca="1" si="163"/>
        <v>-55394509649.722717</v>
      </c>
      <c r="L4155" s="455">
        <f t="shared" ca="1" si="164"/>
        <v>-13350076825583.176</v>
      </c>
      <c r="M4155" s="471">
        <f t="shared" si="166"/>
        <v>0.05</v>
      </c>
      <c r="N4155" s="475">
        <f t="shared" si="167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65"/>
        <v>-13350076825583.176</v>
      </c>
      <c r="J4156" s="455">
        <f t="array" ref="J4156">IFERROR(INDEX('Retirement Calculator'!K:K,MATCH('Lorri 401b'!N4156,'Retirement Calculator'!A:A,0),0),0)</f>
        <v>0</v>
      </c>
      <c r="K4156" s="455">
        <f t="shared" ca="1" si="163"/>
        <v>-55625320106.596565</v>
      </c>
      <c r="L4156" s="455">
        <f t="shared" ca="1" si="164"/>
        <v>-13405702145689.771</v>
      </c>
      <c r="M4156" s="471">
        <f t="shared" si="166"/>
        <v>0.05</v>
      </c>
      <c r="N4156" s="475">
        <f t="shared" si="167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65"/>
        <v>-13405702145689.771</v>
      </c>
      <c r="J4157" s="455">
        <f t="array" ref="J4157">IFERROR(INDEX('Retirement Calculator'!K:K,MATCH('Lorri 401b'!N4157,'Retirement Calculator'!A:A,0),0),0)</f>
        <v>0</v>
      </c>
      <c r="K4157" s="455">
        <f t="shared" ca="1" si="163"/>
        <v>-55857092273.707382</v>
      </c>
      <c r="L4157" s="455">
        <f t="shared" ca="1" si="164"/>
        <v>-13461559237963.479</v>
      </c>
      <c r="M4157" s="471">
        <f t="shared" si="166"/>
        <v>0.05</v>
      </c>
      <c r="N4157" s="475">
        <f t="shared" si="167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65"/>
        <v>-13461559237963.479</v>
      </c>
      <c r="J4158" s="455">
        <f t="array" ref="J4158">IFERROR(INDEX('Retirement Calculator'!K:K,MATCH('Lorri 401b'!N4158,'Retirement Calculator'!A:A,0),0),0)</f>
        <v>0</v>
      </c>
      <c r="K4158" s="455">
        <f t="shared" ca="1" si="163"/>
        <v>-56089830158.18116</v>
      </c>
      <c r="L4158" s="455">
        <f t="shared" ca="1" si="164"/>
        <v>-13517649068121.66</v>
      </c>
      <c r="M4158" s="471">
        <f t="shared" si="166"/>
        <v>0.05</v>
      </c>
      <c r="N4158" s="475">
        <f t="shared" si="167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65"/>
        <v>-13517649068121.66</v>
      </c>
      <c r="J4159" s="455">
        <f t="array" ref="J4159">IFERROR(INDEX('Retirement Calculator'!K:K,MATCH('Lorri 401b'!N4159,'Retirement Calculator'!A:A,0),0),0)</f>
        <v>0</v>
      </c>
      <c r="K4159" s="455">
        <f t="shared" ca="1" si="163"/>
        <v>-56323537783.840248</v>
      </c>
      <c r="L4159" s="455">
        <f t="shared" ca="1" si="164"/>
        <v>-13573972605905.5</v>
      </c>
      <c r="M4159" s="471">
        <f t="shared" si="166"/>
        <v>0.05</v>
      </c>
      <c r="N4159" s="475">
        <f t="shared" si="167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65"/>
        <v>-13573972605905.5</v>
      </c>
      <c r="J4160" s="455">
        <f t="array" ref="J4160">IFERROR(INDEX('Retirement Calculator'!K:K,MATCH('Lorri 401b'!N4160,'Retirement Calculator'!A:A,0),0),0)</f>
        <v>0</v>
      </c>
      <c r="K4160" s="455">
        <f t="shared" ca="1" si="163"/>
        <v>-56558219191.272919</v>
      </c>
      <c r="L4160" s="455">
        <f t="shared" ca="1" si="164"/>
        <v>-13630530825096.773</v>
      </c>
      <c r="M4160" s="471">
        <f t="shared" si="166"/>
        <v>0.05</v>
      </c>
      <c r="N4160" s="475">
        <f t="shared" si="167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65"/>
        <v>-13630530825096.773</v>
      </c>
      <c r="J4161" s="455">
        <f t="array" ref="J4161">IFERROR(INDEX('Retirement Calculator'!K:K,MATCH('Lorri 401b'!N4161,'Retirement Calculator'!A:A,0),0),0)</f>
        <v>0</v>
      </c>
      <c r="K4161" s="455">
        <f t="shared" ca="1" si="163"/>
        <v>-56793878437.903221</v>
      </c>
      <c r="L4161" s="455">
        <f t="shared" ca="1" si="164"/>
        <v>-13687324703534.676</v>
      </c>
      <c r="M4161" s="471">
        <f t="shared" si="166"/>
        <v>0.05</v>
      </c>
      <c r="N4161" s="475">
        <f t="shared" si="167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65"/>
        <v>-13687324703534.676</v>
      </c>
      <c r="J4162" s="455">
        <f t="array" ref="J4162">IFERROR(INDEX('Retirement Calculator'!K:K,MATCH('Lorri 401b'!N4162,'Retirement Calculator'!A:A,0),0),0)</f>
        <v>0</v>
      </c>
      <c r="K4162" s="455">
        <f t="shared" ca="1" si="163"/>
        <v>-57030519598.06115</v>
      </c>
      <c r="L4162" s="455">
        <f t="shared" ca="1" si="164"/>
        <v>-13744355223132.736</v>
      </c>
      <c r="M4162" s="471">
        <f t="shared" si="166"/>
        <v>0.05</v>
      </c>
      <c r="N4162" s="475">
        <f t="shared" si="167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65"/>
        <v>-13744355223132.736</v>
      </c>
      <c r="J4163" s="455">
        <f t="array" ref="J4163">IFERROR(INDEX('Retirement Calculator'!K:K,MATCH('Lorri 401b'!N4163,'Retirement Calculator'!A:A,0),0),0)</f>
        <v>0</v>
      </c>
      <c r="K4163" s="455">
        <f t="shared" ca="1" si="163"/>
        <v>-57268146763.05307</v>
      </c>
      <c r="L4163" s="455">
        <f t="shared" ca="1" si="164"/>
        <v>-13801623369895.789</v>
      </c>
      <c r="M4163" s="471">
        <f t="shared" si="166"/>
        <v>0.05</v>
      </c>
      <c r="N4163" s="475">
        <f t="shared" si="167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65"/>
        <v>-13801623369895.789</v>
      </c>
      <c r="J4164" s="455">
        <f t="array" ref="J4164">IFERROR(INDEX('Retirement Calculator'!K:K,MATCH('Lorri 401b'!N4164,'Retirement Calculator'!A:A,0),0),0)</f>
        <v>0</v>
      </c>
      <c r="K4164" s="455">
        <f t="shared" ca="1" si="163"/>
        <v>-57506764041.23246</v>
      </c>
      <c r="L4164" s="455">
        <f t="shared" ca="1" si="164"/>
        <v>-13859130133937.021</v>
      </c>
      <c r="M4164" s="471">
        <f t="shared" si="166"/>
        <v>0.05</v>
      </c>
      <c r="N4164" s="475">
        <f t="shared" si="167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65"/>
        <v>-13859130133937.021</v>
      </c>
      <c r="J4165" s="455">
        <f t="array" ref="J4165">IFERROR(INDEX('Retirement Calculator'!K:K,MATCH('Lorri 401b'!N4165,'Retirement Calculator'!A:A,0),0),0)</f>
        <v>0</v>
      </c>
      <c r="K4165" s="455">
        <f t="shared" ca="1" si="163"/>
        <v>-57746375558.070923</v>
      </c>
      <c r="L4165" s="455">
        <f t="shared" ca="1" si="164"/>
        <v>-13916876509495.092</v>
      </c>
      <c r="M4165" s="471">
        <f t="shared" si="166"/>
        <v>0.05</v>
      </c>
      <c r="N4165" s="475">
        <f t="shared" si="167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65"/>
        <v>-13916876509495.092</v>
      </c>
      <c r="J4166" s="455">
        <f t="array" ref="J4166">IFERROR(INDEX('Retirement Calculator'!K:K,MATCH('Lorri 401b'!N4166,'Retirement Calculator'!A:A,0),0),0)</f>
        <v>0</v>
      </c>
      <c r="K4166" s="455">
        <f t="shared" ca="1" si="163"/>
        <v>-57986985456.229546</v>
      </c>
      <c r="L4166" s="455">
        <f t="shared" ca="1" si="164"/>
        <v>-13974863494951.322</v>
      </c>
      <c r="M4166" s="471">
        <f t="shared" si="166"/>
        <v>0.05</v>
      </c>
      <c r="N4166" s="475">
        <f t="shared" si="167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65"/>
        <v>-13974863494951.322</v>
      </c>
      <c r="J4167" s="455">
        <f t="array" ref="J4167">IFERROR(INDEX('Retirement Calculator'!K:K,MATCH('Lorri 401b'!N4167,'Retirement Calculator'!A:A,0),0),0)</f>
        <v>0</v>
      </c>
      <c r="K4167" s="455">
        <f t="shared" ca="1" si="163"/>
        <v>-58228597895.630508</v>
      </c>
      <c r="L4167" s="455">
        <f t="shared" ca="1" si="164"/>
        <v>-14033092092846.953</v>
      </c>
      <c r="M4167" s="471">
        <f t="shared" si="166"/>
        <v>0.05</v>
      </c>
      <c r="N4167" s="475">
        <f t="shared" si="167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65"/>
        <v>-14033092092846.953</v>
      </c>
      <c r="J4168" s="455">
        <f t="array" ref="J4168">IFERROR(INDEX('Retirement Calculator'!K:K,MATCH('Lorri 401b'!N4168,'Retirement Calculator'!A:A,0),0),0)</f>
        <v>0</v>
      </c>
      <c r="K4168" s="455">
        <f t="shared" ca="1" si="163"/>
        <v>-58471217053.528969</v>
      </c>
      <c r="L4168" s="455">
        <f t="shared" ca="1" si="164"/>
        <v>-14091563309900.482</v>
      </c>
      <c r="M4168" s="471">
        <f t="shared" si="166"/>
        <v>0.05</v>
      </c>
      <c r="N4168" s="475">
        <f t="shared" si="167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65"/>
        <v>-14091563309900.482</v>
      </c>
      <c r="J4169" s="455">
        <f t="array" ref="J4169">IFERROR(INDEX('Retirement Calculator'!K:K,MATCH('Lorri 401b'!N4169,'Retirement Calculator'!A:A,0),0),0)</f>
        <v>0</v>
      </c>
      <c r="K4169" s="455">
        <f t="shared" ca="1" si="163"/>
        <v>-58714847124.58535</v>
      </c>
      <c r="L4169" s="455">
        <f t="shared" ca="1" si="164"/>
        <v>-14150278157025.068</v>
      </c>
      <c r="M4169" s="471">
        <f t="shared" si="166"/>
        <v>0.05</v>
      </c>
      <c r="N4169" s="475">
        <f t="shared" si="167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65"/>
        <v>-14150278157025.068</v>
      </c>
      <c r="J4170" s="455">
        <f t="array" ref="J4170">IFERROR(INDEX('Retirement Calculator'!K:K,MATCH('Lorri 401b'!N4170,'Retirement Calculator'!A:A,0),0),0)</f>
        <v>0</v>
      </c>
      <c r="K4170" s="455">
        <f t="shared" ca="1" si="163"/>
        <v>-58959492320.937782</v>
      </c>
      <c r="L4170" s="455">
        <f t="shared" ca="1" si="164"/>
        <v>-14209237649346.006</v>
      </c>
      <c r="M4170" s="471">
        <f t="shared" si="166"/>
        <v>0.05</v>
      </c>
      <c r="N4170" s="475">
        <f t="shared" si="167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65"/>
        <v>-14209237649346.006</v>
      </c>
      <c r="J4171" s="455">
        <f t="array" ref="J4171">IFERROR(INDEX('Retirement Calculator'!K:K,MATCH('Lorri 401b'!N4171,'Retirement Calculator'!A:A,0),0),0)</f>
        <v>0</v>
      </c>
      <c r="K4171" s="455">
        <f t="shared" ca="1" si="163"/>
        <v>-59205156872.275017</v>
      </c>
      <c r="L4171" s="455">
        <f t="shared" ca="1" si="164"/>
        <v>-14268442806218.281</v>
      </c>
      <c r="M4171" s="471">
        <f t="shared" si="166"/>
        <v>0.05</v>
      </c>
      <c r="N4171" s="475">
        <f t="shared" si="167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65"/>
        <v>-14268442806218.281</v>
      </c>
      <c r="J4172" s="455">
        <f t="array" ref="J4172">IFERROR(INDEX('Retirement Calculator'!K:K,MATCH('Lorri 401b'!N4172,'Retirement Calculator'!A:A,0),0),0)</f>
        <v>0</v>
      </c>
      <c r="K4172" s="455">
        <f t="shared" ca="1" si="163"/>
        <v>-59451845025.909508</v>
      </c>
      <c r="L4172" s="455">
        <f t="shared" ca="1" si="164"/>
        <v>-14327894651244.191</v>
      </c>
      <c r="M4172" s="471">
        <f t="shared" si="166"/>
        <v>0.05</v>
      </c>
      <c r="N4172" s="475">
        <f t="shared" si="167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65"/>
        <v>-14327894651244.191</v>
      </c>
      <c r="J4173" s="455">
        <f t="array" ref="J4173">IFERROR(INDEX('Retirement Calculator'!K:K,MATCH('Lorri 401b'!N4173,'Retirement Calculator'!A:A,0),0),0)</f>
        <v>0</v>
      </c>
      <c r="K4173" s="455">
        <f t="shared" ca="1" si="163"/>
        <v>-59699561046.8508</v>
      </c>
      <c r="L4173" s="455">
        <f t="shared" ca="1" si="164"/>
        <v>-14387594212291.043</v>
      </c>
      <c r="M4173" s="471">
        <f t="shared" si="166"/>
        <v>0.05</v>
      </c>
      <c r="N4173" s="475">
        <f t="shared" si="167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65"/>
        <v>-14387594212291.043</v>
      </c>
      <c r="J4174" s="455">
        <f t="array" ref="J4174">IFERROR(INDEX('Retirement Calculator'!K:K,MATCH('Lorri 401b'!N4174,'Retirement Calculator'!A:A,0),0),0)</f>
        <v>0</v>
      </c>
      <c r="K4174" s="455">
        <f t="shared" ca="1" si="163"/>
        <v>-59948309217.879333</v>
      </c>
      <c r="L4174" s="455">
        <f t="shared" ca="1" si="164"/>
        <v>-14447542521508.922</v>
      </c>
      <c r="M4174" s="471">
        <f t="shared" si="166"/>
        <v>0.05</v>
      </c>
      <c r="N4174" s="475">
        <f t="shared" si="167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65"/>
        <v>-14447542521508.922</v>
      </c>
      <c r="J4175" s="455">
        <f t="array" ref="J4175">IFERROR(INDEX('Retirement Calculator'!K:K,MATCH('Lorri 401b'!N4175,'Retirement Calculator'!A:A,0),0),0)</f>
        <v>0</v>
      </c>
      <c r="K4175" s="455">
        <f t="shared" ca="1" si="163"/>
        <v>-60198093839.620506</v>
      </c>
      <c r="L4175" s="455">
        <f t="shared" ca="1" si="164"/>
        <v>-14507740615348.543</v>
      </c>
      <c r="M4175" s="471">
        <f t="shared" si="166"/>
        <v>0.05</v>
      </c>
      <c r="N4175" s="475">
        <f t="shared" si="167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65"/>
        <v>-14507740615348.543</v>
      </c>
      <c r="J4176" s="455">
        <f t="array" ref="J4176">IFERROR(INDEX('Retirement Calculator'!K:K,MATCH('Lorri 401b'!N4176,'Retirement Calculator'!A:A,0),0),0)</f>
        <v>0</v>
      </c>
      <c r="K4176" s="455">
        <f t="shared" ca="1" si="163"/>
        <v>-60448919230.618919</v>
      </c>
      <c r="L4176" s="455">
        <f t="shared" ca="1" si="164"/>
        <v>-14568189534579.162</v>
      </c>
      <c r="M4176" s="471">
        <f t="shared" si="166"/>
        <v>0.05</v>
      </c>
      <c r="N4176" s="475">
        <f t="shared" si="167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65"/>
        <v>-14568189534579.162</v>
      </c>
      <c r="J4177" s="455">
        <f t="array" ref="J4177">IFERROR(INDEX('Retirement Calculator'!K:K,MATCH('Lorri 401b'!N4177,'Retirement Calculator'!A:A,0),0),0)</f>
        <v>0</v>
      </c>
      <c r="K4177" s="455">
        <f t="shared" ca="1" si="163"/>
        <v>-60700789727.41317</v>
      </c>
      <c r="L4177" s="455">
        <f t="shared" ca="1" si="164"/>
        <v>-14628890324306.576</v>
      </c>
      <c r="M4177" s="471">
        <f t="shared" si="166"/>
        <v>0.05</v>
      </c>
      <c r="N4177" s="475">
        <f t="shared" si="167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65"/>
        <v>-14628890324306.576</v>
      </c>
      <c r="J4178" s="455">
        <f t="array" ref="J4178">IFERROR(INDEX('Retirement Calculator'!K:K,MATCH('Lorri 401b'!N4178,'Retirement Calculator'!A:A,0),0),0)</f>
        <v>0</v>
      </c>
      <c r="K4178" s="455">
        <f t="shared" ca="1" si="163"/>
        <v>-60953709684.610741</v>
      </c>
      <c r="L4178" s="455">
        <f t="shared" ca="1" si="164"/>
        <v>-14689844033991.188</v>
      </c>
      <c r="M4178" s="471">
        <f t="shared" si="166"/>
        <v>0.05</v>
      </c>
      <c r="N4178" s="475">
        <f t="shared" si="167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65"/>
        <v>-14689844033991.188</v>
      </c>
      <c r="J4179" s="455">
        <f t="array" ref="J4179">IFERROR(INDEX('Retirement Calculator'!K:K,MATCH('Lorri 401b'!N4179,'Retirement Calculator'!A:A,0),0),0)</f>
        <v>0</v>
      </c>
      <c r="K4179" s="455">
        <f t="shared" ca="1" si="163"/>
        <v>-61207683474.96328</v>
      </c>
      <c r="L4179" s="455">
        <f t="shared" ca="1" si="164"/>
        <v>-14751051717466.15</v>
      </c>
      <c r="M4179" s="471">
        <f t="shared" si="166"/>
        <v>0.05</v>
      </c>
      <c r="N4179" s="475">
        <f t="shared" si="167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65"/>
        <v>-14751051717466.15</v>
      </c>
      <c r="J4180" s="455">
        <f t="array" ref="J4180">IFERROR(INDEX('Retirement Calculator'!K:K,MATCH('Lorri 401b'!N4180,'Retirement Calculator'!A:A,0),0),0)</f>
        <v>0</v>
      </c>
      <c r="K4180" s="455">
        <f t="shared" ca="1" si="163"/>
        <v>-61462715489.442291</v>
      </c>
      <c r="L4180" s="455">
        <f t="shared" ca="1" si="164"/>
        <v>-14812514432955.592</v>
      </c>
      <c r="M4180" s="471">
        <f t="shared" si="166"/>
        <v>0.05</v>
      </c>
      <c r="N4180" s="475">
        <f t="shared" si="167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65"/>
        <v>-14812514432955.592</v>
      </c>
      <c r="J4181" s="455">
        <f t="array" ref="J4181">IFERROR(INDEX('Retirement Calculator'!K:K,MATCH('Lorri 401b'!N4181,'Retirement Calculator'!A:A,0),0),0)</f>
        <v>0</v>
      </c>
      <c r="K4181" s="455">
        <f t="shared" ca="1" si="163"/>
        <v>-61718810137.314964</v>
      </c>
      <c r="L4181" s="455">
        <f t="shared" ca="1" si="164"/>
        <v>-14874233243092.906</v>
      </c>
      <c r="M4181" s="471">
        <f t="shared" si="166"/>
        <v>0.05</v>
      </c>
      <c r="N4181" s="475">
        <f t="shared" si="167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65"/>
        <v>-14874233243092.906</v>
      </c>
      <c r="J4182" s="455">
        <f t="array" ref="J4182">IFERROR(INDEX('Retirement Calculator'!K:K,MATCH('Lorri 401b'!N4182,'Retirement Calculator'!A:A,0),0),0)</f>
        <v>0</v>
      </c>
      <c r="K4182" s="455">
        <f t="shared" ca="1" si="163"/>
        <v>-61975971846.220444</v>
      </c>
      <c r="L4182" s="455">
        <f t="shared" ca="1" si="164"/>
        <v>-14936209214939.127</v>
      </c>
      <c r="M4182" s="471">
        <f t="shared" si="166"/>
        <v>0.05</v>
      </c>
      <c r="N4182" s="475">
        <f t="shared" si="167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65"/>
        <v>-14936209214939.127</v>
      </c>
      <c r="J4183" s="455">
        <f t="array" ref="J4183">IFERROR(INDEX('Retirement Calculator'!K:K,MATCH('Lorri 401b'!N4183,'Retirement Calculator'!A:A,0),0),0)</f>
        <v>0</v>
      </c>
      <c r="K4183" s="455">
        <f t="shared" ca="1" si="163"/>
        <v>-62234205062.246361</v>
      </c>
      <c r="L4183" s="455">
        <f t="shared" ca="1" si="164"/>
        <v>-14998443420001.373</v>
      </c>
      <c r="M4183" s="471">
        <f t="shared" si="166"/>
        <v>0.05</v>
      </c>
      <c r="N4183" s="475">
        <f t="shared" si="167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65"/>
        <v>-14998443420001.373</v>
      </c>
      <c r="J4184" s="455">
        <f t="array" ref="J4184">IFERROR(INDEX('Retirement Calculator'!K:K,MATCH('Lorri 401b'!N4184,'Retirement Calculator'!A:A,0),0),0)</f>
        <v>0</v>
      </c>
      <c r="K4184" s="455">
        <f t="shared" ca="1" si="163"/>
        <v>-62493514250.005722</v>
      </c>
      <c r="L4184" s="455">
        <f t="shared" ca="1" si="164"/>
        <v>-15060936934251.379</v>
      </c>
      <c r="M4184" s="471">
        <f t="shared" si="166"/>
        <v>0.05</v>
      </c>
      <c r="N4184" s="475">
        <f t="shared" si="167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65"/>
        <v>-15060936934251.379</v>
      </c>
      <c r="J4185" s="455">
        <f t="array" ref="J4185">IFERROR(INDEX('Retirement Calculator'!K:K,MATCH('Lorri 401b'!N4185,'Retirement Calculator'!A:A,0),0),0)</f>
        <v>0</v>
      </c>
      <c r="K4185" s="455">
        <f t="shared" ca="1" si="163"/>
        <v>-62753903892.714081</v>
      </c>
      <c r="L4185" s="455">
        <f t="shared" ca="1" si="164"/>
        <v>-15123690838144.094</v>
      </c>
      <c r="M4185" s="471">
        <f t="shared" si="166"/>
        <v>0.05</v>
      </c>
      <c r="N4185" s="475">
        <f t="shared" si="167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65"/>
        <v>-15123690838144.094</v>
      </c>
      <c r="J4186" s="455">
        <f t="array" ref="J4186">IFERROR(INDEX('Retirement Calculator'!K:K,MATCH('Lorri 401b'!N4186,'Retirement Calculator'!A:A,0),0),0)</f>
        <v>0</v>
      </c>
      <c r="K4186" s="455">
        <f t="shared" ca="1" si="163"/>
        <v>-63015378492.267059</v>
      </c>
      <c r="L4186" s="455">
        <f t="shared" ca="1" si="164"/>
        <v>-15186706216636.361</v>
      </c>
      <c r="M4186" s="471">
        <f t="shared" si="166"/>
        <v>0.05</v>
      </c>
      <c r="N4186" s="475">
        <f t="shared" si="167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65"/>
        <v>-15186706216636.361</v>
      </c>
      <c r="J4187" s="455">
        <f t="array" ref="J4187">IFERROR(INDEX('Retirement Calculator'!K:K,MATCH('Lorri 401b'!N4187,'Retirement Calculator'!A:A,0),0),0)</f>
        <v>0</v>
      </c>
      <c r="K4187" s="455">
        <f t="shared" ca="1" si="163"/>
        <v>-63277942569.318169</v>
      </c>
      <c r="L4187" s="455">
        <f t="shared" ca="1" si="164"/>
        <v>-15249984159205.68</v>
      </c>
      <c r="M4187" s="471">
        <f t="shared" si="166"/>
        <v>0.05</v>
      </c>
      <c r="N4187" s="475">
        <f t="shared" si="167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65"/>
        <v>-15249984159205.68</v>
      </c>
      <c r="J4188" s="455">
        <f t="array" ref="J4188">IFERROR(INDEX('Retirement Calculator'!K:K,MATCH('Lorri 401b'!N4188,'Retirement Calculator'!A:A,0),0),0)</f>
        <v>0</v>
      </c>
      <c r="K4188" s="455">
        <f t="shared" ca="1" si="163"/>
        <v>-63541600663.356995</v>
      </c>
      <c r="L4188" s="455">
        <f t="shared" ca="1" si="164"/>
        <v>-15313525759869.037</v>
      </c>
      <c r="M4188" s="471">
        <f t="shared" si="166"/>
        <v>0.05</v>
      </c>
      <c r="N4188" s="475">
        <f t="shared" si="167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65"/>
        <v>-15313525759869.037</v>
      </c>
      <c r="J4189" s="455">
        <f t="array" ref="J4189">IFERROR(INDEX('Retirement Calculator'!K:K,MATCH('Lorri 401b'!N4189,'Retirement Calculator'!A:A,0),0),0)</f>
        <v>0</v>
      </c>
      <c r="K4189" s="455">
        <f t="shared" ca="1" si="163"/>
        <v>-63806357332.787651</v>
      </c>
      <c r="L4189" s="455">
        <f t="shared" ca="1" si="164"/>
        <v>-15377332117201.824</v>
      </c>
      <c r="M4189" s="471">
        <f t="shared" si="166"/>
        <v>0.05</v>
      </c>
      <c r="N4189" s="475">
        <f t="shared" si="167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65"/>
        <v>-15377332117201.824</v>
      </c>
      <c r="J4190" s="455">
        <f t="array" ref="J4190">IFERROR(INDEX('Retirement Calculator'!K:K,MATCH('Lorri 401b'!N4190,'Retirement Calculator'!A:A,0),0),0)</f>
        <v>0</v>
      </c>
      <c r="K4190" s="455">
        <f t="shared" ca="1" si="163"/>
        <v>-64072217155.007599</v>
      </c>
      <c r="L4190" s="455">
        <f t="shared" ca="1" si="164"/>
        <v>-15441404334356.832</v>
      </c>
      <c r="M4190" s="471">
        <f t="shared" si="166"/>
        <v>0.05</v>
      </c>
      <c r="N4190" s="475">
        <f t="shared" si="167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65"/>
        <v>-15441404334356.832</v>
      </c>
      <c r="J4191" s="455">
        <f t="array" ref="J4191">IFERROR(INDEX('Retirement Calculator'!K:K,MATCH('Lorri 401b'!N4191,'Retirement Calculator'!A:A,0),0),0)</f>
        <v>0</v>
      </c>
      <c r="K4191" s="455">
        <f t="shared" ca="1" si="163"/>
        <v>-64339184726.486801</v>
      </c>
      <c r="L4191" s="455">
        <f t="shared" ca="1" si="164"/>
        <v>-15505743519083.318</v>
      </c>
      <c r="M4191" s="471">
        <f t="shared" si="166"/>
        <v>0.05</v>
      </c>
      <c r="N4191" s="475">
        <f t="shared" si="167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65"/>
        <v>-15505743519083.318</v>
      </c>
      <c r="J4192" s="455">
        <f t="array" ref="J4192">IFERROR(INDEX('Retirement Calculator'!K:K,MATCH('Lorri 401b'!N4192,'Retirement Calculator'!A:A,0),0),0)</f>
        <v>0</v>
      </c>
      <c r="K4192" s="455">
        <f t="shared" ca="1" si="163"/>
        <v>-64607264662.84716</v>
      </c>
      <c r="L4192" s="455">
        <f t="shared" ca="1" si="164"/>
        <v>-15570350783746.166</v>
      </c>
      <c r="M4192" s="471">
        <f t="shared" si="166"/>
        <v>0.05</v>
      </c>
      <c r="N4192" s="475">
        <f t="shared" si="167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65"/>
        <v>-15570350783746.166</v>
      </c>
      <c r="J4193" s="455">
        <f t="array" ref="J4193">IFERROR(INDEX('Retirement Calculator'!K:K,MATCH('Lorri 401b'!N4193,'Retirement Calculator'!A:A,0),0),0)</f>
        <v>0</v>
      </c>
      <c r="K4193" s="455">
        <f t="shared" ca="1" si="163"/>
        <v>-64876461598.94236</v>
      </c>
      <c r="L4193" s="455">
        <f t="shared" ca="1" si="164"/>
        <v>-15635227245345.107</v>
      </c>
      <c r="M4193" s="471">
        <f t="shared" si="166"/>
        <v>0.05</v>
      </c>
      <c r="N4193" s="475">
        <f t="shared" si="167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65"/>
        <v>-15635227245345.107</v>
      </c>
      <c r="J4194" s="455">
        <f t="array" ref="J4194">IFERROR(INDEX('Retirement Calculator'!K:K,MATCH('Lorri 401b'!N4194,'Retirement Calculator'!A:A,0),0),0)</f>
        <v>0</v>
      </c>
      <c r="K4194" s="455">
        <f t="shared" ca="1" si="163"/>
        <v>-65146780188.93795</v>
      </c>
      <c r="L4194" s="455">
        <f t="shared" ca="1" si="164"/>
        <v>-15700374025534.045</v>
      </c>
      <c r="M4194" s="471">
        <f t="shared" si="166"/>
        <v>0.05</v>
      </c>
      <c r="N4194" s="475">
        <f t="shared" si="167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65"/>
        <v>-15700374025534.045</v>
      </c>
      <c r="J4195" s="455">
        <f t="array" ref="J4195">IFERROR(INDEX('Retirement Calculator'!K:K,MATCH('Lorri 401b'!N4195,'Retirement Calculator'!A:A,0),0),0)</f>
        <v>0</v>
      </c>
      <c r="K4195" s="455">
        <f t="shared" ca="1" si="163"/>
        <v>-65418225106.391853</v>
      </c>
      <c r="L4195" s="455">
        <f t="shared" ca="1" si="164"/>
        <v>-15765792250640.438</v>
      </c>
      <c r="M4195" s="471">
        <f t="shared" si="166"/>
        <v>0.05</v>
      </c>
      <c r="N4195" s="475">
        <f t="shared" si="167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65"/>
        <v>-15765792250640.438</v>
      </c>
      <c r="J4196" s="455">
        <f t="array" ref="J4196">IFERROR(INDEX('Retirement Calculator'!K:K,MATCH('Lorri 401b'!N4196,'Retirement Calculator'!A:A,0),0),0)</f>
        <v>0</v>
      </c>
      <c r="K4196" s="455">
        <f t="shared" ca="1" si="163"/>
        <v>-65690801044.335167</v>
      </c>
      <c r="L4196" s="455">
        <f t="shared" ca="1" si="164"/>
        <v>-15831483051684.773</v>
      </c>
      <c r="M4196" s="471">
        <f t="shared" si="166"/>
        <v>0.05</v>
      </c>
      <c r="N4196" s="475">
        <f t="shared" si="167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65"/>
        <v>-15831483051684.773</v>
      </c>
      <c r="J4197" s="455">
        <f t="array" ref="J4197">IFERROR(INDEX('Retirement Calculator'!K:K,MATCH('Lorri 401b'!N4197,'Retirement Calculator'!A:A,0),0),0)</f>
        <v>0</v>
      </c>
      <c r="K4197" s="455">
        <f t="shared" ca="1" si="163"/>
        <v>-65964512715.353218</v>
      </c>
      <c r="L4197" s="455">
        <f t="shared" ca="1" si="164"/>
        <v>-15897447564400.127</v>
      </c>
      <c r="M4197" s="471">
        <f t="shared" si="166"/>
        <v>0.05</v>
      </c>
      <c r="N4197" s="475">
        <f t="shared" si="167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65"/>
        <v>-15897447564400.127</v>
      </c>
      <c r="J4198" s="455">
        <f t="array" ref="J4198">IFERROR(INDEX('Retirement Calculator'!K:K,MATCH('Lorri 401b'!N4198,'Retirement Calculator'!A:A,0),0),0)</f>
        <v>0</v>
      </c>
      <c r="K4198" s="455">
        <f t="shared" ca="1" si="163"/>
        <v>-66239364851.667198</v>
      </c>
      <c r="L4198" s="455">
        <f t="shared" ca="1" si="164"/>
        <v>-15963686929251.795</v>
      </c>
      <c r="M4198" s="471">
        <f t="shared" si="166"/>
        <v>0.05</v>
      </c>
      <c r="N4198" s="475">
        <f t="shared" si="167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65"/>
        <v>-15963686929251.795</v>
      </c>
      <c r="J4199" s="455">
        <f t="array" ref="J4199">IFERROR(INDEX('Retirement Calculator'!K:K,MATCH('Lorri 401b'!N4199,'Retirement Calculator'!A:A,0),0),0)</f>
        <v>0</v>
      </c>
      <c r="K4199" s="455">
        <f t="shared" ca="1" si="163"/>
        <v>-66515362205.215813</v>
      </c>
      <c r="L4199" s="455">
        <f t="shared" ca="1" si="164"/>
        <v>-16030202291457.01</v>
      </c>
      <c r="M4199" s="471">
        <f t="shared" si="166"/>
        <v>0.05</v>
      </c>
      <c r="N4199" s="475">
        <f t="shared" si="167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65"/>
        <v>-16030202291457.01</v>
      </c>
      <c r="J4200" s="455">
        <f t="array" ref="J4200">IFERROR(INDEX('Retirement Calculator'!K:K,MATCH('Lorri 401b'!N4200,'Retirement Calculator'!A:A,0),0),0)</f>
        <v>0</v>
      </c>
      <c r="K4200" s="455">
        <f t="shared" ca="1" si="163"/>
        <v>-66792509547.737541</v>
      </c>
      <c r="L4200" s="455">
        <f t="shared" ca="1" si="164"/>
        <v>-16096994801004.748</v>
      </c>
      <c r="M4200" s="471">
        <f t="shared" si="166"/>
        <v>0.05</v>
      </c>
      <c r="N4200" s="475">
        <f t="shared" si="167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65"/>
        <v>-16096994801004.748</v>
      </c>
      <c r="J4201" s="455">
        <f t="array" ref="J4201">IFERROR(INDEX('Retirement Calculator'!K:K,MATCH('Lorri 401b'!N4201,'Retirement Calculator'!A:A,0),0),0)</f>
        <v>0</v>
      </c>
      <c r="K4201" s="455">
        <f t="shared" ca="1" si="163"/>
        <v>-67070811670.853119</v>
      </c>
      <c r="L4201" s="455">
        <f t="shared" ca="1" si="164"/>
        <v>-16164065612675.602</v>
      </c>
      <c r="M4201" s="471">
        <f t="shared" si="166"/>
        <v>0.05</v>
      </c>
      <c r="N4201" s="475">
        <f t="shared" si="167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65"/>
        <v>-16164065612675.602</v>
      </c>
      <c r="J4202" s="455">
        <f t="array" ref="J4202">IFERROR(INDEX('Retirement Calculator'!K:K,MATCH('Lorri 401b'!N4202,'Retirement Calculator'!A:A,0),0),0)</f>
        <v>0</v>
      </c>
      <c r="K4202" s="455">
        <f t="shared" ca="1" si="163"/>
        <v>-67350273386.148338</v>
      </c>
      <c r="L4202" s="455">
        <f t="shared" ca="1" si="164"/>
        <v>-16231415886061.75</v>
      </c>
      <c r="M4202" s="471">
        <f t="shared" si="166"/>
        <v>0.05</v>
      </c>
      <c r="N4202" s="475">
        <f t="shared" si="167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65"/>
        <v>-16231415886061.75</v>
      </c>
      <c r="J4203" s="455">
        <f t="array" ref="J4203">IFERROR(INDEX('Retirement Calculator'!K:K,MATCH('Lorri 401b'!N4203,'Retirement Calculator'!A:A,0),0),0)</f>
        <v>0</v>
      </c>
      <c r="K4203" s="455">
        <f t="shared" ca="1" si="163"/>
        <v>-67630899525.257301</v>
      </c>
      <c r="L4203" s="455">
        <f t="shared" ca="1" si="164"/>
        <v>-16299046785587.008</v>
      </c>
      <c r="M4203" s="471">
        <f t="shared" si="166"/>
        <v>0.05</v>
      </c>
      <c r="N4203" s="475">
        <f t="shared" si="167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65"/>
        <v>-16299046785587.008</v>
      </c>
      <c r="J4204" s="455">
        <f t="array" ref="J4204">IFERROR(INDEX('Retirement Calculator'!K:K,MATCH('Lorri 401b'!N4204,'Retirement Calculator'!A:A,0),0),0)</f>
        <v>0</v>
      </c>
      <c r="K4204" s="455">
        <f t="shared" ca="1" si="163"/>
        <v>-67912694939.945862</v>
      </c>
      <c r="L4204" s="455">
        <f t="shared" ca="1" si="164"/>
        <v>-16366959480526.953</v>
      </c>
      <c r="M4204" s="471">
        <f t="shared" si="166"/>
        <v>0.05</v>
      </c>
      <c r="N4204" s="475">
        <f t="shared" si="167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65"/>
        <v>-16366959480526.953</v>
      </c>
      <c r="J4205" s="455">
        <f t="array" ref="J4205">IFERROR(INDEX('Retirement Calculator'!K:K,MATCH('Lorri 401b'!N4205,'Retirement Calculator'!A:A,0),0),0)</f>
        <v>0</v>
      </c>
      <c r="K4205" s="455">
        <f t="shared" ca="1" si="163"/>
        <v>-68195664502.195641</v>
      </c>
      <c r="L4205" s="455">
        <f t="shared" ca="1" si="164"/>
        <v>-16435155145029.148</v>
      </c>
      <c r="M4205" s="471">
        <f t="shared" si="166"/>
        <v>0.05</v>
      </c>
      <c r="N4205" s="475">
        <f t="shared" si="167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65"/>
        <v>-16435155145029.148</v>
      </c>
      <c r="J4206" s="455">
        <f t="array" ref="J4206">IFERROR(INDEX('Retirement Calculator'!K:K,MATCH('Lorri 401b'!N4206,'Retirement Calculator'!A:A,0),0),0)</f>
        <v>0</v>
      </c>
      <c r="K4206" s="455">
        <f t="shared" ca="1" si="163"/>
        <v>-68479813104.288109</v>
      </c>
      <c r="L4206" s="455">
        <f t="shared" ca="1" si="164"/>
        <v>-16503634958133.438</v>
      </c>
      <c r="M4206" s="471">
        <f t="shared" si="166"/>
        <v>0.05</v>
      </c>
      <c r="N4206" s="475">
        <f t="shared" si="167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65"/>
        <v>-16503634958133.438</v>
      </c>
      <c r="J4207" s="455">
        <f t="array" ref="J4207">IFERROR(INDEX('Retirement Calculator'!K:K,MATCH('Lorri 401b'!N4207,'Retirement Calculator'!A:A,0),0),0)</f>
        <v>0</v>
      </c>
      <c r="K4207" s="455">
        <f t="shared" ca="1" si="163"/>
        <v>-68765145658.889328</v>
      </c>
      <c r="L4207" s="455">
        <f t="shared" ca="1" si="164"/>
        <v>-16572400103792.326</v>
      </c>
      <c r="M4207" s="471">
        <f t="shared" si="166"/>
        <v>0.05</v>
      </c>
      <c r="N4207" s="475">
        <f t="shared" si="167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65"/>
        <v>-16572400103792.326</v>
      </c>
      <c r="J4208" s="455">
        <f t="array" ref="J4208">IFERROR(INDEX('Retirement Calculator'!K:K,MATCH('Lorri 401b'!N4208,'Retirement Calculator'!A:A,0),0),0)</f>
        <v>0</v>
      </c>
      <c r="K4208" s="455">
        <f t="shared" ca="1" si="163"/>
        <v>-69051667099.134705</v>
      </c>
      <c r="L4208" s="455">
        <f t="shared" ca="1" si="164"/>
        <v>-16641451770891.461</v>
      </c>
      <c r="M4208" s="471">
        <f t="shared" si="166"/>
        <v>0.05</v>
      </c>
      <c r="N4208" s="475">
        <f t="shared" si="167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65"/>
        <v>-16641451770891.461</v>
      </c>
      <c r="J4209" s="455">
        <f t="array" ref="J4209">IFERROR(INDEX('Retirement Calculator'!K:K,MATCH('Lorri 401b'!N4209,'Retirement Calculator'!A:A,0),0),0)</f>
        <v>0</v>
      </c>
      <c r="K4209" s="455">
        <f t="shared" ca="1" si="163"/>
        <v>-69339382378.714417</v>
      </c>
      <c r="L4209" s="455">
        <f t="shared" ca="1" si="164"/>
        <v>-16710791153270.176</v>
      </c>
      <c r="M4209" s="471">
        <f t="shared" si="166"/>
        <v>0.05</v>
      </c>
      <c r="N4209" s="475">
        <f t="shared" si="167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65"/>
        <v>-16710791153270.176</v>
      </c>
      <c r="J4210" s="455">
        <f t="array" ref="J4210">IFERROR(INDEX('Retirement Calculator'!K:K,MATCH('Lorri 401b'!N4210,'Retirement Calculator'!A:A,0),0),0)</f>
        <v>0</v>
      </c>
      <c r="K4210" s="455">
        <f t="shared" ca="1" si="163"/>
        <v>-69628296471.959061</v>
      </c>
      <c r="L4210" s="455">
        <f t="shared" ca="1" si="164"/>
        <v>-16780419449742.135</v>
      </c>
      <c r="M4210" s="471">
        <f t="shared" si="166"/>
        <v>0.05</v>
      </c>
      <c r="N4210" s="475">
        <f t="shared" si="167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65"/>
        <v>-16780419449742.135</v>
      </c>
      <c r="J4211" s="455">
        <f t="array" ref="J4211">IFERROR(INDEX('Retirement Calculator'!K:K,MATCH('Lorri 401b'!N4211,'Retirement Calculator'!A:A,0),0),0)</f>
        <v>0</v>
      </c>
      <c r="K4211" s="455">
        <f t="shared" ca="1" si="163"/>
        <v>-69918414373.925552</v>
      </c>
      <c r="L4211" s="455">
        <f t="shared" ca="1" si="164"/>
        <v>-16850337864116.061</v>
      </c>
      <c r="M4211" s="471">
        <f t="shared" si="166"/>
        <v>0.05</v>
      </c>
      <c r="N4211" s="475">
        <f t="shared" si="167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65"/>
        <v>-16850337864116.061</v>
      </c>
      <c r="J4212" s="455">
        <f t="array" ref="J4212">IFERROR(INDEX('Retirement Calculator'!K:K,MATCH('Lorri 401b'!N4212,'Retirement Calculator'!A:A,0),0),0)</f>
        <v>0</v>
      </c>
      <c r="K4212" s="455">
        <f t="shared" ca="1" si="163"/>
        <v>-70209741100.483597</v>
      </c>
      <c r="L4212" s="455">
        <f t="shared" ca="1" si="164"/>
        <v>-16920547605216.545</v>
      </c>
      <c r="M4212" s="471">
        <f t="shared" si="166"/>
        <v>0.05</v>
      </c>
      <c r="N4212" s="475">
        <f t="shared" si="167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65"/>
        <v>-16920547605216.545</v>
      </c>
      <c r="J4213" s="455">
        <f t="array" ref="J4213">IFERROR(INDEX('Retirement Calculator'!K:K,MATCH('Lorri 401b'!N4213,'Retirement Calculator'!A:A,0),0),0)</f>
        <v>0</v>
      </c>
      <c r="K4213" s="455">
        <f t="shared" ca="1" si="163"/>
        <v>-70502281688.402267</v>
      </c>
      <c r="L4213" s="455">
        <f t="shared" ca="1" si="164"/>
        <v>-16991049886904.947</v>
      </c>
      <c r="M4213" s="471">
        <f t="shared" si="166"/>
        <v>0.05</v>
      </c>
      <c r="N4213" s="475">
        <f t="shared" si="167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65"/>
        <v>-16991049886904.947</v>
      </c>
      <c r="J4214" s="455">
        <f t="array" ref="J4214">IFERROR(INDEX('Retirement Calculator'!K:K,MATCH('Lorri 401b'!N4214,'Retirement Calculator'!A:A,0),0),0)</f>
        <v>0</v>
      </c>
      <c r="K4214" s="455">
        <f t="shared" ca="1" si="163"/>
        <v>-70796041195.437286</v>
      </c>
      <c r="L4214" s="455">
        <f t="shared" ca="1" si="164"/>
        <v>-17061845928100.385</v>
      </c>
      <c r="M4214" s="471">
        <f t="shared" si="166"/>
        <v>0.05</v>
      </c>
      <c r="N4214" s="475">
        <f t="shared" si="167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65"/>
        <v>-17061845928100.385</v>
      </c>
      <c r="J4215" s="455">
        <f t="array" ref="J4215">IFERROR(INDEX('Retirement Calculator'!K:K,MATCH('Lorri 401b'!N4215,'Retirement Calculator'!A:A,0),0),0)</f>
        <v>0</v>
      </c>
      <c r="K4215" s="455">
        <f t="shared" ca="1" si="163"/>
        <v>-71091024700.418274</v>
      </c>
      <c r="L4215" s="455">
        <f t="shared" ca="1" si="164"/>
        <v>-17132936952800.803</v>
      </c>
      <c r="M4215" s="471">
        <f t="shared" si="166"/>
        <v>0.05</v>
      </c>
      <c r="N4215" s="475">
        <f t="shared" si="167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65"/>
        <v>-17132936952800.803</v>
      </c>
      <c r="J4216" s="455">
        <f t="array" ref="J4216">IFERROR(INDEX('Retirement Calculator'!K:K,MATCH('Lorri 401b'!N4216,'Retirement Calculator'!A:A,0),0),0)</f>
        <v>0</v>
      </c>
      <c r="K4216" s="455">
        <f t="shared" ca="1" si="163"/>
        <v>-71387237303.33667</v>
      </c>
      <c r="L4216" s="455">
        <f t="shared" ca="1" si="164"/>
        <v>-17204324190104.139</v>
      </c>
      <c r="M4216" s="471">
        <f t="shared" si="166"/>
        <v>0.05</v>
      </c>
      <c r="N4216" s="475">
        <f t="shared" si="167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65"/>
        <v>-17204324190104.139</v>
      </c>
      <c r="J4217" s="455">
        <f t="array" ref="J4217">IFERROR(INDEX('Retirement Calculator'!K:K,MATCH('Lorri 401b'!N4217,'Retirement Calculator'!A:A,0),0),0)</f>
        <v>0</v>
      </c>
      <c r="K4217" s="455">
        <f t="shared" ca="1" si="163"/>
        <v>-71684684125.433914</v>
      </c>
      <c r="L4217" s="455">
        <f t="shared" ca="1" si="164"/>
        <v>-17276008874229.572</v>
      </c>
      <c r="M4217" s="471">
        <f t="shared" si="166"/>
        <v>0.05</v>
      </c>
      <c r="N4217" s="475">
        <f t="shared" si="167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65"/>
        <v>-17276008874229.572</v>
      </c>
      <c r="J4218" s="455">
        <f t="array" ref="J4218">IFERROR(INDEX('Retirement Calculator'!K:K,MATCH('Lorri 401b'!N4218,'Retirement Calculator'!A:A,0),0),0)</f>
        <v>0</v>
      </c>
      <c r="K4218" s="455">
        <f t="shared" ca="1" si="163"/>
        <v>-71983370309.289886</v>
      </c>
      <c r="L4218" s="455">
        <f t="shared" ca="1" si="164"/>
        <v>-17347992244538.861</v>
      </c>
      <c r="M4218" s="471">
        <f t="shared" si="166"/>
        <v>0.05</v>
      </c>
      <c r="N4218" s="475">
        <f t="shared" si="167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65"/>
        <v>-17347992244538.861</v>
      </c>
      <c r="J4219" s="455">
        <f t="array" ref="J4219">IFERROR(INDEX('Retirement Calculator'!K:K,MATCH('Lorri 401b'!N4219,'Retirement Calculator'!A:A,0),0),0)</f>
        <v>0</v>
      </c>
      <c r="K4219" s="455">
        <f t="shared" ca="1" si="163"/>
        <v>-72283301018.911926</v>
      </c>
      <c r="L4219" s="455">
        <f t="shared" ca="1" si="164"/>
        <v>-17420275545557.773</v>
      </c>
      <c r="M4219" s="471">
        <f t="shared" si="166"/>
        <v>0.05</v>
      </c>
      <c r="N4219" s="475">
        <f t="shared" si="167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65"/>
        <v>-17420275545557.773</v>
      </c>
      <c r="J4220" s="455">
        <f t="array" ref="J4220">IFERROR(INDEX('Retirement Calculator'!K:K,MATCH('Lorri 401b'!N4220,'Retirement Calculator'!A:A,0),0),0)</f>
        <v>0</v>
      </c>
      <c r="K4220" s="455">
        <f t="shared" ca="1" si="163"/>
        <v>-72584481439.824051</v>
      </c>
      <c r="L4220" s="455">
        <f t="shared" ca="1" si="164"/>
        <v>-17492860026997.598</v>
      </c>
      <c r="M4220" s="471">
        <f t="shared" si="166"/>
        <v>0.05</v>
      </c>
      <c r="N4220" s="475">
        <f t="shared" si="167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65"/>
        <v>-17492860026997.598</v>
      </c>
      <c r="J4221" s="455">
        <f t="array" ref="J4221">IFERROR(INDEX('Retirement Calculator'!K:K,MATCH('Lorri 401b'!N4221,'Retirement Calculator'!A:A,0),0),0)</f>
        <v>0</v>
      </c>
      <c r="K4221" s="455">
        <f t="shared" ca="1" si="163"/>
        <v>-72886916779.156662</v>
      </c>
      <c r="L4221" s="455">
        <f t="shared" ca="1" si="164"/>
        <v>-17565746943776.754</v>
      </c>
      <c r="M4221" s="471">
        <f t="shared" si="166"/>
        <v>0.05</v>
      </c>
      <c r="N4221" s="475">
        <f t="shared" si="167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65"/>
        <v>-17565746943776.754</v>
      </c>
      <c r="J4222" s="455">
        <f t="array" ref="J4222">IFERROR(INDEX('Retirement Calculator'!K:K,MATCH('Lorri 401b'!N4222,'Retirement Calculator'!A:A,0),0),0)</f>
        <v>0</v>
      </c>
      <c r="K4222" s="455">
        <f t="shared" ca="1" si="163"/>
        <v>-73190612265.736481</v>
      </c>
      <c r="L4222" s="455">
        <f t="shared" ca="1" si="164"/>
        <v>-17638937556042.492</v>
      </c>
      <c r="M4222" s="471">
        <f t="shared" si="166"/>
        <v>0.05</v>
      </c>
      <c r="N4222" s="475">
        <f t="shared" si="167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65"/>
        <v>-17638937556042.492</v>
      </c>
      <c r="J4223" s="455">
        <f t="array" ref="J4223">IFERROR(INDEX('Retirement Calculator'!K:K,MATCH('Lorri 401b'!N4223,'Retirement Calculator'!A:A,0),0),0)</f>
        <v>0</v>
      </c>
      <c r="K4223" s="455">
        <f t="shared" ca="1" si="163"/>
        <v>-73495573150.177048</v>
      </c>
      <c r="L4223" s="455">
        <f t="shared" ca="1" si="164"/>
        <v>-17712433129192.668</v>
      </c>
      <c r="M4223" s="471">
        <f t="shared" si="166"/>
        <v>0.05</v>
      </c>
      <c r="N4223" s="475">
        <f t="shared" si="167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65"/>
        <v>-17712433129192.668</v>
      </c>
      <c r="J4224" s="455">
        <f t="array" ref="J4224">IFERROR(INDEX('Retirement Calculator'!K:K,MATCH('Lorri 401b'!N4224,'Retirement Calculator'!A:A,0),0),0)</f>
        <v>0</v>
      </c>
      <c r="K4224" s="455">
        <f t="shared" ca="1" si="163"/>
        <v>-73801804704.969452</v>
      </c>
      <c r="L4224" s="455">
        <f t="shared" ca="1" si="164"/>
        <v>-17786234933897.637</v>
      </c>
      <c r="M4224" s="471">
        <f t="shared" si="166"/>
        <v>0.05</v>
      </c>
      <c r="N4224" s="475">
        <f t="shared" si="167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65"/>
        <v>-17786234933897.637</v>
      </c>
      <c r="J4225" s="455">
        <f t="array" ref="J4225">IFERROR(INDEX('Retirement Calculator'!K:K,MATCH('Lorri 401b'!N4225,'Retirement Calculator'!A:A,0),0),0)</f>
        <v>0</v>
      </c>
      <c r="K4225" s="455">
        <f t="shared" ca="1" si="163"/>
        <v>-74109312224.573486</v>
      </c>
      <c r="L4225" s="455">
        <f t="shared" ca="1" si="164"/>
        <v>-17860344246122.211</v>
      </c>
      <c r="M4225" s="471">
        <f t="shared" si="166"/>
        <v>0.05</v>
      </c>
      <c r="N4225" s="475">
        <f t="shared" si="167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65"/>
        <v>-17860344246122.211</v>
      </c>
      <c r="J4226" s="455">
        <f t="array" ref="J4226">IFERROR(INDEX('Retirement Calculator'!K:K,MATCH('Lorri 401b'!N4226,'Retirement Calculator'!A:A,0),0),0)</f>
        <v>0</v>
      </c>
      <c r="K4226" s="455">
        <f t="shared" ca="1" si="163"/>
        <v>-74418101025.509216</v>
      </c>
      <c r="L4226" s="455">
        <f t="shared" ca="1" si="164"/>
        <v>-17934762347147.719</v>
      </c>
      <c r="M4226" s="471">
        <f t="shared" si="166"/>
        <v>0.05</v>
      </c>
      <c r="N4226" s="475">
        <f t="shared" si="167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65"/>
        <v>-17934762347147.719</v>
      </c>
      <c r="J4227" s="455">
        <f t="array" ref="J4227">IFERROR(INDEX('Retirement Calculator'!K:K,MATCH('Lorri 401b'!N4227,'Retirement Calculator'!A:A,0),0),0)</f>
        <v>0</v>
      </c>
      <c r="K4227" s="455">
        <f t="shared" ca="1" si="163"/>
        <v>-74728176446.448822</v>
      </c>
      <c r="L4227" s="455">
        <f t="shared" ca="1" si="164"/>
        <v>-18009490523594.168</v>
      </c>
      <c r="M4227" s="471">
        <f t="shared" si="166"/>
        <v>0.05</v>
      </c>
      <c r="N4227" s="475">
        <f t="shared" si="167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65"/>
        <v>-18009490523594.168</v>
      </c>
      <c r="J4228" s="455">
        <f t="array" ref="J4228">IFERROR(INDEX('Retirement Calculator'!K:K,MATCH('Lorri 401b'!N4228,'Retirement Calculator'!A:A,0),0),0)</f>
        <v>0</v>
      </c>
      <c r="K4228" s="455">
        <f t="shared" ca="1" si="163"/>
        <v>-75039543848.309036</v>
      </c>
      <c r="L4228" s="455">
        <f t="shared" ca="1" si="164"/>
        <v>-18084530067442.477</v>
      </c>
      <c r="M4228" s="471">
        <f t="shared" si="166"/>
        <v>0.05</v>
      </c>
      <c r="N4228" s="475">
        <f t="shared" si="167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65"/>
        <v>-18084530067442.477</v>
      </c>
      <c r="J4229" s="455">
        <f t="array" ref="J4229">IFERROR(INDEX('Retirement Calculator'!K:K,MATCH('Lorri 401b'!N4229,'Retirement Calculator'!A:A,0),0),0)</f>
        <v>0</v>
      </c>
      <c r="K4229" s="455">
        <f t="shared" ca="1" si="163"/>
        <v>-75352208614.343658</v>
      </c>
      <c r="L4229" s="455">
        <f t="shared" ca="1" si="164"/>
        <v>-18159882276056.82</v>
      </c>
      <c r="M4229" s="471">
        <f t="shared" si="166"/>
        <v>0.05</v>
      </c>
      <c r="N4229" s="475">
        <f t="shared" si="167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65"/>
        <v>-18159882276056.82</v>
      </c>
      <c r="J4230" s="455">
        <f t="array" ref="J4230">IFERROR(INDEX('Retirement Calculator'!K:K,MATCH('Lorri 401b'!N4230,'Retirement Calculator'!A:A,0),0),0)</f>
        <v>0</v>
      </c>
      <c r="K4230" s="455">
        <f t="shared" ca="1" si="163"/>
        <v>-75666176150.236755</v>
      </c>
      <c r="L4230" s="455">
        <f t="shared" ca="1" si="164"/>
        <v>-18235548452207.059</v>
      </c>
      <c r="M4230" s="471">
        <f t="shared" si="166"/>
        <v>0.05</v>
      </c>
      <c r="N4230" s="475">
        <f t="shared" si="167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65"/>
        <v>-18235548452207.059</v>
      </c>
      <c r="J4231" s="455">
        <f t="array" ref="J4231">IFERROR(INDEX('Retirement Calculator'!K:K,MATCH('Lorri 401b'!N4231,'Retirement Calculator'!A:A,0),0),0)</f>
        <v>0</v>
      </c>
      <c r="K4231" s="455">
        <f t="shared" ca="1" si="163"/>
        <v>-75981451884.196075</v>
      </c>
      <c r="L4231" s="455">
        <f t="shared" ca="1" si="164"/>
        <v>-18311529904091.254</v>
      </c>
      <c r="M4231" s="471">
        <f t="shared" si="166"/>
        <v>0.05</v>
      </c>
      <c r="N4231" s="475">
        <f t="shared" si="167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65"/>
        <v>-18311529904091.254</v>
      </c>
      <c r="J4232" s="455">
        <f t="array" ref="J4232">IFERROR(INDEX('Retirement Calculator'!K:K,MATCH('Lorri 401b'!N4232,'Retirement Calculator'!A:A,0),0),0)</f>
        <v>0</v>
      </c>
      <c r="K4232" s="455">
        <f t="shared" ca="1" si="163"/>
        <v>-76298041267.04689</v>
      </c>
      <c r="L4232" s="455">
        <f t="shared" ca="1" si="164"/>
        <v>-18387827945358.301</v>
      </c>
      <c r="M4232" s="471">
        <f t="shared" si="166"/>
        <v>0.05</v>
      </c>
      <c r="N4232" s="475">
        <f t="shared" si="167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65"/>
        <v>-18387827945358.301</v>
      </c>
      <c r="J4233" s="455">
        <f t="array" ref="J4233">IFERROR(INDEX('Retirement Calculator'!K:K,MATCH('Lorri 401b'!N4233,'Retirement Calculator'!A:A,0),0),0)</f>
        <v>0</v>
      </c>
      <c r="K4233" s="455">
        <f t="shared" ca="1" si="163"/>
        <v>-76615949772.326248</v>
      </c>
      <c r="L4233" s="455">
        <f t="shared" ca="1" si="164"/>
        <v>-18464443895130.629</v>
      </c>
      <c r="M4233" s="471">
        <f t="shared" si="166"/>
        <v>0.05</v>
      </c>
      <c r="N4233" s="475">
        <f t="shared" si="167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65"/>
        <v>-18464443895130.629</v>
      </c>
      <c r="J4234" s="455">
        <f t="array" ref="J4234">IFERROR(INDEX('Retirement Calculator'!K:K,MATCH('Lorri 401b'!N4234,'Retirement Calculator'!A:A,0),0),0)</f>
        <v>0</v>
      </c>
      <c r="K4234" s="455">
        <f t="shared" ca="1" si="163"/>
        <v>-76935182896.377625</v>
      </c>
      <c r="L4234" s="455">
        <f t="shared" ca="1" si="164"/>
        <v>-18541379078027.008</v>
      </c>
      <c r="M4234" s="471">
        <f t="shared" si="166"/>
        <v>0.05</v>
      </c>
      <c r="N4234" s="475">
        <f t="shared" si="167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65"/>
        <v>-18541379078027.008</v>
      </c>
      <c r="J4235" s="455">
        <f t="array" ref="J4235">IFERROR(INDEX('Retirement Calculator'!K:K,MATCH('Lorri 401b'!N4235,'Retirement Calculator'!A:A,0),0),0)</f>
        <v>0</v>
      </c>
      <c r="K4235" s="455">
        <f t="shared" ca="1" si="163"/>
        <v>-77255746158.445862</v>
      </c>
      <c r="L4235" s="455">
        <f t="shared" ca="1" si="164"/>
        <v>-18618634824185.453</v>
      </c>
      <c r="M4235" s="471">
        <f t="shared" si="166"/>
        <v>0.05</v>
      </c>
      <c r="N4235" s="475">
        <f t="shared" si="167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65"/>
        <v>-18618634824185.453</v>
      </c>
      <c r="J4236" s="455">
        <f t="array" ref="J4236">IFERROR(INDEX('Retirement Calculator'!K:K,MATCH('Lorri 401b'!N4236,'Retirement Calculator'!A:A,0),0),0)</f>
        <v>0</v>
      </c>
      <c r="K4236" s="455">
        <f t="shared" ca="1" si="163"/>
        <v>-77577645100.77272</v>
      </c>
      <c r="L4236" s="455">
        <f t="shared" ca="1" si="164"/>
        <v>-18696212469286.227</v>
      </c>
      <c r="M4236" s="471">
        <f t="shared" si="166"/>
        <v>0.05</v>
      </c>
      <c r="N4236" s="475">
        <f t="shared" si="167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65"/>
        <v>-18696212469286.227</v>
      </c>
      <c r="J4237" s="455">
        <f t="array" ref="J4237">IFERROR(INDEX('Retirement Calculator'!K:K,MATCH('Lorri 401b'!N4237,'Retirement Calculator'!A:A,0),0),0)</f>
        <v>0</v>
      </c>
      <c r="K4237" s="455">
        <f t="shared" ca="1" si="163"/>
        <v>-77900885288.692612</v>
      </c>
      <c r="L4237" s="455">
        <f t="shared" ca="1" si="164"/>
        <v>-18774113354574.918</v>
      </c>
      <c r="M4237" s="471">
        <f t="shared" si="166"/>
        <v>0.05</v>
      </c>
      <c r="N4237" s="475">
        <f t="shared" si="167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65"/>
        <v>-18774113354574.918</v>
      </c>
      <c r="J4238" s="455">
        <f t="array" ref="J4238">IFERROR(INDEX('Retirement Calculator'!K:K,MATCH('Lorri 401b'!N4238,'Retirement Calculator'!A:A,0),0),0)</f>
        <v>0</v>
      </c>
      <c r="K4238" s="455">
        <f t="shared" ca="1" si="163"/>
        <v>-78225472310.728821</v>
      </c>
      <c r="L4238" s="455">
        <f t="shared" ca="1" si="164"/>
        <v>-18852338826885.648</v>
      </c>
      <c r="M4238" s="471">
        <f t="shared" si="166"/>
        <v>0.05</v>
      </c>
      <c r="N4238" s="475">
        <f t="shared" si="167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65"/>
        <v>-18852338826885.648</v>
      </c>
      <c r="J4239" s="455">
        <f t="array" ref="J4239">IFERROR(INDEX('Retirement Calculator'!K:K,MATCH('Lorri 401b'!N4239,'Retirement Calculator'!A:A,0),0),0)</f>
        <v>0</v>
      </c>
      <c r="K4239" s="455">
        <f t="shared" ca="1" si="163"/>
        <v>-78551411778.690201</v>
      </c>
      <c r="L4239" s="455">
        <f t="shared" ca="1" si="164"/>
        <v>-18930890238664.34</v>
      </c>
      <c r="M4239" s="471">
        <f t="shared" si="166"/>
        <v>0.05</v>
      </c>
      <c r="N4239" s="475">
        <f t="shared" si="167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65"/>
        <v>-18930890238664.34</v>
      </c>
      <c r="J4240" s="455">
        <f t="array" ref="J4240">IFERROR(INDEX('Retirement Calculator'!K:K,MATCH('Lorri 401b'!N4240,'Retirement Calculator'!A:A,0),0),0)</f>
        <v>0</v>
      </c>
      <c r="K4240" s="455">
        <f t="shared" ca="1" si="163"/>
        <v>-78878709327.768082</v>
      </c>
      <c r="L4240" s="455">
        <f t="shared" ca="1" si="164"/>
        <v>-19009768947992.109</v>
      </c>
      <c r="M4240" s="471">
        <f t="shared" si="166"/>
        <v>0.05</v>
      </c>
      <c r="N4240" s="475">
        <f t="shared" si="167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65"/>
        <v>-19009768947992.109</v>
      </c>
      <c r="J4241" s="455">
        <f t="array" ref="J4241">IFERROR(INDEX('Retirement Calculator'!K:K,MATCH('Lorri 401b'!N4241,'Retirement Calculator'!A:A,0),0),0)</f>
        <v>0</v>
      </c>
      <c r="K4241" s="455">
        <f t="shared" ca="1" si="163"/>
        <v>-79207370616.633789</v>
      </c>
      <c r="L4241" s="455">
        <f t="shared" ca="1" si="164"/>
        <v>-19088976318608.742</v>
      </c>
      <c r="M4241" s="471">
        <f t="shared" si="166"/>
        <v>0.05</v>
      </c>
      <c r="N4241" s="475">
        <f t="shared" si="167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65"/>
        <v>-19088976318608.742</v>
      </c>
      <c r="J4242" s="455">
        <f t="array" ref="J4242">IFERROR(INDEX('Retirement Calculator'!K:K,MATCH('Lorri 401b'!N4242,'Retirement Calculator'!A:A,0),0),0)</f>
        <v>0</v>
      </c>
      <c r="K4242" s="455">
        <f t="shared" ca="1" si="163"/>
        <v>-79537401327.536423</v>
      </c>
      <c r="L4242" s="455">
        <f t="shared" ca="1" si="164"/>
        <v>-19168513719936.277</v>
      </c>
      <c r="M4242" s="471">
        <f t="shared" si="166"/>
        <v>0.05</v>
      </c>
      <c r="N4242" s="475">
        <f t="shared" si="167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65"/>
        <v>-19168513719936.277</v>
      </c>
      <c r="J4243" s="455">
        <f t="array" ref="J4243">IFERROR(INDEX('Retirement Calculator'!K:K,MATCH('Lorri 401b'!N4243,'Retirement Calculator'!A:A,0),0),0)</f>
        <v>0</v>
      </c>
      <c r="K4243" s="455">
        <f t="shared" ca="1" si="163"/>
        <v>-79868807166.401154</v>
      </c>
      <c r="L4243" s="455">
        <f t="shared" ca="1" si="164"/>
        <v>-19248382527102.68</v>
      </c>
      <c r="M4243" s="471">
        <f t="shared" si="166"/>
        <v>0.05</v>
      </c>
      <c r="N4243" s="475">
        <f t="shared" si="167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65"/>
        <v>-19248382527102.68</v>
      </c>
      <c r="J4244" s="455">
        <f t="array" ref="J4244">IFERROR(INDEX('Retirement Calculator'!K:K,MATCH('Lorri 401b'!N4244,'Retirement Calculator'!A:A,0),0),0)</f>
        <v>0</v>
      </c>
      <c r="K4244" s="455">
        <f t="shared" ca="1" si="163"/>
        <v>-80201593862.927826</v>
      </c>
      <c r="L4244" s="455">
        <f t="shared" ca="1" si="164"/>
        <v>-19328584120965.609</v>
      </c>
      <c r="M4244" s="471">
        <f t="shared" si="166"/>
        <v>0.05</v>
      </c>
      <c r="N4244" s="475">
        <f t="shared" si="167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65"/>
        <v>-19328584120965.609</v>
      </c>
      <c r="J4245" s="455">
        <f t="array" ref="J4245">IFERROR(INDEX('Retirement Calculator'!K:K,MATCH('Lorri 401b'!N4245,'Retirement Calculator'!A:A,0),0),0)</f>
        <v>0</v>
      </c>
      <c r="K4245" s="455">
        <f t="shared" ca="1" si="163"/>
        <v>-80535767170.690033</v>
      </c>
      <c r="L4245" s="455">
        <f t="shared" ca="1" si="164"/>
        <v>-19409119888136.301</v>
      </c>
      <c r="M4245" s="471">
        <f t="shared" si="166"/>
        <v>0.05</v>
      </c>
      <c r="N4245" s="475">
        <f t="shared" si="167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65"/>
        <v>-19409119888136.301</v>
      </c>
      <c r="J4246" s="455">
        <f t="array" ref="J4246">IFERROR(INDEX('Retirement Calculator'!K:K,MATCH('Lorri 401b'!N4246,'Retirement Calculator'!A:A,0),0),0)</f>
        <v>0</v>
      </c>
      <c r="K4246" s="455">
        <f t="shared" ca="1" si="163"/>
        <v>-80871332867.234589</v>
      </c>
      <c r="L4246" s="455">
        <f t="shared" ca="1" si="164"/>
        <v>-19489991221003.535</v>
      </c>
      <c r="M4246" s="471">
        <f t="shared" si="166"/>
        <v>0.05</v>
      </c>
      <c r="N4246" s="475">
        <f t="shared" si="167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65"/>
        <v>-19489991221003.535</v>
      </c>
      <c r="J4247" s="455">
        <f t="array" ref="J4247">IFERROR(INDEX('Retirement Calculator'!K:K,MATCH('Lorri 401b'!N4247,'Retirement Calculator'!A:A,0),0),0)</f>
        <v>0</v>
      </c>
      <c r="K4247" s="455">
        <f t="shared" ca="1" si="163"/>
        <v>-81208296754.181396</v>
      </c>
      <c r="L4247" s="455">
        <f t="shared" ca="1" si="164"/>
        <v>-19571199517757.715</v>
      </c>
      <c r="M4247" s="471">
        <f t="shared" si="166"/>
        <v>0.05</v>
      </c>
      <c r="N4247" s="475">
        <f t="shared" si="167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65"/>
        <v>-19571199517757.715</v>
      </c>
      <c r="J4248" s="455">
        <f t="array" ref="J4248">IFERROR(INDEX('Retirement Calculator'!K:K,MATCH('Lorri 401b'!N4248,'Retirement Calculator'!A:A,0),0),0)</f>
        <v>0</v>
      </c>
      <c r="K4248" s="455">
        <f t="shared" ca="1" si="163"/>
        <v>-81546664657.323807</v>
      </c>
      <c r="L4248" s="455">
        <f t="shared" ca="1" si="164"/>
        <v>-19652746182415.039</v>
      </c>
      <c r="M4248" s="471">
        <f t="shared" si="166"/>
        <v>0.05</v>
      </c>
      <c r="N4248" s="475">
        <f t="shared" si="167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65"/>
        <v>-19652746182415.039</v>
      </c>
      <c r="J4249" s="455">
        <f t="array" ref="J4249">IFERROR(INDEX('Retirement Calculator'!K:K,MATCH('Lorri 401b'!N4249,'Retirement Calculator'!A:A,0),0),0)</f>
        <v>0</v>
      </c>
      <c r="K4249" s="455">
        <f t="shared" ca="1" si="163"/>
        <v>-81886442426.729324</v>
      </c>
      <c r="L4249" s="455">
        <f t="shared" ca="1" si="164"/>
        <v>-19734632624841.77</v>
      </c>
      <c r="M4249" s="471">
        <f t="shared" si="166"/>
        <v>0.05</v>
      </c>
      <c r="N4249" s="475">
        <f t="shared" si="167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65"/>
        <v>-19734632624841.77</v>
      </c>
      <c r="J4250" s="455">
        <f t="array" ref="J4250">IFERROR(INDEX('Retirement Calculator'!K:K,MATCH('Lorri 401b'!N4250,'Retirement Calculator'!A:A,0),0),0)</f>
        <v>0</v>
      </c>
      <c r="K4250" s="455">
        <f t="shared" ca="1" si="163"/>
        <v>-82227635936.840698</v>
      </c>
      <c r="L4250" s="455">
        <f t="shared" ca="1" si="164"/>
        <v>-19816860260778.609</v>
      </c>
      <c r="M4250" s="471">
        <f t="shared" si="166"/>
        <v>0.05</v>
      </c>
      <c r="N4250" s="475">
        <f t="shared" si="167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65"/>
        <v>-19816860260778.609</v>
      </c>
      <c r="J4251" s="455">
        <f t="array" ref="J4251">IFERROR(INDEX('Retirement Calculator'!K:K,MATCH('Lorri 401b'!N4251,'Retirement Calculator'!A:A,0),0),0)</f>
        <v>0</v>
      </c>
      <c r="K4251" s="455">
        <f t="shared" ca="1" si="163"/>
        <v>-82570251086.577545</v>
      </c>
      <c r="L4251" s="455">
        <f t="shared" ca="1" si="164"/>
        <v>-19899430511865.188</v>
      </c>
      <c r="M4251" s="471">
        <f t="shared" si="166"/>
        <v>0.05</v>
      </c>
      <c r="N4251" s="475">
        <f t="shared" si="167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65"/>
        <v>-19899430511865.188</v>
      </c>
      <c r="J4252" s="455">
        <f t="array" ref="J4252">IFERROR(INDEX('Retirement Calculator'!K:K,MATCH('Lorri 401b'!N4252,'Retirement Calculator'!A:A,0),0),0)</f>
        <v>0</v>
      </c>
      <c r="K4252" s="455">
        <f t="shared" ca="1" si="163"/>
        <v>-82914293799.438278</v>
      </c>
      <c r="L4252" s="455">
        <f t="shared" ca="1" si="164"/>
        <v>-19982344805664.625</v>
      </c>
      <c r="M4252" s="471">
        <f t="shared" si="166"/>
        <v>0.05</v>
      </c>
      <c r="N4252" s="475">
        <f t="shared" si="167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65"/>
        <v>-19982344805664.625</v>
      </c>
      <c r="J4253" s="455">
        <f t="array" ref="J4253">IFERROR(INDEX('Retirement Calculator'!K:K,MATCH('Lorri 401b'!N4253,'Retirement Calculator'!A:A,0),0),0)</f>
        <v>0</v>
      </c>
      <c r="K4253" s="455">
        <f t="shared" ca="1" si="163"/>
        <v>-83259770023.6026</v>
      </c>
      <c r="L4253" s="455">
        <f t="shared" ca="1" si="164"/>
        <v>-20065604575688.227</v>
      </c>
      <c r="M4253" s="471">
        <f t="shared" si="166"/>
        <v>0.05</v>
      </c>
      <c r="N4253" s="475">
        <f t="shared" si="167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65"/>
        <v>-20065604575688.227</v>
      </c>
      <c r="J4254" s="455">
        <f t="array" ref="J4254">IFERROR(INDEX('Retirement Calculator'!K:K,MATCH('Lorri 401b'!N4254,'Retirement Calculator'!A:A,0),0),0)</f>
        <v>0</v>
      </c>
      <c r="K4254" s="455">
        <f t="shared" ca="1" si="163"/>
        <v>-83606685732.034271</v>
      </c>
      <c r="L4254" s="455">
        <f t="shared" ca="1" si="164"/>
        <v>-20149211261420.262</v>
      </c>
      <c r="M4254" s="471">
        <f t="shared" si="166"/>
        <v>0.05</v>
      </c>
      <c r="N4254" s="475">
        <f t="shared" si="167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65"/>
        <v>-20149211261420.262</v>
      </c>
      <c r="J4255" s="455">
        <f t="array" ref="J4255">IFERROR(INDEX('Retirement Calculator'!K:K,MATCH('Lorri 401b'!N4255,'Retirement Calculator'!A:A,0),0),0)</f>
        <v>0</v>
      </c>
      <c r="K4255" s="455">
        <f t="shared" ca="1" si="163"/>
        <v>-83955046922.584427</v>
      </c>
      <c r="L4255" s="455">
        <f t="shared" ca="1" si="164"/>
        <v>-20233166308342.848</v>
      </c>
      <c r="M4255" s="471">
        <f t="shared" si="166"/>
        <v>0.05</v>
      </c>
      <c r="N4255" s="475">
        <f t="shared" si="167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65"/>
        <v>-20233166308342.848</v>
      </c>
      <c r="J4256" s="455">
        <f t="array" ref="J4256">IFERROR(INDEX('Retirement Calculator'!K:K,MATCH('Lorri 401b'!N4256,'Retirement Calculator'!A:A,0),0),0)</f>
        <v>0</v>
      </c>
      <c r="K4256" s="455">
        <f t="shared" ca="1" si="163"/>
        <v>-84304859618.0952</v>
      </c>
      <c r="L4256" s="455">
        <f t="shared" ca="1" si="164"/>
        <v>-20317471167960.941</v>
      </c>
      <c r="M4256" s="471">
        <f t="shared" si="166"/>
        <v>0.05</v>
      </c>
      <c r="N4256" s="475">
        <f t="shared" si="167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65"/>
        <v>-20317471167960.941</v>
      </c>
      <c r="J4257" s="455">
        <f t="array" ref="J4257">IFERROR(INDEX('Retirement Calculator'!K:K,MATCH('Lorri 401b'!N4257,'Retirement Calculator'!A:A,0),0),0)</f>
        <v>0</v>
      </c>
      <c r="K4257" s="455">
        <f t="shared" ca="1" si="163"/>
        <v>-84656129866.503922</v>
      </c>
      <c r="L4257" s="455">
        <f t="shared" ca="1" si="164"/>
        <v>-20402127297827.445</v>
      </c>
      <c r="M4257" s="471">
        <f t="shared" si="166"/>
        <v>0.05</v>
      </c>
      <c r="N4257" s="475">
        <f t="shared" si="167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65"/>
        <v>-20402127297827.445</v>
      </c>
      <c r="J4258" s="455">
        <f t="array" ref="J4258">IFERROR(INDEX('Retirement Calculator'!K:K,MATCH('Lorri 401b'!N4258,'Retirement Calculator'!A:A,0),0),0)</f>
        <v>0</v>
      </c>
      <c r="K4258" s="455">
        <f t="shared" ca="1" si="163"/>
        <v>-85008863740.947693</v>
      </c>
      <c r="L4258" s="455">
        <f t="shared" ca="1" si="164"/>
        <v>-20487136161568.395</v>
      </c>
      <c r="M4258" s="471">
        <f t="shared" si="166"/>
        <v>0.05</v>
      </c>
      <c r="N4258" s="475">
        <f t="shared" si="167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65"/>
        <v>-20487136161568.395</v>
      </c>
      <c r="J4259" s="455">
        <f t="array" ref="J4259">IFERROR(INDEX('Retirement Calculator'!K:K,MATCH('Lorri 401b'!N4259,'Retirement Calculator'!A:A,0),0),0)</f>
        <v>0</v>
      </c>
      <c r="K4259" s="455">
        <f t="shared" ca="1" si="163"/>
        <v>-85363067339.868317</v>
      </c>
      <c r="L4259" s="455">
        <f t="shared" ca="1" si="164"/>
        <v>-20572499228908.262</v>
      </c>
      <c r="M4259" s="471">
        <f t="shared" si="166"/>
        <v>0.05</v>
      </c>
      <c r="N4259" s="475">
        <f t="shared" si="167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65"/>
        <v>-20572499228908.262</v>
      </c>
      <c r="J4260" s="455">
        <f t="array" ref="J4260">IFERROR(INDEX('Retirement Calculator'!K:K,MATCH('Lorri 401b'!N4260,'Retirement Calculator'!A:A,0),0),0)</f>
        <v>0</v>
      </c>
      <c r="K4260" s="455">
        <f t="shared" ca="1" si="163"/>
        <v>-85718746787.117752</v>
      </c>
      <c r="L4260" s="455">
        <f t="shared" ca="1" si="164"/>
        <v>-20658217975695.379</v>
      </c>
      <c r="M4260" s="471">
        <f t="shared" si="166"/>
        <v>0.05</v>
      </c>
      <c r="N4260" s="475">
        <f t="shared" si="167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65"/>
        <v>-20658217975695.379</v>
      </c>
      <c r="J4261" s="455">
        <f t="array" ref="J4261">IFERROR(INDEX('Retirement Calculator'!K:K,MATCH('Lorri 401b'!N4261,'Retirement Calculator'!A:A,0),0),0)</f>
        <v>0</v>
      </c>
      <c r="K4261" s="455">
        <f t="shared" ca="1" si="163"/>
        <v>-86075908232.064072</v>
      </c>
      <c r="L4261" s="455">
        <f t="shared" ca="1" si="164"/>
        <v>-20744293883927.441</v>
      </c>
      <c r="M4261" s="471">
        <f t="shared" si="166"/>
        <v>0.05</v>
      </c>
      <c r="N4261" s="475">
        <f t="shared" si="167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65"/>
        <v>-20744293883927.441</v>
      </c>
      <c r="J4262" s="455">
        <f t="array" ref="J4262">IFERROR(INDEX('Retirement Calculator'!K:K,MATCH('Lorri 401b'!N4262,'Retirement Calculator'!A:A,0),0),0)</f>
        <v>0</v>
      </c>
      <c r="K4262" s="455">
        <f t="shared" ca="1" si="163"/>
        <v>-86434557849.697678</v>
      </c>
      <c r="L4262" s="455">
        <f t="shared" ca="1" si="164"/>
        <v>-20830728441777.141</v>
      </c>
      <c r="M4262" s="471">
        <f t="shared" si="166"/>
        <v>0.05</v>
      </c>
      <c r="N4262" s="475">
        <f t="shared" si="167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65"/>
        <v>-20830728441777.141</v>
      </c>
      <c r="J4263" s="455">
        <f t="array" ref="J4263">IFERROR(INDEX('Retirement Calculator'!K:K,MATCH('Lorri 401b'!N4263,'Retirement Calculator'!A:A,0),0),0)</f>
        <v>0</v>
      </c>
      <c r="K4263" s="455">
        <f t="shared" ca="1" si="163"/>
        <v>-86794701840.738083</v>
      </c>
      <c r="L4263" s="455">
        <f t="shared" ca="1" si="164"/>
        <v>-20917523143617.879</v>
      </c>
      <c r="M4263" s="471">
        <f t="shared" si="166"/>
        <v>0.05</v>
      </c>
      <c r="N4263" s="475">
        <f t="shared" si="167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65"/>
        <v>-20917523143617.879</v>
      </c>
      <c r="J4264" s="455">
        <f t="array" ref="J4264">IFERROR(INDEX('Retirement Calculator'!K:K,MATCH('Lorri 401b'!N4264,'Retirement Calculator'!A:A,0),0),0)</f>
        <v>0</v>
      </c>
      <c r="K4264" s="455">
        <f t="shared" ca="1" si="163"/>
        <v>-87156346431.741165</v>
      </c>
      <c r="L4264" s="455">
        <f t="shared" ca="1" si="164"/>
        <v>-21004679490049.621</v>
      </c>
      <c r="M4264" s="471">
        <f t="shared" si="166"/>
        <v>0.05</v>
      </c>
      <c r="N4264" s="475">
        <f t="shared" si="167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65"/>
        <v>-21004679490049.621</v>
      </c>
      <c r="J4265" s="455">
        <f t="array" ref="J4265">IFERROR(INDEX('Retirement Calculator'!K:K,MATCH('Lorri 401b'!N4265,'Retirement Calculator'!A:A,0),0),0)</f>
        <v>0</v>
      </c>
      <c r="K4265" s="455">
        <f t="shared" ca="1" si="163"/>
        <v>-87519497875.206757</v>
      </c>
      <c r="L4265" s="455">
        <f t="shared" ca="1" si="164"/>
        <v>-21092198987924.828</v>
      </c>
      <c r="M4265" s="471">
        <f t="shared" si="166"/>
        <v>0.05</v>
      </c>
      <c r="N4265" s="475">
        <f t="shared" si="167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65"/>
        <v>-21092198987924.828</v>
      </c>
      <c r="J4266" s="455">
        <f t="array" ref="J4266">IFERROR(INDEX('Retirement Calculator'!K:K,MATCH('Lorri 401b'!N4266,'Retirement Calculator'!A:A,0),0),0)</f>
        <v>0</v>
      </c>
      <c r="K4266" s="455">
        <f t="shared" ca="1" si="163"/>
        <v>-87884162449.686783</v>
      </c>
      <c r="L4266" s="455">
        <f t="shared" ca="1" si="164"/>
        <v>-21180083150374.516</v>
      </c>
      <c r="M4266" s="471">
        <f t="shared" si="166"/>
        <v>0.05</v>
      </c>
      <c r="N4266" s="475">
        <f t="shared" si="167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65"/>
        <v>-21180083150374.516</v>
      </c>
      <c r="J4267" s="455">
        <f t="array" ref="J4267">IFERROR(INDEX('Retirement Calculator'!K:K,MATCH('Lorri 401b'!N4267,'Retirement Calculator'!A:A,0),0),0)</f>
        <v>0</v>
      </c>
      <c r="K4267" s="455">
        <f t="shared" ca="1" si="163"/>
        <v>-88250346459.893814</v>
      </c>
      <c r="L4267" s="455">
        <f t="shared" ca="1" si="164"/>
        <v>-21268333496834.41</v>
      </c>
      <c r="M4267" s="471">
        <f t="shared" si="166"/>
        <v>0.05</v>
      </c>
      <c r="N4267" s="475">
        <f t="shared" si="167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65"/>
        <v>-21268333496834.41</v>
      </c>
      <c r="J4268" s="455">
        <f t="array" ref="J4268">IFERROR(INDEX('Retirement Calculator'!K:K,MATCH('Lorri 401b'!N4268,'Retirement Calculator'!A:A,0),0),0)</f>
        <v>0</v>
      </c>
      <c r="K4268" s="455">
        <f t="shared" ca="1" si="163"/>
        <v>-88618056236.810043</v>
      </c>
      <c r="L4268" s="455">
        <f t="shared" ca="1" si="164"/>
        <v>-21356951553071.219</v>
      </c>
      <c r="M4268" s="471">
        <f t="shared" si="166"/>
        <v>0.05</v>
      </c>
      <c r="N4268" s="475">
        <f t="shared" si="167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65"/>
        <v>-21356951553071.219</v>
      </c>
      <c r="J4269" s="455">
        <f t="array" ref="J4269">IFERROR(INDEX('Retirement Calculator'!K:K,MATCH('Lorri 401b'!N4269,'Retirement Calculator'!A:A,0),0),0)</f>
        <v>0</v>
      </c>
      <c r="K4269" s="455">
        <f t="shared" ca="1" si="163"/>
        <v>-88987298137.796738</v>
      </c>
      <c r="L4269" s="455">
        <f t="shared" ca="1" si="164"/>
        <v>-21445938851209.016</v>
      </c>
      <c r="M4269" s="471">
        <f t="shared" si="166"/>
        <v>0.05</v>
      </c>
      <c r="N4269" s="475">
        <f t="shared" si="167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65"/>
        <v>-21445938851209.016</v>
      </c>
      <c r="J4270" s="455">
        <f t="array" ref="J4270">IFERROR(INDEX('Retirement Calculator'!K:K,MATCH('Lorri 401b'!N4270,'Retirement Calculator'!A:A,0),0),0)</f>
        <v>0</v>
      </c>
      <c r="K4270" s="455">
        <f t="shared" ca="1" si="163"/>
        <v>-89358078546.704224</v>
      </c>
      <c r="L4270" s="455">
        <f t="shared" ca="1" si="164"/>
        <v>-21535296929755.719</v>
      </c>
      <c r="M4270" s="471">
        <f t="shared" si="166"/>
        <v>0.05</v>
      </c>
      <c r="N4270" s="475">
        <f t="shared" si="167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65"/>
        <v>-21535296929755.719</v>
      </c>
      <c r="J4271" s="455">
        <f t="array" ref="J4271">IFERROR(INDEX('Retirement Calculator'!K:K,MATCH('Lorri 401b'!N4271,'Retirement Calculator'!A:A,0),0),0)</f>
        <v>0</v>
      </c>
      <c r="K4271" s="455">
        <f t="shared" ca="1" si="163"/>
        <v>-89730403873.982162</v>
      </c>
      <c r="L4271" s="455">
        <f t="shared" ca="1" si="164"/>
        <v>-21625027333629.699</v>
      </c>
      <c r="M4271" s="471">
        <f t="shared" si="166"/>
        <v>0.05</v>
      </c>
      <c r="N4271" s="475">
        <f t="shared" si="167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65"/>
        <v>-21625027333629.699</v>
      </c>
      <c r="J4272" s="455">
        <f t="array" ref="J4272">IFERROR(INDEX('Retirement Calculator'!K:K,MATCH('Lorri 401b'!N4272,'Retirement Calculator'!A:A,0),0),0)</f>
        <v>0</v>
      </c>
      <c r="K4272" s="455">
        <f t="shared" ca="1" si="163"/>
        <v>-90104280556.790405</v>
      </c>
      <c r="L4272" s="455">
        <f t="shared" ca="1" si="164"/>
        <v>-21715131614186.488</v>
      </c>
      <c r="M4272" s="471">
        <f t="shared" si="166"/>
        <v>0.05</v>
      </c>
      <c r="N4272" s="475">
        <f t="shared" si="167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65"/>
        <v>-21715131614186.488</v>
      </c>
      <c r="J4273" s="455">
        <f t="array" ref="J4273">IFERROR(INDEX('Retirement Calculator'!K:K,MATCH('Lorri 401b'!N4273,'Retirement Calculator'!A:A,0),0),0)</f>
        <v>0</v>
      </c>
      <c r="K4273" s="455">
        <f t="shared" ca="1" si="163"/>
        <v>-90479715059.110367</v>
      </c>
      <c r="L4273" s="455">
        <f t="shared" ca="1" si="164"/>
        <v>-21805611329245.598</v>
      </c>
      <c r="M4273" s="471">
        <f t="shared" si="166"/>
        <v>0.05</v>
      </c>
      <c r="N4273" s="475">
        <f t="shared" si="167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65"/>
        <v>-21805611329245.598</v>
      </c>
      <c r="J4274" s="455">
        <f t="array" ref="J4274">IFERROR(INDEX('Retirement Calculator'!K:K,MATCH('Lorri 401b'!N4274,'Retirement Calculator'!A:A,0),0),0)</f>
        <v>0</v>
      </c>
      <c r="K4274" s="455">
        <f t="shared" ca="1" si="163"/>
        <v>-90856713871.856659</v>
      </c>
      <c r="L4274" s="455">
        <f t="shared" ca="1" si="164"/>
        <v>-21896468043117.453</v>
      </c>
      <c r="M4274" s="471">
        <f t="shared" si="166"/>
        <v>0.05</v>
      </c>
      <c r="N4274" s="475">
        <f t="shared" si="167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65"/>
        <v>-21896468043117.453</v>
      </c>
      <c r="J4275" s="455">
        <f t="array" ref="J4275">IFERROR(INDEX('Retirement Calculator'!K:K,MATCH('Lorri 401b'!N4275,'Retirement Calculator'!A:A,0),0),0)</f>
        <v>0</v>
      </c>
      <c r="K4275" s="455">
        <f t="shared" ca="1" si="163"/>
        <v>-91235283512.98938</v>
      </c>
      <c r="L4275" s="455">
        <f t="shared" ca="1" si="164"/>
        <v>-21987703326630.441</v>
      </c>
      <c r="M4275" s="471">
        <f t="shared" si="166"/>
        <v>0.05</v>
      </c>
      <c r="N4275" s="475">
        <f t="shared" si="167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65"/>
        <v>-21987703326630.441</v>
      </c>
      <c r="J4276" s="455">
        <f t="array" ref="J4276">IFERROR(INDEX('Retirement Calculator'!K:K,MATCH('Lorri 401b'!N4276,'Retirement Calculator'!A:A,0),0),0)</f>
        <v>0</v>
      </c>
      <c r="K4276" s="455">
        <f t="shared" ca="1" si="163"/>
        <v>-91615430527.626831</v>
      </c>
      <c r="L4276" s="455">
        <f t="shared" ca="1" si="164"/>
        <v>-22079318757158.066</v>
      </c>
      <c r="M4276" s="471">
        <f t="shared" si="166"/>
        <v>0.05</v>
      </c>
      <c r="N4276" s="475">
        <f t="shared" si="167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65"/>
        <v>-22079318757158.066</v>
      </c>
      <c r="J4277" s="455">
        <f t="array" ref="J4277">IFERROR(INDEX('Retirement Calculator'!K:K,MATCH('Lorri 401b'!N4277,'Retirement Calculator'!A:A,0),0),0)</f>
        <v>0</v>
      </c>
      <c r="K4277" s="455">
        <f t="shared" ca="1" si="163"/>
        <v>-91997161488.158615</v>
      </c>
      <c r="L4277" s="455">
        <f t="shared" ca="1" si="164"/>
        <v>-22171315918646.227</v>
      </c>
      <c r="M4277" s="471">
        <f t="shared" si="166"/>
        <v>0.05</v>
      </c>
      <c r="N4277" s="475">
        <f t="shared" si="167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65"/>
        <v>-22171315918646.227</v>
      </c>
      <c r="J4278" s="455">
        <f t="array" ref="J4278">IFERROR(INDEX('Retirement Calculator'!K:K,MATCH('Lorri 401b'!N4278,'Retirement Calculator'!A:A,0),0),0)</f>
        <v>0</v>
      </c>
      <c r="K4278" s="455">
        <f t="shared" ca="1" si="163"/>
        <v>-92380482994.359283</v>
      </c>
      <c r="L4278" s="455">
        <f t="shared" ca="1" si="164"/>
        <v>-22263696401640.586</v>
      </c>
      <c r="M4278" s="471">
        <f t="shared" si="166"/>
        <v>0.05</v>
      </c>
      <c r="N4278" s="475">
        <f t="shared" si="167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65"/>
        <v>-22263696401640.586</v>
      </c>
      <c r="J4279" s="455">
        <f t="array" ref="J4279">IFERROR(INDEX('Retirement Calculator'!K:K,MATCH('Lorri 401b'!N4279,'Retirement Calculator'!A:A,0),0),0)</f>
        <v>0</v>
      </c>
      <c r="K4279" s="455">
        <f t="shared" ca="1" si="163"/>
        <v>-92765401673.502441</v>
      </c>
      <c r="L4279" s="455">
        <f t="shared" ca="1" si="164"/>
        <v>-22356461803314.09</v>
      </c>
      <c r="M4279" s="471">
        <f t="shared" si="166"/>
        <v>0.05</v>
      </c>
      <c r="N4279" s="475">
        <f t="shared" si="167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65"/>
        <v>-22356461803314.09</v>
      </c>
      <c r="J4280" s="455">
        <f t="array" ref="J4280">IFERROR(INDEX('Retirement Calculator'!K:K,MATCH('Lorri 401b'!N4280,'Retirement Calculator'!A:A,0),0),0)</f>
        <v>0</v>
      </c>
      <c r="K4280" s="455">
        <f t="shared" ca="1" si="163"/>
        <v>-93151924180.475372</v>
      </c>
      <c r="L4280" s="455">
        <f t="shared" ca="1" si="164"/>
        <v>-22449613727494.566</v>
      </c>
      <c r="M4280" s="471">
        <f t="shared" si="166"/>
        <v>0.05</v>
      </c>
      <c r="N4280" s="475">
        <f t="shared" si="167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65"/>
        <v>-22449613727494.566</v>
      </c>
      <c r="J4281" s="455">
        <f t="array" ref="J4281">IFERROR(INDEX('Retirement Calculator'!K:K,MATCH('Lorri 401b'!N4281,'Retirement Calculator'!A:A,0),0),0)</f>
        <v>0</v>
      </c>
      <c r="K4281" s="455">
        <f t="shared" ca="1" si="163"/>
        <v>-93540057197.894028</v>
      </c>
      <c r="L4281" s="455">
        <f t="shared" ca="1" si="164"/>
        <v>-22543153784692.461</v>
      </c>
      <c r="M4281" s="471">
        <f t="shared" si="166"/>
        <v>0.05</v>
      </c>
      <c r="N4281" s="475">
        <f t="shared" si="167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65"/>
        <v>-22543153784692.461</v>
      </c>
      <c r="J4282" s="455">
        <f t="array" ref="J4282">IFERROR(INDEX('Retirement Calculator'!K:K,MATCH('Lorri 401b'!N4282,'Retirement Calculator'!A:A,0),0),0)</f>
        <v>0</v>
      </c>
      <c r="K4282" s="455">
        <f t="shared" ca="1" si="163"/>
        <v>-93929807436.218582</v>
      </c>
      <c r="L4282" s="455">
        <f t="shared" ca="1" si="164"/>
        <v>-22637083592128.68</v>
      </c>
      <c r="M4282" s="471">
        <f t="shared" si="166"/>
        <v>0.05</v>
      </c>
      <c r="N4282" s="475">
        <f t="shared" si="167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65"/>
        <v>-22637083592128.68</v>
      </c>
      <c r="J4283" s="455">
        <f t="array" ref="J4283">IFERROR(INDEX('Retirement Calculator'!K:K,MATCH('Lorri 401b'!N4283,'Retirement Calculator'!A:A,0),0),0)</f>
        <v>0</v>
      </c>
      <c r="K4283" s="455">
        <f t="shared" ca="1" si="163"/>
        <v>-94321181633.869492</v>
      </c>
      <c r="L4283" s="455">
        <f t="shared" ca="1" si="164"/>
        <v>-22731404773762.551</v>
      </c>
      <c r="M4283" s="471">
        <f t="shared" si="166"/>
        <v>0.05</v>
      </c>
      <c r="N4283" s="475">
        <f t="shared" si="167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65"/>
        <v>-22731404773762.551</v>
      </c>
      <c r="J4284" s="455">
        <f t="array" ref="J4284">IFERROR(INDEX('Retirement Calculator'!K:K,MATCH('Lorri 401b'!N4284,'Retirement Calculator'!A:A,0),0),0)</f>
        <v>0</v>
      </c>
      <c r="K4284" s="455">
        <f t="shared" ca="1" si="163"/>
        <v>-94714186557.343964</v>
      </c>
      <c r="L4284" s="455">
        <f t="shared" ca="1" si="164"/>
        <v>-22826118960319.895</v>
      </c>
      <c r="M4284" s="471">
        <f t="shared" si="166"/>
        <v>0.05</v>
      </c>
      <c r="N4284" s="475">
        <f t="shared" si="167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65"/>
        <v>-22826118960319.895</v>
      </c>
      <c r="J4285" s="455">
        <f t="array" ref="J4285">IFERROR(INDEX('Retirement Calculator'!K:K,MATCH('Lorri 401b'!N4285,'Retirement Calculator'!A:A,0),0),0)</f>
        <v>0</v>
      </c>
      <c r="K4285" s="455">
        <f t="shared" ca="1" si="163"/>
        <v>-95108829001.332886</v>
      </c>
      <c r="L4285" s="455">
        <f t="shared" ca="1" si="164"/>
        <v>-22921227789321.227</v>
      </c>
      <c r="M4285" s="471">
        <f t="shared" si="166"/>
        <v>0.05</v>
      </c>
      <c r="N4285" s="475">
        <f t="shared" si="167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65"/>
        <v>-22921227789321.227</v>
      </c>
      <c r="J4286" s="455">
        <f t="array" ref="J4286">IFERROR(INDEX('Retirement Calculator'!K:K,MATCH('Lorri 401b'!N4286,'Retirement Calculator'!A:A,0),0),0)</f>
        <v>0</v>
      </c>
      <c r="K4286" s="455">
        <f t="shared" ca="1" si="163"/>
        <v>-95505115788.83844</v>
      </c>
      <c r="L4286" s="455">
        <f t="shared" ca="1" si="164"/>
        <v>-23016732905110.066</v>
      </c>
      <c r="M4286" s="471">
        <f t="shared" si="166"/>
        <v>0.05</v>
      </c>
      <c r="N4286" s="475">
        <f t="shared" si="167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65"/>
        <v>-23016732905110.066</v>
      </c>
      <c r="J4287" s="455">
        <f t="array" ref="J4287">IFERROR(INDEX('Retirement Calculator'!K:K,MATCH('Lorri 401b'!N4287,'Retirement Calculator'!A:A,0),0),0)</f>
        <v>0</v>
      </c>
      <c r="K4287" s="455">
        <f t="shared" ca="1" si="163"/>
        <v>-95903053771.291946</v>
      </c>
      <c r="L4287" s="455">
        <f t="shared" ca="1" si="164"/>
        <v>-23112635958881.359</v>
      </c>
      <c r="M4287" s="471">
        <f t="shared" si="166"/>
        <v>0.05</v>
      </c>
      <c r="N4287" s="475">
        <f t="shared" si="167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65"/>
        <v>-23112635958881.359</v>
      </c>
      <c r="J4288" s="455">
        <f t="array" ref="J4288">IFERROR(INDEX('Retirement Calculator'!K:K,MATCH('Lorri 401b'!N4288,'Retirement Calculator'!A:A,0),0),0)</f>
        <v>0</v>
      </c>
      <c r="K4288" s="455">
        <f t="shared" ca="1" si="163"/>
        <v>-96302649828.672333</v>
      </c>
      <c r="L4288" s="455">
        <f t="shared" ca="1" si="164"/>
        <v>-23208938608710.031</v>
      </c>
      <c r="M4288" s="471">
        <f t="shared" si="166"/>
        <v>0.05</v>
      </c>
      <c r="N4288" s="475">
        <f t="shared" si="167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65"/>
        <v>-23208938608710.031</v>
      </c>
      <c r="J4289" s="455">
        <f t="array" ref="J4289">IFERROR(INDEX('Retirement Calculator'!K:K,MATCH('Lorri 401b'!N4289,'Retirement Calculator'!A:A,0),0),0)</f>
        <v>0</v>
      </c>
      <c r="K4289" s="455">
        <f t="shared" ca="1" si="163"/>
        <v>-96703910869.625122</v>
      </c>
      <c r="L4289" s="455">
        <f t="shared" ca="1" si="164"/>
        <v>-23305642519579.656</v>
      </c>
      <c r="M4289" s="471">
        <f t="shared" si="166"/>
        <v>0.05</v>
      </c>
      <c r="N4289" s="475">
        <f t="shared" si="167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65"/>
        <v>-23305642519579.656</v>
      </c>
      <c r="J4290" s="455">
        <f t="array" ref="J4290">IFERROR(INDEX('Retirement Calculator'!K:K,MATCH('Lorri 401b'!N4290,'Retirement Calculator'!A:A,0),0),0)</f>
        <v>0</v>
      </c>
      <c r="K4290" s="455">
        <f t="shared" ca="1" si="163"/>
        <v>-97106843831.581894</v>
      </c>
      <c r="L4290" s="455">
        <f t="shared" ca="1" si="164"/>
        <v>-23402749363411.238</v>
      </c>
      <c r="M4290" s="471">
        <f t="shared" si="166"/>
        <v>0.05</v>
      </c>
      <c r="N4290" s="475">
        <f t="shared" si="167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65"/>
        <v>-23402749363411.238</v>
      </c>
      <c r="J4291" s="455">
        <f t="array" ref="J4291">IFERROR(INDEX('Retirement Calculator'!K:K,MATCH('Lorri 401b'!N4291,'Retirement Calculator'!A:A,0),0),0)</f>
        <v>0</v>
      </c>
      <c r="K4291" s="455">
        <f t="shared" ca="1" si="163"/>
        <v>-97511455680.880157</v>
      </c>
      <c r="L4291" s="455">
        <f t="shared" ca="1" si="164"/>
        <v>-23500260819092.117</v>
      </c>
      <c r="M4291" s="471">
        <f t="shared" si="166"/>
        <v>0.05</v>
      </c>
      <c r="N4291" s="475">
        <f t="shared" si="167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65"/>
        <v>-23500260819092.117</v>
      </c>
      <c r="J4292" s="455">
        <f t="array" ref="J4292">IFERROR(INDEX('Retirement Calculator'!K:K,MATCH('Lorri 401b'!N4292,'Retirement Calculator'!A:A,0),0),0)</f>
        <v>0</v>
      </c>
      <c r="K4292" s="455">
        <f t="shared" ca="1" si="163"/>
        <v>-97917753412.88382</v>
      </c>
      <c r="L4292" s="455">
        <f t="shared" ca="1" si="164"/>
        <v>-23598178572505</v>
      </c>
      <c r="M4292" s="471">
        <f t="shared" si="166"/>
        <v>0.05</v>
      </c>
      <c r="N4292" s="475">
        <f t="shared" si="167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65"/>
        <v>-23598178572505</v>
      </c>
      <c r="J4293" s="455">
        <f t="array" ref="J4293">IFERROR(INDEX('Retirement Calculator'!K:K,MATCH('Lorri 401b'!N4293,'Retirement Calculator'!A:A,0),0),0)</f>
        <v>0</v>
      </c>
      <c r="K4293" s="455">
        <f t="shared" ca="1" si="163"/>
        <v>-98325744052.104172</v>
      </c>
      <c r="L4293" s="455">
        <f t="shared" ca="1" si="164"/>
        <v>-23696504316557.105</v>
      </c>
      <c r="M4293" s="471">
        <f t="shared" si="166"/>
        <v>0.05</v>
      </c>
      <c r="N4293" s="475">
        <f t="shared" si="167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65"/>
        <v>-23696504316557.105</v>
      </c>
      <c r="J4294" s="455">
        <f t="array" ref="J4294">IFERROR(INDEX('Retirement Calculator'!K:K,MATCH('Lorri 401b'!N4294,'Retirement Calculator'!A:A,0),0),0)</f>
        <v>0</v>
      </c>
      <c r="K4294" s="455">
        <f t="shared" ca="1" si="163"/>
        <v>-98735434652.321274</v>
      </c>
      <c r="L4294" s="455">
        <f t="shared" ca="1" si="164"/>
        <v>-23795239751209.426</v>
      </c>
      <c r="M4294" s="471">
        <f t="shared" si="166"/>
        <v>0.05</v>
      </c>
      <c r="N4294" s="475">
        <f t="shared" si="167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65"/>
        <v>-23795239751209.426</v>
      </c>
      <c r="J4295" s="455">
        <f t="array" ref="J4295">IFERROR(INDEX('Retirement Calculator'!K:K,MATCH('Lorri 401b'!N4295,'Retirement Calculator'!A:A,0),0),0)</f>
        <v>0</v>
      </c>
      <c r="K4295" s="455">
        <f t="shared" ca="1" si="163"/>
        <v>-99146832296.705933</v>
      </c>
      <c r="L4295" s="455">
        <f t="shared" ca="1" si="164"/>
        <v>-23894386583506.133</v>
      </c>
      <c r="M4295" s="471">
        <f t="shared" si="166"/>
        <v>0.05</v>
      </c>
      <c r="N4295" s="475">
        <f t="shared" si="167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65"/>
        <v>-23894386583506.133</v>
      </c>
      <c r="J4296" s="455">
        <f t="array" ref="J4296">IFERROR(INDEX('Retirement Calculator'!K:K,MATCH('Lorri 401b'!N4296,'Retirement Calculator'!A:A,0),0),0)</f>
        <v>0</v>
      </c>
      <c r="K4296" s="455">
        <f t="shared" ca="1" si="163"/>
        <v>-99559944097.942215</v>
      </c>
      <c r="L4296" s="455">
        <f t="shared" ca="1" si="164"/>
        <v>-23993946527604.074</v>
      </c>
      <c r="M4296" s="471">
        <f t="shared" si="166"/>
        <v>0.05</v>
      </c>
      <c r="N4296" s="475">
        <f t="shared" si="167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65"/>
        <v>-23993946527604.074</v>
      </c>
      <c r="J4297" s="455">
        <f t="array" ref="J4297">IFERROR(INDEX('Retirement Calculator'!K:K,MATCH('Lorri 401b'!N4297,'Retirement Calculator'!A:A,0),0),0)</f>
        <v>0</v>
      </c>
      <c r="K4297" s="455">
        <f t="shared" ca="1" si="163"/>
        <v>-99974777198.350311</v>
      </c>
      <c r="L4297" s="455">
        <f t="shared" ca="1" si="164"/>
        <v>-24093921304802.426</v>
      </c>
      <c r="M4297" s="471">
        <f t="shared" si="166"/>
        <v>0.05</v>
      </c>
      <c r="N4297" s="475">
        <f t="shared" si="167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65"/>
        <v>-24093921304802.426</v>
      </c>
      <c r="J4298" s="455">
        <f t="array" ref="J4298">IFERROR(INDEX('Retirement Calculator'!K:K,MATCH('Lorri 401b'!N4298,'Retirement Calculator'!A:A,0),0),0)</f>
        <v>0</v>
      </c>
      <c r="K4298" s="455">
        <f t="shared" ca="1" si="163"/>
        <v>-100391338770.0101</v>
      </c>
      <c r="L4298" s="455">
        <f t="shared" ca="1" si="164"/>
        <v>-24194312643572.438</v>
      </c>
      <c r="M4298" s="471">
        <f t="shared" si="166"/>
        <v>0.05</v>
      </c>
      <c r="N4298" s="475">
        <f t="shared" si="167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65"/>
        <v>-24194312643572.438</v>
      </c>
      <c r="J4299" s="455">
        <f t="array" ref="J4299">IFERROR(INDEX('Retirement Calculator'!K:K,MATCH('Lorri 401b'!N4299,'Retirement Calculator'!A:A,0),0),0)</f>
        <v>0</v>
      </c>
      <c r="K4299" s="455">
        <f t="shared" ca="1" si="163"/>
        <v>-100809636014.88516</v>
      </c>
      <c r="L4299" s="455">
        <f t="shared" ca="1" si="164"/>
        <v>-24295122279587.324</v>
      </c>
      <c r="M4299" s="471">
        <f t="shared" si="166"/>
        <v>0.05</v>
      </c>
      <c r="N4299" s="475">
        <f t="shared" si="167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65"/>
        <v>-24295122279587.324</v>
      </c>
      <c r="J4300" s="455">
        <f t="array" ref="J4300">IFERROR(INDEX('Retirement Calculator'!K:K,MATCH('Lorri 401b'!N4300,'Retirement Calculator'!A:A,0),0),0)</f>
        <v>0</v>
      </c>
      <c r="K4300" s="455">
        <f t="shared" ca="1" si="163"/>
        <v>-101229676164.94719</v>
      </c>
      <c r="L4300" s="455">
        <f t="shared" ca="1" si="164"/>
        <v>-24396351955752.27</v>
      </c>
      <c r="M4300" s="471">
        <f t="shared" si="166"/>
        <v>0.05</v>
      </c>
      <c r="N4300" s="475">
        <f t="shared" si="167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65"/>
        <v>-24396351955752.27</v>
      </c>
      <c r="J4301" s="455">
        <f t="array" ref="J4301">IFERROR(INDEX('Retirement Calculator'!K:K,MATCH('Lorri 401b'!N4301,'Retirement Calculator'!A:A,0),0),0)</f>
        <v>0</v>
      </c>
      <c r="K4301" s="455">
        <f t="shared" ca="1" si="163"/>
        <v>-101651466482.30112</v>
      </c>
      <c r="L4301" s="455">
        <f t="shared" ca="1" si="164"/>
        <v>-24498003422234.57</v>
      </c>
      <c r="M4301" s="471">
        <f t="shared" si="166"/>
        <v>0.05</v>
      </c>
      <c r="N4301" s="475">
        <f t="shared" si="167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65"/>
        <v>-24498003422234.57</v>
      </c>
      <c r="J4302" s="455">
        <f t="array" ref="J4302">IFERROR(INDEX('Retirement Calculator'!K:K,MATCH('Lorri 401b'!N4302,'Retirement Calculator'!A:A,0),0),0)</f>
        <v>0</v>
      </c>
      <c r="K4302" s="455">
        <f t="shared" ca="1" si="163"/>
        <v>-102075014259.31071</v>
      </c>
      <c r="L4302" s="455">
        <f t="shared" ca="1" si="164"/>
        <v>-24600078436493.883</v>
      </c>
      <c r="M4302" s="471">
        <f t="shared" si="166"/>
        <v>0.05</v>
      </c>
      <c r="N4302" s="475">
        <f t="shared" si="167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65"/>
        <v>-24600078436493.883</v>
      </c>
      <c r="J4303" s="455">
        <f t="array" ref="J4303">IFERROR(INDEX('Retirement Calculator'!K:K,MATCH('Lorri 401b'!N4303,'Retirement Calculator'!A:A,0),0),0)</f>
        <v>0</v>
      </c>
      <c r="K4303" s="455">
        <f t="shared" ca="1" si="163"/>
        <v>-102500326818.72452</v>
      </c>
      <c r="L4303" s="455">
        <f t="shared" ca="1" si="164"/>
        <v>-24702578763312.605</v>
      </c>
      <c r="M4303" s="471">
        <f t="shared" si="166"/>
        <v>0.05</v>
      </c>
      <c r="N4303" s="475">
        <f t="shared" si="167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65"/>
        <v>-24702578763312.605</v>
      </c>
      <c r="J4304" s="455">
        <f t="array" ref="J4304">IFERROR(INDEX('Retirement Calculator'!K:K,MATCH('Lorri 401b'!N4304,'Retirement Calculator'!A:A,0),0),0)</f>
        <v>0</v>
      </c>
      <c r="K4304" s="455">
        <f t="shared" ca="1" si="163"/>
        <v>-102927411513.80252</v>
      </c>
      <c r="L4304" s="455">
        <f t="shared" ca="1" si="164"/>
        <v>-24805506174826.406</v>
      </c>
      <c r="M4304" s="471">
        <f t="shared" si="166"/>
        <v>0.05</v>
      </c>
      <c r="N4304" s="475">
        <f t="shared" si="167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65"/>
        <v>-24805506174826.406</v>
      </c>
      <c r="J4305" s="455">
        <f t="array" ref="J4305">IFERROR(INDEX('Retirement Calculator'!K:K,MATCH('Lorri 401b'!N4305,'Retirement Calculator'!A:A,0),0),0)</f>
        <v>0</v>
      </c>
      <c r="K4305" s="455">
        <f t="shared" ca="1" si="163"/>
        <v>-103356275728.44336</v>
      </c>
      <c r="L4305" s="455">
        <f t="shared" ca="1" si="164"/>
        <v>-24908862450554.852</v>
      </c>
      <c r="M4305" s="471">
        <f t="shared" si="166"/>
        <v>0.05</v>
      </c>
      <c r="N4305" s="475">
        <f t="shared" si="167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65"/>
        <v>-24908862450554.852</v>
      </c>
      <c r="J4306" s="455">
        <f t="array" ref="J4306">IFERROR(INDEX('Retirement Calculator'!K:K,MATCH('Lorri 401b'!N4306,'Retirement Calculator'!A:A,0),0),0)</f>
        <v>0</v>
      </c>
      <c r="K4306" s="455">
        <f t="shared" ca="1" si="163"/>
        <v>-103786926877.31187</v>
      </c>
      <c r="L4306" s="455">
        <f t="shared" ca="1" si="164"/>
        <v>-25012649377432.164</v>
      </c>
      <c r="M4306" s="471">
        <f t="shared" si="166"/>
        <v>0.05</v>
      </c>
      <c r="N4306" s="475">
        <f t="shared" si="167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65"/>
        <v>-25012649377432.164</v>
      </c>
      <c r="J4307" s="455">
        <f t="array" ref="J4307">IFERROR(INDEX('Retirement Calculator'!K:K,MATCH('Lorri 401b'!N4307,'Retirement Calculator'!A:A,0),0),0)</f>
        <v>0</v>
      </c>
      <c r="K4307" s="455">
        <f t="shared" ca="1" si="163"/>
        <v>-104219372405.96735</v>
      </c>
      <c r="L4307" s="455">
        <f t="shared" ca="1" si="164"/>
        <v>-25116868749838.133</v>
      </c>
      <c r="M4307" s="471">
        <f t="shared" si="166"/>
        <v>0.05</v>
      </c>
      <c r="N4307" s="475">
        <f t="shared" si="167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65"/>
        <v>-25116868749838.133</v>
      </c>
      <c r="J4308" s="455">
        <f t="array" ref="J4308">IFERROR(INDEX('Retirement Calculator'!K:K,MATCH('Lorri 401b'!N4308,'Retirement Calculator'!A:A,0),0),0)</f>
        <v>0</v>
      </c>
      <c r="K4308" s="455">
        <f t="shared" ca="1" si="163"/>
        <v>-104653619790.99222</v>
      </c>
      <c r="L4308" s="455">
        <f t="shared" ca="1" si="164"/>
        <v>-25221522369629.125</v>
      </c>
      <c r="M4308" s="471">
        <f t="shared" si="166"/>
        <v>0.05</v>
      </c>
      <c r="N4308" s="475">
        <f t="shared" si="167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65"/>
        <v>-25221522369629.125</v>
      </c>
      <c r="J4309" s="455">
        <f t="array" ref="J4309">IFERROR(INDEX('Retirement Calculator'!K:K,MATCH('Lorri 401b'!N4309,'Retirement Calculator'!A:A,0),0),0)</f>
        <v>0</v>
      </c>
      <c r="K4309" s="455">
        <f t="shared" ca="1" si="163"/>
        <v>-105089676540.12135</v>
      </c>
      <c r="L4309" s="455">
        <f t="shared" ca="1" si="164"/>
        <v>-25326612046169.246</v>
      </c>
      <c r="M4309" s="471">
        <f t="shared" si="166"/>
        <v>0.05</v>
      </c>
      <c r="N4309" s="475">
        <f t="shared" si="167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65"/>
        <v>-25326612046169.246</v>
      </c>
      <c r="J4310" s="455">
        <f t="array" ref="J4310">IFERROR(INDEX('Retirement Calculator'!K:K,MATCH('Lorri 401b'!N4310,'Retirement Calculator'!A:A,0),0),0)</f>
        <v>0</v>
      </c>
      <c r="K4310" s="455">
        <f t="shared" ca="1" si="163"/>
        <v>-105527550192.37186</v>
      </c>
      <c r="L4310" s="455">
        <f t="shared" ca="1" si="164"/>
        <v>-25432139596361.617</v>
      </c>
      <c r="M4310" s="471">
        <f t="shared" si="166"/>
        <v>0.05</v>
      </c>
      <c r="N4310" s="475">
        <f t="shared" si="167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65"/>
        <v>-25432139596361.617</v>
      </c>
      <c r="J4311" s="455">
        <f t="array" ref="J4311">IFERROR(INDEX('Retirement Calculator'!K:K,MATCH('Lorri 401b'!N4311,'Retirement Calculator'!A:A,0),0),0)</f>
        <v>0</v>
      </c>
      <c r="K4311" s="455">
        <f t="shared" ca="1" si="163"/>
        <v>-105967248318.1734</v>
      </c>
      <c r="L4311" s="455">
        <f t="shared" ca="1" si="164"/>
        <v>-25538106844679.789</v>
      </c>
      <c r="M4311" s="471">
        <f t="shared" si="166"/>
        <v>0.05</v>
      </c>
      <c r="N4311" s="475">
        <f t="shared" si="167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65"/>
        <v>-25538106844679.789</v>
      </c>
      <c r="J4312" s="455">
        <f t="array" ref="J4312">IFERROR(INDEX('Retirement Calculator'!K:K,MATCH('Lorri 401b'!N4312,'Retirement Calculator'!A:A,0),0),0)</f>
        <v>0</v>
      </c>
      <c r="K4312" s="455">
        <f t="shared" ca="1" si="163"/>
        <v>-106408778519.49911</v>
      </c>
      <c r="L4312" s="455">
        <f t="shared" ca="1" si="164"/>
        <v>-25644515623199.289</v>
      </c>
      <c r="M4312" s="471">
        <f t="shared" si="166"/>
        <v>0.05</v>
      </c>
      <c r="N4312" s="475">
        <f t="shared" si="167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65"/>
        <v>-25644515623199.289</v>
      </c>
      <c r="J4313" s="455">
        <f t="array" ref="J4313">IFERROR(INDEX('Retirement Calculator'!K:K,MATCH('Lorri 401b'!N4313,'Retirement Calculator'!A:A,0),0),0)</f>
        <v>0</v>
      </c>
      <c r="K4313" s="455">
        <f t="shared" ca="1" si="163"/>
        <v>-106852148429.99704</v>
      </c>
      <c r="L4313" s="455">
        <f t="shared" ca="1" si="164"/>
        <v>-25751367771629.285</v>
      </c>
      <c r="M4313" s="471">
        <f t="shared" si="166"/>
        <v>0.05</v>
      </c>
      <c r="N4313" s="475">
        <f t="shared" si="167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65"/>
        <v>-25751367771629.285</v>
      </c>
      <c r="J4314" s="455">
        <f t="array" ref="J4314">IFERROR(INDEX('Retirement Calculator'!K:K,MATCH('Lorri 401b'!N4314,'Retirement Calculator'!A:A,0),0),0)</f>
        <v>0</v>
      </c>
      <c r="K4314" s="455">
        <f t="shared" ca="1" si="163"/>
        <v>-107297365715.12202</v>
      </c>
      <c r="L4314" s="455">
        <f t="shared" ca="1" si="164"/>
        <v>-25858665137344.406</v>
      </c>
      <c r="M4314" s="471">
        <f t="shared" si="166"/>
        <v>0.05</v>
      </c>
      <c r="N4314" s="475">
        <f t="shared" si="167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65"/>
        <v>-25858665137344.406</v>
      </c>
      <c r="J4315" s="455">
        <f t="array" ref="J4315">IFERROR(INDEX('Retirement Calculator'!K:K,MATCH('Lorri 401b'!N4315,'Retirement Calculator'!A:A,0),0),0)</f>
        <v>0</v>
      </c>
      <c r="K4315" s="455">
        <f t="shared" ca="1" si="163"/>
        <v>-107744438072.26836</v>
      </c>
      <c r="L4315" s="455">
        <f t="shared" ca="1" si="164"/>
        <v>-25966409575416.676</v>
      </c>
      <c r="M4315" s="471">
        <f t="shared" si="166"/>
        <v>0.05</v>
      </c>
      <c r="N4315" s="475">
        <f t="shared" si="167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65"/>
        <v>-25966409575416.676</v>
      </c>
      <c r="J4316" s="455">
        <f t="array" ref="J4316">IFERROR(INDEX('Retirement Calculator'!K:K,MATCH('Lorri 401b'!N4316,'Retirement Calculator'!A:A,0),0),0)</f>
        <v>0</v>
      </c>
      <c r="K4316" s="455">
        <f t="shared" ca="1" si="163"/>
        <v>-108193373230.90282</v>
      </c>
      <c r="L4316" s="455">
        <f t="shared" ca="1" si="164"/>
        <v>-26074602948647.578</v>
      </c>
      <c r="M4316" s="471">
        <f t="shared" si="166"/>
        <v>0.05</v>
      </c>
      <c r="N4316" s="475">
        <f t="shared" si="167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65"/>
        <v>-26074602948647.578</v>
      </c>
      <c r="J4317" s="455">
        <f t="array" ref="J4317">IFERROR(INDEX('Retirement Calculator'!K:K,MATCH('Lorri 401b'!N4317,'Retirement Calculator'!A:A,0),0),0)</f>
        <v>0</v>
      </c>
      <c r="K4317" s="455">
        <f t="shared" ca="1" si="163"/>
        <v>-108644178952.69824</v>
      </c>
      <c r="L4317" s="455">
        <f t="shared" ca="1" si="164"/>
        <v>-26183247127600.277</v>
      </c>
      <c r="M4317" s="471">
        <f t="shared" si="166"/>
        <v>0.05</v>
      </c>
      <c r="N4317" s="475">
        <f t="shared" si="167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65"/>
        <v>-26183247127600.277</v>
      </c>
      <c r="J4318" s="455">
        <f t="array" ref="J4318">IFERROR(INDEX('Retirement Calculator'!K:K,MATCH('Lorri 401b'!N4318,'Retirement Calculator'!A:A,0),0),0)</f>
        <v>0</v>
      </c>
      <c r="K4318" s="455">
        <f t="shared" ca="1" si="163"/>
        <v>-109096863031.66782</v>
      </c>
      <c r="L4318" s="455">
        <f t="shared" ca="1" si="164"/>
        <v>-26292343990631.945</v>
      </c>
      <c r="M4318" s="471">
        <f t="shared" si="166"/>
        <v>0.05</v>
      </c>
      <c r="N4318" s="475">
        <f t="shared" si="167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65"/>
        <v>-26292343990631.945</v>
      </c>
      <c r="J4319" s="455">
        <f t="array" ref="J4319">IFERROR(INDEX('Retirement Calculator'!K:K,MATCH('Lorri 401b'!N4319,'Retirement Calculator'!A:A,0),0),0)</f>
        <v>0</v>
      </c>
      <c r="K4319" s="455">
        <f t="shared" ca="1" si="163"/>
        <v>-109551433294.29977</v>
      </c>
      <c r="L4319" s="455">
        <f t="shared" ca="1" si="164"/>
        <v>-26401895423926.246</v>
      </c>
      <c r="M4319" s="471">
        <f t="shared" si="166"/>
        <v>0.05</v>
      </c>
      <c r="N4319" s="475">
        <f t="shared" si="167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65"/>
        <v>-26401895423926.246</v>
      </c>
      <c r="J4320" s="455">
        <f t="array" ref="J4320">IFERROR(INDEX('Retirement Calculator'!K:K,MATCH('Lorri 401b'!N4320,'Retirement Calculator'!A:A,0),0),0)</f>
        <v>0</v>
      </c>
      <c r="K4320" s="455">
        <f t="shared" ca="1" si="163"/>
        <v>-110007897599.69269</v>
      </c>
      <c r="L4320" s="455">
        <f t="shared" ca="1" si="164"/>
        <v>-26511903321525.938</v>
      </c>
      <c r="M4320" s="471">
        <f t="shared" si="166"/>
        <v>0.05</v>
      </c>
      <c r="N4320" s="475">
        <f t="shared" si="167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65"/>
        <v>-26511903321525.938</v>
      </c>
      <c r="J4321" s="455">
        <f t="array" ref="J4321">IFERROR(INDEX('Retirement Calculator'!K:K,MATCH('Lorri 401b'!N4321,'Retirement Calculator'!A:A,0),0),0)</f>
        <v>0</v>
      </c>
      <c r="K4321" s="455">
        <f t="shared" ca="1" si="163"/>
        <v>-110466263839.69141</v>
      </c>
      <c r="L4321" s="455">
        <f t="shared" ca="1" si="164"/>
        <v>-26622369585365.629</v>
      </c>
      <c r="M4321" s="471">
        <f t="shared" si="166"/>
        <v>0.05</v>
      </c>
      <c r="N4321" s="475">
        <f t="shared" si="167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65"/>
        <v>-26622369585365.629</v>
      </c>
      <c r="J4322" s="455">
        <f t="array" ref="J4322">IFERROR(INDEX('Retirement Calculator'!K:K,MATCH('Lorri 401b'!N4322,'Retirement Calculator'!A:A,0),0),0)</f>
        <v>0</v>
      </c>
      <c r="K4322" s="455">
        <f t="shared" ca="1" si="163"/>
        <v>-110926539939.02345</v>
      </c>
      <c r="L4322" s="455">
        <f t="shared" ca="1" si="164"/>
        <v>-26733296125304.652</v>
      </c>
      <c r="M4322" s="471">
        <f t="shared" si="166"/>
        <v>0.05</v>
      </c>
      <c r="N4322" s="475">
        <f t="shared" si="167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65"/>
        <v>-26733296125304.652</v>
      </c>
      <c r="J4323" s="455">
        <f t="array" ref="J4323">IFERROR(INDEX('Retirement Calculator'!K:K,MATCH('Lorri 401b'!N4323,'Retirement Calculator'!A:A,0),0),0)</f>
        <v>0</v>
      </c>
      <c r="K4323" s="455">
        <f t="shared" ca="1" si="163"/>
        <v>-111388733855.43605</v>
      </c>
      <c r="L4323" s="455">
        <f t="shared" ca="1" si="164"/>
        <v>-26844684859160.09</v>
      </c>
      <c r="M4323" s="471">
        <f t="shared" si="166"/>
        <v>0.05</v>
      </c>
      <c r="N4323" s="475">
        <f t="shared" si="167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65"/>
        <v>-26844684859160.09</v>
      </c>
      <c r="J4324" s="455">
        <f t="array" ref="J4324">IFERROR(INDEX('Retirement Calculator'!K:K,MATCH('Lorri 401b'!N4324,'Retirement Calculator'!A:A,0),0),0)</f>
        <v>0</v>
      </c>
      <c r="K4324" s="455">
        <f t="shared" ca="1" si="163"/>
        <v>-111852853579.83371</v>
      </c>
      <c r="L4324" s="455">
        <f t="shared" ca="1" si="164"/>
        <v>-26956537712739.922</v>
      </c>
      <c r="M4324" s="471">
        <f t="shared" si="166"/>
        <v>0.05</v>
      </c>
      <c r="N4324" s="475">
        <f t="shared" si="167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65"/>
        <v>-26956537712739.922</v>
      </c>
      <c r="J4325" s="455">
        <f t="array" ref="J4325">IFERROR(INDEX('Retirement Calculator'!K:K,MATCH('Lorri 401b'!N4325,'Retirement Calculator'!A:A,0),0),0)</f>
        <v>0</v>
      </c>
      <c r="K4325" s="455">
        <f t="shared" ca="1" si="163"/>
        <v>-112318907136.41634</v>
      </c>
      <c r="L4325" s="455">
        <f t="shared" ca="1" si="164"/>
        <v>-27068856619876.34</v>
      </c>
      <c r="M4325" s="471">
        <f t="shared" si="166"/>
        <v>0.05</v>
      </c>
      <c r="N4325" s="475">
        <f t="shared" si="167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65"/>
        <v>-27068856619876.34</v>
      </c>
      <c r="J4326" s="455">
        <f t="array" ref="J4326">IFERROR(INDEX('Retirement Calculator'!K:K,MATCH('Lorri 401b'!N4326,'Retirement Calculator'!A:A,0),0),0)</f>
        <v>0</v>
      </c>
      <c r="K4326" s="455">
        <f t="shared" ca="1" si="163"/>
        <v>-112786902582.81808</v>
      </c>
      <c r="L4326" s="455">
        <f t="shared" ca="1" si="164"/>
        <v>-27181643522459.156</v>
      </c>
      <c r="M4326" s="471">
        <f t="shared" si="166"/>
        <v>0.05</v>
      </c>
      <c r="N4326" s="475">
        <f t="shared" si="167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65"/>
        <v>-27181643522459.156</v>
      </c>
      <c r="J4327" s="455">
        <f t="array" ref="J4327">IFERROR(INDEX('Retirement Calculator'!K:K,MATCH('Lorri 401b'!N4327,'Retirement Calculator'!A:A,0),0),0)</f>
        <v>0</v>
      </c>
      <c r="K4327" s="455">
        <f t="shared" ca="1" si="163"/>
        <v>-113256848010.24648</v>
      </c>
      <c r="L4327" s="455">
        <f t="shared" ca="1" si="164"/>
        <v>-27294900370469.402</v>
      </c>
      <c r="M4327" s="471">
        <f t="shared" si="166"/>
        <v>0.05</v>
      </c>
      <c r="N4327" s="475">
        <f t="shared" si="167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65"/>
        <v>-27294900370469.402</v>
      </c>
      <c r="J4328" s="455">
        <f t="array" ref="J4328">IFERROR(INDEX('Retirement Calculator'!K:K,MATCH('Lorri 401b'!N4328,'Retirement Calculator'!A:A,0),0),0)</f>
        <v>0</v>
      </c>
      <c r="K4328" s="455">
        <f t="shared" ca="1" si="163"/>
        <v>-113728751543.62251</v>
      </c>
      <c r="L4328" s="455">
        <f t="shared" ca="1" si="164"/>
        <v>-27408629122013.023</v>
      </c>
      <c r="M4328" s="471">
        <f t="shared" si="166"/>
        <v>0.05</v>
      </c>
      <c r="N4328" s="475">
        <f t="shared" si="167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65"/>
        <v>-27408629122013.023</v>
      </c>
      <c r="J4329" s="455">
        <f t="array" ref="J4329">IFERROR(INDEX('Retirement Calculator'!K:K,MATCH('Lorri 401b'!N4329,'Retirement Calculator'!A:A,0),0),0)</f>
        <v>0</v>
      </c>
      <c r="K4329" s="455">
        <f t="shared" ca="1" si="163"/>
        <v>-114202621341.72093</v>
      </c>
      <c r="L4329" s="455">
        <f t="shared" ca="1" si="164"/>
        <v>-27522831743354.746</v>
      </c>
      <c r="M4329" s="471">
        <f t="shared" si="166"/>
        <v>0.05</v>
      </c>
      <c r="N4329" s="475">
        <f t="shared" si="167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65"/>
        <v>-27522831743354.746</v>
      </c>
      <c r="J4330" s="455">
        <f t="array" ref="J4330">IFERROR(INDEX('Retirement Calculator'!K:K,MATCH('Lorri 401b'!N4330,'Retirement Calculator'!A:A,0),0),0)</f>
        <v>0</v>
      </c>
      <c r="K4330" s="455">
        <f t="shared" ca="1" si="163"/>
        <v>-114678465597.31145</v>
      </c>
      <c r="L4330" s="455">
        <f t="shared" ca="1" si="164"/>
        <v>-27637510208952.059</v>
      </c>
      <c r="M4330" s="471">
        <f t="shared" si="166"/>
        <v>0.05</v>
      </c>
      <c r="N4330" s="475">
        <f t="shared" si="167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65"/>
        <v>-27637510208952.059</v>
      </c>
      <c r="J4331" s="455">
        <f t="array" ref="J4331">IFERROR(INDEX('Retirement Calculator'!K:K,MATCH('Lorri 401b'!N4331,'Retirement Calculator'!A:A,0),0),0)</f>
        <v>0</v>
      </c>
      <c r="K4331" s="455">
        <f t="shared" ca="1" si="163"/>
        <v>-115156292537.30023</v>
      </c>
      <c r="L4331" s="455">
        <f t="shared" ca="1" si="164"/>
        <v>-27752666501489.359</v>
      </c>
      <c r="M4331" s="471">
        <f t="shared" si="166"/>
        <v>0.05</v>
      </c>
      <c r="N4331" s="475">
        <f t="shared" si="167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65"/>
        <v>-27752666501489.359</v>
      </c>
      <c r="J4332" s="455">
        <f t="array" ref="J4332">IFERROR(INDEX('Retirement Calculator'!K:K,MATCH('Lorri 401b'!N4332,'Retirement Calculator'!A:A,0),0),0)</f>
        <v>0</v>
      </c>
      <c r="K4332" s="455">
        <f t="shared" ca="1" si="163"/>
        <v>-115636110422.87233</v>
      </c>
      <c r="L4332" s="455">
        <f t="shared" ca="1" si="164"/>
        <v>-27868302611912.23</v>
      </c>
      <c r="M4332" s="471">
        <f t="shared" si="166"/>
        <v>0.05</v>
      </c>
      <c r="N4332" s="475">
        <f t="shared" si="167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65"/>
        <v>-27868302611912.23</v>
      </c>
      <c r="J4333" s="455">
        <f t="array" ref="J4333">IFERROR(INDEX('Retirement Calculator'!K:K,MATCH('Lorri 401b'!N4333,'Retirement Calculator'!A:A,0),0),0)</f>
        <v>0</v>
      </c>
      <c r="K4333" s="455">
        <f t="shared" ca="1" si="163"/>
        <v>-116117927549.63429</v>
      </c>
      <c r="L4333" s="455">
        <f t="shared" ca="1" si="164"/>
        <v>-27984420539461.863</v>
      </c>
      <c r="M4333" s="471">
        <f t="shared" si="166"/>
        <v>0.05</v>
      </c>
      <c r="N4333" s="475">
        <f t="shared" si="167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65"/>
        <v>-27984420539461.863</v>
      </c>
      <c r="J4334" s="455">
        <f t="array" ref="J4334">IFERROR(INDEX('Retirement Calculator'!K:K,MATCH('Lorri 401b'!N4334,'Retirement Calculator'!A:A,0),0),0)</f>
        <v>0</v>
      </c>
      <c r="K4334" s="455">
        <f t="shared" ca="1" si="163"/>
        <v>-116601752247.75777</v>
      </c>
      <c r="L4334" s="455">
        <f t="shared" ca="1" si="164"/>
        <v>-28101022291709.621</v>
      </c>
      <c r="M4334" s="471">
        <f t="shared" si="166"/>
        <v>0.05</v>
      </c>
      <c r="N4334" s="475">
        <f t="shared" si="167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65"/>
        <v>-28101022291709.621</v>
      </c>
      <c r="J4335" s="455">
        <f t="array" ref="J4335">IFERROR(INDEX('Retirement Calculator'!K:K,MATCH('Lorri 401b'!N4335,'Retirement Calculator'!A:A,0),0),0)</f>
        <v>0</v>
      </c>
      <c r="K4335" s="455">
        <f t="shared" ca="1" si="163"/>
        <v>-117087592882.12341</v>
      </c>
      <c r="L4335" s="455">
        <f t="shared" ca="1" si="164"/>
        <v>-28218109884591.746</v>
      </c>
      <c r="M4335" s="471">
        <f t="shared" si="166"/>
        <v>0.05</v>
      </c>
      <c r="N4335" s="475">
        <f t="shared" si="167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65"/>
        <v>-28218109884591.746</v>
      </c>
      <c r="J4336" s="455">
        <f t="array" ref="J4336">IFERROR(INDEX('Retirement Calculator'!K:K,MATCH('Lorri 401b'!N4336,'Retirement Calculator'!A:A,0),0),0)</f>
        <v>0</v>
      </c>
      <c r="K4336" s="455">
        <f t="shared" ca="1" si="163"/>
        <v>-117575457852.46561</v>
      </c>
      <c r="L4336" s="455">
        <f t="shared" ca="1" si="164"/>
        <v>-28335685342444.211</v>
      </c>
      <c r="M4336" s="471">
        <f t="shared" si="166"/>
        <v>0.05</v>
      </c>
      <c r="N4336" s="475">
        <f t="shared" si="167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65"/>
        <v>-28335685342444.211</v>
      </c>
      <c r="J4337" s="455">
        <f t="array" ref="J4337">IFERROR(INDEX('Retirement Calculator'!K:K,MATCH('Lorri 401b'!N4337,'Retirement Calculator'!A:A,0),0),0)</f>
        <v>0</v>
      </c>
      <c r="K4337" s="455">
        <f t="shared" ca="1" si="163"/>
        <v>-118065355593.51755</v>
      </c>
      <c r="L4337" s="455">
        <f t="shared" ca="1" si="164"/>
        <v>-28453750698037.727</v>
      </c>
      <c r="M4337" s="471">
        <f t="shared" si="166"/>
        <v>0.05</v>
      </c>
      <c r="N4337" s="475">
        <f t="shared" si="167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65"/>
        <v>-28453750698037.727</v>
      </c>
      <c r="J4338" s="455">
        <f t="array" ref="J4338">IFERROR(INDEX('Retirement Calculator'!K:K,MATCH('Lorri 401b'!N4338,'Retirement Calculator'!A:A,0),0),0)</f>
        <v>0</v>
      </c>
      <c r="K4338" s="455">
        <f t="shared" ca="1" si="163"/>
        <v>-118557294575.1572</v>
      </c>
      <c r="L4338" s="455">
        <f t="shared" ca="1" si="164"/>
        <v>-28572307992612.883</v>
      </c>
      <c r="M4338" s="471">
        <f t="shared" si="166"/>
        <v>0.05</v>
      </c>
      <c r="N4338" s="475">
        <f t="shared" si="167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65"/>
        <v>-28572307992612.883</v>
      </c>
      <c r="J4339" s="455">
        <f t="array" ref="J4339">IFERROR(INDEX('Retirement Calculator'!K:K,MATCH('Lorri 401b'!N4339,'Retirement Calculator'!A:A,0),0),0)</f>
        <v>0</v>
      </c>
      <c r="K4339" s="455">
        <f t="shared" ca="1" si="163"/>
        <v>-119051283302.55368</v>
      </c>
      <c r="L4339" s="455">
        <f t="shared" ca="1" si="164"/>
        <v>-28691359275915.438</v>
      </c>
      <c r="M4339" s="471">
        <f t="shared" si="166"/>
        <v>0.05</v>
      </c>
      <c r="N4339" s="475">
        <f t="shared" si="167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65"/>
        <v>-28691359275915.438</v>
      </c>
      <c r="J4340" s="455">
        <f t="array" ref="J4340">IFERROR(INDEX('Retirement Calculator'!K:K,MATCH('Lorri 401b'!N4340,'Retirement Calculator'!A:A,0),0),0)</f>
        <v>0</v>
      </c>
      <c r="K4340" s="455">
        <f t="shared" ca="1" si="163"/>
        <v>-119547330316.31433</v>
      </c>
      <c r="L4340" s="455">
        <f t="shared" ca="1" si="164"/>
        <v>-28810906606231.75</v>
      </c>
      <c r="M4340" s="471">
        <f t="shared" si="166"/>
        <v>0.05</v>
      </c>
      <c r="N4340" s="475">
        <f t="shared" si="167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65"/>
        <v>-28810906606231.75</v>
      </c>
      <c r="J4341" s="455">
        <f t="array" ref="J4341">IFERROR(INDEX('Retirement Calculator'!K:K,MATCH('Lorri 401b'!N4341,'Retirement Calculator'!A:A,0),0),0)</f>
        <v>0</v>
      </c>
      <c r="K4341" s="455">
        <f t="shared" ca="1" si="163"/>
        <v>-120045444192.63229</v>
      </c>
      <c r="L4341" s="455">
        <f t="shared" ca="1" si="164"/>
        <v>-28930952050424.383</v>
      </c>
      <c r="M4341" s="471">
        <f t="shared" si="166"/>
        <v>0.05</v>
      </c>
      <c r="N4341" s="475">
        <f t="shared" si="167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65"/>
        <v>-28930952050424.383</v>
      </c>
      <c r="J4342" s="455">
        <f t="array" ref="J4342">IFERROR(INDEX('Retirement Calculator'!K:K,MATCH('Lorri 401b'!N4342,'Retirement Calculator'!A:A,0),0),0)</f>
        <v>0</v>
      </c>
      <c r="K4342" s="455">
        <f t="shared" ca="1" si="163"/>
        <v>-120545633543.43494</v>
      </c>
      <c r="L4342" s="455">
        <f t="shared" ca="1" si="164"/>
        <v>-29051497683967.816</v>
      </c>
      <c r="M4342" s="471">
        <f t="shared" si="166"/>
        <v>0.05</v>
      </c>
      <c r="N4342" s="475">
        <f t="shared" si="167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65"/>
        <v>-29051497683967.816</v>
      </c>
      <c r="J4343" s="455">
        <f t="array" ref="J4343">IFERROR(INDEX('Retirement Calculator'!K:K,MATCH('Lorri 401b'!N4343,'Retirement Calculator'!A:A,0),0),0)</f>
        <v>0</v>
      </c>
      <c r="K4343" s="455">
        <f t="shared" ref="K4343:K4597" ca="1" si="168">IPMT(M4343/12,1,12,-I4343+J4343,,0)</f>
        <v>-121047907016.53256</v>
      </c>
      <c r="L4343" s="455">
        <f t="shared" ref="L4343:L4597" ca="1" si="169">I4343-J4343+K4343</f>
        <v>-29172545590984.348</v>
      </c>
      <c r="M4343" s="471">
        <f t="shared" si="166"/>
        <v>0.05</v>
      </c>
      <c r="N4343" s="475">
        <f t="shared" si="167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70">L4343</f>
        <v>-29172545590984.348</v>
      </c>
      <c r="J4344" s="455">
        <f t="array" ref="J4344">IFERROR(INDEX('Retirement Calculator'!K:K,MATCH('Lorri 401b'!N4344,'Retirement Calculator'!A:A,0),0),0)</f>
        <v>0</v>
      </c>
      <c r="K4344" s="455">
        <f t="shared" ca="1" si="168"/>
        <v>-121552273295.76813</v>
      </c>
      <c r="L4344" s="455">
        <f t="shared" ca="1" si="169"/>
        <v>-29294097864280.117</v>
      </c>
      <c r="M4344" s="471">
        <f t="shared" ref="M4344:M4598" si="171">M4343</f>
        <v>0.05</v>
      </c>
      <c r="N4344" s="475">
        <f t="shared" ref="N4344:N4598" si="172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70"/>
        <v>-29294097864280.117</v>
      </c>
      <c r="J4345" s="455">
        <f t="array" ref="J4345">IFERROR(INDEX('Retirement Calculator'!K:K,MATCH('Lorri 401b'!N4345,'Retirement Calculator'!A:A,0),0),0)</f>
        <v>0</v>
      </c>
      <c r="K4345" s="455">
        <f t="shared" ca="1" si="168"/>
        <v>-122058741101.16716</v>
      </c>
      <c r="L4345" s="455">
        <f t="shared" ca="1" si="169"/>
        <v>-29416156605381.285</v>
      </c>
      <c r="M4345" s="471">
        <f t="shared" si="171"/>
        <v>0.05</v>
      </c>
      <c r="N4345" s="475">
        <f t="shared" si="172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70"/>
        <v>-29416156605381.285</v>
      </c>
      <c r="J4346" s="455">
        <f t="array" ref="J4346">IFERROR(INDEX('Retirement Calculator'!K:K,MATCH('Lorri 401b'!N4346,'Retirement Calculator'!A:A,0),0),0)</f>
        <v>0</v>
      </c>
      <c r="K4346" s="455">
        <f t="shared" ca="1" si="168"/>
        <v>-122567319189.08868</v>
      </c>
      <c r="L4346" s="455">
        <f t="shared" ca="1" si="169"/>
        <v>-29538723924570.375</v>
      </c>
      <c r="M4346" s="471">
        <f t="shared" si="171"/>
        <v>0.05</v>
      </c>
      <c r="N4346" s="475">
        <f t="shared" si="172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70"/>
        <v>-29538723924570.375</v>
      </c>
      <c r="J4347" s="455">
        <f t="array" ref="J4347">IFERROR(INDEX('Retirement Calculator'!K:K,MATCH('Lorri 401b'!N4347,'Retirement Calculator'!A:A,0),0),0)</f>
        <v>0</v>
      </c>
      <c r="K4347" s="455">
        <f t="shared" ca="1" si="168"/>
        <v>-123078016352.37656</v>
      </c>
      <c r="L4347" s="455">
        <f t="shared" ca="1" si="169"/>
        <v>-29661801940922.75</v>
      </c>
      <c r="M4347" s="471">
        <f t="shared" si="171"/>
        <v>0.05</v>
      </c>
      <c r="N4347" s="475">
        <f t="shared" si="172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70"/>
        <v>-29661801940922.75</v>
      </c>
      <c r="J4348" s="455">
        <f t="array" ref="J4348">IFERROR(INDEX('Retirement Calculator'!K:K,MATCH('Lorri 401b'!N4348,'Retirement Calculator'!A:A,0),0),0)</f>
        <v>0</v>
      </c>
      <c r="K4348" s="455">
        <f t="shared" ca="1" si="168"/>
        <v>-123590841420.51144</v>
      </c>
      <c r="L4348" s="455">
        <f t="shared" ca="1" si="169"/>
        <v>-29785392782343.262</v>
      </c>
      <c r="M4348" s="471">
        <f t="shared" si="171"/>
        <v>0.05</v>
      </c>
      <c r="N4348" s="475">
        <f t="shared" si="172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70"/>
        <v>-29785392782343.262</v>
      </c>
      <c r="J4349" s="455">
        <f t="array" ref="J4349">IFERROR(INDEX('Retirement Calculator'!K:K,MATCH('Lorri 401b'!N4349,'Retirement Calculator'!A:A,0),0),0)</f>
        <v>0</v>
      </c>
      <c r="K4349" s="455">
        <f t="shared" ca="1" si="168"/>
        <v>-124105803259.7636</v>
      </c>
      <c r="L4349" s="455">
        <f t="shared" ca="1" si="169"/>
        <v>-29909498585603.023</v>
      </c>
      <c r="M4349" s="471">
        <f t="shared" si="171"/>
        <v>0.05</v>
      </c>
      <c r="N4349" s="475">
        <f t="shared" si="172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70"/>
        <v>-29909498585603.023</v>
      </c>
      <c r="J4350" s="455">
        <f t="array" ref="J4350">IFERROR(INDEX('Retirement Calculator'!K:K,MATCH('Lorri 401b'!N4350,'Retirement Calculator'!A:A,0),0),0)</f>
        <v>0</v>
      </c>
      <c r="K4350" s="455">
        <f t="shared" ca="1" si="168"/>
        <v>-124622910773.34593</v>
      </c>
      <c r="L4350" s="455">
        <f t="shared" ca="1" si="169"/>
        <v>-30034121496376.371</v>
      </c>
      <c r="M4350" s="471">
        <f t="shared" si="171"/>
        <v>0.05</v>
      </c>
      <c r="N4350" s="475">
        <f t="shared" si="172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70"/>
        <v>-30034121496376.371</v>
      </c>
      <c r="J4351" s="455">
        <f t="array" ref="J4351">IFERROR(INDEX('Retirement Calculator'!K:K,MATCH('Lorri 401b'!N4351,'Retirement Calculator'!A:A,0),0),0)</f>
        <v>0</v>
      </c>
      <c r="K4351" s="455">
        <f t="shared" ca="1" si="168"/>
        <v>-125142172901.56821</v>
      </c>
      <c r="L4351" s="455">
        <f t="shared" ca="1" si="169"/>
        <v>-30159263669277.938</v>
      </c>
      <c r="M4351" s="471">
        <f t="shared" si="171"/>
        <v>0.05</v>
      </c>
      <c r="N4351" s="475">
        <f t="shared" si="172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70"/>
        <v>-30159263669277.938</v>
      </c>
      <c r="J4352" s="455">
        <f t="array" ref="J4352">IFERROR(INDEX('Retirement Calculator'!K:K,MATCH('Lorri 401b'!N4352,'Retirement Calculator'!A:A,0),0),0)</f>
        <v>0</v>
      </c>
      <c r="K4352" s="455">
        <f t="shared" ca="1" si="168"/>
        <v>-125663598621.99142</v>
      </c>
      <c r="L4352" s="455">
        <f t="shared" ca="1" si="169"/>
        <v>-30284927267899.93</v>
      </c>
      <c r="M4352" s="471">
        <f t="shared" si="171"/>
        <v>0.05</v>
      </c>
      <c r="N4352" s="475">
        <f t="shared" si="172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70"/>
        <v>-30284927267899.93</v>
      </c>
      <c r="J4353" s="455">
        <f t="array" ref="J4353">IFERROR(INDEX('Retirement Calculator'!K:K,MATCH('Lorri 401b'!N4353,'Retirement Calculator'!A:A,0),0),0)</f>
        <v>0</v>
      </c>
      <c r="K4353" s="455">
        <f t="shared" ca="1" si="168"/>
        <v>-126187196949.58304</v>
      </c>
      <c r="L4353" s="455">
        <f t="shared" ca="1" si="169"/>
        <v>-30411114464849.512</v>
      </c>
      <c r="M4353" s="471">
        <f t="shared" si="171"/>
        <v>0.05</v>
      </c>
      <c r="N4353" s="475">
        <f t="shared" si="172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70"/>
        <v>-30411114464849.512</v>
      </c>
      <c r="J4354" s="455">
        <f t="array" ref="J4354">IFERROR(INDEX('Retirement Calculator'!K:K,MATCH('Lorri 401b'!N4354,'Retirement Calculator'!A:A,0),0),0)</f>
        <v>0</v>
      </c>
      <c r="K4354" s="455">
        <f t="shared" ca="1" si="168"/>
        <v>-126712976936.87297</v>
      </c>
      <c r="L4354" s="455">
        <f t="shared" ca="1" si="169"/>
        <v>-30537827441786.383</v>
      </c>
      <c r="M4354" s="471">
        <f t="shared" si="171"/>
        <v>0.05</v>
      </c>
      <c r="N4354" s="475">
        <f t="shared" si="172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70"/>
        <v>-30537827441786.383</v>
      </c>
      <c r="J4355" s="455">
        <f t="array" ref="J4355">IFERROR(INDEX('Retirement Calculator'!K:K,MATCH('Lorri 401b'!N4355,'Retirement Calculator'!A:A,0),0),0)</f>
        <v>0</v>
      </c>
      <c r="K4355" s="455">
        <f t="shared" ca="1" si="168"/>
        <v>-127240947674.10994</v>
      </c>
      <c r="L4355" s="455">
        <f t="shared" ca="1" si="169"/>
        <v>-30665068389460.492</v>
      </c>
      <c r="M4355" s="471">
        <f t="shared" si="171"/>
        <v>0.05</v>
      </c>
      <c r="N4355" s="475">
        <f t="shared" si="172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70"/>
        <v>-30665068389460.492</v>
      </c>
      <c r="J4356" s="455">
        <f t="array" ref="J4356">IFERROR(INDEX('Retirement Calculator'!K:K,MATCH('Lorri 401b'!N4356,'Retirement Calculator'!A:A,0),0),0)</f>
        <v>0</v>
      </c>
      <c r="K4356" s="455">
        <f t="shared" ca="1" si="168"/>
        <v>-127771118289.41872</v>
      </c>
      <c r="L4356" s="455">
        <f t="shared" ca="1" si="169"/>
        <v>-30792839507749.91</v>
      </c>
      <c r="M4356" s="471">
        <f t="shared" si="171"/>
        <v>0.05</v>
      </c>
      <c r="N4356" s="475">
        <f t="shared" si="172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70"/>
        <v>-30792839507749.91</v>
      </c>
      <c r="J4357" s="455">
        <f t="array" ref="J4357">IFERROR(INDEX('Retirement Calculator'!K:K,MATCH('Lorri 401b'!N4357,'Retirement Calculator'!A:A,0),0),0)</f>
        <v>0</v>
      </c>
      <c r="K4357" s="455">
        <f t="shared" ca="1" si="168"/>
        <v>-128303497948.95796</v>
      </c>
      <c r="L4357" s="455">
        <f t="shared" ca="1" si="169"/>
        <v>-30921143005698.867</v>
      </c>
      <c r="M4357" s="471">
        <f t="shared" si="171"/>
        <v>0.05</v>
      </c>
      <c r="N4357" s="475">
        <f t="shared" si="172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70"/>
        <v>-30921143005698.867</v>
      </c>
      <c r="J4358" s="455">
        <f t="array" ref="J4358">IFERROR(INDEX('Retirement Calculator'!K:K,MATCH('Lorri 401b'!N4358,'Retirement Calculator'!A:A,0),0),0)</f>
        <v>0</v>
      </c>
      <c r="K4358" s="455">
        <f t="shared" ca="1" si="168"/>
        <v>-128838095857.07861</v>
      </c>
      <c r="L4358" s="455">
        <f t="shared" ca="1" si="169"/>
        <v>-31049981101555.945</v>
      </c>
      <c r="M4358" s="471">
        <f t="shared" si="171"/>
        <v>0.05</v>
      </c>
      <c r="N4358" s="475">
        <f t="shared" si="172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70"/>
        <v>-31049981101555.945</v>
      </c>
      <c r="J4359" s="455">
        <f t="array" ref="J4359">IFERROR(INDEX('Retirement Calculator'!K:K,MATCH('Lorri 401b'!N4359,'Retirement Calculator'!A:A,0),0),0)</f>
        <v>0</v>
      </c>
      <c r="K4359" s="455">
        <f t="shared" ca="1" si="168"/>
        <v>-129374921256.48309</v>
      </c>
      <c r="L4359" s="455">
        <f t="shared" ca="1" si="169"/>
        <v>-31179356022812.43</v>
      </c>
      <c r="M4359" s="471">
        <f t="shared" si="171"/>
        <v>0.05</v>
      </c>
      <c r="N4359" s="475">
        <f t="shared" si="172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70"/>
        <v>-31179356022812.43</v>
      </c>
      <c r="J4360" s="455">
        <f t="array" ref="J4360">IFERROR(INDEX('Retirement Calculator'!K:K,MATCH('Lorri 401b'!N4360,'Retirement Calculator'!A:A,0),0),0)</f>
        <v>0</v>
      </c>
      <c r="K4360" s="455">
        <f t="shared" ca="1" si="168"/>
        <v>-129913983428.38512</v>
      </c>
      <c r="L4360" s="455">
        <f t="shared" ca="1" si="169"/>
        <v>-31309270006240.816</v>
      </c>
      <c r="M4360" s="471">
        <f t="shared" si="171"/>
        <v>0.05</v>
      </c>
      <c r="N4360" s="475">
        <f t="shared" si="172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70"/>
        <v>-31309270006240.816</v>
      </c>
      <c r="J4361" s="455">
        <f t="array" ref="J4361">IFERROR(INDEX('Retirement Calculator'!K:K,MATCH('Lorri 401b'!N4361,'Retirement Calculator'!A:A,0),0),0)</f>
        <v>0</v>
      </c>
      <c r="K4361" s="455">
        <f t="shared" ca="1" si="168"/>
        <v>-130455291692.67006</v>
      </c>
      <c r="L4361" s="455">
        <f t="shared" ca="1" si="169"/>
        <v>-31439725297933.488</v>
      </c>
      <c r="M4361" s="471">
        <f t="shared" si="171"/>
        <v>0.05</v>
      </c>
      <c r="N4361" s="475">
        <f t="shared" si="172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70"/>
        <v>-31439725297933.488</v>
      </c>
      <c r="J4362" s="455">
        <f t="array" ref="J4362">IFERROR(INDEX('Retirement Calculator'!K:K,MATCH('Lorri 401b'!N4362,'Retirement Calculator'!A:A,0),0),0)</f>
        <v>0</v>
      </c>
      <c r="K4362" s="455">
        <f t="shared" ca="1" si="168"/>
        <v>-130998855408.0562</v>
      </c>
      <c r="L4362" s="455">
        <f t="shared" ca="1" si="169"/>
        <v>-31570724153341.543</v>
      </c>
      <c r="M4362" s="471">
        <f t="shared" si="171"/>
        <v>0.05</v>
      </c>
      <c r="N4362" s="475">
        <f t="shared" si="172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70"/>
        <v>-31570724153341.543</v>
      </c>
      <c r="J4363" s="455">
        <f t="array" ref="J4363">IFERROR(INDEX('Retirement Calculator'!K:K,MATCH('Lorri 401b'!N4363,'Retirement Calculator'!A:A,0),0),0)</f>
        <v>0</v>
      </c>
      <c r="K4363" s="455">
        <f t="shared" ca="1" si="168"/>
        <v>-131544683972.25644</v>
      </c>
      <c r="L4363" s="455">
        <f t="shared" ca="1" si="169"/>
        <v>-31702268837313.801</v>
      </c>
      <c r="M4363" s="471">
        <f t="shared" si="171"/>
        <v>0.05</v>
      </c>
      <c r="N4363" s="475">
        <f t="shared" si="172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70"/>
        <v>-31702268837313.801</v>
      </c>
      <c r="J4364" s="455">
        <f t="array" ref="J4364">IFERROR(INDEX('Retirement Calculator'!K:K,MATCH('Lorri 401b'!N4364,'Retirement Calculator'!A:A,0),0),0)</f>
        <v>0</v>
      </c>
      <c r="K4364" s="455">
        <f t="shared" ca="1" si="168"/>
        <v>-132092786822.14084</v>
      </c>
      <c r="L4364" s="455">
        <f t="shared" ca="1" si="169"/>
        <v>-31834361624135.941</v>
      </c>
      <c r="M4364" s="471">
        <f t="shared" si="171"/>
        <v>0.05</v>
      </c>
      <c r="N4364" s="475">
        <f t="shared" si="172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70"/>
        <v>-31834361624135.941</v>
      </c>
      <c r="J4365" s="455">
        <f t="array" ref="J4365">IFERROR(INDEX('Retirement Calculator'!K:K,MATCH('Lorri 401b'!N4365,'Retirement Calculator'!A:A,0),0),0)</f>
        <v>0</v>
      </c>
      <c r="K4365" s="455">
        <f t="shared" ca="1" si="168"/>
        <v>-132643173433.89973</v>
      </c>
      <c r="L4365" s="455">
        <f t="shared" ca="1" si="169"/>
        <v>-31967004797569.84</v>
      </c>
      <c r="M4365" s="471">
        <f t="shared" si="171"/>
        <v>0.05</v>
      </c>
      <c r="N4365" s="475">
        <f t="shared" si="172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70"/>
        <v>-31967004797569.84</v>
      </c>
      <c r="J4366" s="455">
        <f t="array" ref="J4366">IFERROR(INDEX('Retirement Calculator'!K:K,MATCH('Lorri 401b'!N4366,'Retirement Calculator'!A:A,0),0),0)</f>
        <v>0</v>
      </c>
      <c r="K4366" s="455">
        <f t="shared" ca="1" si="168"/>
        <v>-133195853323.20766</v>
      </c>
      <c r="L4366" s="455">
        <f t="shared" ca="1" si="169"/>
        <v>-32100200650893.047</v>
      </c>
      <c r="M4366" s="471">
        <f t="shared" si="171"/>
        <v>0.05</v>
      </c>
      <c r="N4366" s="475">
        <f t="shared" si="172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70"/>
        <v>-32100200650893.047</v>
      </c>
      <c r="J4367" s="455">
        <f t="array" ref="J4367">IFERROR(INDEX('Retirement Calculator'!K:K,MATCH('Lorri 401b'!N4367,'Retirement Calculator'!A:A,0),0),0)</f>
        <v>0</v>
      </c>
      <c r="K4367" s="455">
        <f t="shared" ca="1" si="168"/>
        <v>-133750836045.3877</v>
      </c>
      <c r="L4367" s="455">
        <f t="shared" ca="1" si="169"/>
        <v>-32233951486938.434</v>
      </c>
      <c r="M4367" s="471">
        <f t="shared" si="171"/>
        <v>0.05</v>
      </c>
      <c r="N4367" s="475">
        <f t="shared" si="172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70"/>
        <v>-32233951486938.434</v>
      </c>
      <c r="J4368" s="455">
        <f t="array" ref="J4368">IFERROR(INDEX('Retirement Calculator'!K:K,MATCH('Lorri 401b'!N4368,'Retirement Calculator'!A:A,0),0),0)</f>
        <v>0</v>
      </c>
      <c r="K4368" s="455">
        <f t="shared" ca="1" si="168"/>
        <v>-134308131195.57683</v>
      </c>
      <c r="L4368" s="455">
        <f t="shared" ca="1" si="169"/>
        <v>-32368259618134.012</v>
      </c>
      <c r="M4368" s="471">
        <f t="shared" si="171"/>
        <v>0.05</v>
      </c>
      <c r="N4368" s="475">
        <f t="shared" si="172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70"/>
        <v>-32368259618134.012</v>
      </c>
      <c r="J4369" s="455">
        <f t="array" ref="J4369">IFERROR(INDEX('Retirement Calculator'!K:K,MATCH('Lorri 401b'!N4369,'Retirement Calculator'!A:A,0),0),0)</f>
        <v>0</v>
      </c>
      <c r="K4369" s="455">
        <f t="shared" ca="1" si="168"/>
        <v>-134867748408.89171</v>
      </c>
      <c r="L4369" s="455">
        <f t="shared" ca="1" si="169"/>
        <v>-32503127366542.902</v>
      </c>
      <c r="M4369" s="471">
        <f t="shared" si="171"/>
        <v>0.05</v>
      </c>
      <c r="N4369" s="475">
        <f t="shared" si="172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70"/>
        <v>-32503127366542.902</v>
      </c>
      <c r="J4370" s="455">
        <f t="array" ref="J4370">IFERROR(INDEX('Retirement Calculator'!K:K,MATCH('Lorri 401b'!N4370,'Retirement Calculator'!A:A,0),0),0)</f>
        <v>0</v>
      </c>
      <c r="K4370" s="455">
        <f t="shared" ca="1" si="168"/>
        <v>-135429697360.59543</v>
      </c>
      <c r="L4370" s="455">
        <f t="shared" ca="1" si="169"/>
        <v>-32638557063903.496</v>
      </c>
      <c r="M4370" s="471">
        <f t="shared" si="171"/>
        <v>0.05</v>
      </c>
      <c r="N4370" s="475">
        <f t="shared" si="172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70"/>
        <v>-32638557063903.496</v>
      </c>
      <c r="J4371" s="455">
        <f t="array" ref="J4371">IFERROR(INDEX('Retirement Calculator'!K:K,MATCH('Lorri 401b'!N4371,'Retirement Calculator'!A:A,0),0),0)</f>
        <v>0</v>
      </c>
      <c r="K4371" s="455">
        <f t="shared" ca="1" si="168"/>
        <v>-135993987766.26454</v>
      </c>
      <c r="L4371" s="455">
        <f t="shared" ca="1" si="169"/>
        <v>-32774551051669.762</v>
      </c>
      <c r="M4371" s="471">
        <f t="shared" si="171"/>
        <v>0.05</v>
      </c>
      <c r="N4371" s="475">
        <f t="shared" si="172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70"/>
        <v>-32774551051669.762</v>
      </c>
      <c r="J4372" s="455">
        <f t="array" ref="J4372">IFERROR(INDEX('Retirement Calculator'!K:K,MATCH('Lorri 401b'!N4372,'Retirement Calculator'!A:A,0),0),0)</f>
        <v>0</v>
      </c>
      <c r="K4372" s="455">
        <f t="shared" ca="1" si="168"/>
        <v>-136560629381.95734</v>
      </c>
      <c r="L4372" s="455">
        <f t="shared" ca="1" si="169"/>
        <v>-32911111681051.719</v>
      </c>
      <c r="M4372" s="471">
        <f t="shared" si="171"/>
        <v>0.05</v>
      </c>
      <c r="N4372" s="475">
        <f t="shared" si="172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70"/>
        <v>-32911111681051.719</v>
      </c>
      <c r="J4373" s="455">
        <f t="array" ref="J4373">IFERROR(INDEX('Retirement Calculator'!K:K,MATCH('Lorri 401b'!N4373,'Retirement Calculator'!A:A,0),0),0)</f>
        <v>0</v>
      </c>
      <c r="K4373" s="455">
        <f t="shared" ca="1" si="168"/>
        <v>-137129632004.38216</v>
      </c>
      <c r="L4373" s="455">
        <f t="shared" ca="1" si="169"/>
        <v>-33048241313056.102</v>
      </c>
      <c r="M4373" s="471">
        <f t="shared" si="171"/>
        <v>0.05</v>
      </c>
      <c r="N4373" s="475">
        <f t="shared" si="172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70"/>
        <v>-33048241313056.102</v>
      </c>
      <c r="J4374" s="455">
        <f t="array" ref="J4374">IFERROR(INDEX('Retirement Calculator'!K:K,MATCH('Lorri 401b'!N4374,'Retirement Calculator'!A:A,0),0),0)</f>
        <v>0</v>
      </c>
      <c r="K4374" s="455">
        <f t="shared" ca="1" si="168"/>
        <v>-137701005471.06708</v>
      </c>
      <c r="L4374" s="455">
        <f t="shared" ca="1" si="169"/>
        <v>-33185942318527.168</v>
      </c>
      <c r="M4374" s="471">
        <f t="shared" si="171"/>
        <v>0.05</v>
      </c>
      <c r="N4374" s="475">
        <f t="shared" si="172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70"/>
        <v>-33185942318527.168</v>
      </c>
      <c r="J4375" s="455">
        <f t="array" ref="J4375">IFERROR(INDEX('Retirement Calculator'!K:K,MATCH('Lorri 401b'!N4375,'Retirement Calculator'!A:A,0),0),0)</f>
        <v>0</v>
      </c>
      <c r="K4375" s="455">
        <f t="shared" ca="1" si="168"/>
        <v>-138274759660.52988</v>
      </c>
      <c r="L4375" s="455">
        <f t="shared" ca="1" si="169"/>
        <v>-33324217078187.699</v>
      </c>
      <c r="M4375" s="471">
        <f t="shared" si="171"/>
        <v>0.05</v>
      </c>
      <c r="N4375" s="475">
        <f t="shared" si="172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70"/>
        <v>-33324217078187.699</v>
      </c>
      <c r="J4376" s="455">
        <f t="array" ref="J4376">IFERROR(INDEX('Retirement Calculator'!K:K,MATCH('Lorri 401b'!N4376,'Retirement Calculator'!A:A,0),0),0)</f>
        <v>0</v>
      </c>
      <c r="K4376" s="455">
        <f t="shared" ca="1" si="168"/>
        <v>-138850904492.44873</v>
      </c>
      <c r="L4376" s="455">
        <f t="shared" ca="1" si="169"/>
        <v>-33463067982680.148</v>
      </c>
      <c r="M4376" s="471">
        <f t="shared" si="171"/>
        <v>0.05</v>
      </c>
      <c r="N4376" s="475">
        <f t="shared" si="172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70"/>
        <v>-33463067982680.148</v>
      </c>
      <c r="J4377" s="455">
        <f t="array" ref="J4377">IFERROR(INDEX('Retirement Calculator'!K:K,MATCH('Lorri 401b'!N4377,'Retirement Calculator'!A:A,0),0),0)</f>
        <v>0</v>
      </c>
      <c r="K4377" s="455">
        <f t="shared" ca="1" si="168"/>
        <v>-139429449927.83395</v>
      </c>
      <c r="L4377" s="455">
        <f t="shared" ca="1" si="169"/>
        <v>-33602497432607.98</v>
      </c>
      <c r="M4377" s="471">
        <f t="shared" si="171"/>
        <v>0.05</v>
      </c>
      <c r="N4377" s="475">
        <f t="shared" si="172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70"/>
        <v>-33602497432607.98</v>
      </c>
      <c r="J4378" s="455">
        <f t="array" ref="J4378">IFERROR(INDEX('Retirement Calculator'!K:K,MATCH('Lorri 401b'!N4378,'Retirement Calculator'!A:A,0),0),0)</f>
        <v>0</v>
      </c>
      <c r="K4378" s="455">
        <f t="shared" ca="1" si="168"/>
        <v>-140010405969.19992</v>
      </c>
      <c r="L4378" s="455">
        <f t="shared" ca="1" si="169"/>
        <v>-33742507838577.18</v>
      </c>
      <c r="M4378" s="471">
        <f t="shared" si="171"/>
        <v>0.05</v>
      </c>
      <c r="N4378" s="475">
        <f t="shared" si="172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70"/>
        <v>-33742507838577.18</v>
      </c>
      <c r="J4379" s="455">
        <f t="array" ref="J4379">IFERROR(INDEX('Retirement Calculator'!K:K,MATCH('Lorri 401b'!N4379,'Retirement Calculator'!A:A,0),0),0)</f>
        <v>0</v>
      </c>
      <c r="K4379" s="455">
        <f t="shared" ca="1" si="168"/>
        <v>-140593782660.73825</v>
      </c>
      <c r="L4379" s="455">
        <f t="shared" ca="1" si="169"/>
        <v>-33883101621237.918</v>
      </c>
      <c r="M4379" s="471">
        <f t="shared" si="171"/>
        <v>0.05</v>
      </c>
      <c r="N4379" s="475">
        <f t="shared" si="172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70"/>
        <v>-33883101621237.918</v>
      </c>
      <c r="J4380" s="455">
        <f t="array" ref="J4380">IFERROR(INDEX('Retirement Calculator'!K:K,MATCH('Lorri 401b'!N4380,'Retirement Calculator'!A:A,0),0),0)</f>
        <v>0</v>
      </c>
      <c r="K4380" s="455">
        <f t="shared" ca="1" si="168"/>
        <v>-141179590088.49133</v>
      </c>
      <c r="L4380" s="455">
        <f t="shared" ca="1" si="169"/>
        <v>-34024281211326.41</v>
      </c>
      <c r="M4380" s="471">
        <f t="shared" si="171"/>
        <v>0.05</v>
      </c>
      <c r="N4380" s="475">
        <f t="shared" si="172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70"/>
        <v>-34024281211326.41</v>
      </c>
      <c r="J4381" s="455">
        <f t="array" ref="J4381">IFERROR(INDEX('Retirement Calculator'!K:K,MATCH('Lorri 401b'!N4381,'Retirement Calculator'!A:A,0),0),0)</f>
        <v>0</v>
      </c>
      <c r="K4381" s="455">
        <f t="shared" ca="1" si="168"/>
        <v>-141767838380.5267</v>
      </c>
      <c r="L4381" s="455">
        <f t="shared" ca="1" si="169"/>
        <v>-34166049049706.938</v>
      </c>
      <c r="M4381" s="471">
        <f t="shared" si="171"/>
        <v>0.05</v>
      </c>
      <c r="N4381" s="475">
        <f t="shared" si="172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70"/>
        <v>-34166049049706.938</v>
      </c>
      <c r="J4382" s="455">
        <f t="array" ref="J4382">IFERROR(INDEX('Retirement Calculator'!K:K,MATCH('Lorri 401b'!N4382,'Retirement Calculator'!A:A,0),0),0)</f>
        <v>0</v>
      </c>
      <c r="K4382" s="455">
        <f t="shared" ca="1" si="168"/>
        <v>-142358537707.11224</v>
      </c>
      <c r="L4382" s="455">
        <f t="shared" ca="1" si="169"/>
        <v>-34308407587414.051</v>
      </c>
      <c r="M4382" s="471">
        <f t="shared" si="171"/>
        <v>0.05</v>
      </c>
      <c r="N4382" s="475">
        <f t="shared" si="172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70"/>
        <v>-34308407587414.051</v>
      </c>
      <c r="J4383" s="455">
        <f t="array" ref="J4383">IFERROR(INDEX('Retirement Calculator'!K:K,MATCH('Lorri 401b'!N4383,'Retirement Calculator'!A:A,0),0),0)</f>
        <v>0</v>
      </c>
      <c r="K4383" s="455">
        <f t="shared" ca="1" si="168"/>
        <v>-142951698280.89188</v>
      </c>
      <c r="L4383" s="455">
        <f t="shared" ca="1" si="169"/>
        <v>-34451359285694.941</v>
      </c>
      <c r="M4383" s="471">
        <f t="shared" si="171"/>
        <v>0.05</v>
      </c>
      <c r="N4383" s="475">
        <f t="shared" si="172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70"/>
        <v>-34451359285694.941</v>
      </c>
      <c r="J4384" s="455">
        <f t="array" ref="J4384">IFERROR(INDEX('Retirement Calculator'!K:K,MATCH('Lorri 401b'!N4384,'Retirement Calculator'!A:A,0),0),0)</f>
        <v>0</v>
      </c>
      <c r="K4384" s="455">
        <f t="shared" ca="1" si="168"/>
        <v>-143547330357.06226</v>
      </c>
      <c r="L4384" s="455">
        <f t="shared" ca="1" si="169"/>
        <v>-34594906616052.004</v>
      </c>
      <c r="M4384" s="471">
        <f t="shared" si="171"/>
        <v>0.05</v>
      </c>
      <c r="N4384" s="475">
        <f t="shared" si="172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70"/>
        <v>-34594906616052.004</v>
      </c>
      <c r="J4385" s="455">
        <f t="array" ref="J4385">IFERROR(INDEX('Retirement Calculator'!K:K,MATCH('Lorri 401b'!N4385,'Retirement Calculator'!A:A,0),0),0)</f>
        <v>0</v>
      </c>
      <c r="K4385" s="455">
        <f t="shared" ca="1" si="168"/>
        <v>-144145444233.54999</v>
      </c>
      <c r="L4385" s="455">
        <f t="shared" ca="1" si="169"/>
        <v>-34739052060285.555</v>
      </c>
      <c r="M4385" s="471">
        <f t="shared" si="171"/>
        <v>0.05</v>
      </c>
      <c r="N4385" s="475">
        <f t="shared" si="172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70"/>
        <v>-34739052060285.555</v>
      </c>
      <c r="J4386" s="455">
        <f t="array" ref="J4386">IFERROR(INDEX('Retirement Calculator'!K:K,MATCH('Lorri 401b'!N4386,'Retirement Calculator'!A:A,0),0),0)</f>
        <v>0</v>
      </c>
      <c r="K4386" s="455">
        <f t="shared" ca="1" si="168"/>
        <v>-144746050251.18982</v>
      </c>
      <c r="L4386" s="455">
        <f t="shared" ca="1" si="169"/>
        <v>-34883798110536.746</v>
      </c>
      <c r="M4386" s="471">
        <f t="shared" si="171"/>
        <v>0.05</v>
      </c>
      <c r="N4386" s="475">
        <f t="shared" si="172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70"/>
        <v>-34883798110536.746</v>
      </c>
      <c r="J4387" s="455">
        <f t="array" ref="J4387">IFERROR(INDEX('Retirement Calculator'!K:K,MATCH('Lorri 401b'!N4387,'Retirement Calculator'!A:A,0),0),0)</f>
        <v>0</v>
      </c>
      <c r="K4387" s="455">
        <f t="shared" ca="1" si="168"/>
        <v>-145349158793.90311</v>
      </c>
      <c r="L4387" s="455">
        <f t="shared" ca="1" si="169"/>
        <v>-35029147269330.648</v>
      </c>
      <c r="M4387" s="471">
        <f t="shared" si="171"/>
        <v>0.05</v>
      </c>
      <c r="N4387" s="475">
        <f t="shared" si="172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70"/>
        <v>-35029147269330.648</v>
      </c>
      <c r="J4388" s="455">
        <f t="array" ref="J4388">IFERROR(INDEX('Retirement Calculator'!K:K,MATCH('Lorri 401b'!N4388,'Retirement Calculator'!A:A,0),0),0)</f>
        <v>0</v>
      </c>
      <c r="K4388" s="455">
        <f t="shared" ca="1" si="168"/>
        <v>-145954780288.87772</v>
      </c>
      <c r="L4388" s="455">
        <f t="shared" ca="1" si="169"/>
        <v>-35175102049619.527</v>
      </c>
      <c r="M4388" s="471">
        <f t="shared" si="171"/>
        <v>0.05</v>
      </c>
      <c r="N4388" s="475">
        <f t="shared" si="172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70"/>
        <v>-35175102049619.527</v>
      </c>
      <c r="J4389" s="455">
        <f t="array" ref="J4389">IFERROR(INDEX('Retirement Calculator'!K:K,MATCH('Lorri 401b'!N4389,'Retirement Calculator'!A:A,0),0),0)</f>
        <v>0</v>
      </c>
      <c r="K4389" s="455">
        <f t="shared" ca="1" si="168"/>
        <v>-146562925206.74802</v>
      </c>
      <c r="L4389" s="455">
        <f t="shared" ca="1" si="169"/>
        <v>-35321664974826.273</v>
      </c>
      <c r="M4389" s="471">
        <f t="shared" si="171"/>
        <v>0.05</v>
      </c>
      <c r="N4389" s="475">
        <f t="shared" si="172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70"/>
        <v>-35321664974826.273</v>
      </c>
      <c r="J4390" s="455">
        <f t="array" ref="J4390">IFERROR(INDEX('Retirement Calculator'!K:K,MATCH('Lorri 401b'!N4390,'Retirement Calculator'!A:A,0),0),0)</f>
        <v>0</v>
      </c>
      <c r="K4390" s="455">
        <f t="shared" ca="1" si="168"/>
        <v>-147173604061.77612</v>
      </c>
      <c r="L4390" s="455">
        <f t="shared" ca="1" si="169"/>
        <v>-35468838578888.047</v>
      </c>
      <c r="M4390" s="471">
        <f t="shared" si="171"/>
        <v>0.05</v>
      </c>
      <c r="N4390" s="475">
        <f t="shared" si="172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70"/>
        <v>-35468838578888.047</v>
      </c>
      <c r="J4391" s="455">
        <f t="array" ref="J4391">IFERROR(INDEX('Retirement Calculator'!K:K,MATCH('Lorri 401b'!N4391,'Retirement Calculator'!A:A,0),0),0)</f>
        <v>0</v>
      </c>
      <c r="K4391" s="455">
        <f t="shared" ca="1" si="168"/>
        <v>-147786827412.03354</v>
      </c>
      <c r="L4391" s="455">
        <f t="shared" ca="1" si="169"/>
        <v>-35616625406300.078</v>
      </c>
      <c r="M4391" s="471">
        <f t="shared" si="171"/>
        <v>0.05</v>
      </c>
      <c r="N4391" s="475">
        <f t="shared" si="172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70"/>
        <v>-35616625406300.078</v>
      </c>
      <c r="J4392" s="455">
        <f t="array" ref="J4392">IFERROR(INDEX('Retirement Calculator'!K:K,MATCH('Lorri 401b'!N4392,'Retirement Calculator'!A:A,0),0),0)</f>
        <v>0</v>
      </c>
      <c r="K4392" s="455">
        <f t="shared" ca="1" si="168"/>
        <v>-148402605859.58365</v>
      </c>
      <c r="L4392" s="455">
        <f t="shared" ca="1" si="169"/>
        <v>-35765028012159.664</v>
      </c>
      <c r="M4392" s="471">
        <f t="shared" si="171"/>
        <v>0.05</v>
      </c>
      <c r="N4392" s="475">
        <f t="shared" si="172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70"/>
        <v>-35765028012159.664</v>
      </c>
      <c r="J4393" s="455">
        <f t="array" ref="J4393">IFERROR(INDEX('Retirement Calculator'!K:K,MATCH('Lorri 401b'!N4393,'Retirement Calculator'!A:A,0),0),0)</f>
        <v>0</v>
      </c>
      <c r="K4393" s="455">
        <f t="shared" ca="1" si="168"/>
        <v>-149020950050.66525</v>
      </c>
      <c r="L4393" s="455">
        <f t="shared" ca="1" si="169"/>
        <v>-35914048962210.328</v>
      </c>
      <c r="M4393" s="471">
        <f t="shared" si="171"/>
        <v>0.05</v>
      </c>
      <c r="N4393" s="475">
        <f t="shared" si="172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70"/>
        <v>-35914048962210.328</v>
      </c>
      <c r="J4394" s="455">
        <f t="array" ref="J4394">IFERROR(INDEX('Retirement Calculator'!K:K,MATCH('Lorri 401b'!N4394,'Retirement Calculator'!A:A,0),0),0)</f>
        <v>0</v>
      </c>
      <c r="K4394" s="455">
        <f t="shared" ca="1" si="168"/>
        <v>-149641870675.87637</v>
      </c>
      <c r="L4394" s="455">
        <f t="shared" ca="1" si="169"/>
        <v>-36063690832886.203</v>
      </c>
      <c r="M4394" s="471">
        <f t="shared" si="171"/>
        <v>0.05</v>
      </c>
      <c r="N4394" s="475">
        <f t="shared" si="172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70"/>
        <v>-36063690832886.203</v>
      </c>
      <c r="J4395" s="455">
        <f t="array" ref="J4395">IFERROR(INDEX('Retirement Calculator'!K:K,MATCH('Lorri 401b'!N4395,'Retirement Calculator'!A:A,0),0),0)</f>
        <v>0</v>
      </c>
      <c r="K4395" s="455">
        <f t="shared" ca="1" si="168"/>
        <v>-150265378470.35919</v>
      </c>
      <c r="L4395" s="455">
        <f t="shared" ca="1" si="169"/>
        <v>-36213956211356.563</v>
      </c>
      <c r="M4395" s="471">
        <f t="shared" si="171"/>
        <v>0.05</v>
      </c>
      <c r="N4395" s="475">
        <f t="shared" si="172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70"/>
        <v>-36213956211356.563</v>
      </c>
      <c r="J4396" s="455">
        <f t="array" ref="J4396">IFERROR(INDEX('Retirement Calculator'!K:K,MATCH('Lorri 401b'!N4396,'Retirement Calculator'!A:A,0),0),0)</f>
        <v>0</v>
      </c>
      <c r="K4396" s="455">
        <f t="shared" ca="1" si="168"/>
        <v>-150891484213.98569</v>
      </c>
      <c r="L4396" s="455">
        <f t="shared" ca="1" si="169"/>
        <v>-36364847695570.547</v>
      </c>
      <c r="M4396" s="471">
        <f t="shared" si="171"/>
        <v>0.05</v>
      </c>
      <c r="N4396" s="475">
        <f t="shared" si="172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70"/>
        <v>-36364847695570.547</v>
      </c>
      <c r="J4397" s="455">
        <f t="array" ref="J4397">IFERROR(INDEX('Retirement Calculator'!K:K,MATCH('Lorri 401b'!N4397,'Retirement Calculator'!A:A,0),0),0)</f>
        <v>0</v>
      </c>
      <c r="K4397" s="455">
        <f t="shared" ca="1" si="168"/>
        <v>-151520198731.54395</v>
      </c>
      <c r="L4397" s="455">
        <f t="shared" ca="1" si="169"/>
        <v>-36516367894302.094</v>
      </c>
      <c r="M4397" s="471">
        <f t="shared" si="171"/>
        <v>0.05</v>
      </c>
      <c r="N4397" s="475">
        <f t="shared" si="172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70"/>
        <v>-36516367894302.094</v>
      </c>
      <c r="J4398" s="455">
        <f t="array" ref="J4398">IFERROR(INDEX('Retirement Calculator'!K:K,MATCH('Lorri 401b'!N4398,'Retirement Calculator'!A:A,0),0),0)</f>
        <v>0</v>
      </c>
      <c r="K4398" s="455">
        <f t="shared" ca="1" si="168"/>
        <v>-152151532892.92538</v>
      </c>
      <c r="L4398" s="455">
        <f t="shared" ca="1" si="169"/>
        <v>-36668519427195.016</v>
      </c>
      <c r="M4398" s="471">
        <f t="shared" si="171"/>
        <v>0.05</v>
      </c>
      <c r="N4398" s="475">
        <f t="shared" si="172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70"/>
        <v>-36668519427195.016</v>
      </c>
      <c r="J4399" s="455">
        <f t="array" ref="J4399">IFERROR(INDEX('Retirement Calculator'!K:K,MATCH('Lorri 401b'!N4399,'Retirement Calculator'!A:A,0),0),0)</f>
        <v>0</v>
      </c>
      <c r="K4399" s="455">
        <f t="shared" ca="1" si="168"/>
        <v>-152785497613.31256</v>
      </c>
      <c r="L4399" s="455">
        <f t="shared" ca="1" si="169"/>
        <v>-36821304924808.328</v>
      </c>
      <c r="M4399" s="471">
        <f t="shared" si="171"/>
        <v>0.05</v>
      </c>
      <c r="N4399" s="475">
        <f t="shared" si="172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70"/>
        <v>-36821304924808.328</v>
      </c>
      <c r="J4400" s="455">
        <f t="array" ref="J4400">IFERROR(INDEX('Retirement Calculator'!K:K,MATCH('Lorri 401b'!N4400,'Retirement Calculator'!A:A,0),0),0)</f>
        <v>0</v>
      </c>
      <c r="K4400" s="455">
        <f t="shared" ca="1" si="168"/>
        <v>-153422103853.36804</v>
      </c>
      <c r="L4400" s="455">
        <f t="shared" ca="1" si="169"/>
        <v>-36974727028661.695</v>
      </c>
      <c r="M4400" s="471">
        <f t="shared" si="171"/>
        <v>0.05</v>
      </c>
      <c r="N4400" s="475">
        <f t="shared" si="172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70"/>
        <v>-36974727028661.695</v>
      </c>
      <c r="J4401" s="455">
        <f t="array" ref="J4401">IFERROR(INDEX('Retirement Calculator'!K:K,MATCH('Lorri 401b'!N4401,'Retirement Calculator'!A:A,0),0),0)</f>
        <v>0</v>
      </c>
      <c r="K4401" s="455">
        <f t="shared" ca="1" si="168"/>
        <v>-154061362619.42374</v>
      </c>
      <c r="L4401" s="455">
        <f t="shared" ca="1" si="169"/>
        <v>-37128788391281.117</v>
      </c>
      <c r="M4401" s="471">
        <f t="shared" si="171"/>
        <v>0.05</v>
      </c>
      <c r="N4401" s="475">
        <f t="shared" si="172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70"/>
        <v>-37128788391281.117</v>
      </c>
      <c r="J4402" s="455">
        <f t="array" ref="J4402">IFERROR(INDEX('Retirement Calculator'!K:K,MATCH('Lorri 401b'!N4402,'Retirement Calculator'!A:A,0),0),0)</f>
        <v>0</v>
      </c>
      <c r="K4402" s="455">
        <f t="shared" ca="1" si="168"/>
        <v>-154703284963.67133</v>
      </c>
      <c r="L4402" s="455">
        <f t="shared" ca="1" si="169"/>
        <v>-37283491676244.789</v>
      </c>
      <c r="M4402" s="471">
        <f t="shared" si="171"/>
        <v>0.05</v>
      </c>
      <c r="N4402" s="475">
        <f t="shared" si="172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70"/>
        <v>-37283491676244.789</v>
      </c>
      <c r="J4403" s="455">
        <f t="array" ref="J4403">IFERROR(INDEX('Retirement Calculator'!K:K,MATCH('Lorri 401b'!N4403,'Retirement Calculator'!A:A,0),0),0)</f>
        <v>0</v>
      </c>
      <c r="K4403" s="455">
        <f t="shared" ca="1" si="168"/>
        <v>-155347881984.35327</v>
      </c>
      <c r="L4403" s="455">
        <f t="shared" ca="1" si="169"/>
        <v>-37438839558229.141</v>
      </c>
      <c r="M4403" s="471">
        <f t="shared" si="171"/>
        <v>0.05</v>
      </c>
      <c r="N4403" s="475">
        <f t="shared" si="172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70"/>
        <v>-37438839558229.141</v>
      </c>
      <c r="J4404" s="455">
        <f t="array" ref="J4404">IFERROR(INDEX('Retirement Calculator'!K:K,MATCH('Lorri 401b'!N4404,'Retirement Calculator'!A:A,0),0),0)</f>
        <v>0</v>
      </c>
      <c r="K4404" s="455">
        <f t="shared" ca="1" si="168"/>
        <v>-155995164825.95474</v>
      </c>
      <c r="L4404" s="455">
        <f t="shared" ca="1" si="169"/>
        <v>-37594834723055.094</v>
      </c>
      <c r="M4404" s="471">
        <f t="shared" si="171"/>
        <v>0.05</v>
      </c>
      <c r="N4404" s="475">
        <f t="shared" si="172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70"/>
        <v>-37594834723055.094</v>
      </c>
      <c r="J4405" s="455">
        <f t="array" ref="J4405">IFERROR(INDEX('Retirement Calculator'!K:K,MATCH('Lorri 401b'!N4405,'Retirement Calculator'!A:A,0),0),0)</f>
        <v>0</v>
      </c>
      <c r="K4405" s="455">
        <f t="shared" ca="1" si="168"/>
        <v>-156645144679.39621</v>
      </c>
      <c r="L4405" s="455">
        <f t="shared" ca="1" si="169"/>
        <v>-37751479867734.492</v>
      </c>
      <c r="M4405" s="471">
        <f t="shared" si="171"/>
        <v>0.05</v>
      </c>
      <c r="N4405" s="475">
        <f t="shared" si="172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70"/>
        <v>-37751479867734.492</v>
      </c>
      <c r="J4406" s="455">
        <f t="array" ref="J4406">IFERROR(INDEX('Retirement Calculator'!K:K,MATCH('Lorri 401b'!N4406,'Retirement Calculator'!A:A,0),0),0)</f>
        <v>0</v>
      </c>
      <c r="K4406" s="455">
        <f t="shared" ca="1" si="168"/>
        <v>-157297832782.22705</v>
      </c>
      <c r="L4406" s="455">
        <f t="shared" ca="1" si="169"/>
        <v>-37908777700516.719</v>
      </c>
      <c r="M4406" s="471">
        <f t="shared" si="171"/>
        <v>0.05</v>
      </c>
      <c r="N4406" s="475">
        <f t="shared" si="172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70"/>
        <v>-37908777700516.719</v>
      </c>
      <c r="J4407" s="455">
        <f t="array" ref="J4407">IFERROR(INDEX('Retirement Calculator'!K:K,MATCH('Lorri 401b'!N4407,'Retirement Calculator'!A:A,0),0),0)</f>
        <v>0</v>
      </c>
      <c r="K4407" s="455">
        <f t="shared" ca="1" si="168"/>
        <v>-157953240418.81967</v>
      </c>
      <c r="L4407" s="455">
        <f t="shared" ca="1" si="169"/>
        <v>-38066730940935.539</v>
      </c>
      <c r="M4407" s="471">
        <f t="shared" si="171"/>
        <v>0.05</v>
      </c>
      <c r="N4407" s="475">
        <f t="shared" si="172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70"/>
        <v>-38066730940935.539</v>
      </c>
      <c r="J4408" s="455">
        <f t="array" ref="J4408">IFERROR(INDEX('Retirement Calculator'!K:K,MATCH('Lorri 401b'!N4408,'Retirement Calculator'!A:A,0),0),0)</f>
        <v>0</v>
      </c>
      <c r="K4408" s="455">
        <f t="shared" ca="1" si="168"/>
        <v>-158611378920.56476</v>
      </c>
      <c r="L4408" s="455">
        <f t="shared" ca="1" si="169"/>
        <v>-38225342319856.102</v>
      </c>
      <c r="M4408" s="471">
        <f t="shared" si="171"/>
        <v>0.05</v>
      </c>
      <c r="N4408" s="475">
        <f t="shared" si="172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70"/>
        <v>-38225342319856.102</v>
      </c>
      <c r="J4409" s="455">
        <f t="array" ref="J4409">IFERROR(INDEX('Retirement Calculator'!K:K,MATCH('Lorri 401b'!N4409,'Retirement Calculator'!A:A,0),0),0)</f>
        <v>0</v>
      </c>
      <c r="K4409" s="455">
        <f t="shared" ca="1" si="168"/>
        <v>-159272259666.06708</v>
      </c>
      <c r="L4409" s="455">
        <f t="shared" ca="1" si="169"/>
        <v>-38384614579522.172</v>
      </c>
      <c r="M4409" s="471">
        <f t="shared" si="171"/>
        <v>0.05</v>
      </c>
      <c r="N4409" s="475">
        <f t="shared" si="172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70"/>
        <v>-38384614579522.172</v>
      </c>
      <c r="J4410" s="455">
        <f t="array" ref="J4410">IFERROR(INDEX('Retirement Calculator'!K:K,MATCH('Lorri 401b'!N4410,'Retirement Calculator'!A:A,0),0),0)</f>
        <v>0</v>
      </c>
      <c r="K4410" s="455">
        <f t="shared" ca="1" si="168"/>
        <v>-159935894081.34238</v>
      </c>
      <c r="L4410" s="455">
        <f t="shared" ca="1" si="169"/>
        <v>-38544550473603.516</v>
      </c>
      <c r="M4410" s="471">
        <f t="shared" si="171"/>
        <v>0.05</v>
      </c>
      <c r="N4410" s="475">
        <f t="shared" si="172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70"/>
        <v>-38544550473603.516</v>
      </c>
      <c r="J4411" s="455">
        <f t="array" ref="J4411">IFERROR(INDEX('Retirement Calculator'!K:K,MATCH('Lorri 401b'!N4411,'Retirement Calculator'!A:A,0),0),0)</f>
        <v>0</v>
      </c>
      <c r="K4411" s="455">
        <f t="shared" ca="1" si="168"/>
        <v>-160602293640.01465</v>
      </c>
      <c r="L4411" s="455">
        <f t="shared" ca="1" si="169"/>
        <v>-38705152767243.531</v>
      </c>
      <c r="M4411" s="471">
        <f t="shared" si="171"/>
        <v>0.05</v>
      </c>
      <c r="N4411" s="475">
        <f t="shared" si="172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70"/>
        <v>-38705152767243.531</v>
      </c>
      <c r="J4412" s="455">
        <f t="array" ref="J4412">IFERROR(INDEX('Retirement Calculator'!K:K,MATCH('Lorri 401b'!N4412,'Retirement Calculator'!A:A,0),0),0)</f>
        <v>0</v>
      </c>
      <c r="K4412" s="455">
        <f t="shared" ca="1" si="168"/>
        <v>-161271469863.51471</v>
      </c>
      <c r="L4412" s="455">
        <f t="shared" ca="1" si="169"/>
        <v>-38866424237107.047</v>
      </c>
      <c r="M4412" s="471">
        <f t="shared" si="171"/>
        <v>0.05</v>
      </c>
      <c r="N4412" s="475">
        <f t="shared" si="172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70"/>
        <v>-38866424237107.047</v>
      </c>
      <c r="J4413" s="455">
        <f t="array" ref="J4413">IFERROR(INDEX('Retirement Calculator'!K:K,MATCH('Lorri 401b'!N4413,'Retirement Calculator'!A:A,0),0),0)</f>
        <v>0</v>
      </c>
      <c r="K4413" s="455">
        <f t="shared" ca="1" si="168"/>
        <v>-161943434321.27936</v>
      </c>
      <c r="L4413" s="455">
        <f t="shared" ca="1" si="169"/>
        <v>-39028367671428.328</v>
      </c>
      <c r="M4413" s="471">
        <f t="shared" si="171"/>
        <v>0.05</v>
      </c>
      <c r="N4413" s="475">
        <f t="shared" si="172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70"/>
        <v>-39028367671428.328</v>
      </c>
      <c r="J4414" s="455">
        <f t="array" ref="J4414">IFERROR(INDEX('Retirement Calculator'!K:K,MATCH('Lorri 401b'!N4414,'Retirement Calculator'!A:A,0),0),0)</f>
        <v>0</v>
      </c>
      <c r="K4414" s="455">
        <f t="shared" ca="1" si="168"/>
        <v>-162618198630.95135</v>
      </c>
      <c r="L4414" s="455">
        <f t="shared" ca="1" si="169"/>
        <v>-39190985870059.281</v>
      </c>
      <c r="M4414" s="471">
        <f t="shared" si="171"/>
        <v>0.05</v>
      </c>
      <c r="N4414" s="475">
        <f t="shared" si="172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70"/>
        <v>-39190985870059.281</v>
      </c>
      <c r="J4415" s="455">
        <f t="array" ref="J4415">IFERROR(INDEX('Retirement Calculator'!K:K,MATCH('Lorri 401b'!N4415,'Retirement Calculator'!A:A,0),0),0)</f>
        <v>0</v>
      </c>
      <c r="K4415" s="455">
        <f t="shared" ca="1" si="168"/>
        <v>-163295774458.58032</v>
      </c>
      <c r="L4415" s="455">
        <f t="shared" ca="1" si="169"/>
        <v>-39354281644517.859</v>
      </c>
      <c r="M4415" s="471">
        <f t="shared" si="171"/>
        <v>0.05</v>
      </c>
      <c r="N4415" s="475">
        <f t="shared" si="172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70"/>
        <v>-39354281644517.859</v>
      </c>
      <c r="J4416" s="455">
        <f t="array" ref="J4416">IFERROR(INDEX('Retirement Calculator'!K:K,MATCH('Lorri 401b'!N4416,'Retirement Calculator'!A:A,0),0),0)</f>
        <v>0</v>
      </c>
      <c r="K4416" s="455">
        <f t="shared" ca="1" si="168"/>
        <v>-163976173518.8244</v>
      </c>
      <c r="L4416" s="455">
        <f t="shared" ca="1" si="169"/>
        <v>-39518257818036.688</v>
      </c>
      <c r="M4416" s="471">
        <f t="shared" si="171"/>
        <v>0.05</v>
      </c>
      <c r="N4416" s="475">
        <f t="shared" si="172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70"/>
        <v>-39518257818036.688</v>
      </c>
      <c r="J4417" s="455">
        <f t="array" ref="J4417">IFERROR(INDEX('Retirement Calculator'!K:K,MATCH('Lorri 401b'!N4417,'Retirement Calculator'!A:A,0),0),0)</f>
        <v>0</v>
      </c>
      <c r="K4417" s="455">
        <f t="shared" ca="1" si="168"/>
        <v>-164659407575.15286</v>
      </c>
      <c r="L4417" s="455">
        <f t="shared" ca="1" si="169"/>
        <v>-39682917225611.844</v>
      </c>
      <c r="M4417" s="471">
        <f t="shared" si="171"/>
        <v>0.05</v>
      </c>
      <c r="N4417" s="475">
        <f t="shared" si="172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70"/>
        <v>-39682917225611.844</v>
      </c>
      <c r="J4418" s="455">
        <f t="array" ref="J4418">IFERROR(INDEX('Retirement Calculator'!K:K,MATCH('Lorri 401b'!N4418,'Retirement Calculator'!A:A,0),0),0)</f>
        <v>0</v>
      </c>
      <c r="K4418" s="455">
        <f t="shared" ca="1" si="168"/>
        <v>-165345488440.04935</v>
      </c>
      <c r="L4418" s="455">
        <f t="shared" ca="1" si="169"/>
        <v>-39848262714051.891</v>
      </c>
      <c r="M4418" s="471">
        <f t="shared" si="171"/>
        <v>0.05</v>
      </c>
      <c r="N4418" s="475">
        <f t="shared" si="172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70"/>
        <v>-39848262714051.891</v>
      </c>
      <c r="J4419" s="455">
        <f t="array" ref="J4419">IFERROR(INDEX('Retirement Calculator'!K:K,MATCH('Lorri 401b'!N4419,'Retirement Calculator'!A:A,0),0),0)</f>
        <v>0</v>
      </c>
      <c r="K4419" s="455">
        <f t="shared" ca="1" si="168"/>
        <v>-166034427975.21622</v>
      </c>
      <c r="L4419" s="455">
        <f t="shared" ca="1" si="169"/>
        <v>-40014297142027.109</v>
      </c>
      <c r="M4419" s="471">
        <f t="shared" si="171"/>
        <v>0.05</v>
      </c>
      <c r="N4419" s="475">
        <f t="shared" si="172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70"/>
        <v>-40014297142027.109</v>
      </c>
      <c r="J4420" s="455">
        <f t="array" ref="J4420">IFERROR(INDEX('Retirement Calculator'!K:K,MATCH('Lorri 401b'!N4420,'Retirement Calculator'!A:A,0),0),0)</f>
        <v>0</v>
      </c>
      <c r="K4420" s="455">
        <f t="shared" ca="1" si="168"/>
        <v>-166726238091.77963</v>
      </c>
      <c r="L4420" s="455">
        <f t="shared" ca="1" si="169"/>
        <v>-40181023380118.891</v>
      </c>
      <c r="M4420" s="471">
        <f t="shared" si="171"/>
        <v>0.05</v>
      </c>
      <c r="N4420" s="475">
        <f t="shared" si="172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70"/>
        <v>-40181023380118.891</v>
      </c>
      <c r="J4421" s="455">
        <f t="array" ref="J4421">IFERROR(INDEX('Retirement Calculator'!K:K,MATCH('Lorri 401b'!N4421,'Retirement Calculator'!A:A,0),0),0)</f>
        <v>0</v>
      </c>
      <c r="K4421" s="455">
        <f t="shared" ca="1" si="168"/>
        <v>-167420930750.49536</v>
      </c>
      <c r="L4421" s="455">
        <f t="shared" ca="1" si="169"/>
        <v>-40348444310869.383</v>
      </c>
      <c r="M4421" s="471">
        <f t="shared" si="171"/>
        <v>0.05</v>
      </c>
      <c r="N4421" s="475">
        <f t="shared" si="172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70"/>
        <v>-40348444310869.383</v>
      </c>
      <c r="J4422" s="455">
        <f t="array" ref="J4422">IFERROR(INDEX('Retirement Calculator'!K:K,MATCH('Lorri 401b'!N4422,'Retirement Calculator'!A:A,0),0),0)</f>
        <v>0</v>
      </c>
      <c r="K4422" s="455">
        <f t="shared" ca="1" si="168"/>
        <v>-168118517961.95575</v>
      </c>
      <c r="L4422" s="455">
        <f t="shared" ca="1" si="169"/>
        <v>-40516562828831.336</v>
      </c>
      <c r="M4422" s="471">
        <f t="shared" si="171"/>
        <v>0.05</v>
      </c>
      <c r="N4422" s="475">
        <f t="shared" si="172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70"/>
        <v>-40516562828831.336</v>
      </c>
      <c r="J4423" s="455">
        <f t="array" ref="J4423">IFERROR(INDEX('Retirement Calculator'!K:K,MATCH('Lorri 401b'!N4423,'Retirement Calculator'!A:A,0),0),0)</f>
        <v>0</v>
      </c>
      <c r="K4423" s="455">
        <f t="shared" ca="1" si="168"/>
        <v>-168819011786.79724</v>
      </c>
      <c r="L4423" s="455">
        <f t="shared" ca="1" si="169"/>
        <v>-40685381840618.133</v>
      </c>
      <c r="M4423" s="471">
        <f t="shared" si="171"/>
        <v>0.05</v>
      </c>
      <c r="N4423" s="475">
        <f t="shared" si="172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70"/>
        <v>-40685381840618.133</v>
      </c>
      <c r="J4424" s="455">
        <f t="array" ref="J4424">IFERROR(INDEX('Retirement Calculator'!K:K,MATCH('Lorri 401b'!N4424,'Retirement Calculator'!A:A,0),0),0)</f>
        <v>0</v>
      </c>
      <c r="K4424" s="455">
        <f t="shared" ca="1" si="168"/>
        <v>-169522424335.90887</v>
      </c>
      <c r="L4424" s="455">
        <f t="shared" ca="1" si="169"/>
        <v>-40854904264954.039</v>
      </c>
      <c r="M4424" s="471">
        <f t="shared" si="171"/>
        <v>0.05</v>
      </c>
      <c r="N4424" s="475">
        <f t="shared" si="172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70"/>
        <v>-40854904264954.039</v>
      </c>
      <c r="J4425" s="455">
        <f t="array" ref="J4425">IFERROR(INDEX('Retirement Calculator'!K:K,MATCH('Lorri 401b'!N4425,'Retirement Calculator'!A:A,0),0),0)</f>
        <v>0</v>
      </c>
      <c r="K4425" s="455">
        <f t="shared" ca="1" si="168"/>
        <v>-170228767770.64182</v>
      </c>
      <c r="L4425" s="455">
        <f t="shared" ca="1" si="169"/>
        <v>-41025133032724.68</v>
      </c>
      <c r="M4425" s="471">
        <f t="shared" si="171"/>
        <v>0.05</v>
      </c>
      <c r="N4425" s="475">
        <f t="shared" si="172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70"/>
        <v>-41025133032724.68</v>
      </c>
      <c r="J4426" s="455">
        <f t="array" ref="J4426">IFERROR(INDEX('Retirement Calculator'!K:K,MATCH('Lorri 401b'!N4426,'Retirement Calculator'!A:A,0),0),0)</f>
        <v>0</v>
      </c>
      <c r="K4426" s="455">
        <f t="shared" ca="1" si="168"/>
        <v>-170938054303.0195</v>
      </c>
      <c r="L4426" s="455">
        <f t="shared" ca="1" si="169"/>
        <v>-41196071087027.695</v>
      </c>
      <c r="M4426" s="471">
        <f t="shared" si="171"/>
        <v>0.05</v>
      </c>
      <c r="N4426" s="475">
        <f t="shared" si="172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70"/>
        <v>-41196071087027.695</v>
      </c>
      <c r="J4427" s="455">
        <f t="array" ref="J4427">IFERROR(INDEX('Retirement Calculator'!K:K,MATCH('Lorri 401b'!N4427,'Retirement Calculator'!A:A,0),0),0)</f>
        <v>0</v>
      </c>
      <c r="K4427" s="455">
        <f t="shared" ca="1" si="168"/>
        <v>-171650296195.94873</v>
      </c>
      <c r="L4427" s="455">
        <f t="shared" ca="1" si="169"/>
        <v>-41367721383223.641</v>
      </c>
      <c r="M4427" s="471">
        <f t="shared" si="171"/>
        <v>0.05</v>
      </c>
      <c r="N4427" s="475">
        <f t="shared" si="172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70"/>
        <v>-41367721383223.641</v>
      </c>
      <c r="J4428" s="455">
        <f t="array" ref="J4428">IFERROR(INDEX('Retirement Calculator'!K:K,MATCH('Lorri 401b'!N4428,'Retirement Calculator'!A:A,0),0),0)</f>
        <v>0</v>
      </c>
      <c r="K4428" s="455">
        <f t="shared" ca="1" si="168"/>
        <v>-172365505763.43182</v>
      </c>
      <c r="L4428" s="455">
        <f t="shared" ca="1" si="169"/>
        <v>-41540086888987.07</v>
      </c>
      <c r="M4428" s="471">
        <f t="shared" si="171"/>
        <v>0.05</v>
      </c>
      <c r="N4428" s="475">
        <f t="shared" si="172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70"/>
        <v>-41540086888987.07</v>
      </c>
      <c r="J4429" s="455">
        <f t="array" ref="J4429">IFERROR(INDEX('Retirement Calculator'!K:K,MATCH('Lorri 401b'!N4429,'Retirement Calculator'!A:A,0),0),0)</f>
        <v>0</v>
      </c>
      <c r="K4429" s="455">
        <f t="shared" ca="1" si="168"/>
        <v>-173083695370.77945</v>
      </c>
      <c r="L4429" s="455">
        <f t="shared" ca="1" si="169"/>
        <v>-41713170584357.852</v>
      </c>
      <c r="M4429" s="471">
        <f t="shared" si="171"/>
        <v>0.05</v>
      </c>
      <c r="N4429" s="475">
        <f t="shared" si="172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70"/>
        <v>-41713170584357.852</v>
      </c>
      <c r="J4430" s="455">
        <f t="array" ref="J4430">IFERROR(INDEX('Retirement Calculator'!K:K,MATCH('Lorri 401b'!N4430,'Retirement Calculator'!A:A,0),0),0)</f>
        <v>0</v>
      </c>
      <c r="K4430" s="455">
        <f t="shared" ca="1" si="168"/>
        <v>-173804877434.82437</v>
      </c>
      <c r="L4430" s="455">
        <f t="shared" ca="1" si="169"/>
        <v>-41886975461792.68</v>
      </c>
      <c r="M4430" s="471">
        <f t="shared" si="171"/>
        <v>0.05</v>
      </c>
      <c r="N4430" s="475">
        <f t="shared" si="172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70"/>
        <v>-41886975461792.68</v>
      </c>
      <c r="J4431" s="455">
        <f t="array" ref="J4431">IFERROR(INDEX('Retirement Calculator'!K:K,MATCH('Lorri 401b'!N4431,'Retirement Calculator'!A:A,0),0),0)</f>
        <v>0</v>
      </c>
      <c r="K4431" s="455">
        <f t="shared" ca="1" si="168"/>
        <v>-174529064424.13617</v>
      </c>
      <c r="L4431" s="455">
        <f t="shared" ca="1" si="169"/>
        <v>-42061504526216.813</v>
      </c>
      <c r="M4431" s="471">
        <f t="shared" si="171"/>
        <v>0.05</v>
      </c>
      <c r="N4431" s="475">
        <f t="shared" si="172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70"/>
        <v>-42061504526216.813</v>
      </c>
      <c r="J4432" s="455">
        <f t="array" ref="J4432">IFERROR(INDEX('Retirement Calculator'!K:K,MATCH('Lorri 401b'!N4432,'Retirement Calculator'!A:A,0),0),0)</f>
        <v>0</v>
      </c>
      <c r="K4432" s="455">
        <f t="shared" ca="1" si="168"/>
        <v>-175256268859.23672</v>
      </c>
      <c r="L4432" s="455">
        <f t="shared" ca="1" si="169"/>
        <v>-42236760795076.047</v>
      </c>
      <c r="M4432" s="471">
        <f t="shared" si="171"/>
        <v>0.05</v>
      </c>
      <c r="N4432" s="475">
        <f t="shared" si="172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70"/>
        <v>-42236760795076.047</v>
      </c>
      <c r="J4433" s="455">
        <f t="array" ref="J4433">IFERROR(INDEX('Retirement Calculator'!K:K,MATCH('Lorri 401b'!N4433,'Retirement Calculator'!A:A,0),0),0)</f>
        <v>0</v>
      </c>
      <c r="K4433" s="455">
        <f t="shared" ca="1" si="168"/>
        <v>-175986503312.81686</v>
      </c>
      <c r="L4433" s="455">
        <f t="shared" ca="1" si="169"/>
        <v>-42412747298388.867</v>
      </c>
      <c r="M4433" s="471">
        <f t="shared" si="171"/>
        <v>0.05</v>
      </c>
      <c r="N4433" s="475">
        <f t="shared" si="172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70"/>
        <v>-42412747298388.867</v>
      </c>
      <c r="J4434" s="455">
        <f t="array" ref="J4434">IFERROR(INDEX('Retirement Calculator'!K:K,MATCH('Lorri 401b'!N4434,'Retirement Calculator'!A:A,0),0),0)</f>
        <v>0</v>
      </c>
      <c r="K4434" s="455">
        <f t="shared" ca="1" si="168"/>
        <v>-176719780409.95361</v>
      </c>
      <c r="L4434" s="455">
        <f t="shared" ca="1" si="169"/>
        <v>-42589467078798.82</v>
      </c>
      <c r="M4434" s="471">
        <f t="shared" si="171"/>
        <v>0.05</v>
      </c>
      <c r="N4434" s="475">
        <f t="shared" si="172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70"/>
        <v>-42589467078798.82</v>
      </c>
      <c r="J4435" s="455">
        <f t="array" ref="J4435">IFERROR(INDEX('Retirement Calculator'!K:K,MATCH('Lorri 401b'!N4435,'Retirement Calculator'!A:A,0),0),0)</f>
        <v>0</v>
      </c>
      <c r="K4435" s="455">
        <f t="shared" ca="1" si="168"/>
        <v>-177456112828.32843</v>
      </c>
      <c r="L4435" s="455">
        <f t="shared" ca="1" si="169"/>
        <v>-42766923191627.148</v>
      </c>
      <c r="M4435" s="471">
        <f t="shared" si="171"/>
        <v>0.05</v>
      </c>
      <c r="N4435" s="475">
        <f t="shared" si="172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70"/>
        <v>-42766923191627.148</v>
      </c>
      <c r="J4436" s="455">
        <f t="array" ref="J4436">IFERROR(INDEX('Retirement Calculator'!K:K,MATCH('Lorri 401b'!N4436,'Retirement Calculator'!A:A,0),0),0)</f>
        <v>0</v>
      </c>
      <c r="K4436" s="455">
        <f t="shared" ca="1" si="168"/>
        <v>-178195513298.44644</v>
      </c>
      <c r="L4436" s="455">
        <f t="shared" ca="1" si="169"/>
        <v>-42945118704925.594</v>
      </c>
      <c r="M4436" s="471">
        <f t="shared" si="171"/>
        <v>0.05</v>
      </c>
      <c r="N4436" s="475">
        <f t="shared" si="172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70"/>
        <v>-42945118704925.594</v>
      </c>
      <c r="J4437" s="455">
        <f t="array" ref="J4437">IFERROR(INDEX('Retirement Calculator'!K:K,MATCH('Lorri 401b'!N4437,'Retirement Calculator'!A:A,0),0),0)</f>
        <v>0</v>
      </c>
      <c r="K4437" s="455">
        <f t="shared" ca="1" si="168"/>
        <v>-178937994603.85663</v>
      </c>
      <c r="L4437" s="455">
        <f t="shared" ca="1" si="169"/>
        <v>-43124056699529.453</v>
      </c>
      <c r="M4437" s="471">
        <f t="shared" si="171"/>
        <v>0.05</v>
      </c>
      <c r="N4437" s="475">
        <f t="shared" si="172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70"/>
        <v>-43124056699529.453</v>
      </c>
      <c r="J4438" s="455">
        <f t="array" ref="J4438">IFERROR(INDEX('Retirement Calculator'!K:K,MATCH('Lorri 401b'!N4438,'Retirement Calculator'!A:A,0),0),0)</f>
        <v>0</v>
      </c>
      <c r="K4438" s="455">
        <f t="shared" ca="1" si="168"/>
        <v>-179683569581.37271</v>
      </c>
      <c r="L4438" s="455">
        <f t="shared" ca="1" si="169"/>
        <v>-43303740269110.828</v>
      </c>
      <c r="M4438" s="471">
        <f t="shared" si="171"/>
        <v>0.05</v>
      </c>
      <c r="N4438" s="475">
        <f t="shared" si="172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70"/>
        <v>-43303740269110.828</v>
      </c>
      <c r="J4439" s="455">
        <f t="array" ref="J4439">IFERROR(INDEX('Retirement Calculator'!K:K,MATCH('Lorri 401b'!N4439,'Retirement Calculator'!A:A,0),0),0)</f>
        <v>0</v>
      </c>
      <c r="K4439" s="455">
        <f t="shared" ca="1" si="168"/>
        <v>-180432251121.2951</v>
      </c>
      <c r="L4439" s="455">
        <f t="shared" ca="1" si="169"/>
        <v>-43484172520232.125</v>
      </c>
      <c r="M4439" s="471">
        <f t="shared" si="171"/>
        <v>0.05</v>
      </c>
      <c r="N4439" s="475">
        <f t="shared" si="172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70"/>
        <v>-43484172520232.125</v>
      </c>
      <c r="J4440" s="455">
        <f t="array" ref="J4440">IFERROR(INDEX('Retirement Calculator'!K:K,MATCH('Lorri 401b'!N4440,'Retirement Calculator'!A:A,0),0),0)</f>
        <v>0</v>
      </c>
      <c r="K4440" s="455">
        <f t="shared" ca="1" si="168"/>
        <v>-181184052167.63385</v>
      </c>
      <c r="L4440" s="455">
        <f t="shared" ca="1" si="169"/>
        <v>-43665356572399.758</v>
      </c>
      <c r="M4440" s="471">
        <f t="shared" si="171"/>
        <v>0.05</v>
      </c>
      <c r="N4440" s="475">
        <f t="shared" si="172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70"/>
        <v>-43665356572399.758</v>
      </c>
      <c r="J4441" s="455">
        <f t="array" ref="J4441">IFERROR(INDEX('Retirement Calculator'!K:K,MATCH('Lorri 401b'!N4441,'Retirement Calculator'!A:A,0),0),0)</f>
        <v>0</v>
      </c>
      <c r="K4441" s="455">
        <f t="shared" ca="1" si="168"/>
        <v>-181938985718.33234</v>
      </c>
      <c r="L4441" s="455">
        <f t="shared" ca="1" si="169"/>
        <v>-43847295558118.094</v>
      </c>
      <c r="M4441" s="471">
        <f t="shared" si="171"/>
        <v>0.05</v>
      </c>
      <c r="N4441" s="475">
        <f t="shared" si="172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70"/>
        <v>-43847295558118.094</v>
      </c>
      <c r="J4442" s="455">
        <f t="array" ref="J4442">IFERROR(INDEX('Retirement Calculator'!K:K,MATCH('Lorri 401b'!N4442,'Retirement Calculator'!A:A,0),0),0)</f>
        <v>0</v>
      </c>
      <c r="K4442" s="455">
        <f t="shared" ca="1" si="168"/>
        <v>-182697064825.49207</v>
      </c>
      <c r="L4442" s="455">
        <f t="shared" ca="1" si="169"/>
        <v>-44029992622943.586</v>
      </c>
      <c r="M4442" s="471">
        <f t="shared" si="171"/>
        <v>0.05</v>
      </c>
      <c r="N4442" s="475">
        <f t="shared" si="172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70"/>
        <v>-44029992622943.586</v>
      </c>
      <c r="J4443" s="455">
        <f t="array" ref="J4443">IFERROR(INDEX('Retirement Calculator'!K:K,MATCH('Lorri 401b'!N4443,'Retirement Calculator'!A:A,0),0),0)</f>
        <v>0</v>
      </c>
      <c r="K4443" s="455">
        <f t="shared" ca="1" si="168"/>
        <v>-183458302595.59827</v>
      </c>
      <c r="L4443" s="455">
        <f t="shared" ca="1" si="169"/>
        <v>-44213450925539.188</v>
      </c>
      <c r="M4443" s="471">
        <f t="shared" si="171"/>
        <v>0.05</v>
      </c>
      <c r="N4443" s="475">
        <f t="shared" si="172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70"/>
        <v>-44213450925539.188</v>
      </c>
      <c r="J4444" s="455">
        <f t="array" ref="J4444">IFERROR(INDEX('Retirement Calculator'!K:K,MATCH('Lorri 401b'!N4444,'Retirement Calculator'!A:A,0),0),0)</f>
        <v>0</v>
      </c>
      <c r="K4444" s="455">
        <f t="shared" ca="1" si="168"/>
        <v>-184222712189.74661</v>
      </c>
      <c r="L4444" s="455">
        <f t="shared" ca="1" si="169"/>
        <v>-44397673637728.938</v>
      </c>
      <c r="M4444" s="471">
        <f t="shared" si="171"/>
        <v>0.05</v>
      </c>
      <c r="N4444" s="475">
        <f t="shared" si="172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70"/>
        <v>-44397673637728.938</v>
      </c>
      <c r="J4445" s="455">
        <f t="array" ref="J4445">IFERROR(INDEX('Retirement Calculator'!K:K,MATCH('Lorri 401b'!N4445,'Retirement Calculator'!A:A,0),0),0)</f>
        <v>0</v>
      </c>
      <c r="K4445" s="455">
        <f t="shared" ca="1" si="168"/>
        <v>-184990306823.87057</v>
      </c>
      <c r="L4445" s="455">
        <f t="shared" ca="1" si="169"/>
        <v>-44582663944552.805</v>
      </c>
      <c r="M4445" s="471">
        <f t="shared" si="171"/>
        <v>0.05</v>
      </c>
      <c r="N4445" s="475">
        <f t="shared" si="172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70"/>
        <v>-44582663944552.805</v>
      </c>
      <c r="J4446" s="455">
        <f t="array" ref="J4446">IFERROR(INDEX('Retirement Calculator'!K:K,MATCH('Lorri 401b'!N4446,'Retirement Calculator'!A:A,0),0),0)</f>
        <v>0</v>
      </c>
      <c r="K4446" s="455">
        <f t="shared" ca="1" si="168"/>
        <v>-185761099768.97003</v>
      </c>
      <c r="L4446" s="455">
        <f t="shared" ca="1" si="169"/>
        <v>-44768425044321.773</v>
      </c>
      <c r="M4446" s="471">
        <f t="shared" si="171"/>
        <v>0.05</v>
      </c>
      <c r="N4446" s="475">
        <f t="shared" si="172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70"/>
        <v>-44768425044321.773</v>
      </c>
      <c r="J4447" s="455">
        <f t="array" ref="J4447">IFERROR(INDEX('Retirement Calculator'!K:K,MATCH('Lorri 401b'!N4447,'Retirement Calculator'!A:A,0),0),0)</f>
        <v>0</v>
      </c>
      <c r="K4447" s="455">
        <f t="shared" ca="1" si="168"/>
        <v>-186535104351.34073</v>
      </c>
      <c r="L4447" s="455">
        <f t="shared" ca="1" si="169"/>
        <v>-44954960148673.117</v>
      </c>
      <c r="M4447" s="471">
        <f t="shared" si="171"/>
        <v>0.05</v>
      </c>
      <c r="N4447" s="475">
        <f t="shared" si="172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70"/>
        <v>-44954960148673.117</v>
      </c>
      <c r="J4448" s="455">
        <f t="array" ref="J4448">IFERROR(INDEX('Retirement Calculator'!K:K,MATCH('Lorri 401b'!N4448,'Retirement Calculator'!A:A,0),0),0)</f>
        <v>0</v>
      </c>
      <c r="K4448" s="455">
        <f t="shared" ca="1" si="168"/>
        <v>-187312333952.80466</v>
      </c>
      <c r="L4448" s="455">
        <f t="shared" ca="1" si="169"/>
        <v>-45142272482625.922</v>
      </c>
      <c r="M4448" s="471">
        <f t="shared" si="171"/>
        <v>0.05</v>
      </c>
      <c r="N4448" s="475">
        <f t="shared" si="172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70"/>
        <v>-45142272482625.922</v>
      </c>
      <c r="J4449" s="455">
        <f t="array" ref="J4449">IFERROR(INDEX('Retirement Calculator'!K:K,MATCH('Lorri 401b'!N4449,'Retirement Calculator'!A:A,0),0),0)</f>
        <v>0</v>
      </c>
      <c r="K4449" s="455">
        <f t="shared" ca="1" si="168"/>
        <v>-188092802010.94135</v>
      </c>
      <c r="L4449" s="455">
        <f t="shared" ca="1" si="169"/>
        <v>-45330365284636.859</v>
      </c>
      <c r="M4449" s="471">
        <f t="shared" si="171"/>
        <v>0.05</v>
      </c>
      <c r="N4449" s="475">
        <f t="shared" si="172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70"/>
        <v>-45330365284636.859</v>
      </c>
      <c r="J4450" s="455">
        <f t="array" ref="J4450">IFERROR(INDEX('Retirement Calculator'!K:K,MATCH('Lorri 401b'!N4450,'Retirement Calculator'!A:A,0),0),0)</f>
        <v>0</v>
      </c>
      <c r="K4450" s="455">
        <f t="shared" ca="1" si="168"/>
        <v>-188876522019.32025</v>
      </c>
      <c r="L4450" s="455">
        <f t="shared" ca="1" si="169"/>
        <v>-45519241806656.18</v>
      </c>
      <c r="M4450" s="471">
        <f t="shared" si="171"/>
        <v>0.05</v>
      </c>
      <c r="N4450" s="475">
        <f t="shared" si="172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70"/>
        <v>-45519241806656.18</v>
      </c>
      <c r="J4451" s="455">
        <f t="array" ref="J4451">IFERROR(INDEX('Retirement Calculator'!K:K,MATCH('Lorri 401b'!N4451,'Retirement Calculator'!A:A,0),0),0)</f>
        <v>0</v>
      </c>
      <c r="K4451" s="455">
        <f t="shared" ca="1" si="168"/>
        <v>-189663507527.73407</v>
      </c>
      <c r="L4451" s="455">
        <f t="shared" ca="1" si="169"/>
        <v>-45708905314183.914</v>
      </c>
      <c r="M4451" s="471">
        <f t="shared" si="171"/>
        <v>0.05</v>
      </c>
      <c r="N4451" s="475">
        <f t="shared" si="172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70"/>
        <v>-45708905314183.914</v>
      </c>
      <c r="J4452" s="455">
        <f t="array" ref="J4452">IFERROR(INDEX('Retirement Calculator'!K:K,MATCH('Lorri 401b'!N4452,'Retirement Calculator'!A:A,0),0),0)</f>
        <v>0</v>
      </c>
      <c r="K4452" s="455">
        <f t="shared" ca="1" si="168"/>
        <v>-190453772142.43298</v>
      </c>
      <c r="L4452" s="455">
        <f t="shared" ca="1" si="169"/>
        <v>-45899359086326.344</v>
      </c>
      <c r="M4452" s="471">
        <f t="shared" si="171"/>
        <v>0.05</v>
      </c>
      <c r="N4452" s="475">
        <f t="shared" si="172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70"/>
        <v>-45899359086326.344</v>
      </c>
      <c r="J4453" s="455">
        <f t="array" ref="J4453">IFERROR(INDEX('Retirement Calculator'!K:K,MATCH('Lorri 401b'!N4453,'Retirement Calculator'!A:A,0),0),0)</f>
        <v>0</v>
      </c>
      <c r="K4453" s="455">
        <f t="shared" ca="1" si="168"/>
        <v>-191247329526.35977</v>
      </c>
      <c r="L4453" s="455">
        <f t="shared" ca="1" si="169"/>
        <v>-46090606415852.703</v>
      </c>
      <c r="M4453" s="471">
        <f t="shared" si="171"/>
        <v>0.05</v>
      </c>
      <c r="N4453" s="475">
        <f t="shared" si="172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70"/>
        <v>-46090606415852.703</v>
      </c>
      <c r="J4454" s="455">
        <f t="array" ref="J4454">IFERROR(INDEX('Retirement Calculator'!K:K,MATCH('Lorri 401b'!N4454,'Retirement Calculator'!A:A,0),0),0)</f>
        <v>0</v>
      </c>
      <c r="K4454" s="455">
        <f t="shared" ca="1" si="168"/>
        <v>-192044193399.38626</v>
      </c>
      <c r="L4454" s="455">
        <f t="shared" ca="1" si="169"/>
        <v>-46282650609252.086</v>
      </c>
      <c r="M4454" s="471">
        <f t="shared" si="171"/>
        <v>0.05</v>
      </c>
      <c r="N4454" s="475">
        <f t="shared" si="172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70"/>
        <v>-46282650609252.086</v>
      </c>
      <c r="J4455" s="455">
        <f t="array" ref="J4455">IFERROR(INDEX('Retirement Calculator'!K:K,MATCH('Lorri 401b'!N4455,'Retirement Calculator'!A:A,0),0),0)</f>
        <v>0</v>
      </c>
      <c r="K4455" s="455">
        <f t="shared" ca="1" si="168"/>
        <v>-192844377538.55035</v>
      </c>
      <c r="L4455" s="455">
        <f t="shared" ca="1" si="169"/>
        <v>-46475494986790.633</v>
      </c>
      <c r="M4455" s="471">
        <f t="shared" si="171"/>
        <v>0.05</v>
      </c>
      <c r="N4455" s="475">
        <f t="shared" si="172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70"/>
        <v>-46475494986790.633</v>
      </c>
      <c r="J4456" s="455">
        <f t="array" ref="J4456">IFERROR(INDEX('Retirement Calculator'!K:K,MATCH('Lorri 401b'!N4456,'Retirement Calculator'!A:A,0),0),0)</f>
        <v>0</v>
      </c>
      <c r="K4456" s="455">
        <f t="shared" ca="1" si="168"/>
        <v>-193647895778.29431</v>
      </c>
      <c r="L4456" s="455">
        <f t="shared" ca="1" si="169"/>
        <v>-46669142882568.93</v>
      </c>
      <c r="M4456" s="471">
        <f t="shared" si="171"/>
        <v>0.05</v>
      </c>
      <c r="N4456" s="475">
        <f t="shared" si="172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70"/>
        <v>-46669142882568.93</v>
      </c>
      <c r="J4457" s="455">
        <f t="array" ref="J4457">IFERROR(INDEX('Retirement Calculator'!K:K,MATCH('Lorri 401b'!N4457,'Retirement Calculator'!A:A,0),0),0)</f>
        <v>0</v>
      </c>
      <c r="K4457" s="455">
        <f t="shared" ca="1" si="168"/>
        <v>-194454762010.70386</v>
      </c>
      <c r="L4457" s="455">
        <f t="shared" ca="1" si="169"/>
        <v>-46863597644579.633</v>
      </c>
      <c r="M4457" s="471">
        <f t="shared" si="171"/>
        <v>0.05</v>
      </c>
      <c r="N4457" s="475">
        <f t="shared" si="172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70"/>
        <v>-46863597644579.633</v>
      </c>
      <c r="J4458" s="455">
        <f t="array" ref="J4458">IFERROR(INDEX('Retirement Calculator'!K:K,MATCH('Lorri 401b'!N4458,'Retirement Calculator'!A:A,0),0),0)</f>
        <v>0</v>
      </c>
      <c r="K4458" s="455">
        <f t="shared" ca="1" si="168"/>
        <v>-195264990185.74847</v>
      </c>
      <c r="L4458" s="455">
        <f t="shared" ca="1" si="169"/>
        <v>-47058862634765.383</v>
      </c>
      <c r="M4458" s="471">
        <f t="shared" si="171"/>
        <v>0.05</v>
      </c>
      <c r="N4458" s="475">
        <f t="shared" si="172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70"/>
        <v>-47058862634765.383</v>
      </c>
      <c r="J4459" s="455">
        <f t="array" ref="J4459">IFERROR(INDEX('Retirement Calculator'!K:K,MATCH('Lorri 401b'!N4459,'Retirement Calculator'!A:A,0),0),0)</f>
        <v>0</v>
      </c>
      <c r="K4459" s="455">
        <f t="shared" ca="1" si="168"/>
        <v>-196078594311.52243</v>
      </c>
      <c r="L4459" s="455">
        <f t="shared" ca="1" si="169"/>
        <v>-47254941229076.906</v>
      </c>
      <c r="M4459" s="471">
        <f t="shared" si="171"/>
        <v>0.05</v>
      </c>
      <c r="N4459" s="475">
        <f t="shared" si="172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70"/>
        <v>-47254941229076.906</v>
      </c>
      <c r="J4460" s="455">
        <f t="array" ref="J4460">IFERROR(INDEX('Retirement Calculator'!K:K,MATCH('Lorri 401b'!N4460,'Retirement Calculator'!A:A,0),0),0)</f>
        <v>0</v>
      </c>
      <c r="K4460" s="455">
        <f t="shared" ca="1" si="168"/>
        <v>-196895588454.48712</v>
      </c>
      <c r="L4460" s="455">
        <f t="shared" ca="1" si="169"/>
        <v>-47451836817531.391</v>
      </c>
      <c r="M4460" s="471">
        <f t="shared" si="171"/>
        <v>0.05</v>
      </c>
      <c r="N4460" s="475">
        <f t="shared" si="172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70"/>
        <v>-47451836817531.391</v>
      </c>
      <c r="J4461" s="455">
        <f t="array" ref="J4461">IFERROR(INDEX('Retirement Calculator'!K:K,MATCH('Lorri 401b'!N4461,'Retirement Calculator'!A:A,0),0),0)</f>
        <v>0</v>
      </c>
      <c r="K4461" s="455">
        <f t="shared" ca="1" si="168"/>
        <v>-197715986739.71411</v>
      </c>
      <c r="L4461" s="455">
        <f t="shared" ca="1" si="169"/>
        <v>-47649552804271.102</v>
      </c>
      <c r="M4461" s="471">
        <f t="shared" si="171"/>
        <v>0.05</v>
      </c>
      <c r="N4461" s="475">
        <f t="shared" si="172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70"/>
        <v>-47649552804271.102</v>
      </c>
      <c r="J4462" s="455">
        <f t="array" ref="J4462">IFERROR(INDEX('Retirement Calculator'!K:K,MATCH('Lorri 401b'!N4462,'Retirement Calculator'!A:A,0),0),0)</f>
        <v>0</v>
      </c>
      <c r="K4462" s="455">
        <f t="shared" ca="1" si="168"/>
        <v>-198539803351.12958</v>
      </c>
      <c r="L4462" s="455">
        <f t="shared" ca="1" si="169"/>
        <v>-47848092607622.234</v>
      </c>
      <c r="M4462" s="471">
        <f t="shared" si="171"/>
        <v>0.05</v>
      </c>
      <c r="N4462" s="475">
        <f t="shared" si="172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70"/>
        <v>-47848092607622.234</v>
      </c>
      <c r="J4463" s="455">
        <f t="array" ref="J4463">IFERROR(INDEX('Retirement Calculator'!K:K,MATCH('Lorri 401b'!N4463,'Retirement Calculator'!A:A,0),0),0)</f>
        <v>0</v>
      </c>
      <c r="K4463" s="455">
        <f t="shared" ca="1" si="168"/>
        <v>-199367052531.75931</v>
      </c>
      <c r="L4463" s="455">
        <f t="shared" ca="1" si="169"/>
        <v>-48047459660153.992</v>
      </c>
      <c r="M4463" s="471">
        <f t="shared" si="171"/>
        <v>0.05</v>
      </c>
      <c r="N4463" s="475">
        <f t="shared" si="172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70"/>
        <v>-48047459660153.992</v>
      </c>
      <c r="J4464" s="455">
        <f t="array" ref="J4464">IFERROR(INDEX('Retirement Calculator'!K:K,MATCH('Lorri 401b'!N4464,'Retirement Calculator'!A:A,0),0),0)</f>
        <v>0</v>
      </c>
      <c r="K4464" s="455">
        <f t="shared" ca="1" si="168"/>
        <v>-200197748583.97498</v>
      </c>
      <c r="L4464" s="455">
        <f t="shared" ca="1" si="169"/>
        <v>-48247657408737.969</v>
      </c>
      <c r="M4464" s="471">
        <f t="shared" si="171"/>
        <v>0.05</v>
      </c>
      <c r="N4464" s="475">
        <f t="shared" si="172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70"/>
        <v>-48247657408737.969</v>
      </c>
      <c r="J4465" s="455">
        <f t="array" ref="J4465">IFERROR(INDEX('Retirement Calculator'!K:K,MATCH('Lorri 401b'!N4465,'Retirement Calculator'!A:A,0),0),0)</f>
        <v>0</v>
      </c>
      <c r="K4465" s="455">
        <f t="shared" ca="1" si="168"/>
        <v>-201031905869.74155</v>
      </c>
      <c r="L4465" s="455">
        <f t="shared" ca="1" si="169"/>
        <v>-48448689314607.711</v>
      </c>
      <c r="M4465" s="471">
        <f t="shared" si="171"/>
        <v>0.05</v>
      </c>
      <c r="N4465" s="475">
        <f t="shared" si="172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70"/>
        <v>-48448689314607.711</v>
      </c>
      <c r="J4466" s="455">
        <f t="array" ref="J4466">IFERROR(INDEX('Retirement Calculator'!K:K,MATCH('Lorri 401b'!N4466,'Retirement Calculator'!A:A,0),0),0)</f>
        <v>0</v>
      </c>
      <c r="K4466" s="455">
        <f t="shared" ca="1" si="168"/>
        <v>-201869538810.86545</v>
      </c>
      <c r="L4466" s="455">
        <f t="shared" ca="1" si="169"/>
        <v>-48650558853418.578</v>
      </c>
      <c r="M4466" s="471">
        <f t="shared" si="171"/>
        <v>0.05</v>
      </c>
      <c r="N4466" s="475">
        <f t="shared" si="172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70"/>
        <v>-48650558853418.578</v>
      </c>
      <c r="J4467" s="455">
        <f t="array" ref="J4467">IFERROR(INDEX('Retirement Calculator'!K:K,MATCH('Lorri 401b'!N4467,'Retirement Calculator'!A:A,0),0),0)</f>
        <v>0</v>
      </c>
      <c r="K4467" s="455">
        <f t="shared" ca="1" si="168"/>
        <v>-202710661889.24408</v>
      </c>
      <c r="L4467" s="455">
        <f t="shared" ca="1" si="169"/>
        <v>-48853269515307.82</v>
      </c>
      <c r="M4467" s="471">
        <f t="shared" si="171"/>
        <v>0.05</v>
      </c>
      <c r="N4467" s="475">
        <f t="shared" si="172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70"/>
        <v>-48853269515307.82</v>
      </c>
      <c r="J4468" s="455">
        <f t="array" ref="J4468">IFERROR(INDEX('Retirement Calculator'!K:K,MATCH('Lorri 401b'!N4468,'Retirement Calculator'!A:A,0),0),0)</f>
        <v>0</v>
      </c>
      <c r="K4468" s="455">
        <f t="shared" ca="1" si="168"/>
        <v>-203555289647.11591</v>
      </c>
      <c r="L4468" s="455">
        <f t="shared" ca="1" si="169"/>
        <v>-49056824804954.938</v>
      </c>
      <c r="M4468" s="471">
        <f t="shared" si="171"/>
        <v>0.05</v>
      </c>
      <c r="N4468" s="475">
        <f t="shared" si="172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70"/>
        <v>-49056824804954.938</v>
      </c>
      <c r="J4469" s="455">
        <f t="array" ref="J4469">IFERROR(INDEX('Retirement Calculator'!K:K,MATCH('Lorri 401b'!N4469,'Retirement Calculator'!A:A,0),0),0)</f>
        <v>0</v>
      </c>
      <c r="K4469" s="455">
        <f t="shared" ca="1" si="168"/>
        <v>-204403436687.31223</v>
      </c>
      <c r="L4469" s="455">
        <f t="shared" ca="1" si="169"/>
        <v>-49261228241642.25</v>
      </c>
      <c r="M4469" s="471">
        <f t="shared" si="171"/>
        <v>0.05</v>
      </c>
      <c r="N4469" s="475">
        <f t="shared" si="172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70"/>
        <v>-49261228241642.25</v>
      </c>
      <c r="J4470" s="455">
        <f t="array" ref="J4470">IFERROR(INDEX('Retirement Calculator'!K:K,MATCH('Lorri 401b'!N4470,'Retirement Calculator'!A:A,0),0),0)</f>
        <v>0</v>
      </c>
      <c r="K4470" s="455">
        <f t="shared" ca="1" si="168"/>
        <v>-205255117673.50937</v>
      </c>
      <c r="L4470" s="455">
        <f t="shared" ca="1" si="169"/>
        <v>-49466483359315.758</v>
      </c>
      <c r="M4470" s="471">
        <f t="shared" si="171"/>
        <v>0.05</v>
      </c>
      <c r="N4470" s="475">
        <f t="shared" si="172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70"/>
        <v>-49466483359315.758</v>
      </c>
      <c r="J4471" s="455">
        <f t="array" ref="J4471">IFERROR(INDEX('Retirement Calculator'!K:K,MATCH('Lorri 401b'!N4471,'Retirement Calculator'!A:A,0),0),0)</f>
        <v>0</v>
      </c>
      <c r="K4471" s="455">
        <f t="shared" ca="1" si="168"/>
        <v>-206110347330.48233</v>
      </c>
      <c r="L4471" s="455">
        <f t="shared" ca="1" si="169"/>
        <v>-49672593706646.242</v>
      </c>
      <c r="M4471" s="471">
        <f t="shared" si="171"/>
        <v>0.05</v>
      </c>
      <c r="N4471" s="475">
        <f t="shared" si="172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70"/>
        <v>-49672593706646.242</v>
      </c>
      <c r="J4472" s="455">
        <f t="array" ref="J4472">IFERROR(INDEX('Retirement Calculator'!K:K,MATCH('Lorri 401b'!N4472,'Retirement Calculator'!A:A,0),0),0)</f>
        <v>0</v>
      </c>
      <c r="K4472" s="455">
        <f t="shared" ca="1" si="168"/>
        <v>-206969140444.35934</v>
      </c>
      <c r="L4472" s="455">
        <f t="shared" ca="1" si="169"/>
        <v>-49879562847090.602</v>
      </c>
      <c r="M4472" s="471">
        <f t="shared" si="171"/>
        <v>0.05</v>
      </c>
      <c r="N4472" s="475">
        <f t="shared" si="172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70"/>
        <v>-49879562847090.602</v>
      </c>
      <c r="J4473" s="455">
        <f t="array" ref="J4473">IFERROR(INDEX('Retirement Calculator'!K:K,MATCH('Lorri 401b'!N4473,'Retirement Calculator'!A:A,0),0),0)</f>
        <v>0</v>
      </c>
      <c r="K4473" s="455">
        <f t="shared" ca="1" si="168"/>
        <v>-207831511862.8775</v>
      </c>
      <c r="L4473" s="455">
        <f t="shared" ca="1" si="169"/>
        <v>-50087394358953.477</v>
      </c>
      <c r="M4473" s="471">
        <f t="shared" si="171"/>
        <v>0.05</v>
      </c>
      <c r="N4473" s="475">
        <f t="shared" si="172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70"/>
        <v>-50087394358953.477</v>
      </c>
      <c r="J4474" s="455">
        <f t="array" ref="J4474">IFERROR(INDEX('Retirement Calculator'!K:K,MATCH('Lorri 401b'!N4474,'Retirement Calculator'!A:A,0),0),0)</f>
        <v>0</v>
      </c>
      <c r="K4474" s="455">
        <f t="shared" ca="1" si="168"/>
        <v>-208697476495.6395</v>
      </c>
      <c r="L4474" s="455">
        <f t="shared" ca="1" si="169"/>
        <v>-50296091835449.117</v>
      </c>
      <c r="M4474" s="471">
        <f t="shared" si="171"/>
        <v>0.05</v>
      </c>
      <c r="N4474" s="475">
        <f t="shared" si="172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70"/>
        <v>-50296091835449.117</v>
      </c>
      <c r="J4475" s="455">
        <f t="array" ref="J4475">IFERROR(INDEX('Retirement Calculator'!K:K,MATCH('Lorri 401b'!N4475,'Retirement Calculator'!A:A,0),0),0)</f>
        <v>0</v>
      </c>
      <c r="K4475" s="455">
        <f t="shared" ca="1" si="168"/>
        <v>-209567049314.37131</v>
      </c>
      <c r="L4475" s="455">
        <f t="shared" ca="1" si="169"/>
        <v>-50505658884763.492</v>
      </c>
      <c r="M4475" s="471">
        <f t="shared" si="171"/>
        <v>0.05</v>
      </c>
      <c r="N4475" s="475">
        <f t="shared" si="172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70"/>
        <v>-50505658884763.492</v>
      </c>
      <c r="J4476" s="455">
        <f t="array" ref="J4476">IFERROR(INDEX('Retirement Calculator'!K:K,MATCH('Lorri 401b'!N4476,'Retirement Calculator'!A:A,0),0),0)</f>
        <v>0</v>
      </c>
      <c r="K4476" s="455">
        <f t="shared" ca="1" si="168"/>
        <v>-210440245353.18121</v>
      </c>
      <c r="L4476" s="455">
        <f t="shared" ca="1" si="169"/>
        <v>-50716099130116.672</v>
      </c>
      <c r="M4476" s="471">
        <f t="shared" si="171"/>
        <v>0.05</v>
      </c>
      <c r="N4476" s="475">
        <f t="shared" si="172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70"/>
        <v>-50716099130116.672</v>
      </c>
      <c r="J4477" s="455">
        <f t="array" ref="J4477">IFERROR(INDEX('Retirement Calculator'!K:K,MATCH('Lorri 401b'!N4477,'Retirement Calculator'!A:A,0),0),0)</f>
        <v>0</v>
      </c>
      <c r="K4477" s="455">
        <f t="shared" ca="1" si="168"/>
        <v>-211317079708.81946</v>
      </c>
      <c r="L4477" s="455">
        <f t="shared" ca="1" si="169"/>
        <v>-50927416209825.492</v>
      </c>
      <c r="M4477" s="471">
        <f t="shared" si="171"/>
        <v>0.05</v>
      </c>
      <c r="N4477" s="475">
        <f t="shared" si="172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70"/>
        <v>-50927416209825.492</v>
      </c>
      <c r="J4478" s="455">
        <f t="array" ref="J4478">IFERROR(INDEX('Retirement Calculator'!K:K,MATCH('Lorri 401b'!N4478,'Retirement Calculator'!A:A,0),0),0)</f>
        <v>0</v>
      </c>
      <c r="K4478" s="455">
        <f t="shared" ca="1" si="168"/>
        <v>-212197567540.93954</v>
      </c>
      <c r="L4478" s="455">
        <f t="shared" ca="1" si="169"/>
        <v>-51139613777366.43</v>
      </c>
      <c r="M4478" s="471">
        <f t="shared" si="171"/>
        <v>0.05</v>
      </c>
      <c r="N4478" s="475">
        <f t="shared" si="172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70"/>
        <v>-51139613777366.43</v>
      </c>
      <c r="J4479" s="455">
        <f t="array" ref="J4479">IFERROR(INDEX('Retirement Calculator'!K:K,MATCH('Lorri 401b'!N4479,'Retirement Calculator'!A:A,0),0),0)</f>
        <v>0</v>
      </c>
      <c r="K4479" s="455">
        <f t="shared" ca="1" si="168"/>
        <v>-213081724072.36011</v>
      </c>
      <c r="L4479" s="455">
        <f t="shared" ca="1" si="169"/>
        <v>-51352695501438.789</v>
      </c>
      <c r="M4479" s="471">
        <f t="shared" si="171"/>
        <v>0.05</v>
      </c>
      <c r="N4479" s="475">
        <f t="shared" si="172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70"/>
        <v>-51352695501438.789</v>
      </c>
      <c r="J4480" s="455">
        <f t="array" ref="J4480">IFERROR(INDEX('Retirement Calculator'!K:K,MATCH('Lorri 401b'!N4480,'Retirement Calculator'!A:A,0),0),0)</f>
        <v>0</v>
      </c>
      <c r="K4480" s="455">
        <f t="shared" ca="1" si="168"/>
        <v>-213969564589.32828</v>
      </c>
      <c r="L4480" s="455">
        <f t="shared" ca="1" si="169"/>
        <v>-51566665066028.117</v>
      </c>
      <c r="M4480" s="471">
        <f t="shared" si="171"/>
        <v>0.05</v>
      </c>
      <c r="N4480" s="475">
        <f t="shared" si="172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70"/>
        <v>-51566665066028.117</v>
      </c>
      <c r="J4481" s="455">
        <f t="array" ref="J4481">IFERROR(INDEX('Retirement Calculator'!K:K,MATCH('Lorri 401b'!N4481,'Retirement Calculator'!A:A,0),0),0)</f>
        <v>0</v>
      </c>
      <c r="K4481" s="455">
        <f t="shared" ca="1" si="168"/>
        <v>-214861104441.78381</v>
      </c>
      <c r="L4481" s="455">
        <f t="shared" ca="1" si="169"/>
        <v>-51781526170469.898</v>
      </c>
      <c r="M4481" s="471">
        <f t="shared" si="171"/>
        <v>0.05</v>
      </c>
      <c r="N4481" s="475">
        <f t="shared" si="172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70"/>
        <v>-51781526170469.898</v>
      </c>
      <c r="J4482" s="455">
        <f t="array" ref="J4482">IFERROR(INDEX('Retirement Calculator'!K:K,MATCH('Lorri 401b'!N4482,'Retirement Calculator'!A:A,0),0),0)</f>
        <v>0</v>
      </c>
      <c r="K4482" s="455">
        <f t="shared" ca="1" si="168"/>
        <v>-215756359043.62457</v>
      </c>
      <c r="L4482" s="455">
        <f t="shared" ca="1" si="169"/>
        <v>-51997282529513.523</v>
      </c>
      <c r="M4482" s="471">
        <f t="shared" si="171"/>
        <v>0.05</v>
      </c>
      <c r="N4482" s="475">
        <f t="shared" si="172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70"/>
        <v>-51997282529513.523</v>
      </c>
      <c r="J4483" s="455">
        <f t="array" ref="J4483">IFERROR(INDEX('Retirement Calculator'!K:K,MATCH('Lorri 401b'!N4483,'Retirement Calculator'!A:A,0),0),0)</f>
        <v>0</v>
      </c>
      <c r="K4483" s="455">
        <f t="shared" ca="1" si="168"/>
        <v>-216655343872.97302</v>
      </c>
      <c r="L4483" s="455">
        <f t="shared" ca="1" si="169"/>
        <v>-52213937873386.5</v>
      </c>
      <c r="M4483" s="471">
        <f t="shared" si="171"/>
        <v>0.05</v>
      </c>
      <c r="N4483" s="475">
        <f t="shared" si="172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70"/>
        <v>-52213937873386.5</v>
      </c>
      <c r="J4484" s="455">
        <f t="array" ref="J4484">IFERROR(INDEX('Retirement Calculator'!K:K,MATCH('Lorri 401b'!N4484,'Retirement Calculator'!A:A,0),0),0)</f>
        <v>0</v>
      </c>
      <c r="K4484" s="455">
        <f t="shared" ca="1" si="168"/>
        <v>-217558074472.44376</v>
      </c>
      <c r="L4484" s="455">
        <f t="shared" ca="1" si="169"/>
        <v>-52431495947858.945</v>
      </c>
      <c r="M4484" s="471">
        <f t="shared" si="171"/>
        <v>0.05</v>
      </c>
      <c r="N4484" s="475">
        <f t="shared" si="172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70"/>
        <v>-52431495947858.945</v>
      </c>
      <c r="J4485" s="455">
        <f t="array" ref="J4485">IFERROR(INDEX('Retirement Calculator'!K:K,MATCH('Lorri 401b'!N4485,'Retirement Calculator'!A:A,0),0),0)</f>
        <v>0</v>
      </c>
      <c r="K4485" s="455">
        <f t="shared" ca="1" si="168"/>
        <v>-218464566449.41226</v>
      </c>
      <c r="L4485" s="455">
        <f t="shared" ca="1" si="169"/>
        <v>-52649960514308.359</v>
      </c>
      <c r="M4485" s="471">
        <f t="shared" si="171"/>
        <v>0.05</v>
      </c>
      <c r="N4485" s="475">
        <f t="shared" si="172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70"/>
        <v>-52649960514308.359</v>
      </c>
      <c r="J4486" s="455">
        <f t="array" ref="J4486">IFERROR(INDEX('Retirement Calculator'!K:K,MATCH('Lorri 401b'!N4486,'Retirement Calculator'!A:A,0),0),0)</f>
        <v>0</v>
      </c>
      <c r="K4486" s="455">
        <f t="shared" ca="1" si="168"/>
        <v>-219374835476.28482</v>
      </c>
      <c r="L4486" s="455">
        <f t="shared" ca="1" si="169"/>
        <v>-52869335349784.641</v>
      </c>
      <c r="M4486" s="471">
        <f t="shared" si="171"/>
        <v>0.05</v>
      </c>
      <c r="N4486" s="475">
        <f t="shared" si="172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70"/>
        <v>-52869335349784.641</v>
      </c>
      <c r="J4487" s="455">
        <f t="array" ref="J4487">IFERROR(INDEX('Retirement Calculator'!K:K,MATCH('Lorri 401b'!N4487,'Retirement Calculator'!A:A,0),0),0)</f>
        <v>0</v>
      </c>
      <c r="K4487" s="455">
        <f t="shared" ca="1" si="168"/>
        <v>-220288897290.76935</v>
      </c>
      <c r="L4487" s="455">
        <f t="shared" ca="1" si="169"/>
        <v>-53089624247075.406</v>
      </c>
      <c r="M4487" s="471">
        <f t="shared" si="171"/>
        <v>0.05</v>
      </c>
      <c r="N4487" s="475">
        <f t="shared" si="172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70"/>
        <v>-53089624247075.406</v>
      </c>
      <c r="J4488" s="455">
        <f t="array" ref="J4488">IFERROR(INDEX('Retirement Calculator'!K:K,MATCH('Lorri 401b'!N4488,'Retirement Calculator'!A:A,0),0),0)</f>
        <v>0</v>
      </c>
      <c r="K4488" s="455">
        <f t="shared" ca="1" si="168"/>
        <v>-221206767696.14752</v>
      </c>
      <c r="L4488" s="455">
        <f t="shared" ca="1" si="169"/>
        <v>-53310831014771.555</v>
      </c>
      <c r="M4488" s="471">
        <f t="shared" si="171"/>
        <v>0.05</v>
      </c>
      <c r="N4488" s="475">
        <f t="shared" si="172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70"/>
        <v>-53310831014771.555</v>
      </c>
      <c r="J4489" s="455">
        <f t="array" ref="J4489">IFERROR(INDEX('Retirement Calculator'!K:K,MATCH('Lorri 401b'!N4489,'Retirement Calculator'!A:A,0),0),0)</f>
        <v>0</v>
      </c>
      <c r="K4489" s="455">
        <f t="shared" ca="1" si="168"/>
        <v>-222128462561.54813</v>
      </c>
      <c r="L4489" s="455">
        <f t="shared" ca="1" si="169"/>
        <v>-53532959477333.102</v>
      </c>
      <c r="M4489" s="471">
        <f t="shared" si="171"/>
        <v>0.05</v>
      </c>
      <c r="N4489" s="475">
        <f t="shared" si="172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70"/>
        <v>-53532959477333.102</v>
      </c>
      <c r="J4490" s="455">
        <f t="array" ref="J4490">IFERROR(INDEX('Retirement Calculator'!K:K,MATCH('Lorri 401b'!N4490,'Retirement Calculator'!A:A,0),0),0)</f>
        <v>0</v>
      </c>
      <c r="K4490" s="455">
        <f t="shared" ca="1" si="168"/>
        <v>-223053997822.22125</v>
      </c>
      <c r="L4490" s="455">
        <f t="shared" ca="1" si="169"/>
        <v>-53756013475155.32</v>
      </c>
      <c r="M4490" s="471">
        <f t="shared" si="171"/>
        <v>0.05</v>
      </c>
      <c r="N4490" s="475">
        <f t="shared" si="172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70"/>
        <v>-53756013475155.32</v>
      </c>
      <c r="J4491" s="455">
        <f t="array" ref="J4491">IFERROR(INDEX('Retirement Calculator'!K:K,MATCH('Lorri 401b'!N4491,'Retirement Calculator'!A:A,0),0),0)</f>
        <v>0</v>
      </c>
      <c r="K4491" s="455">
        <f t="shared" ca="1" si="168"/>
        <v>-223983389479.81384</v>
      </c>
      <c r="L4491" s="455">
        <f t="shared" ca="1" si="169"/>
        <v>-53979996864635.133</v>
      </c>
      <c r="M4491" s="471">
        <f t="shared" si="171"/>
        <v>0.05</v>
      </c>
      <c r="N4491" s="475">
        <f t="shared" si="172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70"/>
        <v>-53979996864635.133</v>
      </c>
      <c r="J4492" s="455">
        <f t="array" ref="J4492">IFERROR(INDEX('Retirement Calculator'!K:K,MATCH('Lorri 401b'!N4492,'Retirement Calculator'!A:A,0),0),0)</f>
        <v>0</v>
      </c>
      <c r="K4492" s="455">
        <f t="shared" ca="1" si="168"/>
        <v>-224916653602.64639</v>
      </c>
      <c r="L4492" s="455">
        <f t="shared" ca="1" si="169"/>
        <v>-54204913518237.781</v>
      </c>
      <c r="M4492" s="471">
        <f t="shared" si="171"/>
        <v>0.05</v>
      </c>
      <c r="N4492" s="475">
        <f t="shared" si="172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70"/>
        <v>-54204913518237.781</v>
      </c>
      <c r="J4493" s="455">
        <f t="array" ref="J4493">IFERROR(INDEX('Retirement Calculator'!K:K,MATCH('Lorri 401b'!N4493,'Retirement Calculator'!A:A,0),0),0)</f>
        <v>0</v>
      </c>
      <c r="K4493" s="455">
        <f t="shared" ca="1" si="168"/>
        <v>-225853806325.99075</v>
      </c>
      <c r="L4493" s="455">
        <f t="shared" ca="1" si="169"/>
        <v>-54430767324563.773</v>
      </c>
      <c r="M4493" s="471">
        <f t="shared" si="171"/>
        <v>0.05</v>
      </c>
      <c r="N4493" s="475">
        <f t="shared" si="172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70"/>
        <v>-54430767324563.773</v>
      </c>
      <c r="J4494" s="455">
        <f t="array" ref="J4494">IFERROR(INDEX('Retirement Calculator'!K:K,MATCH('Lorri 401b'!N4494,'Retirement Calculator'!A:A,0),0),0)</f>
        <v>0</v>
      </c>
      <c r="K4494" s="455">
        <f t="shared" ca="1" si="168"/>
        <v>-226794863852.34906</v>
      </c>
      <c r="L4494" s="455">
        <f t="shared" ca="1" si="169"/>
        <v>-54657562188416.125</v>
      </c>
      <c r="M4494" s="471">
        <f t="shared" si="171"/>
        <v>0.05</v>
      </c>
      <c r="N4494" s="475">
        <f t="shared" si="172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70"/>
        <v>-54657562188416.125</v>
      </c>
      <c r="J4495" s="455">
        <f t="array" ref="J4495">IFERROR(INDEX('Retirement Calculator'!K:K,MATCH('Lorri 401b'!N4495,'Retirement Calculator'!A:A,0),0),0)</f>
        <v>0</v>
      </c>
      <c r="K4495" s="455">
        <f t="shared" ca="1" si="168"/>
        <v>-227739842451.73386</v>
      </c>
      <c r="L4495" s="455">
        <f t="shared" ca="1" si="169"/>
        <v>-54885302030867.859</v>
      </c>
      <c r="M4495" s="471">
        <f t="shared" si="171"/>
        <v>0.05</v>
      </c>
      <c r="N4495" s="475">
        <f t="shared" si="172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70"/>
        <v>-54885302030867.859</v>
      </c>
      <c r="J4496" s="455">
        <f t="array" ref="J4496">IFERROR(INDEX('Retirement Calculator'!K:K,MATCH('Lorri 401b'!N4496,'Retirement Calculator'!A:A,0),0),0)</f>
        <v>0</v>
      </c>
      <c r="K4496" s="455">
        <f t="shared" ca="1" si="168"/>
        <v>-228688758461.9494</v>
      </c>
      <c r="L4496" s="455">
        <f t="shared" ca="1" si="169"/>
        <v>-55113990789329.813</v>
      </c>
      <c r="M4496" s="471">
        <f t="shared" si="171"/>
        <v>0.05</v>
      </c>
      <c r="N4496" s="475">
        <f t="shared" si="172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70"/>
        <v>-55113990789329.813</v>
      </c>
      <c r="J4497" s="455">
        <f t="array" ref="J4497">IFERROR(INDEX('Retirement Calculator'!K:K,MATCH('Lorri 401b'!N4497,'Retirement Calculator'!A:A,0),0),0)</f>
        <v>0</v>
      </c>
      <c r="K4497" s="455">
        <f t="shared" ca="1" si="168"/>
        <v>-229641628288.87421</v>
      </c>
      <c r="L4497" s="455">
        <f t="shared" ca="1" si="169"/>
        <v>-55343632417618.688</v>
      </c>
      <c r="M4497" s="471">
        <f t="shared" si="171"/>
        <v>0.05</v>
      </c>
      <c r="N4497" s="475">
        <f t="shared" si="172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70"/>
        <v>-55343632417618.688</v>
      </c>
      <c r="J4498" s="455">
        <f t="array" ref="J4498">IFERROR(INDEX('Retirement Calculator'!K:K,MATCH('Lorri 401b'!N4498,'Retirement Calculator'!A:A,0),0),0)</f>
        <v>0</v>
      </c>
      <c r="K4498" s="455">
        <f t="shared" ca="1" si="168"/>
        <v>-230598468406.74451</v>
      </c>
      <c r="L4498" s="455">
        <f t="shared" ca="1" si="169"/>
        <v>-55574230886025.43</v>
      </c>
      <c r="M4498" s="471">
        <f t="shared" si="171"/>
        <v>0.05</v>
      </c>
      <c r="N4498" s="475">
        <f t="shared" si="172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70"/>
        <v>-55574230886025.43</v>
      </c>
      <c r="J4499" s="455">
        <f t="array" ref="J4499">IFERROR(INDEX('Retirement Calculator'!K:K,MATCH('Lorri 401b'!N4499,'Retirement Calculator'!A:A,0),0),0)</f>
        <v>0</v>
      </c>
      <c r="K4499" s="455">
        <f t="shared" ca="1" si="168"/>
        <v>-231559295358.4393</v>
      </c>
      <c r="L4499" s="455">
        <f t="shared" ca="1" si="169"/>
        <v>-55805790181383.867</v>
      </c>
      <c r="M4499" s="471">
        <f t="shared" si="171"/>
        <v>0.05</v>
      </c>
      <c r="N4499" s="475">
        <f t="shared" si="172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70"/>
        <v>-55805790181383.867</v>
      </c>
      <c r="J4500" s="455">
        <f t="array" ref="J4500">IFERROR(INDEX('Retirement Calculator'!K:K,MATCH('Lorri 401b'!N4500,'Retirement Calculator'!A:A,0),0),0)</f>
        <v>0</v>
      </c>
      <c r="K4500" s="455">
        <f t="shared" ca="1" si="168"/>
        <v>-232524125755.76614</v>
      </c>
      <c r="L4500" s="455">
        <f t="shared" ca="1" si="169"/>
        <v>-56038314307139.633</v>
      </c>
      <c r="M4500" s="471">
        <f t="shared" si="171"/>
        <v>0.05</v>
      </c>
      <c r="N4500" s="475">
        <f t="shared" si="172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70"/>
        <v>-56038314307139.633</v>
      </c>
      <c r="J4501" s="455">
        <f t="array" ref="J4501">IFERROR(INDEX('Retirement Calculator'!K:K,MATCH('Lorri 401b'!N4501,'Retirement Calculator'!A:A,0),0),0)</f>
        <v>0</v>
      </c>
      <c r="K4501" s="455">
        <f t="shared" ca="1" si="168"/>
        <v>-233492976279.74847</v>
      </c>
      <c r="L4501" s="455">
        <f t="shared" ca="1" si="169"/>
        <v>-56271807283419.383</v>
      </c>
      <c r="M4501" s="471">
        <f t="shared" si="171"/>
        <v>0.05</v>
      </c>
      <c r="N4501" s="475">
        <f t="shared" si="172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70"/>
        <v>-56271807283419.383</v>
      </c>
      <c r="J4502" s="455">
        <f t="array" ref="J4502">IFERROR(INDEX('Retirement Calculator'!K:K,MATCH('Lorri 401b'!N4502,'Retirement Calculator'!A:A,0),0),0)</f>
        <v>0</v>
      </c>
      <c r="K4502" s="455">
        <f t="shared" ca="1" si="168"/>
        <v>-234465863680.91412</v>
      </c>
      <c r="L4502" s="455">
        <f t="shared" ca="1" si="169"/>
        <v>-56506273147100.297</v>
      </c>
      <c r="M4502" s="471">
        <f t="shared" si="171"/>
        <v>0.05</v>
      </c>
      <c r="N4502" s="475">
        <f t="shared" si="172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70"/>
        <v>-56506273147100.297</v>
      </c>
      <c r="J4503" s="455">
        <f t="array" ref="J4503">IFERROR(INDEX('Retirement Calculator'!K:K,MATCH('Lorri 401b'!N4503,'Retirement Calculator'!A:A,0),0),0)</f>
        <v>0</v>
      </c>
      <c r="K4503" s="455">
        <f t="shared" ca="1" si="168"/>
        <v>-235442804779.58453</v>
      </c>
      <c r="L4503" s="455">
        <f t="shared" ca="1" si="169"/>
        <v>-56741715951879.883</v>
      </c>
      <c r="M4503" s="471">
        <f t="shared" si="171"/>
        <v>0.05</v>
      </c>
      <c r="N4503" s="475">
        <f t="shared" si="172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70"/>
        <v>-56741715951879.883</v>
      </c>
      <c r="J4504" s="455">
        <f t="array" ref="J4504">IFERROR(INDEX('Retirement Calculator'!K:K,MATCH('Lorri 401b'!N4504,'Retirement Calculator'!A:A,0),0),0)</f>
        <v>0</v>
      </c>
      <c r="K4504" s="455">
        <f t="shared" ca="1" si="168"/>
        <v>-236423816466.1662</v>
      </c>
      <c r="L4504" s="455">
        <f t="shared" ca="1" si="169"/>
        <v>-56978139768346.047</v>
      </c>
      <c r="M4504" s="471">
        <f t="shared" si="171"/>
        <v>0.05</v>
      </c>
      <c r="N4504" s="475">
        <f t="shared" si="172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70"/>
        <v>-56978139768346.047</v>
      </c>
      <c r="J4505" s="455">
        <f t="array" ref="J4505">IFERROR(INDEX('Retirement Calculator'!K:K,MATCH('Lorri 401b'!N4505,'Retirement Calculator'!A:A,0),0),0)</f>
        <v>0</v>
      </c>
      <c r="K4505" s="455">
        <f t="shared" ca="1" si="168"/>
        <v>-237408915701.44186</v>
      </c>
      <c r="L4505" s="455">
        <f t="shared" ca="1" si="169"/>
        <v>-57215548684047.492</v>
      </c>
      <c r="M4505" s="471">
        <f t="shared" si="171"/>
        <v>0.05</v>
      </c>
      <c r="N4505" s="475">
        <f t="shared" si="172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70"/>
        <v>-57215548684047.492</v>
      </c>
      <c r="J4506" s="455">
        <f t="array" ref="J4506">IFERROR(INDEX('Retirement Calculator'!K:K,MATCH('Lorri 401b'!N4506,'Retirement Calculator'!A:A,0),0),0)</f>
        <v>0</v>
      </c>
      <c r="K4506" s="455">
        <f t="shared" ca="1" si="168"/>
        <v>-238398119516.86453</v>
      </c>
      <c r="L4506" s="455">
        <f t="shared" ca="1" si="169"/>
        <v>-57453946803564.359</v>
      </c>
      <c r="M4506" s="471">
        <f t="shared" si="171"/>
        <v>0.05</v>
      </c>
      <c r="N4506" s="475">
        <f t="shared" si="172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70"/>
        <v>-57453946803564.359</v>
      </c>
      <c r="J4507" s="455">
        <f t="array" ref="J4507">IFERROR(INDEX('Retirement Calculator'!K:K,MATCH('Lorri 401b'!N4507,'Retirement Calculator'!A:A,0),0),0)</f>
        <v>0</v>
      </c>
      <c r="K4507" s="455">
        <f t="shared" ca="1" si="168"/>
        <v>-239391445014.85147</v>
      </c>
      <c r="L4507" s="455">
        <f t="shared" ca="1" si="169"/>
        <v>-57693338248579.211</v>
      </c>
      <c r="M4507" s="471">
        <f t="shared" si="171"/>
        <v>0.05</v>
      </c>
      <c r="N4507" s="475">
        <f t="shared" si="172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70"/>
        <v>-57693338248579.211</v>
      </c>
      <c r="J4508" s="455">
        <f t="array" ref="J4508">IFERROR(INDEX('Retirement Calculator'!K:K,MATCH('Lorri 401b'!N4508,'Retirement Calculator'!A:A,0),0),0)</f>
        <v>0</v>
      </c>
      <c r="K4508" s="455">
        <f t="shared" ca="1" si="168"/>
        <v>-240388909369.08005</v>
      </c>
      <c r="L4508" s="455">
        <f t="shared" ca="1" si="169"/>
        <v>-57933727157948.289</v>
      </c>
      <c r="M4508" s="471">
        <f t="shared" si="171"/>
        <v>0.05</v>
      </c>
      <c r="N4508" s="475">
        <f t="shared" si="172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70"/>
        <v>-57933727157948.289</v>
      </c>
      <c r="J4509" s="455">
        <f t="array" ref="J4509">IFERROR(INDEX('Retirement Calculator'!K:K,MATCH('Lorri 401b'!N4509,'Retirement Calculator'!A:A,0),0),0)</f>
        <v>0</v>
      </c>
      <c r="K4509" s="455">
        <f t="shared" ca="1" si="168"/>
        <v>-241390529824.78452</v>
      </c>
      <c r="L4509" s="455">
        <f t="shared" ca="1" si="169"/>
        <v>-58175117687773.07</v>
      </c>
      <c r="M4509" s="471">
        <f t="shared" si="171"/>
        <v>0.05</v>
      </c>
      <c r="N4509" s="475">
        <f t="shared" si="172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70"/>
        <v>-58175117687773.07</v>
      </c>
      <c r="J4510" s="455">
        <f t="array" ref="J4510">IFERROR(INDEX('Retirement Calculator'!K:K,MATCH('Lorri 401b'!N4510,'Retirement Calculator'!A:A,0),0),0)</f>
        <v>0</v>
      </c>
      <c r="K4510" s="455">
        <f t="shared" ca="1" si="168"/>
        <v>-242396323699.05441</v>
      </c>
      <c r="L4510" s="455">
        <f t="shared" ca="1" si="169"/>
        <v>-58417514011472.125</v>
      </c>
      <c r="M4510" s="471">
        <f t="shared" si="171"/>
        <v>0.05</v>
      </c>
      <c r="N4510" s="475">
        <f t="shared" si="172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70"/>
        <v>-58417514011472.125</v>
      </c>
      <c r="J4511" s="455">
        <f t="array" ref="J4511">IFERROR(INDEX('Retirement Calculator'!K:K,MATCH('Lorri 401b'!N4511,'Retirement Calculator'!A:A,0),0),0)</f>
        <v>0</v>
      </c>
      <c r="K4511" s="455">
        <f t="shared" ca="1" si="168"/>
        <v>-243406308381.13382</v>
      </c>
      <c r="L4511" s="455">
        <f t="shared" ca="1" si="169"/>
        <v>-58660920319853.258</v>
      </c>
      <c r="M4511" s="471">
        <f t="shared" si="171"/>
        <v>0.05</v>
      </c>
      <c r="N4511" s="475">
        <f t="shared" si="172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70"/>
        <v>-58660920319853.258</v>
      </c>
      <c r="J4512" s="455">
        <f t="array" ref="J4512">IFERROR(INDEX('Retirement Calculator'!K:K,MATCH('Lorri 401b'!N4512,'Retirement Calculator'!A:A,0),0),0)</f>
        <v>0</v>
      </c>
      <c r="K4512" s="455">
        <f t="shared" ca="1" si="168"/>
        <v>-244420501332.72189</v>
      </c>
      <c r="L4512" s="455">
        <f t="shared" ca="1" si="169"/>
        <v>-58905340821185.977</v>
      </c>
      <c r="M4512" s="471">
        <f t="shared" si="171"/>
        <v>0.05</v>
      </c>
      <c r="N4512" s="475">
        <f t="shared" si="172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70"/>
        <v>-58905340821185.977</v>
      </c>
      <c r="J4513" s="455">
        <f t="array" ref="J4513">IFERROR(INDEX('Retirement Calculator'!K:K,MATCH('Lorri 401b'!N4513,'Retirement Calculator'!A:A,0),0),0)</f>
        <v>0</v>
      </c>
      <c r="K4513" s="455">
        <f t="shared" ca="1" si="168"/>
        <v>-245438920088.2749</v>
      </c>
      <c r="L4513" s="455">
        <f t="shared" ca="1" si="169"/>
        <v>-59150779741274.25</v>
      </c>
      <c r="M4513" s="471">
        <f t="shared" si="171"/>
        <v>0.05</v>
      </c>
      <c r="N4513" s="475">
        <f t="shared" si="172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70"/>
        <v>-59150779741274.25</v>
      </c>
      <c r="J4514" s="455">
        <f t="array" ref="J4514">IFERROR(INDEX('Retirement Calculator'!K:K,MATCH('Lorri 401b'!N4514,'Retirement Calculator'!A:A,0),0),0)</f>
        <v>0</v>
      </c>
      <c r="K4514" s="455">
        <f t="shared" ca="1" si="168"/>
        <v>-246461582255.30936</v>
      </c>
      <c r="L4514" s="455">
        <f t="shared" ca="1" si="169"/>
        <v>-59397241323529.563</v>
      </c>
      <c r="M4514" s="471">
        <f t="shared" si="171"/>
        <v>0.05</v>
      </c>
      <c r="N4514" s="475">
        <f t="shared" si="172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70"/>
        <v>-59397241323529.563</v>
      </c>
      <c r="J4515" s="455">
        <f t="array" ref="J4515">IFERROR(INDEX('Retirement Calculator'!K:K,MATCH('Lorri 401b'!N4515,'Retirement Calculator'!A:A,0),0),0)</f>
        <v>0</v>
      </c>
      <c r="K4515" s="455">
        <f t="shared" ca="1" si="168"/>
        <v>-247488505514.70648</v>
      </c>
      <c r="L4515" s="455">
        <f t="shared" ca="1" si="169"/>
        <v>-59644729829044.266</v>
      </c>
      <c r="M4515" s="471">
        <f t="shared" si="171"/>
        <v>0.05</v>
      </c>
      <c r="N4515" s="475">
        <f t="shared" si="172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70"/>
        <v>-59644729829044.266</v>
      </c>
      <c r="J4516" s="455">
        <f t="array" ref="J4516">IFERROR(INDEX('Retirement Calculator'!K:K,MATCH('Lorri 401b'!N4516,'Retirement Calculator'!A:A,0),0),0)</f>
        <v>0</v>
      </c>
      <c r="K4516" s="455">
        <f t="shared" ca="1" si="168"/>
        <v>-248519707621.01776</v>
      </c>
      <c r="L4516" s="455">
        <f t="shared" ca="1" si="169"/>
        <v>-59893249536665.281</v>
      </c>
      <c r="M4516" s="471">
        <f t="shared" si="171"/>
        <v>0.05</v>
      </c>
      <c r="N4516" s="475">
        <f t="shared" si="172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70"/>
        <v>-59893249536665.281</v>
      </c>
      <c r="J4517" s="455">
        <f t="array" ref="J4517">IFERROR(INDEX('Retirement Calculator'!K:K,MATCH('Lorri 401b'!N4517,'Retirement Calculator'!A:A,0),0),0)</f>
        <v>0</v>
      </c>
      <c r="K4517" s="455">
        <f t="shared" ca="1" si="168"/>
        <v>-249555206402.772</v>
      </c>
      <c r="L4517" s="455">
        <f t="shared" ca="1" si="169"/>
        <v>-60142804743068.055</v>
      </c>
      <c r="M4517" s="471">
        <f t="shared" si="171"/>
        <v>0.05</v>
      </c>
      <c r="N4517" s="475">
        <f t="shared" si="172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70"/>
        <v>-60142804743068.055</v>
      </c>
      <c r="J4518" s="455">
        <f t="array" ref="J4518">IFERROR(INDEX('Retirement Calculator'!K:K,MATCH('Lorri 401b'!N4518,'Retirement Calculator'!A:A,0),0),0)</f>
        <v>0</v>
      </c>
      <c r="K4518" s="455">
        <f t="shared" ca="1" si="168"/>
        <v>-250595019762.7836</v>
      </c>
      <c r="L4518" s="455">
        <f t="shared" ca="1" si="169"/>
        <v>-60393399762830.836</v>
      </c>
      <c r="M4518" s="471">
        <f t="shared" si="171"/>
        <v>0.05</v>
      </c>
      <c r="N4518" s="475">
        <f t="shared" si="172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70"/>
        <v>-60393399762830.836</v>
      </c>
      <c r="J4519" s="455">
        <f t="array" ref="J4519">IFERROR(INDEX('Retirement Calculator'!K:K,MATCH('Lorri 401b'!N4519,'Retirement Calculator'!A:A,0),0),0)</f>
        <v>0</v>
      </c>
      <c r="K4519" s="455">
        <f t="shared" ca="1" si="168"/>
        <v>-251639165678.46185</v>
      </c>
      <c r="L4519" s="455">
        <f t="shared" ca="1" si="169"/>
        <v>-60645038928509.297</v>
      </c>
      <c r="M4519" s="471">
        <f t="shared" si="171"/>
        <v>0.05</v>
      </c>
      <c r="N4519" s="475">
        <f t="shared" si="172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70"/>
        <v>-60645038928509.297</v>
      </c>
      <c r="J4520" s="455">
        <f t="array" ref="J4520">IFERROR(INDEX('Retirement Calculator'!K:K,MATCH('Lorri 401b'!N4520,'Retirement Calculator'!A:A,0),0),0)</f>
        <v>0</v>
      </c>
      <c r="K4520" s="455">
        <f t="shared" ca="1" si="168"/>
        <v>-252687662202.12207</v>
      </c>
      <c r="L4520" s="455">
        <f t="shared" ca="1" si="169"/>
        <v>-60897726590711.422</v>
      </c>
      <c r="M4520" s="471">
        <f t="shared" si="171"/>
        <v>0.05</v>
      </c>
      <c r="N4520" s="475">
        <f t="shared" si="172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70"/>
        <v>-60897726590711.422</v>
      </c>
      <c r="J4521" s="455">
        <f t="array" ref="J4521">IFERROR(INDEX('Retirement Calculator'!K:K,MATCH('Lorri 401b'!N4521,'Retirement Calculator'!A:A,0),0),0)</f>
        <v>0</v>
      </c>
      <c r="K4521" s="455">
        <f t="shared" ca="1" si="168"/>
        <v>-253740527461.29755</v>
      </c>
      <c r="L4521" s="455">
        <f t="shared" ca="1" si="169"/>
        <v>-61151467118172.719</v>
      </c>
      <c r="M4521" s="471">
        <f t="shared" si="171"/>
        <v>0.05</v>
      </c>
      <c r="N4521" s="475">
        <f t="shared" si="172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70"/>
        <v>-61151467118172.719</v>
      </c>
      <c r="J4522" s="455">
        <f t="array" ref="J4522">IFERROR(INDEX('Retirement Calculator'!K:K,MATCH('Lorri 401b'!N4522,'Retirement Calculator'!A:A,0),0),0)</f>
        <v>0</v>
      </c>
      <c r="K4522" s="455">
        <f t="shared" ca="1" si="168"/>
        <v>-254797779659.05298</v>
      </c>
      <c r="L4522" s="455">
        <f t="shared" ca="1" si="169"/>
        <v>-61406264897831.773</v>
      </c>
      <c r="M4522" s="471">
        <f t="shared" si="171"/>
        <v>0.05</v>
      </c>
      <c r="N4522" s="475">
        <f t="shared" si="172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70"/>
        <v>-61406264897831.773</v>
      </c>
      <c r="J4523" s="455">
        <f t="array" ref="J4523">IFERROR(INDEX('Retirement Calculator'!K:K,MATCH('Lorri 401b'!N4523,'Retirement Calculator'!A:A,0),0),0)</f>
        <v>0</v>
      </c>
      <c r="K4523" s="455">
        <f t="shared" ca="1" si="168"/>
        <v>-255859437074.29904</v>
      </c>
      <c r="L4523" s="455">
        <f t="shared" ca="1" si="169"/>
        <v>-61662124334906.07</v>
      </c>
      <c r="M4523" s="471">
        <f t="shared" si="171"/>
        <v>0.05</v>
      </c>
      <c r="N4523" s="475">
        <f t="shared" si="172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70"/>
        <v>-61662124334906.07</v>
      </c>
      <c r="J4524" s="455">
        <f t="array" ref="J4524">IFERROR(INDEX('Retirement Calculator'!K:K,MATCH('Lorri 401b'!N4524,'Retirement Calculator'!A:A,0),0),0)</f>
        <v>0</v>
      </c>
      <c r="K4524" s="455">
        <f t="shared" ca="1" si="168"/>
        <v>-256925518062.10864</v>
      </c>
      <c r="L4524" s="455">
        <f t="shared" ca="1" si="169"/>
        <v>-61919049852968.18</v>
      </c>
      <c r="M4524" s="471">
        <f t="shared" si="171"/>
        <v>0.05</v>
      </c>
      <c r="N4524" s="475">
        <f t="shared" si="172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70"/>
        <v>-61919049852968.18</v>
      </c>
      <c r="J4525" s="455">
        <f t="array" ref="J4525">IFERROR(INDEX('Retirement Calculator'!K:K,MATCH('Lorri 401b'!N4525,'Retirement Calculator'!A:A,0),0),0)</f>
        <v>0</v>
      </c>
      <c r="K4525" s="455">
        <f t="shared" ca="1" si="168"/>
        <v>-257996041054.03409</v>
      </c>
      <c r="L4525" s="455">
        <f t="shared" ca="1" si="169"/>
        <v>-62177045894022.211</v>
      </c>
      <c r="M4525" s="471">
        <f t="shared" si="171"/>
        <v>0.05</v>
      </c>
      <c r="N4525" s="475">
        <f t="shared" si="172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70"/>
        <v>-62177045894022.211</v>
      </c>
      <c r="J4526" s="455">
        <f t="array" ref="J4526">IFERROR(INDEX('Retirement Calculator'!K:K,MATCH('Lorri 401b'!N4526,'Retirement Calculator'!A:A,0),0),0)</f>
        <v>0</v>
      </c>
      <c r="K4526" s="455">
        <f t="shared" ca="1" si="168"/>
        <v>-259071024558.4259</v>
      </c>
      <c r="L4526" s="455">
        <f t="shared" ca="1" si="169"/>
        <v>-62436116918580.641</v>
      </c>
      <c r="M4526" s="471">
        <f t="shared" si="171"/>
        <v>0.05</v>
      </c>
      <c r="N4526" s="475">
        <f t="shared" si="172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70"/>
        <v>-62436116918580.641</v>
      </c>
      <c r="J4527" s="455">
        <f t="array" ref="J4527">IFERROR(INDEX('Retirement Calculator'!K:K,MATCH('Lorri 401b'!N4527,'Retirement Calculator'!A:A,0),0),0)</f>
        <v>0</v>
      </c>
      <c r="K4527" s="455">
        <f t="shared" ca="1" si="168"/>
        <v>-260150487160.75266</v>
      </c>
      <c r="L4527" s="455">
        <f t="shared" ca="1" si="169"/>
        <v>-62696267405741.391</v>
      </c>
      <c r="M4527" s="471">
        <f t="shared" si="171"/>
        <v>0.05</v>
      </c>
      <c r="N4527" s="475">
        <f t="shared" si="172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70"/>
        <v>-62696267405741.391</v>
      </c>
      <c r="J4528" s="455">
        <f t="array" ref="J4528">IFERROR(INDEX('Retirement Calculator'!K:K,MATCH('Lorri 401b'!N4528,'Retirement Calculator'!A:A,0),0),0)</f>
        <v>0</v>
      </c>
      <c r="K4528" s="455">
        <f t="shared" ca="1" si="168"/>
        <v>-261234447523.92249</v>
      </c>
      <c r="L4528" s="455">
        <f t="shared" ca="1" si="169"/>
        <v>-62957501853265.313</v>
      </c>
      <c r="M4528" s="471">
        <f t="shared" si="171"/>
        <v>0.05</v>
      </c>
      <c r="N4528" s="475">
        <f t="shared" si="172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70"/>
        <v>-62957501853265.313</v>
      </c>
      <c r="J4529" s="455">
        <f t="array" ref="J4529">IFERROR(INDEX('Retirement Calculator'!K:K,MATCH('Lorri 401b'!N4529,'Retirement Calculator'!A:A,0),0),0)</f>
        <v>0</v>
      </c>
      <c r="K4529" s="455">
        <f t="shared" ca="1" si="168"/>
        <v>-262322924388.60547</v>
      </c>
      <c r="L4529" s="455">
        <f t="shared" ca="1" si="169"/>
        <v>-63219824777653.922</v>
      </c>
      <c r="M4529" s="471">
        <f t="shared" si="171"/>
        <v>0.05</v>
      </c>
      <c r="N4529" s="475">
        <f t="shared" si="172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70"/>
        <v>-63219824777653.922</v>
      </c>
      <c r="J4530" s="455">
        <f t="array" ref="J4530">IFERROR(INDEX('Retirement Calculator'!K:K,MATCH('Lorri 401b'!N4530,'Retirement Calculator'!A:A,0),0),0)</f>
        <v>0</v>
      </c>
      <c r="K4530" s="455">
        <f t="shared" ca="1" si="168"/>
        <v>-263415936573.55798</v>
      </c>
      <c r="L4530" s="455">
        <f t="shared" ca="1" si="169"/>
        <v>-63483240714227.477</v>
      </c>
      <c r="M4530" s="471">
        <f t="shared" si="171"/>
        <v>0.05</v>
      </c>
      <c r="N4530" s="475">
        <f t="shared" si="172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70"/>
        <v>-63483240714227.477</v>
      </c>
      <c r="J4531" s="455">
        <f t="array" ref="J4531">IFERROR(INDEX('Retirement Calculator'!K:K,MATCH('Lorri 401b'!N4531,'Retirement Calculator'!A:A,0),0),0)</f>
        <v>0</v>
      </c>
      <c r="K4531" s="455">
        <f t="shared" ca="1" si="168"/>
        <v>-264513502975.94785</v>
      </c>
      <c r="L4531" s="455">
        <f t="shared" ca="1" si="169"/>
        <v>-63747754217203.422</v>
      </c>
      <c r="M4531" s="471">
        <f t="shared" si="171"/>
        <v>0.05</v>
      </c>
      <c r="N4531" s="475">
        <f t="shared" si="172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70"/>
        <v>-63747754217203.422</v>
      </c>
      <c r="J4532" s="455">
        <f t="array" ref="J4532">IFERROR(INDEX('Retirement Calculator'!K:K,MATCH('Lorri 401b'!N4532,'Retirement Calculator'!A:A,0),0),0)</f>
        <v>0</v>
      </c>
      <c r="K4532" s="455">
        <f t="shared" ca="1" si="168"/>
        <v>-265615642571.68091</v>
      </c>
      <c r="L4532" s="455">
        <f t="shared" ca="1" si="169"/>
        <v>-64013369859775.102</v>
      </c>
      <c r="M4532" s="471">
        <f t="shared" si="171"/>
        <v>0.05</v>
      </c>
      <c r="N4532" s="475">
        <f t="shared" si="172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70"/>
        <v>-64013369859775.102</v>
      </c>
      <c r="J4533" s="455">
        <f t="array" ref="J4533">IFERROR(INDEX('Retirement Calculator'!K:K,MATCH('Lorri 401b'!N4533,'Retirement Calculator'!A:A,0),0),0)</f>
        <v>0</v>
      </c>
      <c r="K4533" s="455">
        <f t="shared" ca="1" si="168"/>
        <v>-266722374415.72955</v>
      </c>
      <c r="L4533" s="455">
        <f t="shared" ca="1" si="169"/>
        <v>-64280092234190.828</v>
      </c>
      <c r="M4533" s="471">
        <f t="shared" si="171"/>
        <v>0.05</v>
      </c>
      <c r="N4533" s="475">
        <f t="shared" si="172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70"/>
        <v>-64280092234190.828</v>
      </c>
      <c r="J4534" s="455">
        <f t="array" ref="J4534">IFERROR(INDEX('Retirement Calculator'!K:K,MATCH('Lorri 401b'!N4534,'Retirement Calculator'!A:A,0),0),0)</f>
        <v>0</v>
      </c>
      <c r="K4534" s="455">
        <f t="shared" ca="1" si="168"/>
        <v>-267833717642.46182</v>
      </c>
      <c r="L4534" s="455">
        <f t="shared" ca="1" si="169"/>
        <v>-64547925951833.289</v>
      </c>
      <c r="M4534" s="471">
        <f t="shared" si="171"/>
        <v>0.05</v>
      </c>
      <c r="N4534" s="475">
        <f t="shared" si="172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70"/>
        <v>-64547925951833.289</v>
      </c>
      <c r="J4535" s="455">
        <f t="array" ref="J4535">IFERROR(INDEX('Retirement Calculator'!K:K,MATCH('Lorri 401b'!N4535,'Retirement Calculator'!A:A,0),0),0)</f>
        <v>0</v>
      </c>
      <c r="K4535" s="455">
        <f t="shared" ca="1" si="168"/>
        <v>-268949691465.97202</v>
      </c>
      <c r="L4535" s="455">
        <f t="shared" ca="1" si="169"/>
        <v>-64816875643299.258</v>
      </c>
      <c r="M4535" s="471">
        <f t="shared" si="171"/>
        <v>0.05</v>
      </c>
      <c r="N4535" s="475">
        <f t="shared" si="172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70"/>
        <v>-64816875643299.258</v>
      </c>
      <c r="J4536" s="455">
        <f t="array" ref="J4536">IFERROR(INDEX('Retirement Calculator'!K:K,MATCH('Lorri 401b'!N4536,'Retirement Calculator'!A:A,0),0),0)</f>
        <v>0</v>
      </c>
      <c r="K4536" s="455">
        <f t="shared" ca="1" si="168"/>
        <v>-270070315180.4136</v>
      </c>
      <c r="L4536" s="455">
        <f t="shared" ca="1" si="169"/>
        <v>-65086945958479.672</v>
      </c>
      <c r="M4536" s="471">
        <f t="shared" si="171"/>
        <v>0.05</v>
      </c>
      <c r="N4536" s="475">
        <f t="shared" si="172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70"/>
        <v>-65086945958479.672</v>
      </c>
      <c r="J4537" s="455">
        <f t="array" ref="J4537">IFERROR(INDEX('Retirement Calculator'!K:K,MATCH('Lorri 401b'!N4537,'Retirement Calculator'!A:A,0),0),0)</f>
        <v>0</v>
      </c>
      <c r="K4537" s="455">
        <f t="shared" ca="1" si="168"/>
        <v>-271195608160.33197</v>
      </c>
      <c r="L4537" s="455">
        <f t="shared" ca="1" si="169"/>
        <v>-65358141566640</v>
      </c>
      <c r="M4537" s="471">
        <f t="shared" si="171"/>
        <v>0.05</v>
      </c>
      <c r="N4537" s="475">
        <f t="shared" si="172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70"/>
        <v>-65358141566640</v>
      </c>
      <c r="J4538" s="455">
        <f t="array" ref="J4538">IFERROR(INDEX('Retirement Calculator'!K:K,MATCH('Lorri 401b'!N4538,'Retirement Calculator'!A:A,0),0),0)</f>
        <v>0</v>
      </c>
      <c r="K4538" s="455">
        <f t="shared" ca="1" si="168"/>
        <v>-272325589861</v>
      </c>
      <c r="L4538" s="455">
        <f t="shared" ca="1" si="169"/>
        <v>-65630467156501</v>
      </c>
      <c r="M4538" s="471">
        <f t="shared" si="171"/>
        <v>0.05</v>
      </c>
      <c r="N4538" s="475">
        <f t="shared" si="172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70"/>
        <v>-65630467156501</v>
      </c>
      <c r="J4539" s="455">
        <f t="array" ref="J4539">IFERROR(INDEX('Retirement Calculator'!K:K,MATCH('Lorri 401b'!N4539,'Retirement Calculator'!A:A,0),0),0)</f>
        <v>0</v>
      </c>
      <c r="K4539" s="455">
        <f t="shared" ca="1" si="168"/>
        <v>-273460279818.75412</v>
      </c>
      <c r="L4539" s="455">
        <f t="shared" ca="1" si="169"/>
        <v>-65903927436319.758</v>
      </c>
      <c r="M4539" s="471">
        <f t="shared" si="171"/>
        <v>0.05</v>
      </c>
      <c r="N4539" s="475">
        <f t="shared" si="172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70"/>
        <v>-65903927436319.758</v>
      </c>
      <c r="J4540" s="455">
        <f t="array" ref="J4540">IFERROR(INDEX('Retirement Calculator'!K:K,MATCH('Lorri 401b'!N4540,'Retirement Calculator'!A:A,0),0),0)</f>
        <v>0</v>
      </c>
      <c r="K4540" s="455">
        <f t="shared" ca="1" si="168"/>
        <v>-274599697651.33231</v>
      </c>
      <c r="L4540" s="455">
        <f t="shared" ca="1" si="169"/>
        <v>-66178527133971.094</v>
      </c>
      <c r="M4540" s="471">
        <f t="shared" si="171"/>
        <v>0.05</v>
      </c>
      <c r="N4540" s="475">
        <f t="shared" si="172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70"/>
        <v>-66178527133971.094</v>
      </c>
      <c r="J4541" s="455">
        <f t="array" ref="J4541">IFERROR(INDEX('Retirement Calculator'!K:K,MATCH('Lorri 401b'!N4541,'Retirement Calculator'!A:A,0),0),0)</f>
        <v>0</v>
      </c>
      <c r="K4541" s="455">
        <f t="shared" ca="1" si="168"/>
        <v>-275743863058.21289</v>
      </c>
      <c r="L4541" s="455">
        <f t="shared" ca="1" si="169"/>
        <v>-66454270997029.305</v>
      </c>
      <c r="M4541" s="471">
        <f t="shared" si="171"/>
        <v>0.05</v>
      </c>
      <c r="N4541" s="475">
        <f t="shared" si="172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70"/>
        <v>-66454270997029.305</v>
      </c>
      <c r="J4542" s="455">
        <f t="array" ref="J4542">IFERROR(INDEX('Retirement Calculator'!K:K,MATCH('Lorri 401b'!N4542,'Retirement Calculator'!A:A,0),0),0)</f>
        <v>0</v>
      </c>
      <c r="K4542" s="455">
        <f t="shared" ca="1" si="168"/>
        <v>-276892795820.95544</v>
      </c>
      <c r="L4542" s="455">
        <f t="shared" ca="1" si="169"/>
        <v>-66731163792850.258</v>
      </c>
      <c r="M4542" s="471">
        <f t="shared" si="171"/>
        <v>0.05</v>
      </c>
      <c r="N4542" s="475">
        <f t="shared" si="172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70"/>
        <v>-66731163792850.258</v>
      </c>
      <c r="J4543" s="455">
        <f t="array" ref="J4543">IFERROR(INDEX('Retirement Calculator'!K:K,MATCH('Lorri 401b'!N4543,'Retirement Calculator'!A:A,0),0),0)</f>
        <v>0</v>
      </c>
      <c r="K4543" s="455">
        <f t="shared" ca="1" si="168"/>
        <v>-278046515803.54272</v>
      </c>
      <c r="L4543" s="455">
        <f t="shared" ca="1" si="169"/>
        <v>-67009210308653.797</v>
      </c>
      <c r="M4543" s="471">
        <f t="shared" si="171"/>
        <v>0.05</v>
      </c>
      <c r="N4543" s="475">
        <f t="shared" si="172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70"/>
        <v>-67009210308653.797</v>
      </c>
      <c r="J4544" s="455">
        <f t="array" ref="J4544">IFERROR(INDEX('Retirement Calculator'!K:K,MATCH('Lorri 401b'!N4544,'Retirement Calculator'!A:A,0),0),0)</f>
        <v>0</v>
      </c>
      <c r="K4544" s="455">
        <f t="shared" ca="1" si="168"/>
        <v>-279205042952.72412</v>
      </c>
      <c r="L4544" s="455">
        <f t="shared" ca="1" si="169"/>
        <v>-67288415351606.523</v>
      </c>
      <c r="M4544" s="471">
        <f t="shared" si="171"/>
        <v>0.05</v>
      </c>
      <c r="N4544" s="475">
        <f t="shared" si="172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70"/>
        <v>-67288415351606.523</v>
      </c>
      <c r="J4545" s="455">
        <f t="array" ref="J4545">IFERROR(INDEX('Retirement Calculator'!K:K,MATCH('Lorri 401b'!N4545,'Retirement Calculator'!A:A,0),0),0)</f>
        <v>0</v>
      </c>
      <c r="K4545" s="455">
        <f t="shared" ca="1" si="168"/>
        <v>-280368397298.36053</v>
      </c>
      <c r="L4545" s="455">
        <f t="shared" ca="1" si="169"/>
        <v>-67568783748904.883</v>
      </c>
      <c r="M4545" s="471">
        <f t="shared" si="171"/>
        <v>0.05</v>
      </c>
      <c r="N4545" s="475">
        <f t="shared" si="172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70"/>
        <v>-67568783748904.883</v>
      </c>
      <c r="J4546" s="455">
        <f t="array" ref="J4546">IFERROR(INDEX('Retirement Calculator'!K:K,MATCH('Lorri 401b'!N4546,'Retirement Calculator'!A:A,0),0),0)</f>
        <v>0</v>
      </c>
      <c r="K4546" s="455">
        <f t="shared" ca="1" si="168"/>
        <v>-281536598953.77039</v>
      </c>
      <c r="L4546" s="455">
        <f t="shared" ca="1" si="169"/>
        <v>-67850320347858.656</v>
      </c>
      <c r="M4546" s="471">
        <f t="shared" si="171"/>
        <v>0.05</v>
      </c>
      <c r="N4546" s="475">
        <f t="shared" si="172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70"/>
        <v>-67850320347858.656</v>
      </c>
      <c r="J4547" s="455">
        <f t="array" ref="J4547">IFERROR(INDEX('Retirement Calculator'!K:K,MATCH('Lorri 401b'!N4547,'Retirement Calculator'!A:A,0),0),0)</f>
        <v>0</v>
      </c>
      <c r="K4547" s="455">
        <f t="shared" ca="1" si="168"/>
        <v>-282709668116.07776</v>
      </c>
      <c r="L4547" s="455">
        <f t="shared" ca="1" si="169"/>
        <v>-68133030015974.734</v>
      </c>
      <c r="M4547" s="471">
        <f t="shared" si="171"/>
        <v>0.05</v>
      </c>
      <c r="N4547" s="475">
        <f t="shared" si="172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70"/>
        <v>-68133030015974.734</v>
      </c>
      <c r="J4548" s="455">
        <f t="array" ref="J4548">IFERROR(INDEX('Retirement Calculator'!K:K,MATCH('Lorri 401b'!N4548,'Retirement Calculator'!A:A,0),0),0)</f>
        <v>0</v>
      </c>
      <c r="K4548" s="455">
        <f t="shared" ca="1" si="168"/>
        <v>-283887625066.5614</v>
      </c>
      <c r="L4548" s="455">
        <f t="shared" ca="1" si="169"/>
        <v>-68416917641041.297</v>
      </c>
      <c r="M4548" s="471">
        <f t="shared" si="171"/>
        <v>0.05</v>
      </c>
      <c r="N4548" s="475">
        <f t="shared" si="172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70"/>
        <v>-68416917641041.297</v>
      </c>
      <c r="J4549" s="455">
        <f t="array" ref="J4549">IFERROR(INDEX('Retirement Calculator'!K:K,MATCH('Lorri 401b'!N4549,'Retirement Calculator'!A:A,0),0),0)</f>
        <v>0</v>
      </c>
      <c r="K4549" s="455">
        <f t="shared" ca="1" si="168"/>
        <v>-285070490171.00537</v>
      </c>
      <c r="L4549" s="455">
        <f t="shared" ca="1" si="169"/>
        <v>-68701988131212.305</v>
      </c>
      <c r="M4549" s="471">
        <f t="shared" si="171"/>
        <v>0.05</v>
      </c>
      <c r="N4549" s="475">
        <f t="shared" si="172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70"/>
        <v>-68701988131212.305</v>
      </c>
      <c r="J4550" s="455">
        <f t="array" ref="J4550">IFERROR(INDEX('Retirement Calculator'!K:K,MATCH('Lorri 401b'!N4550,'Retirement Calculator'!A:A,0),0),0)</f>
        <v>0</v>
      </c>
      <c r="K4550" s="455">
        <f t="shared" ca="1" si="168"/>
        <v>-286258283880.05127</v>
      </c>
      <c r="L4550" s="455">
        <f t="shared" ca="1" si="169"/>
        <v>-68988246415092.359</v>
      </c>
      <c r="M4550" s="471">
        <f t="shared" si="171"/>
        <v>0.05</v>
      </c>
      <c r="N4550" s="475">
        <f t="shared" si="172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70"/>
        <v>-68988246415092.359</v>
      </c>
      <c r="J4551" s="455">
        <f t="array" ref="J4551">IFERROR(INDEX('Retirement Calculator'!K:K,MATCH('Lorri 401b'!N4551,'Retirement Calculator'!A:A,0),0),0)</f>
        <v>0</v>
      </c>
      <c r="K4551" s="455">
        <f t="shared" ca="1" si="168"/>
        <v>-287451026729.55151</v>
      </c>
      <c r="L4551" s="455">
        <f t="shared" ca="1" si="169"/>
        <v>-69275697441821.914</v>
      </c>
      <c r="M4551" s="471">
        <f t="shared" si="171"/>
        <v>0.05</v>
      </c>
      <c r="N4551" s="475">
        <f t="shared" si="172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70"/>
        <v>-69275697441821.914</v>
      </c>
      <c r="J4552" s="455">
        <f t="array" ref="J4552">IFERROR(INDEX('Retirement Calculator'!K:K,MATCH('Lorri 401b'!N4552,'Retirement Calculator'!A:A,0),0),0)</f>
        <v>0</v>
      </c>
      <c r="K4552" s="455">
        <f t="shared" ca="1" si="168"/>
        <v>-288648739340.92462</v>
      </c>
      <c r="L4552" s="455">
        <f t="shared" ca="1" si="169"/>
        <v>-69564346181162.836</v>
      </c>
      <c r="M4552" s="471">
        <f t="shared" si="171"/>
        <v>0.05</v>
      </c>
      <c r="N4552" s="475">
        <f t="shared" si="172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70"/>
        <v>-69564346181162.836</v>
      </c>
      <c r="J4553" s="455">
        <f t="array" ref="J4553">IFERROR(INDEX('Retirement Calculator'!K:K,MATCH('Lorri 401b'!N4553,'Retirement Calculator'!A:A,0),0),0)</f>
        <v>0</v>
      </c>
      <c r="K4553" s="455">
        <f t="shared" ca="1" si="168"/>
        <v>-289851442421.51184</v>
      </c>
      <c r="L4553" s="455">
        <f t="shared" ca="1" si="169"/>
        <v>-69854197623584.352</v>
      </c>
      <c r="M4553" s="471">
        <f t="shared" si="171"/>
        <v>0.05</v>
      </c>
      <c r="N4553" s="475">
        <f t="shared" si="172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70"/>
        <v>-69854197623584.352</v>
      </c>
      <c r="J4554" s="455">
        <f t="array" ref="J4554">IFERROR(INDEX('Retirement Calculator'!K:K,MATCH('Lorri 401b'!N4554,'Retirement Calculator'!A:A,0),0),0)</f>
        <v>0</v>
      </c>
      <c r="K4554" s="455">
        <f t="shared" ca="1" si="168"/>
        <v>-291059156764.93481</v>
      </c>
      <c r="L4554" s="455">
        <f t="shared" ca="1" si="169"/>
        <v>-70145256780349.289</v>
      </c>
      <c r="M4554" s="471">
        <f t="shared" si="171"/>
        <v>0.05</v>
      </c>
      <c r="N4554" s="475">
        <f t="shared" si="172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70"/>
        <v>-70145256780349.289</v>
      </c>
      <c r="J4555" s="455">
        <f t="array" ref="J4555">IFERROR(INDEX('Retirement Calculator'!K:K,MATCH('Lorri 401b'!N4555,'Retirement Calculator'!A:A,0),0),0)</f>
        <v>0</v>
      </c>
      <c r="K4555" s="455">
        <f t="shared" ca="1" si="168"/>
        <v>-292271903251.45538</v>
      </c>
      <c r="L4555" s="455">
        <f t="shared" ca="1" si="169"/>
        <v>-70437528683600.75</v>
      </c>
      <c r="M4555" s="471">
        <f t="shared" si="171"/>
        <v>0.05</v>
      </c>
      <c r="N4555" s="475">
        <f t="shared" si="172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70"/>
        <v>-70437528683600.75</v>
      </c>
      <c r="J4556" s="455">
        <f t="array" ref="J4556">IFERROR(INDEX('Retirement Calculator'!K:K,MATCH('Lorri 401b'!N4556,'Retirement Calculator'!A:A,0),0),0)</f>
        <v>0</v>
      </c>
      <c r="K4556" s="455">
        <f t="shared" ca="1" si="168"/>
        <v>-293489702848.33643</v>
      </c>
      <c r="L4556" s="455">
        <f t="shared" ca="1" si="169"/>
        <v>-70731018386449.094</v>
      </c>
      <c r="M4556" s="471">
        <f t="shared" si="171"/>
        <v>0.05</v>
      </c>
      <c r="N4556" s="475">
        <f t="shared" si="172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70"/>
        <v>-70731018386449.094</v>
      </c>
      <c r="J4557" s="455">
        <f t="array" ref="J4557">IFERROR(INDEX('Retirement Calculator'!K:K,MATCH('Lorri 401b'!N4557,'Retirement Calculator'!A:A,0),0),0)</f>
        <v>0</v>
      </c>
      <c r="K4557" s="455">
        <f t="shared" ca="1" si="168"/>
        <v>-294712576610.20453</v>
      </c>
      <c r="L4557" s="455">
        <f t="shared" ca="1" si="169"/>
        <v>-71025730963059.297</v>
      </c>
      <c r="M4557" s="471">
        <f t="shared" si="171"/>
        <v>0.05</v>
      </c>
      <c r="N4557" s="475">
        <f t="shared" si="172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70"/>
        <v>-71025730963059.297</v>
      </c>
      <c r="J4558" s="455">
        <f t="array" ref="J4558">IFERROR(INDEX('Retirement Calculator'!K:K,MATCH('Lorri 401b'!N4558,'Retirement Calculator'!A:A,0),0),0)</f>
        <v>0</v>
      </c>
      <c r="K4558" s="455">
        <f t="shared" ca="1" si="168"/>
        <v>-295940545679.41376</v>
      </c>
      <c r="L4558" s="455">
        <f t="shared" ca="1" si="169"/>
        <v>-71321671508738.703</v>
      </c>
      <c r="M4558" s="471">
        <f t="shared" si="171"/>
        <v>0.05</v>
      </c>
      <c r="N4558" s="475">
        <f t="shared" si="172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70"/>
        <v>-71321671508738.703</v>
      </c>
      <c r="J4559" s="455">
        <f t="array" ref="J4559">IFERROR(INDEX('Retirement Calculator'!K:K,MATCH('Lorri 401b'!N4559,'Retirement Calculator'!A:A,0),0),0)</f>
        <v>0</v>
      </c>
      <c r="K4559" s="455">
        <f t="shared" ca="1" si="168"/>
        <v>-297173631286.41125</v>
      </c>
      <c r="L4559" s="455">
        <f t="shared" ca="1" si="169"/>
        <v>-71618845140025.109</v>
      </c>
      <c r="M4559" s="471">
        <f t="shared" si="171"/>
        <v>0.05</v>
      </c>
      <c r="N4559" s="475">
        <f t="shared" si="172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70"/>
        <v>-71618845140025.109</v>
      </c>
      <c r="J4560" s="455">
        <f t="array" ref="J4560">IFERROR(INDEX('Retirement Calculator'!K:K,MATCH('Lorri 401b'!N4560,'Retirement Calculator'!A:A,0),0),0)</f>
        <v>0</v>
      </c>
      <c r="K4560" s="455">
        <f t="shared" ca="1" si="168"/>
        <v>-298411854750.10461</v>
      </c>
      <c r="L4560" s="455">
        <f t="shared" ca="1" si="169"/>
        <v>-71917256994775.219</v>
      </c>
      <c r="M4560" s="471">
        <f t="shared" si="171"/>
        <v>0.05</v>
      </c>
      <c r="N4560" s="475">
        <f t="shared" si="172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70"/>
        <v>-71917256994775.219</v>
      </c>
      <c r="J4561" s="455">
        <f t="array" ref="J4561">IFERROR(INDEX('Retirement Calculator'!K:K,MATCH('Lorri 401b'!N4561,'Retirement Calculator'!A:A,0),0),0)</f>
        <v>0</v>
      </c>
      <c r="K4561" s="455">
        <f t="shared" ca="1" si="168"/>
        <v>-299655237478.2301</v>
      </c>
      <c r="L4561" s="455">
        <f t="shared" ca="1" si="169"/>
        <v>-72216912232253.453</v>
      </c>
      <c r="M4561" s="471">
        <f t="shared" si="171"/>
        <v>0.05</v>
      </c>
      <c r="N4561" s="475">
        <f t="shared" si="172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70"/>
        <v>-72216912232253.453</v>
      </c>
      <c r="J4562" s="455">
        <f t="array" ref="J4562">IFERROR(INDEX('Retirement Calculator'!K:K,MATCH('Lorri 401b'!N4562,'Retirement Calculator'!A:A,0),0),0)</f>
        <v>0</v>
      </c>
      <c r="K4562" s="455">
        <f t="shared" ca="1" si="168"/>
        <v>-300903800967.72272</v>
      </c>
      <c r="L4562" s="455">
        <f t="shared" ca="1" si="169"/>
        <v>-72517816033221.172</v>
      </c>
      <c r="M4562" s="471">
        <f t="shared" si="171"/>
        <v>0.05</v>
      </c>
      <c r="N4562" s="475">
        <f t="shared" si="172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70"/>
        <v>-72517816033221.172</v>
      </c>
      <c r="J4563" s="455">
        <f t="array" ref="J4563">IFERROR(INDEX('Retirement Calculator'!K:K,MATCH('Lorri 401b'!N4563,'Retirement Calculator'!A:A,0),0),0)</f>
        <v>0</v>
      </c>
      <c r="K4563" s="455">
        <f t="shared" ca="1" si="168"/>
        <v>-302157566805.0882</v>
      </c>
      <c r="L4563" s="455">
        <f t="shared" ca="1" si="169"/>
        <v>-72819973600026.266</v>
      </c>
      <c r="M4563" s="471">
        <f t="shared" si="171"/>
        <v>0.05</v>
      </c>
      <c r="N4563" s="475">
        <f t="shared" si="172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70"/>
        <v>-72819973600026.266</v>
      </c>
      <c r="J4564" s="455">
        <f t="array" ref="J4564">IFERROR(INDEX('Retirement Calculator'!K:K,MATCH('Lorri 401b'!N4564,'Retirement Calculator'!A:A,0),0),0)</f>
        <v>0</v>
      </c>
      <c r="K4564" s="455">
        <f t="shared" ca="1" si="168"/>
        <v>-303416556666.77612</v>
      </c>
      <c r="L4564" s="455">
        <f t="shared" ca="1" si="169"/>
        <v>-73123390156693.047</v>
      </c>
      <c r="M4564" s="471">
        <f t="shared" si="171"/>
        <v>0.05</v>
      </c>
      <c r="N4564" s="475">
        <f t="shared" si="172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70"/>
        <v>-73123390156693.047</v>
      </c>
      <c r="J4565" s="455">
        <f t="array" ref="J4565">IFERROR(INDEX('Retirement Calculator'!K:K,MATCH('Lorri 401b'!N4565,'Retirement Calculator'!A:A,0),0),0)</f>
        <v>0</v>
      </c>
      <c r="K4565" s="455">
        <f t="shared" ca="1" si="168"/>
        <v>-304680792319.55438</v>
      </c>
      <c r="L4565" s="455">
        <f t="shared" ca="1" si="169"/>
        <v>-73428070949012.594</v>
      </c>
      <c r="M4565" s="471">
        <f t="shared" si="171"/>
        <v>0.05</v>
      </c>
      <c r="N4565" s="475">
        <f t="shared" si="172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70"/>
        <v>-73428070949012.594</v>
      </c>
      <c r="J4566" s="455">
        <f t="array" ref="J4566">IFERROR(INDEX('Retirement Calculator'!K:K,MATCH('Lorri 401b'!N4566,'Retirement Calculator'!A:A,0),0),0)</f>
        <v>0</v>
      </c>
      <c r="K4566" s="455">
        <f t="shared" ca="1" si="168"/>
        <v>-305950295620.8858</v>
      </c>
      <c r="L4566" s="455">
        <f t="shared" ca="1" si="169"/>
        <v>-73734021244633.484</v>
      </c>
      <c r="M4566" s="471">
        <f t="shared" si="171"/>
        <v>0.05</v>
      </c>
      <c r="N4566" s="475">
        <f t="shared" si="172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70"/>
        <v>-73734021244633.484</v>
      </c>
      <c r="J4567" s="455">
        <f t="array" ref="J4567">IFERROR(INDEX('Retirement Calculator'!K:K,MATCH('Lorri 401b'!N4567,'Retirement Calculator'!A:A,0),0),0)</f>
        <v>0</v>
      </c>
      <c r="K4567" s="455">
        <f t="shared" ca="1" si="168"/>
        <v>-307225088519.30615</v>
      </c>
      <c r="L4567" s="455">
        <f t="shared" ca="1" si="169"/>
        <v>-74041246333152.797</v>
      </c>
      <c r="M4567" s="471">
        <f t="shared" si="171"/>
        <v>0.05</v>
      </c>
      <c r="N4567" s="475">
        <f t="shared" si="172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70"/>
        <v>-74041246333152.797</v>
      </c>
      <c r="J4568" s="455">
        <f t="array" ref="J4568">IFERROR(INDEX('Retirement Calculator'!K:K,MATCH('Lorri 401b'!N4568,'Retirement Calculator'!A:A,0),0),0)</f>
        <v>0</v>
      </c>
      <c r="K4568" s="455">
        <f t="shared" ca="1" si="168"/>
        <v>-308505193054.80334</v>
      </c>
      <c r="L4568" s="455">
        <f t="shared" ca="1" si="169"/>
        <v>-74349751526207.594</v>
      </c>
      <c r="M4568" s="471">
        <f t="shared" si="171"/>
        <v>0.05</v>
      </c>
      <c r="N4568" s="475">
        <f t="shared" si="172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70"/>
        <v>-74349751526207.594</v>
      </c>
      <c r="J4569" s="455">
        <f t="array" ref="J4569">IFERROR(INDEX('Retirement Calculator'!K:K,MATCH('Lorri 401b'!N4569,'Retirement Calculator'!A:A,0),0),0)</f>
        <v>0</v>
      </c>
      <c r="K4569" s="455">
        <f t="shared" ca="1" si="168"/>
        <v>-309790631359.1983</v>
      </c>
      <c r="L4569" s="455">
        <f t="shared" ca="1" si="169"/>
        <v>-74659542157566.797</v>
      </c>
      <c r="M4569" s="471">
        <f t="shared" si="171"/>
        <v>0.05</v>
      </c>
      <c r="N4569" s="475">
        <f t="shared" si="172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70"/>
        <v>-74659542157566.797</v>
      </c>
      <c r="J4570" s="455">
        <f t="array" ref="J4570">IFERROR(INDEX('Retirement Calculator'!K:K,MATCH('Lorri 401b'!N4570,'Retirement Calculator'!A:A,0),0),0)</f>
        <v>0</v>
      </c>
      <c r="K4570" s="455">
        <f t="shared" ca="1" si="168"/>
        <v>-311081425656.52832</v>
      </c>
      <c r="L4570" s="455">
        <f t="shared" ca="1" si="169"/>
        <v>-74970623583223.328</v>
      </c>
      <c r="M4570" s="471">
        <f t="shared" si="171"/>
        <v>0.05</v>
      </c>
      <c r="N4570" s="475">
        <f t="shared" si="172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70"/>
        <v>-74970623583223.328</v>
      </c>
      <c r="J4571" s="455">
        <f t="array" ref="J4571">IFERROR(INDEX('Retirement Calculator'!K:K,MATCH('Lorri 401b'!N4571,'Retirement Calculator'!A:A,0),0),0)</f>
        <v>0</v>
      </c>
      <c r="K4571" s="455">
        <f t="shared" ca="1" si="168"/>
        <v>-312377598263.43054</v>
      </c>
      <c r="L4571" s="455">
        <f t="shared" ca="1" si="169"/>
        <v>-75283001181486.766</v>
      </c>
      <c r="M4571" s="471">
        <f t="shared" si="171"/>
        <v>0.05</v>
      </c>
      <c r="N4571" s="475">
        <f t="shared" si="172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70"/>
        <v>-75283001181486.766</v>
      </c>
      <c r="J4572" s="455">
        <f t="array" ref="J4572">IFERROR(INDEX('Retirement Calculator'!K:K,MATCH('Lorri 401b'!N4572,'Retirement Calculator'!A:A,0),0),0)</f>
        <v>0</v>
      </c>
      <c r="K4572" s="455">
        <f t="shared" ca="1" si="168"/>
        <v>-313679171589.5282</v>
      </c>
      <c r="L4572" s="455">
        <f t="shared" ca="1" si="169"/>
        <v>-75596680353076.297</v>
      </c>
      <c r="M4572" s="471">
        <f t="shared" si="171"/>
        <v>0.05</v>
      </c>
      <c r="N4572" s="475">
        <f t="shared" si="172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70"/>
        <v>-75596680353076.297</v>
      </c>
      <c r="J4573" s="455">
        <f t="array" ref="J4573">IFERROR(INDEX('Retirement Calculator'!K:K,MATCH('Lorri 401b'!N4573,'Retirement Calculator'!A:A,0),0),0)</f>
        <v>0</v>
      </c>
      <c r="K4573" s="455">
        <f t="shared" ca="1" si="168"/>
        <v>-314986168137.81787</v>
      </c>
      <c r="L4573" s="455">
        <f t="shared" ca="1" si="169"/>
        <v>-75911666521214.109</v>
      </c>
      <c r="M4573" s="471">
        <f t="shared" si="171"/>
        <v>0.05</v>
      </c>
      <c r="N4573" s="475">
        <f t="shared" si="172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70"/>
        <v>-75911666521214.109</v>
      </c>
      <c r="J4574" s="455">
        <f t="array" ref="J4574">IFERROR(INDEX('Retirement Calculator'!K:K,MATCH('Lorri 401b'!N4574,'Retirement Calculator'!A:A,0),0),0)</f>
        <v>0</v>
      </c>
      <c r="K4574" s="455">
        <f t="shared" ca="1" si="168"/>
        <v>-316298610505.05878</v>
      </c>
      <c r="L4574" s="455">
        <f t="shared" ca="1" si="169"/>
        <v>-76227965131719.172</v>
      </c>
      <c r="M4574" s="471">
        <f t="shared" si="171"/>
        <v>0.05</v>
      </c>
      <c r="N4574" s="475">
        <f t="shared" si="172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70"/>
        <v>-76227965131719.172</v>
      </c>
      <c r="J4575" s="455">
        <f t="array" ref="J4575">IFERROR(INDEX('Retirement Calculator'!K:K,MATCH('Lorri 401b'!N4575,'Retirement Calculator'!A:A,0),0),0)</f>
        <v>0</v>
      </c>
      <c r="K4575" s="455">
        <f t="shared" ca="1" si="168"/>
        <v>-317616521382.16321</v>
      </c>
      <c r="L4575" s="455">
        <f t="shared" ca="1" si="169"/>
        <v>-76545581653101.328</v>
      </c>
      <c r="M4575" s="471">
        <f t="shared" si="171"/>
        <v>0.05</v>
      </c>
      <c r="N4575" s="475">
        <f t="shared" si="172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70"/>
        <v>-76545581653101.328</v>
      </c>
      <c r="J4576" s="455">
        <f t="array" ref="J4576">IFERROR(INDEX('Retirement Calculator'!K:K,MATCH('Lorri 401b'!N4576,'Retirement Calculator'!A:A,0),0),0)</f>
        <v>0</v>
      </c>
      <c r="K4576" s="455">
        <f t="shared" ca="1" si="168"/>
        <v>-318939923554.58887</v>
      </c>
      <c r="L4576" s="455">
        <f t="shared" ca="1" si="169"/>
        <v>-76864521576655.922</v>
      </c>
      <c r="M4576" s="471">
        <f t="shared" si="171"/>
        <v>0.05</v>
      </c>
      <c r="N4576" s="475">
        <f t="shared" si="172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70"/>
        <v>-76864521576655.922</v>
      </c>
      <c r="J4577" s="455">
        <f t="array" ref="J4577">IFERROR(INDEX('Retirement Calculator'!K:K,MATCH('Lorri 401b'!N4577,'Retirement Calculator'!A:A,0),0),0)</f>
        <v>0</v>
      </c>
      <c r="K4577" s="455">
        <f t="shared" ca="1" si="168"/>
        <v>-320268839902.73303</v>
      </c>
      <c r="L4577" s="455">
        <f t="shared" ca="1" si="169"/>
        <v>-77184790416558.656</v>
      </c>
      <c r="M4577" s="471">
        <f t="shared" si="171"/>
        <v>0.05</v>
      </c>
      <c r="N4577" s="475">
        <f t="shared" si="172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70"/>
        <v>-77184790416558.656</v>
      </c>
      <c r="J4578" s="455">
        <f t="array" ref="J4578">IFERROR(INDEX('Retirement Calculator'!K:K,MATCH('Lorri 401b'!N4578,'Retirement Calculator'!A:A,0),0),0)</f>
        <v>0</v>
      </c>
      <c r="K4578" s="455">
        <f t="shared" ca="1" si="168"/>
        <v>-321603293402.32776</v>
      </c>
      <c r="L4578" s="455">
        <f t="shared" ca="1" si="169"/>
        <v>-77506393709960.984</v>
      </c>
      <c r="M4578" s="471">
        <f t="shared" si="171"/>
        <v>0.05</v>
      </c>
      <c r="N4578" s="475">
        <f t="shared" si="172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70"/>
        <v>-77506393709960.984</v>
      </c>
      <c r="J4579" s="455">
        <f t="array" ref="J4579">IFERROR(INDEX('Retirement Calculator'!K:K,MATCH('Lorri 401b'!N4579,'Retirement Calculator'!A:A,0),0),0)</f>
        <v>0</v>
      </c>
      <c r="K4579" s="455">
        <f t="shared" ca="1" si="168"/>
        <v>-322943307124.8374</v>
      </c>
      <c r="L4579" s="455">
        <f t="shared" ca="1" si="169"/>
        <v>-77829337017085.828</v>
      </c>
      <c r="M4579" s="471">
        <f t="shared" si="171"/>
        <v>0.05</v>
      </c>
      <c r="N4579" s="475">
        <f t="shared" si="172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70"/>
        <v>-77829337017085.828</v>
      </c>
      <c r="J4580" s="455">
        <f t="array" ref="J4580">IFERROR(INDEX('Retirement Calculator'!K:K,MATCH('Lorri 401b'!N4580,'Retirement Calculator'!A:A,0),0),0)</f>
        <v>0</v>
      </c>
      <c r="K4580" s="455">
        <f t="shared" ca="1" si="168"/>
        <v>-324288904237.8576</v>
      </c>
      <c r="L4580" s="455">
        <f t="shared" ca="1" si="169"/>
        <v>-78153625921323.688</v>
      </c>
      <c r="M4580" s="471">
        <f t="shared" si="171"/>
        <v>0.05</v>
      </c>
      <c r="N4580" s="475">
        <f t="shared" si="172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70"/>
        <v>-78153625921323.688</v>
      </c>
      <c r="J4581" s="455">
        <f t="array" ref="J4581">IFERROR(INDEX('Retirement Calculator'!K:K,MATCH('Lorri 401b'!N4581,'Retirement Calculator'!A:A,0),0),0)</f>
        <v>0</v>
      </c>
      <c r="K4581" s="455">
        <f t="shared" ca="1" si="168"/>
        <v>-325640108005.51538</v>
      </c>
      <c r="L4581" s="455">
        <f t="shared" ca="1" si="169"/>
        <v>-78479266029329.203</v>
      </c>
      <c r="M4581" s="471">
        <f t="shared" si="171"/>
        <v>0.05</v>
      </c>
      <c r="N4581" s="475">
        <f t="shared" si="172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70"/>
        <v>-78479266029329.203</v>
      </c>
      <c r="J4582" s="455">
        <f t="array" ref="J4582">IFERROR(INDEX('Retirement Calculator'!K:K,MATCH('Lorri 401b'!N4582,'Retirement Calculator'!A:A,0),0),0)</f>
        <v>0</v>
      </c>
      <c r="K4582" s="455">
        <f t="shared" ca="1" si="168"/>
        <v>-326996941788.8717</v>
      </c>
      <c r="L4582" s="455">
        <f t="shared" ca="1" si="169"/>
        <v>-78806262971118.078</v>
      </c>
      <c r="M4582" s="471">
        <f t="shared" si="171"/>
        <v>0.05</v>
      </c>
      <c r="N4582" s="475">
        <f t="shared" si="172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70"/>
        <v>-78806262971118.078</v>
      </c>
      <c r="J4583" s="455">
        <f t="array" ref="J4583">IFERROR(INDEX('Retirement Calculator'!K:K,MATCH('Lorri 401b'!N4583,'Retirement Calculator'!A:A,0),0),0)</f>
        <v>0</v>
      </c>
      <c r="K4583" s="455">
        <f t="shared" ca="1" si="168"/>
        <v>-328359429046.32532</v>
      </c>
      <c r="L4583" s="455">
        <f t="shared" ca="1" si="169"/>
        <v>-79134622400164.406</v>
      </c>
      <c r="M4583" s="471">
        <f t="shared" si="171"/>
        <v>0.05</v>
      </c>
      <c r="N4583" s="475">
        <f t="shared" si="172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70"/>
        <v>-79134622400164.406</v>
      </c>
      <c r="J4584" s="455">
        <f t="array" ref="J4584">IFERROR(INDEX('Retirement Calculator'!K:K,MATCH('Lorri 401b'!N4584,'Retirement Calculator'!A:A,0),0),0)</f>
        <v>0</v>
      </c>
      <c r="K4584" s="455">
        <f t="shared" ca="1" si="168"/>
        <v>-329727593334.01837</v>
      </c>
      <c r="L4584" s="455">
        <f t="shared" ca="1" si="169"/>
        <v>-79464349993498.422</v>
      </c>
      <c r="M4584" s="471">
        <f t="shared" si="171"/>
        <v>0.05</v>
      </c>
      <c r="N4584" s="475">
        <f t="shared" si="172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70"/>
        <v>-79464349993498.422</v>
      </c>
      <c r="J4585" s="455">
        <f t="array" ref="J4585">IFERROR(INDEX('Retirement Calculator'!K:K,MATCH('Lorri 401b'!N4585,'Retirement Calculator'!A:A,0),0),0)</f>
        <v>0</v>
      </c>
      <c r="K4585" s="455">
        <f t="shared" ca="1" si="168"/>
        <v>-331101458306.24341</v>
      </c>
      <c r="L4585" s="455">
        <f t="shared" ca="1" si="169"/>
        <v>-79795451451804.672</v>
      </c>
      <c r="M4585" s="471">
        <f t="shared" si="171"/>
        <v>0.05</v>
      </c>
      <c r="N4585" s="475">
        <f t="shared" si="172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70"/>
        <v>-79795451451804.672</v>
      </c>
      <c r="J4586" s="455">
        <f t="array" ref="J4586">IFERROR(INDEX('Retirement Calculator'!K:K,MATCH('Lorri 401b'!N4586,'Retirement Calculator'!A:A,0),0),0)</f>
        <v>0</v>
      </c>
      <c r="K4586" s="455">
        <f t="shared" ca="1" si="168"/>
        <v>-332481047715.85278</v>
      </c>
      <c r="L4586" s="455">
        <f t="shared" ca="1" si="169"/>
        <v>-80127932499520.531</v>
      </c>
      <c r="M4586" s="471">
        <f t="shared" si="171"/>
        <v>0.05</v>
      </c>
      <c r="N4586" s="475">
        <f t="shared" si="172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70"/>
        <v>-80127932499520.531</v>
      </c>
      <c r="J4587" s="455">
        <f t="array" ref="J4587">IFERROR(INDEX('Retirement Calculator'!K:K,MATCH('Lorri 401b'!N4587,'Retirement Calculator'!A:A,0),0),0)</f>
        <v>0</v>
      </c>
      <c r="K4587" s="455">
        <f t="shared" ca="1" si="168"/>
        <v>-333866385414.66888</v>
      </c>
      <c r="L4587" s="455">
        <f t="shared" ca="1" si="169"/>
        <v>-80461798884935.203</v>
      </c>
      <c r="M4587" s="471">
        <f t="shared" si="171"/>
        <v>0.05</v>
      </c>
      <c r="N4587" s="475">
        <f t="shared" si="172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70"/>
        <v>-80461798884935.203</v>
      </c>
      <c r="J4588" s="455">
        <f t="array" ref="J4588">IFERROR(INDEX('Retirement Calculator'!K:K,MATCH('Lorri 401b'!N4588,'Retirement Calculator'!A:A,0),0),0)</f>
        <v>0</v>
      </c>
      <c r="K4588" s="455">
        <f t="shared" ca="1" si="168"/>
        <v>-335257495353.89667</v>
      </c>
      <c r="L4588" s="455">
        <f t="shared" ca="1" si="169"/>
        <v>-80797056380289.094</v>
      </c>
      <c r="M4588" s="471">
        <f t="shared" si="171"/>
        <v>0.05</v>
      </c>
      <c r="N4588" s="475">
        <f t="shared" si="172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70"/>
        <v>-80797056380289.094</v>
      </c>
      <c r="J4589" s="455">
        <f t="array" ref="J4589">IFERROR(INDEX('Retirement Calculator'!K:K,MATCH('Lorri 401b'!N4589,'Retirement Calculator'!A:A,0),0),0)</f>
        <v>0</v>
      </c>
      <c r="K4589" s="455">
        <f t="shared" ca="1" si="168"/>
        <v>-336654401584.5379</v>
      </c>
      <c r="L4589" s="455">
        <f t="shared" ca="1" si="169"/>
        <v>-81133710781873.625</v>
      </c>
      <c r="M4589" s="471">
        <f t="shared" si="171"/>
        <v>0.05</v>
      </c>
      <c r="N4589" s="475">
        <f t="shared" si="172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70"/>
        <v>-81133710781873.625</v>
      </c>
      <c r="J4590" s="455">
        <f t="array" ref="J4590">IFERROR(INDEX('Retirement Calculator'!K:K,MATCH('Lorri 401b'!N4590,'Retirement Calculator'!A:A,0),0),0)</f>
        <v>0</v>
      </c>
      <c r="K4590" s="455">
        <f t="shared" ca="1" si="168"/>
        <v>-338057128257.80676</v>
      </c>
      <c r="L4590" s="455">
        <f t="shared" ca="1" si="169"/>
        <v>-81471767910131.438</v>
      </c>
      <c r="M4590" s="471">
        <f t="shared" si="171"/>
        <v>0.05</v>
      </c>
      <c r="N4590" s="475">
        <f t="shared" si="172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70"/>
        <v>-81471767910131.438</v>
      </c>
      <c r="J4591" s="455">
        <f t="array" ref="J4591">IFERROR(INDEX('Retirement Calculator'!K:K,MATCH('Lorri 401b'!N4591,'Retirement Calculator'!A:A,0),0),0)</f>
        <v>0</v>
      </c>
      <c r="K4591" s="455">
        <f t="shared" ca="1" si="168"/>
        <v>-339465699625.54767</v>
      </c>
      <c r="L4591" s="455">
        <f t="shared" ca="1" si="169"/>
        <v>-81811233609756.984</v>
      </c>
      <c r="M4591" s="471">
        <f t="shared" si="171"/>
        <v>0.05</v>
      </c>
      <c r="N4591" s="475">
        <f t="shared" si="172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70"/>
        <v>-81811233609756.984</v>
      </c>
      <c r="J4592" s="455">
        <f t="array" ref="J4592">IFERROR(INDEX('Retirement Calculator'!K:K,MATCH('Lorri 401b'!N4592,'Retirement Calculator'!A:A,0),0),0)</f>
        <v>0</v>
      </c>
      <c r="K4592" s="455">
        <f t="shared" ca="1" si="168"/>
        <v>-340880140040.65411</v>
      </c>
      <c r="L4592" s="455">
        <f t="shared" ca="1" si="169"/>
        <v>-82152113749797.641</v>
      </c>
      <c r="M4592" s="471">
        <f t="shared" si="171"/>
        <v>0.05</v>
      </c>
      <c r="N4592" s="475">
        <f t="shared" si="172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70"/>
        <v>-82152113749797.641</v>
      </c>
      <c r="J4593" s="455">
        <f t="array" ref="J4593">IFERROR(INDEX('Retirement Calculator'!K:K,MATCH('Lorri 401b'!N4593,'Retirement Calculator'!A:A,0),0),0)</f>
        <v>0</v>
      </c>
      <c r="K4593" s="455">
        <f t="shared" ca="1" si="168"/>
        <v>-342300473957.49017</v>
      </c>
      <c r="L4593" s="455">
        <f t="shared" ca="1" si="169"/>
        <v>-82494414223755.125</v>
      </c>
      <c r="M4593" s="471">
        <f t="shared" si="171"/>
        <v>0.05</v>
      </c>
      <c r="N4593" s="475">
        <f t="shared" si="172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70"/>
        <v>-82494414223755.125</v>
      </c>
      <c r="J4594" s="455">
        <f t="array" ref="J4594">IFERROR(INDEX('Retirement Calculator'!K:K,MATCH('Lorri 401b'!N4594,'Retirement Calculator'!A:A,0),0),0)</f>
        <v>0</v>
      </c>
      <c r="K4594" s="455">
        <f t="shared" ca="1" si="168"/>
        <v>-343726725932.31299</v>
      </c>
      <c r="L4594" s="455">
        <f t="shared" ca="1" si="169"/>
        <v>-82838140949687.438</v>
      </c>
      <c r="M4594" s="471">
        <f t="shared" si="171"/>
        <v>0.05</v>
      </c>
      <c r="N4594" s="475">
        <f t="shared" si="172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70"/>
        <v>-82838140949687.438</v>
      </c>
      <c r="J4595" s="455">
        <f t="array" ref="J4595">IFERROR(INDEX('Retirement Calculator'!K:K,MATCH('Lorri 401b'!N4595,'Retirement Calculator'!A:A,0),0),0)</f>
        <v>0</v>
      </c>
      <c r="K4595" s="455">
        <f t="shared" ca="1" si="168"/>
        <v>-345158920623.69763</v>
      </c>
      <c r="L4595" s="455">
        <f t="shared" ca="1" si="169"/>
        <v>-83183299870311.141</v>
      </c>
      <c r="M4595" s="471">
        <f t="shared" si="171"/>
        <v>0.05</v>
      </c>
      <c r="N4595" s="475">
        <f t="shared" si="172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70"/>
        <v>-83183299870311.141</v>
      </c>
      <c r="J4596" s="455">
        <f t="array" ref="J4596">IFERROR(INDEX('Retirement Calculator'!K:K,MATCH('Lorri 401b'!N4596,'Retirement Calculator'!A:A,0),0),0)</f>
        <v>0</v>
      </c>
      <c r="K4596" s="455">
        <f t="shared" ca="1" si="168"/>
        <v>-346597082792.96307</v>
      </c>
      <c r="L4596" s="455">
        <f t="shared" ca="1" si="169"/>
        <v>-83529896953104.109</v>
      </c>
      <c r="M4596" s="471">
        <f t="shared" si="171"/>
        <v>0.05</v>
      </c>
      <c r="N4596" s="475">
        <f t="shared" si="172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70"/>
        <v>-83529896953104.109</v>
      </c>
      <c r="J4597" s="455">
        <f t="array" ref="J4597">IFERROR(INDEX('Retirement Calculator'!K:K,MATCH('Lorri 401b'!N4597,'Retirement Calculator'!A:A,0),0),0)</f>
        <v>0</v>
      </c>
      <c r="K4597" s="455">
        <f t="shared" ca="1" si="168"/>
        <v>-348041237304.60046</v>
      </c>
      <c r="L4597" s="455">
        <f t="shared" ca="1" si="169"/>
        <v>-83877938190408.703</v>
      </c>
      <c r="M4597" s="471">
        <f t="shared" si="171"/>
        <v>0.05</v>
      </c>
      <c r="N4597" s="475">
        <f t="shared" si="172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70"/>
        <v>-83877938190408.703</v>
      </c>
      <c r="J4598" s="455">
        <f t="array" ref="J4598">IFERROR(INDEX('Retirement Calculator'!K:K,MATCH('Lorri 401b'!N4598,'Retirement Calculator'!A:A,0),0),0)</f>
        <v>0</v>
      </c>
      <c r="K4598" s="455">
        <f t="shared" ref="K4598:K4852" ca="1" si="173">IPMT(M4598/12,1,12,-I4598+J4598,,0)</f>
        <v>-349491409126.70294</v>
      </c>
      <c r="L4598" s="455">
        <f t="shared" ref="L4598:L4852" ca="1" si="174">I4598-J4598+K4598</f>
        <v>-84227429599535.406</v>
      </c>
      <c r="M4598" s="471">
        <f t="shared" si="171"/>
        <v>0.05</v>
      </c>
      <c r="N4598" s="475">
        <f t="shared" si="172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75">L4598</f>
        <v>-84227429599535.406</v>
      </c>
      <c r="J4599" s="455">
        <f t="array" ref="J4599">IFERROR(INDEX('Retirement Calculator'!K:K,MATCH('Lorri 401b'!N4599,'Retirement Calculator'!A:A,0),0),0)</f>
        <v>0</v>
      </c>
      <c r="K4599" s="455">
        <f t="shared" ca="1" si="173"/>
        <v>-350947623331.39752</v>
      </c>
      <c r="L4599" s="455">
        <f t="shared" ca="1" si="174"/>
        <v>-84578377222866.797</v>
      </c>
      <c r="M4599" s="471">
        <f t="shared" ref="M4599:M4853" si="176">M4598</f>
        <v>0.05</v>
      </c>
      <c r="N4599" s="475">
        <f t="shared" ref="N4599:N4853" si="177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75"/>
        <v>-84578377222866.797</v>
      </c>
      <c r="J4600" s="455">
        <f t="array" ref="J4600">IFERROR(INDEX('Retirement Calculator'!K:K,MATCH('Lorri 401b'!N4600,'Retirement Calculator'!A:A,0),0),0)</f>
        <v>0</v>
      </c>
      <c r="K4600" s="455">
        <f t="shared" ca="1" si="173"/>
        <v>-352409905095.27832</v>
      </c>
      <c r="L4600" s="455">
        <f t="shared" ca="1" si="174"/>
        <v>-84930787127962.078</v>
      </c>
      <c r="M4600" s="471">
        <f t="shared" si="176"/>
        <v>0.05</v>
      </c>
      <c r="N4600" s="475">
        <f t="shared" si="177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75"/>
        <v>-84930787127962.078</v>
      </c>
      <c r="J4601" s="455">
        <f t="array" ref="J4601">IFERROR(INDEX('Retirement Calculator'!K:K,MATCH('Lorri 401b'!N4601,'Retirement Calculator'!A:A,0),0),0)</f>
        <v>0</v>
      </c>
      <c r="K4601" s="455">
        <f t="shared" ca="1" si="173"/>
        <v>-353878279699.84198</v>
      </c>
      <c r="L4601" s="455">
        <f t="shared" ca="1" si="174"/>
        <v>-85284665407661.922</v>
      </c>
      <c r="M4601" s="471">
        <f t="shared" si="176"/>
        <v>0.05</v>
      </c>
      <c r="N4601" s="475">
        <f t="shared" si="177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75"/>
        <v>-85284665407661.922</v>
      </c>
      <c r="J4602" s="455">
        <f t="array" ref="J4602">IFERROR(INDEX('Retirement Calculator'!K:K,MATCH('Lorri 401b'!N4602,'Retirement Calculator'!A:A,0),0),0)</f>
        <v>0</v>
      </c>
      <c r="K4602" s="455">
        <f t="shared" ca="1" si="173"/>
        <v>-355352772531.92468</v>
      </c>
      <c r="L4602" s="455">
        <f t="shared" ca="1" si="174"/>
        <v>-85640018180193.844</v>
      </c>
      <c r="M4602" s="471">
        <f t="shared" si="176"/>
        <v>0.05</v>
      </c>
      <c r="N4602" s="475">
        <f t="shared" si="177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75"/>
        <v>-85640018180193.844</v>
      </c>
      <c r="J4603" s="455">
        <f t="array" ref="J4603">IFERROR(INDEX('Retirement Calculator'!K:K,MATCH('Lorri 401b'!N4603,'Retirement Calculator'!A:A,0),0),0)</f>
        <v>0</v>
      </c>
      <c r="K4603" s="455">
        <f t="shared" ca="1" si="173"/>
        <v>-356833409084.14099</v>
      </c>
      <c r="L4603" s="455">
        <f t="shared" ca="1" si="174"/>
        <v>-85996851589277.984</v>
      </c>
      <c r="M4603" s="471">
        <f t="shared" si="176"/>
        <v>0.05</v>
      </c>
      <c r="N4603" s="475">
        <f t="shared" si="177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75"/>
        <v>-85996851589277.984</v>
      </c>
      <c r="J4604" s="455">
        <f t="array" ref="J4604">IFERROR(INDEX('Retirement Calculator'!K:K,MATCH('Lorri 401b'!N4604,'Retirement Calculator'!A:A,0),0),0)</f>
        <v>0</v>
      </c>
      <c r="K4604" s="455">
        <f t="shared" ca="1" si="173"/>
        <v>-358320214955.32495</v>
      </c>
      <c r="L4604" s="455">
        <f t="shared" ca="1" si="174"/>
        <v>-86355171804233.313</v>
      </c>
      <c r="M4604" s="471">
        <f t="shared" si="176"/>
        <v>0.05</v>
      </c>
      <c r="N4604" s="475">
        <f t="shared" si="177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75"/>
        <v>-86355171804233.313</v>
      </c>
      <c r="J4605" s="455">
        <f t="array" ref="J4605">IFERROR(INDEX('Retirement Calculator'!K:K,MATCH('Lorri 401b'!N4605,'Retirement Calculator'!A:A,0),0),0)</f>
        <v>0</v>
      </c>
      <c r="K4605" s="455">
        <f t="shared" ca="1" si="173"/>
        <v>-359813215850.97211</v>
      </c>
      <c r="L4605" s="455">
        <f t="shared" ca="1" si="174"/>
        <v>-86714985020084.281</v>
      </c>
      <c r="M4605" s="471">
        <f t="shared" si="176"/>
        <v>0.05</v>
      </c>
      <c r="N4605" s="475">
        <f t="shared" si="177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75"/>
        <v>-86714985020084.281</v>
      </c>
      <c r="J4606" s="455">
        <f t="array" ref="J4606">IFERROR(INDEX('Retirement Calculator'!K:K,MATCH('Lorri 401b'!N4606,'Retirement Calculator'!A:A,0),0),0)</f>
        <v>0</v>
      </c>
      <c r="K4606" s="455">
        <f t="shared" ca="1" si="173"/>
        <v>-361312437583.68451</v>
      </c>
      <c r="L4606" s="455">
        <f t="shared" ca="1" si="174"/>
        <v>-87076297457667.969</v>
      </c>
      <c r="M4606" s="471">
        <f t="shared" si="176"/>
        <v>0.05</v>
      </c>
      <c r="N4606" s="475">
        <f t="shared" si="177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75"/>
        <v>-87076297457667.969</v>
      </c>
      <c r="J4607" s="455">
        <f t="array" ref="J4607">IFERROR(INDEX('Retirement Calculator'!K:K,MATCH('Lorri 401b'!N4607,'Retirement Calculator'!A:A,0),0),0)</f>
        <v>0</v>
      </c>
      <c r="K4607" s="455">
        <f t="shared" ca="1" si="173"/>
        <v>-362817906073.61652</v>
      </c>
      <c r="L4607" s="455">
        <f t="shared" ca="1" si="174"/>
        <v>-87439115363741.578</v>
      </c>
      <c r="M4607" s="471">
        <f t="shared" si="176"/>
        <v>0.05</v>
      </c>
      <c r="N4607" s="475">
        <f t="shared" si="177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75"/>
        <v>-87439115363741.578</v>
      </c>
      <c r="J4608" s="455">
        <f t="array" ref="J4608">IFERROR(INDEX('Retirement Calculator'!K:K,MATCH('Lorri 401b'!N4608,'Retirement Calculator'!A:A,0),0),0)</f>
        <v>0</v>
      </c>
      <c r="K4608" s="455">
        <f t="shared" ca="1" si="173"/>
        <v>-364329647348.92322</v>
      </c>
      <c r="L4608" s="455">
        <f t="shared" ca="1" si="174"/>
        <v>-87803445011090.5</v>
      </c>
      <c r="M4608" s="471">
        <f t="shared" si="176"/>
        <v>0.05</v>
      </c>
      <c r="N4608" s="475">
        <f t="shared" si="177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75"/>
        <v>-87803445011090.5</v>
      </c>
      <c r="J4609" s="455">
        <f t="array" ref="J4609">IFERROR(INDEX('Retirement Calculator'!K:K,MATCH('Lorri 401b'!N4609,'Retirement Calculator'!A:A,0),0),0)</f>
        <v>0</v>
      </c>
      <c r="K4609" s="455">
        <f t="shared" ca="1" si="173"/>
        <v>-365847687546.21039</v>
      </c>
      <c r="L4609" s="455">
        <f t="shared" ca="1" si="174"/>
        <v>-88169292698636.703</v>
      </c>
      <c r="M4609" s="471">
        <f t="shared" si="176"/>
        <v>0.05</v>
      </c>
      <c r="N4609" s="475">
        <f t="shared" si="177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75"/>
        <v>-88169292698636.703</v>
      </c>
      <c r="J4610" s="455">
        <f t="array" ref="J4610">IFERROR(INDEX('Retirement Calculator'!K:K,MATCH('Lorri 401b'!N4610,'Retirement Calculator'!A:A,0),0),0)</f>
        <v>0</v>
      </c>
      <c r="K4610" s="455">
        <f t="shared" ca="1" si="173"/>
        <v>-367372052910.98627</v>
      </c>
      <c r="L4610" s="455">
        <f t="shared" ca="1" si="174"/>
        <v>-88536664751547.688</v>
      </c>
      <c r="M4610" s="471">
        <f t="shared" si="176"/>
        <v>0.05</v>
      </c>
      <c r="N4610" s="475">
        <f t="shared" si="177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75"/>
        <v>-88536664751547.688</v>
      </c>
      <c r="J4611" s="455">
        <f t="array" ref="J4611">IFERROR(INDEX('Retirement Calculator'!K:K,MATCH('Lorri 401b'!N4611,'Retirement Calculator'!A:A,0),0),0)</f>
        <v>0</v>
      </c>
      <c r="K4611" s="455">
        <f t="shared" ca="1" si="173"/>
        <v>-368902769798.11536</v>
      </c>
      <c r="L4611" s="455">
        <f t="shared" ca="1" si="174"/>
        <v>-88905567521345.797</v>
      </c>
      <c r="M4611" s="471">
        <f t="shared" si="176"/>
        <v>0.05</v>
      </c>
      <c r="N4611" s="475">
        <f t="shared" si="177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75"/>
        <v>-88905567521345.797</v>
      </c>
      <c r="J4612" s="455">
        <f t="array" ref="J4612">IFERROR(INDEX('Retirement Calculator'!K:K,MATCH('Lorri 401b'!N4612,'Retirement Calculator'!A:A,0),0),0)</f>
        <v>0</v>
      </c>
      <c r="K4612" s="455">
        <f t="shared" ca="1" si="173"/>
        <v>-370439864672.27417</v>
      </c>
      <c r="L4612" s="455">
        <f t="shared" ca="1" si="174"/>
        <v>-89276007386018.078</v>
      </c>
      <c r="M4612" s="471">
        <f t="shared" si="176"/>
        <v>0.05</v>
      </c>
      <c r="N4612" s="475">
        <f t="shared" si="177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75"/>
        <v>-89276007386018.078</v>
      </c>
      <c r="J4613" s="455">
        <f t="array" ref="J4613">IFERROR(INDEX('Retirement Calculator'!K:K,MATCH('Lorri 401b'!N4613,'Retirement Calculator'!A:A,0),0),0)</f>
        <v>0</v>
      </c>
      <c r="K4613" s="455">
        <f t="shared" ca="1" si="173"/>
        <v>-371983364108.40863</v>
      </c>
      <c r="L4613" s="455">
        <f t="shared" ca="1" si="174"/>
        <v>-89647990750126.484</v>
      </c>
      <c r="M4613" s="471">
        <f t="shared" si="176"/>
        <v>0.05</v>
      </c>
      <c r="N4613" s="475">
        <f t="shared" si="177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75"/>
        <v>-89647990750126.484</v>
      </c>
      <c r="J4614" s="455">
        <f t="array" ref="J4614">IFERROR(INDEX('Retirement Calculator'!K:K,MATCH('Lorri 401b'!N4614,'Retirement Calculator'!A:A,0),0),0)</f>
        <v>0</v>
      </c>
      <c r="K4614" s="455">
        <f t="shared" ca="1" si="173"/>
        <v>-373533294792.19366</v>
      </c>
      <c r="L4614" s="455">
        <f t="shared" ca="1" si="174"/>
        <v>-90021524044918.672</v>
      </c>
      <c r="M4614" s="471">
        <f t="shared" si="176"/>
        <v>0.05</v>
      </c>
      <c r="N4614" s="475">
        <f t="shared" si="177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75"/>
        <v>-90021524044918.672</v>
      </c>
      <c r="J4615" s="455">
        <f t="array" ref="J4615">IFERROR(INDEX('Retirement Calculator'!K:K,MATCH('Lorri 401b'!N4615,'Retirement Calculator'!A:A,0),0),0)</f>
        <v>0</v>
      </c>
      <c r="K4615" s="455">
        <f t="shared" ca="1" si="173"/>
        <v>-375089683520.49445</v>
      </c>
      <c r="L4615" s="455">
        <f t="shared" ca="1" si="174"/>
        <v>-90396613728439.172</v>
      </c>
      <c r="M4615" s="471">
        <f t="shared" si="176"/>
        <v>0.05</v>
      </c>
      <c r="N4615" s="475">
        <f t="shared" si="177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75"/>
        <v>-90396613728439.172</v>
      </c>
      <c r="J4616" s="455">
        <f t="array" ref="J4616">IFERROR(INDEX('Retirement Calculator'!K:K,MATCH('Lorri 401b'!N4616,'Retirement Calculator'!A:A,0),0),0)</f>
        <v>0</v>
      </c>
      <c r="K4616" s="455">
        <f t="shared" ca="1" si="173"/>
        <v>-376652557201.8299</v>
      </c>
      <c r="L4616" s="455">
        <f t="shared" ca="1" si="174"/>
        <v>-90773266285641</v>
      </c>
      <c r="M4616" s="471">
        <f t="shared" si="176"/>
        <v>0.05</v>
      </c>
      <c r="N4616" s="475">
        <f t="shared" si="177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75"/>
        <v>-90773266285641</v>
      </c>
      <c r="J4617" s="455">
        <f t="array" ref="J4617">IFERROR(INDEX('Retirement Calculator'!K:K,MATCH('Lorri 401b'!N4617,'Retirement Calculator'!A:A,0),0),0)</f>
        <v>0</v>
      </c>
      <c r="K4617" s="455">
        <f t="shared" ca="1" si="173"/>
        <v>-378221942856.83752</v>
      </c>
      <c r="L4617" s="455">
        <f t="shared" ca="1" si="174"/>
        <v>-91151488228497.844</v>
      </c>
      <c r="M4617" s="471">
        <f t="shared" si="176"/>
        <v>0.05</v>
      </c>
      <c r="N4617" s="475">
        <f t="shared" si="177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75"/>
        <v>-91151488228497.844</v>
      </c>
      <c r="J4618" s="455">
        <f t="array" ref="J4618">IFERROR(INDEX('Retirement Calculator'!K:K,MATCH('Lorri 401b'!N4618,'Retirement Calculator'!A:A,0),0),0)</f>
        <v>0</v>
      </c>
      <c r="K4618" s="455">
        <f t="shared" ca="1" si="173"/>
        <v>-379797867618.74103</v>
      </c>
      <c r="L4618" s="455">
        <f t="shared" ca="1" si="174"/>
        <v>-91531286096116.578</v>
      </c>
      <c r="M4618" s="471">
        <f t="shared" si="176"/>
        <v>0.05</v>
      </c>
      <c r="N4618" s="475">
        <f t="shared" si="177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75"/>
        <v>-91531286096116.578</v>
      </c>
      <c r="J4619" s="455">
        <f t="array" ref="J4619">IFERROR(INDEX('Retirement Calculator'!K:K,MATCH('Lorri 401b'!N4619,'Retirement Calculator'!A:A,0),0),0)</f>
        <v>0</v>
      </c>
      <c r="K4619" s="455">
        <f t="shared" ca="1" si="173"/>
        <v>-381380358733.81909</v>
      </c>
      <c r="L4619" s="455">
        <f t="shared" ca="1" si="174"/>
        <v>-91912666454850.391</v>
      </c>
      <c r="M4619" s="471">
        <f t="shared" si="176"/>
        <v>0.05</v>
      </c>
      <c r="N4619" s="475">
        <f t="shared" si="177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75"/>
        <v>-91912666454850.391</v>
      </c>
      <c r="J4620" s="455">
        <f t="array" ref="J4620">IFERROR(INDEX('Retirement Calculator'!K:K,MATCH('Lorri 401b'!N4620,'Retirement Calculator'!A:A,0),0),0)</f>
        <v>0</v>
      </c>
      <c r="K4620" s="455">
        <f t="shared" ca="1" si="173"/>
        <v>-382969443561.87665</v>
      </c>
      <c r="L4620" s="455">
        <f t="shared" ca="1" si="174"/>
        <v>-92295635898412.266</v>
      </c>
      <c r="M4620" s="471">
        <f t="shared" si="176"/>
        <v>0.05</v>
      </c>
      <c r="N4620" s="475">
        <f t="shared" si="177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75"/>
        <v>-92295635898412.266</v>
      </c>
      <c r="J4621" s="455">
        <f t="array" ref="J4621">IFERROR(INDEX('Retirement Calculator'!K:K,MATCH('Lorri 401b'!N4621,'Retirement Calculator'!A:A,0),0),0)</f>
        <v>0</v>
      </c>
      <c r="K4621" s="455">
        <f t="shared" ca="1" si="173"/>
        <v>-384565149576.71777</v>
      </c>
      <c r="L4621" s="455">
        <f t="shared" ca="1" si="174"/>
        <v>-92680201047988.984</v>
      </c>
      <c r="M4621" s="471">
        <f t="shared" si="176"/>
        <v>0.05</v>
      </c>
      <c r="N4621" s="475">
        <f t="shared" si="177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75"/>
        <v>-92680201047988.984</v>
      </c>
      <c r="J4622" s="455">
        <f t="array" ref="J4622">IFERROR(INDEX('Retirement Calculator'!K:K,MATCH('Lorri 401b'!N4622,'Retirement Calculator'!A:A,0),0),0)</f>
        <v>0</v>
      </c>
      <c r="K4622" s="455">
        <f t="shared" ca="1" si="173"/>
        <v>-386167504366.62079</v>
      </c>
      <c r="L4622" s="455">
        <f t="shared" ca="1" si="174"/>
        <v>-93066368552355.609</v>
      </c>
      <c r="M4622" s="471">
        <f t="shared" si="176"/>
        <v>0.05</v>
      </c>
      <c r="N4622" s="475">
        <f t="shared" si="177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75"/>
        <v>-93066368552355.609</v>
      </c>
      <c r="J4623" s="455">
        <f t="array" ref="J4623">IFERROR(INDEX('Retirement Calculator'!K:K,MATCH('Lorri 401b'!N4623,'Retirement Calculator'!A:A,0),0),0)</f>
        <v>0</v>
      </c>
      <c r="K4623" s="455">
        <f t="shared" ca="1" si="173"/>
        <v>-387776535634.81506</v>
      </c>
      <c r="L4623" s="455">
        <f t="shared" ca="1" si="174"/>
        <v>-93454145087990.422</v>
      </c>
      <c r="M4623" s="471">
        <f t="shared" si="176"/>
        <v>0.05</v>
      </c>
      <c r="N4623" s="475">
        <f t="shared" si="177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75"/>
        <v>-93454145087990.422</v>
      </c>
      <c r="J4624" s="455">
        <f t="array" ref="J4624">IFERROR(INDEX('Retirement Calculator'!K:K,MATCH('Lorri 401b'!N4624,'Retirement Calculator'!A:A,0),0),0)</f>
        <v>0</v>
      </c>
      <c r="K4624" s="455">
        <f t="shared" ca="1" si="173"/>
        <v>-389392271199.96008</v>
      </c>
      <c r="L4624" s="455">
        <f t="shared" ca="1" si="174"/>
        <v>-93843537359190.375</v>
      </c>
      <c r="M4624" s="471">
        <f t="shared" si="176"/>
        <v>0.05</v>
      </c>
      <c r="N4624" s="475">
        <f t="shared" si="177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75"/>
        <v>-93843537359190.375</v>
      </c>
      <c r="J4625" s="455">
        <f t="array" ref="J4625">IFERROR(INDEX('Retirement Calculator'!K:K,MATCH('Lorri 401b'!N4625,'Retirement Calculator'!A:A,0),0),0)</f>
        <v>0</v>
      </c>
      <c r="K4625" s="455">
        <f t="shared" ca="1" si="173"/>
        <v>-391014738996.62659</v>
      </c>
      <c r="L4625" s="455">
        <f t="shared" ca="1" si="174"/>
        <v>-94234552098187</v>
      </c>
      <c r="M4625" s="471">
        <f t="shared" si="176"/>
        <v>0.05</v>
      </c>
      <c r="N4625" s="475">
        <f t="shared" si="177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75"/>
        <v>-94234552098187</v>
      </c>
      <c r="J4626" s="455">
        <f t="array" ref="J4626">IFERROR(INDEX('Retirement Calculator'!K:K,MATCH('Lorri 401b'!N4626,'Retirement Calculator'!A:A,0),0),0)</f>
        <v>0</v>
      </c>
      <c r="K4626" s="455">
        <f t="shared" ca="1" si="173"/>
        <v>-392643967075.77917</v>
      </c>
      <c r="L4626" s="455">
        <f t="shared" ca="1" si="174"/>
        <v>-94627196065262.781</v>
      </c>
      <c r="M4626" s="471">
        <f t="shared" si="176"/>
        <v>0.05</v>
      </c>
      <c r="N4626" s="475">
        <f t="shared" si="177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75"/>
        <v>-94627196065262.781</v>
      </c>
      <c r="J4627" s="455">
        <f t="array" ref="J4627">IFERROR(INDEX('Retirement Calculator'!K:K,MATCH('Lorri 401b'!N4627,'Retirement Calculator'!A:A,0),0),0)</f>
        <v>0</v>
      </c>
      <c r="K4627" s="455">
        <f t="shared" ca="1" si="173"/>
        <v>-394279983605.2616</v>
      </c>
      <c r="L4627" s="455">
        <f t="shared" ca="1" si="174"/>
        <v>-95021476048868.047</v>
      </c>
      <c r="M4627" s="471">
        <f t="shared" si="176"/>
        <v>0.05</v>
      </c>
      <c r="N4627" s="475">
        <f t="shared" si="177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75"/>
        <v>-95021476048868.047</v>
      </c>
      <c r="J4628" s="455">
        <f t="array" ref="J4628">IFERROR(INDEX('Retirement Calculator'!K:K,MATCH('Lorri 401b'!N4628,'Retirement Calculator'!A:A,0),0),0)</f>
        <v>0</v>
      </c>
      <c r="K4628" s="455">
        <f t="shared" ca="1" si="173"/>
        <v>-395922816870.28351</v>
      </c>
      <c r="L4628" s="455">
        <f t="shared" ca="1" si="174"/>
        <v>-95417398865738.328</v>
      </c>
      <c r="M4628" s="471">
        <f t="shared" si="176"/>
        <v>0.05</v>
      </c>
      <c r="N4628" s="475">
        <f t="shared" si="177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75"/>
        <v>-95417398865738.328</v>
      </c>
      <c r="J4629" s="455">
        <f t="array" ref="J4629">IFERROR(INDEX('Retirement Calculator'!K:K,MATCH('Lorri 401b'!N4629,'Retirement Calculator'!A:A,0),0),0)</f>
        <v>0</v>
      </c>
      <c r="K4629" s="455">
        <f t="shared" ca="1" si="173"/>
        <v>-397572495273.90967</v>
      </c>
      <c r="L4629" s="455">
        <f t="shared" ca="1" si="174"/>
        <v>-95814971361012.234</v>
      </c>
      <c r="M4629" s="471">
        <f t="shared" si="176"/>
        <v>0.05</v>
      </c>
      <c r="N4629" s="475">
        <f t="shared" si="177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75"/>
        <v>-95814971361012.234</v>
      </c>
      <c r="J4630" s="455">
        <f t="array" ref="J4630">IFERROR(INDEX('Retirement Calculator'!K:K,MATCH('Lorri 401b'!N4630,'Retirement Calculator'!A:A,0),0),0)</f>
        <v>0</v>
      </c>
      <c r="K4630" s="455">
        <f t="shared" ca="1" si="173"/>
        <v>-399229047337.55096</v>
      </c>
      <c r="L4630" s="455">
        <f t="shared" ca="1" si="174"/>
        <v>-96214200408349.781</v>
      </c>
      <c r="M4630" s="471">
        <f t="shared" si="176"/>
        <v>0.05</v>
      </c>
      <c r="N4630" s="475">
        <f t="shared" si="177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75"/>
        <v>-96214200408349.781</v>
      </c>
      <c r="J4631" s="455">
        <f t="array" ref="J4631">IFERROR(INDEX('Retirement Calculator'!K:K,MATCH('Lorri 401b'!N4631,'Retirement Calculator'!A:A,0),0),0)</f>
        <v>0</v>
      </c>
      <c r="K4631" s="455">
        <f t="shared" ca="1" si="173"/>
        <v>-400892501701.4574</v>
      </c>
      <c r="L4631" s="455">
        <f t="shared" ca="1" si="174"/>
        <v>-96615092910051.234</v>
      </c>
      <c r="M4631" s="471">
        <f t="shared" si="176"/>
        <v>0.05</v>
      </c>
      <c r="N4631" s="475">
        <f t="shared" si="177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75"/>
        <v>-96615092910051.234</v>
      </c>
      <c r="J4632" s="455">
        <f t="array" ref="J4632">IFERROR(INDEX('Retirement Calculator'!K:K,MATCH('Lorri 401b'!N4632,'Retirement Calculator'!A:A,0),0),0)</f>
        <v>0</v>
      </c>
      <c r="K4632" s="455">
        <f t="shared" ca="1" si="173"/>
        <v>-402562887125.2135</v>
      </c>
      <c r="L4632" s="455">
        <f t="shared" ca="1" si="174"/>
        <v>-97017655797176.453</v>
      </c>
      <c r="M4632" s="471">
        <f t="shared" si="176"/>
        <v>0.05</v>
      </c>
      <c r="N4632" s="475">
        <f t="shared" si="177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75"/>
        <v>-97017655797176.453</v>
      </c>
      <c r="J4633" s="455">
        <f t="array" ref="J4633">IFERROR(INDEX('Retirement Calculator'!K:K,MATCH('Lorri 401b'!N4633,'Retirement Calculator'!A:A,0),0),0)</f>
        <v>0</v>
      </c>
      <c r="K4633" s="455">
        <f t="shared" ca="1" si="173"/>
        <v>-404240232488.23523</v>
      </c>
      <c r="L4633" s="455">
        <f t="shared" ca="1" si="174"/>
        <v>-97421896029664.688</v>
      </c>
      <c r="M4633" s="471">
        <f t="shared" si="176"/>
        <v>0.05</v>
      </c>
      <c r="N4633" s="475">
        <f t="shared" si="177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75"/>
        <v>-97421896029664.688</v>
      </c>
      <c r="J4634" s="455">
        <f t="array" ref="J4634">IFERROR(INDEX('Retirement Calculator'!K:K,MATCH('Lorri 401b'!N4634,'Retirement Calculator'!A:A,0),0),0)</f>
        <v>0</v>
      </c>
      <c r="K4634" s="455">
        <f t="shared" ca="1" si="173"/>
        <v>-405924566790.26953</v>
      </c>
      <c r="L4634" s="455">
        <f t="shared" ca="1" si="174"/>
        <v>-97827820596454.953</v>
      </c>
      <c r="M4634" s="471">
        <f t="shared" si="176"/>
        <v>0.05</v>
      </c>
      <c r="N4634" s="475">
        <f t="shared" si="177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75"/>
        <v>-97827820596454.953</v>
      </c>
      <c r="J4635" s="455">
        <f t="array" ref="J4635">IFERROR(INDEX('Retirement Calculator'!K:K,MATCH('Lorri 401b'!N4635,'Retirement Calculator'!A:A,0),0),0)</f>
        <v>0</v>
      </c>
      <c r="K4635" s="455">
        <f t="shared" ca="1" si="173"/>
        <v>-407615919151.89563</v>
      </c>
      <c r="L4635" s="455">
        <f t="shared" ca="1" si="174"/>
        <v>-98235436515606.844</v>
      </c>
      <c r="M4635" s="471">
        <f t="shared" si="176"/>
        <v>0.05</v>
      </c>
      <c r="N4635" s="475">
        <f t="shared" si="177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75"/>
        <v>-98235436515606.844</v>
      </c>
      <c r="J4636" s="455">
        <f t="array" ref="J4636">IFERROR(INDEX('Retirement Calculator'!K:K,MATCH('Lorri 401b'!N4636,'Retirement Calculator'!A:A,0),0),0)</f>
        <v>0</v>
      </c>
      <c r="K4636" s="455">
        <f t="shared" ca="1" si="173"/>
        <v>-409314318815.0285</v>
      </c>
      <c r="L4636" s="455">
        <f t="shared" ca="1" si="174"/>
        <v>-98644750834421.875</v>
      </c>
      <c r="M4636" s="471">
        <f t="shared" si="176"/>
        <v>0.05</v>
      </c>
      <c r="N4636" s="475">
        <f t="shared" si="177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75"/>
        <v>-98644750834421.875</v>
      </c>
      <c r="J4637" s="455">
        <f t="array" ref="J4637">IFERROR(INDEX('Retirement Calculator'!K:K,MATCH('Lorri 401b'!N4637,'Retirement Calculator'!A:A,0),0),0)</f>
        <v>0</v>
      </c>
      <c r="K4637" s="455">
        <f t="shared" ca="1" si="173"/>
        <v>-411019795143.4245</v>
      </c>
      <c r="L4637" s="455">
        <f t="shared" ca="1" si="174"/>
        <v>-99055770629565.297</v>
      </c>
      <c r="M4637" s="471">
        <f t="shared" si="176"/>
        <v>0.05</v>
      </c>
      <c r="N4637" s="475">
        <f t="shared" si="177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75"/>
        <v>-99055770629565.297</v>
      </c>
      <c r="J4638" s="455">
        <f t="array" ref="J4638">IFERROR(INDEX('Retirement Calculator'!K:K,MATCH('Lorri 401b'!N4638,'Retirement Calculator'!A:A,0),0),0)</f>
        <v>0</v>
      </c>
      <c r="K4638" s="455">
        <f t="shared" ca="1" si="173"/>
        <v>-412732377623.18872</v>
      </c>
      <c r="L4638" s="455">
        <f t="shared" ca="1" si="174"/>
        <v>-99468503007188.484</v>
      </c>
      <c r="M4638" s="471">
        <f t="shared" si="176"/>
        <v>0.05</v>
      </c>
      <c r="N4638" s="475">
        <f t="shared" si="177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75"/>
        <v>-99468503007188.484</v>
      </c>
      <c r="J4639" s="455">
        <f t="array" ref="J4639">IFERROR(INDEX('Retirement Calculator'!K:K,MATCH('Lorri 401b'!N4639,'Retirement Calculator'!A:A,0),0),0)</f>
        <v>0</v>
      </c>
      <c r="K4639" s="455">
        <f t="shared" ca="1" si="173"/>
        <v>-414452095863.28534</v>
      </c>
      <c r="L4639" s="455">
        <f t="shared" ca="1" si="174"/>
        <v>-99882955103051.766</v>
      </c>
      <c r="M4639" s="471">
        <f t="shared" si="176"/>
        <v>0.05</v>
      </c>
      <c r="N4639" s="475">
        <f t="shared" si="177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75"/>
        <v>-99882955103051.766</v>
      </c>
      <c r="J4640" s="455">
        <f t="array" ref="J4640">IFERROR(INDEX('Retirement Calculator'!K:K,MATCH('Lorri 401b'!N4640,'Retirement Calculator'!A:A,0),0),0)</f>
        <v>0</v>
      </c>
      <c r="K4640" s="455">
        <f t="shared" ca="1" si="173"/>
        <v>-416178979596.04901</v>
      </c>
      <c r="L4640" s="455">
        <f t="shared" ca="1" si="174"/>
        <v>-100299134082647.81</v>
      </c>
      <c r="M4640" s="471">
        <f t="shared" si="176"/>
        <v>0.05</v>
      </c>
      <c r="N4640" s="475">
        <f t="shared" si="177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75"/>
        <v>-100299134082647.81</v>
      </c>
      <c r="J4641" s="455">
        <f t="array" ref="J4641">IFERROR(INDEX('Retirement Calculator'!K:K,MATCH('Lorri 401b'!N4641,'Retirement Calculator'!A:A,0),0),0)</f>
        <v>0</v>
      </c>
      <c r="K4641" s="455">
        <f t="shared" ca="1" si="173"/>
        <v>-417913058677.69922</v>
      </c>
      <c r="L4641" s="455">
        <f t="shared" ca="1" si="174"/>
        <v>-100717047141325.52</v>
      </c>
      <c r="M4641" s="471">
        <f t="shared" si="176"/>
        <v>0.05</v>
      </c>
      <c r="N4641" s="475">
        <f t="shared" si="177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75"/>
        <v>-100717047141325.52</v>
      </c>
      <c r="J4642" s="455">
        <f t="array" ref="J4642">IFERROR(INDEX('Retirement Calculator'!K:K,MATCH('Lorri 401b'!N4642,'Retirement Calculator'!A:A,0),0),0)</f>
        <v>0</v>
      </c>
      <c r="K4642" s="455">
        <f t="shared" ca="1" si="173"/>
        <v>-419654363088.85632</v>
      </c>
      <c r="L4642" s="455">
        <f t="shared" ca="1" si="174"/>
        <v>-101136701504414.38</v>
      </c>
      <c r="M4642" s="471">
        <f t="shared" si="176"/>
        <v>0.05</v>
      </c>
      <c r="N4642" s="475">
        <f t="shared" si="177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75"/>
        <v>-101136701504414.38</v>
      </c>
      <c r="J4643" s="455">
        <f t="array" ref="J4643">IFERROR(INDEX('Retirement Calculator'!K:K,MATCH('Lorri 401b'!N4643,'Retirement Calculator'!A:A,0),0),0)</f>
        <v>0</v>
      </c>
      <c r="K4643" s="455">
        <f t="shared" ca="1" si="173"/>
        <v>-421402922935.05988</v>
      </c>
      <c r="L4643" s="455">
        <f t="shared" ca="1" si="174"/>
        <v>-101558104427349.44</v>
      </c>
      <c r="M4643" s="471">
        <f t="shared" si="176"/>
        <v>0.05</v>
      </c>
      <c r="N4643" s="475">
        <f t="shared" si="177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75"/>
        <v>-101558104427349.44</v>
      </c>
      <c r="J4644" s="455">
        <f t="array" ref="J4644">IFERROR(INDEX('Retirement Calculator'!K:K,MATCH('Lorri 401b'!N4644,'Retirement Calculator'!A:A,0),0),0)</f>
        <v>0</v>
      </c>
      <c r="K4644" s="455">
        <f t="shared" ca="1" si="173"/>
        <v>-423158768447.28931</v>
      </c>
      <c r="L4644" s="455">
        <f t="shared" ca="1" si="174"/>
        <v>-101981263195796.73</v>
      </c>
      <c r="M4644" s="471">
        <f t="shared" si="176"/>
        <v>0.05</v>
      </c>
      <c r="N4644" s="475">
        <f t="shared" si="177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75"/>
        <v>-101981263195796.73</v>
      </c>
      <c r="J4645" s="455">
        <f t="array" ref="J4645">IFERROR(INDEX('Retirement Calculator'!K:K,MATCH('Lorri 401b'!N4645,'Retirement Calculator'!A:A,0),0),0)</f>
        <v>0</v>
      </c>
      <c r="K4645" s="455">
        <f t="shared" ca="1" si="173"/>
        <v>-424921929982.48639</v>
      </c>
      <c r="L4645" s="455">
        <f t="shared" ca="1" si="174"/>
        <v>-102406185125779.22</v>
      </c>
      <c r="M4645" s="471">
        <f t="shared" si="176"/>
        <v>0.05</v>
      </c>
      <c r="N4645" s="475">
        <f t="shared" si="177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75"/>
        <v>-102406185125779.22</v>
      </c>
      <c r="J4646" s="455">
        <f t="array" ref="J4646">IFERROR(INDEX('Retirement Calculator'!K:K,MATCH('Lorri 401b'!N4646,'Retirement Calculator'!A:A,0),0),0)</f>
        <v>0</v>
      </c>
      <c r="K4646" s="455">
        <f t="shared" ca="1" si="173"/>
        <v>-426692438024.08008</v>
      </c>
      <c r="L4646" s="455">
        <f t="shared" ca="1" si="174"/>
        <v>-102832877563803.3</v>
      </c>
      <c r="M4646" s="471">
        <f t="shared" si="176"/>
        <v>0.05</v>
      </c>
      <c r="N4646" s="475">
        <f t="shared" si="177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75"/>
        <v>-102832877563803.3</v>
      </c>
      <c r="J4647" s="455">
        <f t="array" ref="J4647">IFERROR(INDEX('Retirement Calculator'!K:K,MATCH('Lorri 401b'!N4647,'Retirement Calculator'!A:A,0),0),0)</f>
        <v>0</v>
      </c>
      <c r="K4647" s="455">
        <f t="shared" ca="1" si="173"/>
        <v>-428470323182.51373</v>
      </c>
      <c r="L4647" s="455">
        <f t="shared" ca="1" si="174"/>
        <v>-103261347886985.81</v>
      </c>
      <c r="M4647" s="471">
        <f t="shared" si="176"/>
        <v>0.05</v>
      </c>
      <c r="N4647" s="475">
        <f t="shared" si="177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75"/>
        <v>-103261347886985.81</v>
      </c>
      <c r="J4648" s="455">
        <f t="array" ref="J4648">IFERROR(INDEX('Retirement Calculator'!K:K,MATCH('Lorri 401b'!N4648,'Retirement Calculator'!A:A,0),0),0)</f>
        <v>0</v>
      </c>
      <c r="K4648" s="455">
        <f t="shared" ca="1" si="173"/>
        <v>-430255616195.77423</v>
      </c>
      <c r="L4648" s="455">
        <f t="shared" ca="1" si="174"/>
        <v>-103691603503181.59</v>
      </c>
      <c r="M4648" s="471">
        <f t="shared" si="176"/>
        <v>0.05</v>
      </c>
      <c r="N4648" s="475">
        <f t="shared" si="177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75"/>
        <v>-103691603503181.59</v>
      </c>
      <c r="J4649" s="455">
        <f t="array" ref="J4649">IFERROR(INDEX('Retirement Calculator'!K:K,MATCH('Lorri 401b'!N4649,'Retirement Calculator'!A:A,0),0),0)</f>
        <v>0</v>
      </c>
      <c r="K4649" s="455">
        <f t="shared" ca="1" si="173"/>
        <v>-432048347929.92328</v>
      </c>
      <c r="L4649" s="455">
        <f t="shared" ca="1" si="174"/>
        <v>-104123651851111.52</v>
      </c>
      <c r="M4649" s="471">
        <f t="shared" si="176"/>
        <v>0.05</v>
      </c>
      <c r="N4649" s="475">
        <f t="shared" si="177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75"/>
        <v>-104123651851111.52</v>
      </c>
      <c r="J4650" s="455">
        <f t="array" ref="J4650">IFERROR(INDEX('Retirement Calculator'!K:K,MATCH('Lorri 401b'!N4650,'Retirement Calculator'!A:A,0),0),0)</f>
        <v>0</v>
      </c>
      <c r="K4650" s="455">
        <f t="shared" ca="1" si="173"/>
        <v>-433848549379.63129</v>
      </c>
      <c r="L4650" s="455">
        <f t="shared" ca="1" si="174"/>
        <v>-104557500400491.14</v>
      </c>
      <c r="M4650" s="471">
        <f t="shared" si="176"/>
        <v>0.05</v>
      </c>
      <c r="N4650" s="475">
        <f t="shared" si="177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75"/>
        <v>-104557500400491.14</v>
      </c>
      <c r="J4651" s="455">
        <f t="array" ref="J4651">IFERROR(INDEX('Retirement Calculator'!K:K,MATCH('Lorri 401b'!N4651,'Retirement Calculator'!A:A,0),0),0)</f>
        <v>0</v>
      </c>
      <c r="K4651" s="455">
        <f t="shared" ca="1" si="173"/>
        <v>-435656251668.71307</v>
      </c>
      <c r="L4651" s="455">
        <f t="shared" ca="1" si="174"/>
        <v>-104993156652159.86</v>
      </c>
      <c r="M4651" s="471">
        <f t="shared" si="176"/>
        <v>0.05</v>
      </c>
      <c r="N4651" s="475">
        <f t="shared" si="177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75"/>
        <v>-104993156652159.86</v>
      </c>
      <c r="J4652" s="455">
        <f t="array" ref="J4652">IFERROR(INDEX('Retirement Calculator'!K:K,MATCH('Lorri 401b'!N4652,'Retirement Calculator'!A:A,0),0),0)</f>
        <v>0</v>
      </c>
      <c r="K4652" s="455">
        <f t="shared" ca="1" si="173"/>
        <v>-437471486050.66608</v>
      </c>
      <c r="L4652" s="455">
        <f t="shared" ca="1" si="174"/>
        <v>-105430628138210.53</v>
      </c>
      <c r="M4652" s="471">
        <f t="shared" si="176"/>
        <v>0.05</v>
      </c>
      <c r="N4652" s="475">
        <f t="shared" si="177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75"/>
        <v>-105430628138210.53</v>
      </c>
      <c r="J4653" s="455">
        <f t="array" ref="J4653">IFERROR(INDEX('Retirement Calculator'!K:K,MATCH('Lorri 401b'!N4653,'Retirement Calculator'!A:A,0),0),0)</f>
        <v>0</v>
      </c>
      <c r="K4653" s="455">
        <f t="shared" ca="1" si="173"/>
        <v>-439294283909.21057</v>
      </c>
      <c r="L4653" s="455">
        <f t="shared" ca="1" si="174"/>
        <v>-105869922422119.73</v>
      </c>
      <c r="M4653" s="471">
        <f t="shared" si="176"/>
        <v>0.05</v>
      </c>
      <c r="N4653" s="475">
        <f t="shared" si="177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75"/>
        <v>-105869922422119.73</v>
      </c>
      <c r="J4654" s="455">
        <f t="array" ref="J4654">IFERROR(INDEX('Retirement Calculator'!K:K,MATCH('Lorri 401b'!N4654,'Retirement Calculator'!A:A,0),0),0)</f>
        <v>0</v>
      </c>
      <c r="K4654" s="455">
        <f t="shared" ca="1" si="173"/>
        <v>-441124676758.83221</v>
      </c>
      <c r="L4654" s="455">
        <f t="shared" ca="1" si="174"/>
        <v>-106311047098878.56</v>
      </c>
      <c r="M4654" s="471">
        <f t="shared" si="176"/>
        <v>0.05</v>
      </c>
      <c r="N4654" s="475">
        <f t="shared" si="177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75"/>
        <v>-106311047098878.56</v>
      </c>
      <c r="J4655" s="455">
        <f t="array" ref="J4655">IFERROR(INDEX('Retirement Calculator'!K:K,MATCH('Lorri 401b'!N4655,'Retirement Calculator'!A:A,0),0),0)</f>
        <v>0</v>
      </c>
      <c r="K4655" s="455">
        <f t="shared" ca="1" si="173"/>
        <v>-442962696245.32733</v>
      </c>
      <c r="L4655" s="455">
        <f t="shared" ca="1" si="174"/>
        <v>-106754009795123.89</v>
      </c>
      <c r="M4655" s="471">
        <f t="shared" si="176"/>
        <v>0.05</v>
      </c>
      <c r="N4655" s="475">
        <f t="shared" si="177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75"/>
        <v>-106754009795123.89</v>
      </c>
      <c r="J4656" s="455">
        <f t="array" ref="J4656">IFERROR(INDEX('Retirement Calculator'!K:K,MATCH('Lorri 401b'!N4656,'Retirement Calculator'!A:A,0),0),0)</f>
        <v>0</v>
      </c>
      <c r="K4656" s="455">
        <f t="shared" ca="1" si="173"/>
        <v>-444808374146.34955</v>
      </c>
      <c r="L4656" s="455">
        <f t="shared" ca="1" si="174"/>
        <v>-107198818169270.23</v>
      </c>
      <c r="M4656" s="471">
        <f t="shared" si="176"/>
        <v>0.05</v>
      </c>
      <c r="N4656" s="475">
        <f t="shared" si="177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75"/>
        <v>-107198818169270.23</v>
      </c>
      <c r="J4657" s="455">
        <f t="array" ref="J4657">IFERROR(INDEX('Retirement Calculator'!K:K,MATCH('Lorri 401b'!N4657,'Retirement Calculator'!A:A,0),0),0)</f>
        <v>0</v>
      </c>
      <c r="K4657" s="455">
        <f t="shared" ca="1" si="173"/>
        <v>-446661742371.95929</v>
      </c>
      <c r="L4657" s="455">
        <f t="shared" ca="1" si="174"/>
        <v>-107645479911642.19</v>
      </c>
      <c r="M4657" s="471">
        <f t="shared" si="176"/>
        <v>0.05</v>
      </c>
      <c r="N4657" s="475">
        <f t="shared" si="177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75"/>
        <v>-107645479911642.19</v>
      </c>
      <c r="J4658" s="455">
        <f t="array" ref="J4658">IFERROR(INDEX('Retirement Calculator'!K:K,MATCH('Lorri 401b'!N4658,'Retirement Calculator'!A:A,0),0),0)</f>
        <v>0</v>
      </c>
      <c r="K4658" s="455">
        <f t="shared" ca="1" si="173"/>
        <v>-448522832965.17578</v>
      </c>
      <c r="L4658" s="455">
        <f t="shared" ca="1" si="174"/>
        <v>-108094002744607.36</v>
      </c>
      <c r="M4658" s="471">
        <f t="shared" si="176"/>
        <v>0.05</v>
      </c>
      <c r="N4658" s="475">
        <f t="shared" si="177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75"/>
        <v>-108094002744607.36</v>
      </c>
      <c r="J4659" s="455">
        <f t="array" ref="J4659">IFERROR(INDEX('Retirement Calculator'!K:K,MATCH('Lorri 401b'!N4659,'Retirement Calculator'!A:A,0),0),0)</f>
        <v>0</v>
      </c>
      <c r="K4659" s="455">
        <f t="shared" ca="1" si="173"/>
        <v>-450391678102.53064</v>
      </c>
      <c r="L4659" s="455">
        <f t="shared" ca="1" si="174"/>
        <v>-108544394422709.89</v>
      </c>
      <c r="M4659" s="471">
        <f t="shared" si="176"/>
        <v>0.05</v>
      </c>
      <c r="N4659" s="475">
        <f t="shared" si="177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75"/>
        <v>-108544394422709.89</v>
      </c>
      <c r="J4660" s="455">
        <f t="array" ref="J4660">IFERROR(INDEX('Retirement Calculator'!K:K,MATCH('Lorri 401b'!N4660,'Retirement Calculator'!A:A,0),0),0)</f>
        <v>0</v>
      </c>
      <c r="K4660" s="455">
        <f t="shared" ca="1" si="173"/>
        <v>-452268310094.62451</v>
      </c>
      <c r="L4660" s="455">
        <f t="shared" ca="1" si="174"/>
        <v>-108996662732804.52</v>
      </c>
      <c r="M4660" s="471">
        <f t="shared" si="176"/>
        <v>0.05</v>
      </c>
      <c r="N4660" s="475">
        <f t="shared" si="177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75"/>
        <v>-108996662732804.52</v>
      </c>
      <c r="J4661" s="455">
        <f t="array" ref="J4661">IFERROR(INDEX('Retirement Calculator'!K:K,MATCH('Lorri 401b'!N4661,'Retirement Calculator'!A:A,0),0),0)</f>
        <v>0</v>
      </c>
      <c r="K4661" s="455">
        <f t="shared" ca="1" si="173"/>
        <v>-454152761386.68549</v>
      </c>
      <c r="L4661" s="455">
        <f t="shared" ca="1" si="174"/>
        <v>-109450815494191.2</v>
      </c>
      <c r="M4661" s="471">
        <f t="shared" si="176"/>
        <v>0.05</v>
      </c>
      <c r="N4661" s="475">
        <f t="shared" si="177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75"/>
        <v>-109450815494191.2</v>
      </c>
      <c r="J4662" s="455">
        <f t="array" ref="J4662">IFERROR(INDEX('Retirement Calculator'!K:K,MATCH('Lorri 401b'!N4662,'Retirement Calculator'!A:A,0),0),0)</f>
        <v>0</v>
      </c>
      <c r="K4662" s="455">
        <f t="shared" ca="1" si="173"/>
        <v>-456045064559.13</v>
      </c>
      <c r="L4662" s="455">
        <f t="shared" ca="1" si="174"/>
        <v>-109906860558750.33</v>
      </c>
      <c r="M4662" s="471">
        <f t="shared" si="176"/>
        <v>0.05</v>
      </c>
      <c r="N4662" s="475">
        <f t="shared" si="177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75"/>
        <v>-109906860558750.33</v>
      </c>
      <c r="J4663" s="455">
        <f t="array" ref="J4663">IFERROR(INDEX('Retirement Calculator'!K:K,MATCH('Lorri 401b'!N4663,'Retirement Calculator'!A:A,0),0),0)</f>
        <v>0</v>
      </c>
      <c r="K4663" s="455">
        <f t="shared" ca="1" si="173"/>
        <v>-457945252328.12634</v>
      </c>
      <c r="L4663" s="455">
        <f t="shared" ca="1" si="174"/>
        <v>-110364805811078.45</v>
      </c>
      <c r="M4663" s="471">
        <f t="shared" si="176"/>
        <v>0.05</v>
      </c>
      <c r="N4663" s="475">
        <f t="shared" si="177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75"/>
        <v>-110364805811078.45</v>
      </c>
      <c r="J4664" s="455">
        <f t="array" ref="J4664">IFERROR(INDEX('Retirement Calculator'!K:K,MATCH('Lorri 401b'!N4664,'Retirement Calculator'!A:A,0),0),0)</f>
        <v>0</v>
      </c>
      <c r="K4664" s="455">
        <f t="shared" ca="1" si="173"/>
        <v>-459853357546.16022</v>
      </c>
      <c r="L4664" s="455">
        <f t="shared" ca="1" si="174"/>
        <v>-110824659168624.61</v>
      </c>
      <c r="M4664" s="471">
        <f t="shared" si="176"/>
        <v>0.05</v>
      </c>
      <c r="N4664" s="475">
        <f t="shared" si="177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75"/>
        <v>-110824659168624.61</v>
      </c>
      <c r="J4665" s="455">
        <f t="array" ref="J4665">IFERROR(INDEX('Retirement Calculator'!K:K,MATCH('Lorri 401b'!N4665,'Retirement Calculator'!A:A,0),0),0)</f>
        <v>0</v>
      </c>
      <c r="K4665" s="455">
        <f t="shared" ca="1" si="173"/>
        <v>-461769413202.60254</v>
      </c>
      <c r="L4665" s="455">
        <f t="shared" ca="1" si="174"/>
        <v>-111286428581827.22</v>
      </c>
      <c r="M4665" s="471">
        <f t="shared" si="176"/>
        <v>0.05</v>
      </c>
      <c r="N4665" s="475">
        <f t="shared" si="177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75"/>
        <v>-111286428581827.22</v>
      </c>
      <c r="J4666" s="455">
        <f t="array" ref="J4666">IFERROR(INDEX('Retirement Calculator'!K:K,MATCH('Lorri 401b'!N4666,'Retirement Calculator'!A:A,0),0),0)</f>
        <v>0</v>
      </c>
      <c r="K4666" s="455">
        <f t="shared" ca="1" si="173"/>
        <v>-463693452424.28009</v>
      </c>
      <c r="L4666" s="455">
        <f t="shared" ca="1" si="174"/>
        <v>-111750122034251.5</v>
      </c>
      <c r="M4666" s="471">
        <f t="shared" si="176"/>
        <v>0.05</v>
      </c>
      <c r="N4666" s="475">
        <f t="shared" si="177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75"/>
        <v>-111750122034251.5</v>
      </c>
      <c r="J4667" s="455">
        <f t="array" ref="J4667">IFERROR(INDEX('Retirement Calculator'!K:K,MATCH('Lorri 401b'!N4667,'Retirement Calculator'!A:A,0),0),0)</f>
        <v>0</v>
      </c>
      <c r="K4667" s="455">
        <f t="shared" ca="1" si="173"/>
        <v>-465625508476.04791</v>
      </c>
      <c r="L4667" s="455">
        <f t="shared" ca="1" si="174"/>
        <v>-112215747542727.55</v>
      </c>
      <c r="M4667" s="471">
        <f t="shared" si="176"/>
        <v>0.05</v>
      </c>
      <c r="N4667" s="475">
        <f t="shared" si="177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75"/>
        <v>-112215747542727.55</v>
      </c>
      <c r="J4668" s="455">
        <f t="array" ref="J4668">IFERROR(INDEX('Retirement Calculator'!K:K,MATCH('Lorri 401b'!N4668,'Retirement Calculator'!A:A,0),0),0)</f>
        <v>0</v>
      </c>
      <c r="K4668" s="455">
        <f t="shared" ca="1" si="173"/>
        <v>-467565614761.36475</v>
      </c>
      <c r="L4668" s="455">
        <f t="shared" ca="1" si="174"/>
        <v>-112683313157488.91</v>
      </c>
      <c r="M4668" s="471">
        <f t="shared" si="176"/>
        <v>0.05</v>
      </c>
      <c r="N4668" s="475">
        <f t="shared" si="177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75"/>
        <v>-112683313157488.91</v>
      </c>
      <c r="J4669" s="455">
        <f t="array" ref="J4669">IFERROR(INDEX('Retirement Calculator'!K:K,MATCH('Lorri 401b'!N4669,'Retirement Calculator'!A:A,0),0),0)</f>
        <v>0</v>
      </c>
      <c r="K4669" s="455">
        <f t="shared" ca="1" si="173"/>
        <v>-469513804822.87048</v>
      </c>
      <c r="L4669" s="455">
        <f t="shared" ca="1" si="174"/>
        <v>-113152826962311.78</v>
      </c>
      <c r="M4669" s="471">
        <f t="shared" si="176"/>
        <v>0.05</v>
      </c>
      <c r="N4669" s="475">
        <f t="shared" si="177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75"/>
        <v>-113152826962311.78</v>
      </c>
      <c r="J4670" s="455">
        <f t="array" ref="J4670">IFERROR(INDEX('Retirement Calculator'!K:K,MATCH('Lorri 401b'!N4670,'Retirement Calculator'!A:A,0),0),0)</f>
        <v>0</v>
      </c>
      <c r="K4670" s="455">
        <f t="shared" ca="1" si="173"/>
        <v>-471470112342.96582</v>
      </c>
      <c r="L4670" s="455">
        <f t="shared" ca="1" si="174"/>
        <v>-113624297074654.75</v>
      </c>
      <c r="M4670" s="471">
        <f t="shared" si="176"/>
        <v>0.05</v>
      </c>
      <c r="N4670" s="475">
        <f t="shared" si="177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75"/>
        <v>-113624297074654.75</v>
      </c>
      <c r="J4671" s="455">
        <f t="array" ref="J4671">IFERROR(INDEX('Retirement Calculator'!K:K,MATCH('Lorri 401b'!N4671,'Retirement Calculator'!A:A,0),0),0)</f>
        <v>0</v>
      </c>
      <c r="K4671" s="455">
        <f t="shared" ca="1" si="173"/>
        <v>-473434571144.39478</v>
      </c>
      <c r="L4671" s="455">
        <f t="shared" ca="1" si="174"/>
        <v>-114097731645799.14</v>
      </c>
      <c r="M4671" s="471">
        <f t="shared" si="176"/>
        <v>0.05</v>
      </c>
      <c r="N4671" s="475">
        <f t="shared" si="177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75"/>
        <v>-114097731645799.14</v>
      </c>
      <c r="J4672" s="455">
        <f t="array" ref="J4672">IFERROR(INDEX('Retirement Calculator'!K:K,MATCH('Lorri 401b'!N4672,'Retirement Calculator'!A:A,0),0),0)</f>
        <v>0</v>
      </c>
      <c r="K4672" s="455">
        <f t="shared" ca="1" si="173"/>
        <v>-475407215190.82983</v>
      </c>
      <c r="L4672" s="455">
        <f t="shared" ca="1" si="174"/>
        <v>-114573138860989.97</v>
      </c>
      <c r="M4672" s="471">
        <f t="shared" si="176"/>
        <v>0.05</v>
      </c>
      <c r="N4672" s="475">
        <f t="shared" si="177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75"/>
        <v>-114573138860989.97</v>
      </c>
      <c r="J4673" s="455">
        <f t="array" ref="J4673">IFERROR(INDEX('Retirement Calculator'!K:K,MATCH('Lorri 401b'!N4673,'Retirement Calculator'!A:A,0),0),0)</f>
        <v>0</v>
      </c>
      <c r="K4673" s="455">
        <f t="shared" ca="1" si="173"/>
        <v>-477388078587.45819</v>
      </c>
      <c r="L4673" s="455">
        <f t="shared" ca="1" si="174"/>
        <v>-115050526939577.42</v>
      </c>
      <c r="M4673" s="471">
        <f t="shared" si="176"/>
        <v>0.05</v>
      </c>
      <c r="N4673" s="475">
        <f t="shared" si="177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75"/>
        <v>-115050526939577.42</v>
      </c>
      <c r="J4674" s="455">
        <f t="array" ref="J4674">IFERROR(INDEX('Retirement Calculator'!K:K,MATCH('Lorri 401b'!N4674,'Retirement Calculator'!A:A,0),0),0)</f>
        <v>0</v>
      </c>
      <c r="K4674" s="455">
        <f t="shared" ca="1" si="173"/>
        <v>-479377195581.57257</v>
      </c>
      <c r="L4674" s="455">
        <f t="shared" ca="1" si="174"/>
        <v>-115529904135159</v>
      </c>
      <c r="M4674" s="471">
        <f t="shared" si="176"/>
        <v>0.05</v>
      </c>
      <c r="N4674" s="475">
        <f t="shared" si="177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75"/>
        <v>-115529904135159</v>
      </c>
      <c r="J4675" s="455">
        <f t="array" ref="J4675">IFERROR(INDEX('Retirement Calculator'!K:K,MATCH('Lorri 401b'!N4675,'Retirement Calculator'!A:A,0),0),0)</f>
        <v>0</v>
      </c>
      <c r="K4675" s="455">
        <f t="shared" ca="1" si="173"/>
        <v>-481374600563.16248</v>
      </c>
      <c r="L4675" s="455">
        <f t="shared" ca="1" si="174"/>
        <v>-116011278735722.16</v>
      </c>
      <c r="M4675" s="471">
        <f t="shared" si="176"/>
        <v>0.05</v>
      </c>
      <c r="N4675" s="475">
        <f t="shared" si="177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75"/>
        <v>-116011278735722.16</v>
      </c>
      <c r="J4676" s="455">
        <f t="array" ref="J4676">IFERROR(INDEX('Retirement Calculator'!K:K,MATCH('Lorri 401b'!N4676,'Retirement Calculator'!A:A,0),0),0)</f>
        <v>0</v>
      </c>
      <c r="K4676" s="455">
        <f t="shared" ca="1" si="173"/>
        <v>-483380328065.50897</v>
      </c>
      <c r="L4676" s="455">
        <f t="shared" ca="1" si="174"/>
        <v>-116494659063787.67</v>
      </c>
      <c r="M4676" s="471">
        <f t="shared" si="176"/>
        <v>0.05</v>
      </c>
      <c r="N4676" s="475">
        <f t="shared" si="177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75"/>
        <v>-116494659063787.67</v>
      </c>
      <c r="J4677" s="455">
        <f t="array" ref="J4677">IFERROR(INDEX('Retirement Calculator'!K:K,MATCH('Lorri 401b'!N4677,'Retirement Calculator'!A:A,0),0),0)</f>
        <v>0</v>
      </c>
      <c r="K4677" s="455">
        <f t="shared" ca="1" si="173"/>
        <v>-485394412765.78192</v>
      </c>
      <c r="L4677" s="455">
        <f t="shared" ca="1" si="174"/>
        <v>-116980053476553.45</v>
      </c>
      <c r="M4677" s="471">
        <f t="shared" si="176"/>
        <v>0.05</v>
      </c>
      <c r="N4677" s="475">
        <f t="shared" si="177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75"/>
        <v>-116980053476553.45</v>
      </c>
      <c r="J4678" s="455">
        <f t="array" ref="J4678">IFERROR(INDEX('Retirement Calculator'!K:K,MATCH('Lorri 401b'!N4678,'Retirement Calculator'!A:A,0),0),0)</f>
        <v>0</v>
      </c>
      <c r="K4678" s="455">
        <f t="shared" ca="1" si="173"/>
        <v>-487416889485.6394</v>
      </c>
      <c r="L4678" s="455">
        <f t="shared" ca="1" si="174"/>
        <v>-117467470366039.09</v>
      </c>
      <c r="M4678" s="471">
        <f t="shared" si="176"/>
        <v>0.05</v>
      </c>
      <c r="N4678" s="475">
        <f t="shared" si="177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75"/>
        <v>-117467470366039.09</v>
      </c>
      <c r="J4679" s="455">
        <f t="array" ref="J4679">IFERROR(INDEX('Retirement Calculator'!K:K,MATCH('Lorri 401b'!N4679,'Retirement Calculator'!A:A,0),0),0)</f>
        <v>0</v>
      </c>
      <c r="K4679" s="455">
        <f t="shared" ca="1" si="173"/>
        <v>-489447793191.82953</v>
      </c>
      <c r="L4679" s="455">
        <f t="shared" ca="1" si="174"/>
        <v>-117956918159230.92</v>
      </c>
      <c r="M4679" s="471">
        <f t="shared" si="176"/>
        <v>0.05</v>
      </c>
      <c r="N4679" s="475">
        <f t="shared" si="177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75"/>
        <v>-117956918159230.92</v>
      </c>
      <c r="J4680" s="455">
        <f t="array" ref="J4680">IFERROR(INDEX('Retirement Calculator'!K:K,MATCH('Lorri 401b'!N4680,'Retirement Calculator'!A:A,0),0),0)</f>
        <v>0</v>
      </c>
      <c r="K4680" s="455">
        <f t="shared" ca="1" si="173"/>
        <v>-491487158996.79547</v>
      </c>
      <c r="L4680" s="455">
        <f t="shared" ca="1" si="174"/>
        <v>-118448405318227.72</v>
      </c>
      <c r="M4680" s="471">
        <f t="shared" si="176"/>
        <v>0.05</v>
      </c>
      <c r="N4680" s="475">
        <f t="shared" si="177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75"/>
        <v>-118448405318227.72</v>
      </c>
      <c r="J4681" s="455">
        <f t="array" ref="J4681">IFERROR(INDEX('Retirement Calculator'!K:K,MATCH('Lorri 401b'!N4681,'Retirement Calculator'!A:A,0),0),0)</f>
        <v>0</v>
      </c>
      <c r="K4681" s="455">
        <f t="shared" ca="1" si="173"/>
        <v>-493535022159.28217</v>
      </c>
      <c r="L4681" s="455">
        <f t="shared" ca="1" si="174"/>
        <v>-118941940340387</v>
      </c>
      <c r="M4681" s="471">
        <f t="shared" si="176"/>
        <v>0.05</v>
      </c>
      <c r="N4681" s="475">
        <f t="shared" si="177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75"/>
        <v>-118941940340387</v>
      </c>
      <c r="J4682" s="455">
        <f t="array" ref="J4682">IFERROR(INDEX('Retirement Calculator'!K:K,MATCH('Lorri 401b'!N4682,'Retirement Calculator'!A:A,0),0),0)</f>
        <v>0</v>
      </c>
      <c r="K4682" s="455">
        <f t="shared" ca="1" si="173"/>
        <v>-495591418084.94574</v>
      </c>
      <c r="L4682" s="455">
        <f t="shared" ca="1" si="174"/>
        <v>-119437531758471.95</v>
      </c>
      <c r="M4682" s="471">
        <f t="shared" si="176"/>
        <v>0.05</v>
      </c>
      <c r="N4682" s="475">
        <f t="shared" si="177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75"/>
        <v>-119437531758471.95</v>
      </c>
      <c r="J4683" s="455">
        <f t="array" ref="J4683">IFERROR(INDEX('Retirement Calculator'!K:K,MATCH('Lorri 401b'!N4683,'Retirement Calculator'!A:A,0),0),0)</f>
        <v>0</v>
      </c>
      <c r="K4683" s="455">
        <f t="shared" ca="1" si="173"/>
        <v>-497656382326.96649</v>
      </c>
      <c r="L4683" s="455">
        <f t="shared" ca="1" si="174"/>
        <v>-119935188140798.92</v>
      </c>
      <c r="M4683" s="471">
        <f t="shared" si="176"/>
        <v>0.05</v>
      </c>
      <c r="N4683" s="475">
        <f t="shared" si="177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75"/>
        <v>-119935188140798.92</v>
      </c>
      <c r="J4684" s="455">
        <f t="array" ref="J4684">IFERROR(INDEX('Retirement Calculator'!K:K,MATCH('Lorri 401b'!N4684,'Retirement Calculator'!A:A,0),0),0)</f>
        <v>0</v>
      </c>
      <c r="K4684" s="455">
        <f t="shared" ca="1" si="173"/>
        <v>-499729950586.66217</v>
      </c>
      <c r="L4684" s="455">
        <f t="shared" ca="1" si="174"/>
        <v>-120434918091385.58</v>
      </c>
      <c r="M4684" s="471">
        <f t="shared" si="176"/>
        <v>0.05</v>
      </c>
      <c r="N4684" s="475">
        <f t="shared" si="177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75"/>
        <v>-120434918091385.58</v>
      </c>
      <c r="J4685" s="455">
        <f t="array" ref="J4685">IFERROR(INDEX('Retirement Calculator'!K:K,MATCH('Lorri 401b'!N4685,'Retirement Calculator'!A:A,0),0),0)</f>
        <v>0</v>
      </c>
      <c r="K4685" s="455">
        <f t="shared" ca="1" si="173"/>
        <v>-501812158714.10657</v>
      </c>
      <c r="L4685" s="455">
        <f t="shared" ca="1" si="174"/>
        <v>-120936730250099.69</v>
      </c>
      <c r="M4685" s="471">
        <f t="shared" si="176"/>
        <v>0.05</v>
      </c>
      <c r="N4685" s="475">
        <f t="shared" si="177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75"/>
        <v>-120936730250099.69</v>
      </c>
      <c r="J4686" s="455">
        <f t="array" ref="J4686">IFERROR(INDEX('Retirement Calculator'!K:K,MATCH('Lorri 401b'!N4686,'Retirement Calculator'!A:A,0),0),0)</f>
        <v>0</v>
      </c>
      <c r="K4686" s="455">
        <f t="shared" ca="1" si="173"/>
        <v>-503903042708.74872</v>
      </c>
      <c r="L4686" s="455">
        <f t="shared" ca="1" si="174"/>
        <v>-121440633292808.44</v>
      </c>
      <c r="M4686" s="471">
        <f t="shared" si="176"/>
        <v>0.05</v>
      </c>
      <c r="N4686" s="475">
        <f t="shared" si="177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75"/>
        <v>-121440633292808.44</v>
      </c>
      <c r="J4687" s="455">
        <f t="array" ref="J4687">IFERROR(INDEX('Retirement Calculator'!K:K,MATCH('Lorri 401b'!N4687,'Retirement Calculator'!A:A,0),0),0)</f>
        <v>0</v>
      </c>
      <c r="K4687" s="455">
        <f t="shared" ca="1" si="173"/>
        <v>-506002638720.0351</v>
      </c>
      <c r="L4687" s="455">
        <f t="shared" ca="1" si="174"/>
        <v>-121946635931528.47</v>
      </c>
      <c r="M4687" s="471">
        <f t="shared" si="176"/>
        <v>0.05</v>
      </c>
      <c r="N4687" s="475">
        <f t="shared" si="177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75"/>
        <v>-121946635931528.47</v>
      </c>
      <c r="J4688" s="455">
        <f t="array" ref="J4688">IFERROR(INDEX('Retirement Calculator'!K:K,MATCH('Lorri 401b'!N4688,'Retirement Calculator'!A:A,0),0),0)</f>
        <v>0</v>
      </c>
      <c r="K4688" s="455">
        <f t="shared" ca="1" si="173"/>
        <v>-508110983048.03528</v>
      </c>
      <c r="L4688" s="455">
        <f t="shared" ca="1" si="174"/>
        <v>-122454746914576.5</v>
      </c>
      <c r="M4688" s="471">
        <f t="shared" si="176"/>
        <v>0.05</v>
      </c>
      <c r="N4688" s="475">
        <f t="shared" si="177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75"/>
        <v>-122454746914576.5</v>
      </c>
      <c r="J4689" s="455">
        <f t="array" ref="J4689">IFERROR(INDEX('Retirement Calculator'!K:K,MATCH('Lorri 401b'!N4689,'Retirement Calculator'!A:A,0),0),0)</f>
        <v>0</v>
      </c>
      <c r="K4689" s="455">
        <f t="shared" ca="1" si="173"/>
        <v>-510228112144.06866</v>
      </c>
      <c r="L4689" s="455">
        <f t="shared" ca="1" si="174"/>
        <v>-122964975026720.56</v>
      </c>
      <c r="M4689" s="471">
        <f t="shared" si="176"/>
        <v>0.05</v>
      </c>
      <c r="N4689" s="475">
        <f t="shared" si="177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75"/>
        <v>-122964975026720.56</v>
      </c>
      <c r="J4690" s="455">
        <f t="array" ref="J4690">IFERROR(INDEX('Retirement Calculator'!K:K,MATCH('Lorri 401b'!N4690,'Retirement Calculator'!A:A,0),0),0)</f>
        <v>0</v>
      </c>
      <c r="K4690" s="455">
        <f t="shared" ca="1" si="173"/>
        <v>-512354062611.33569</v>
      </c>
      <c r="L4690" s="455">
        <f t="shared" ca="1" si="174"/>
        <v>-123477329089331.89</v>
      </c>
      <c r="M4690" s="471">
        <f t="shared" si="176"/>
        <v>0.05</v>
      </c>
      <c r="N4690" s="475">
        <f t="shared" si="177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75"/>
        <v>-123477329089331.89</v>
      </c>
      <c r="J4691" s="455">
        <f t="array" ref="J4691">IFERROR(INDEX('Retirement Calculator'!K:K,MATCH('Lorri 401b'!N4691,'Retirement Calculator'!A:A,0),0),0)</f>
        <v>0</v>
      </c>
      <c r="K4691" s="455">
        <f t="shared" ca="1" si="173"/>
        <v>-514488871205.5495</v>
      </c>
      <c r="L4691" s="455">
        <f t="shared" ca="1" si="174"/>
        <v>-123991817960537.44</v>
      </c>
      <c r="M4691" s="471">
        <f t="shared" si="176"/>
        <v>0.05</v>
      </c>
      <c r="N4691" s="475">
        <f t="shared" si="177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75"/>
        <v>-123991817960537.44</v>
      </c>
      <c r="J4692" s="455">
        <f t="array" ref="J4692">IFERROR(INDEX('Retirement Calculator'!K:K,MATCH('Lorri 401b'!N4692,'Retirement Calculator'!A:A,0),0),0)</f>
        <v>0</v>
      </c>
      <c r="K4692" s="455">
        <f t="shared" ca="1" si="173"/>
        <v>-516632574835.57263</v>
      </c>
      <c r="L4692" s="455">
        <f t="shared" ca="1" si="174"/>
        <v>-124508450535373.02</v>
      </c>
      <c r="M4692" s="471">
        <f t="shared" si="176"/>
        <v>0.05</v>
      </c>
      <c r="N4692" s="475">
        <f t="shared" si="177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75"/>
        <v>-124508450535373.02</v>
      </c>
      <c r="J4693" s="455">
        <f t="array" ref="J4693">IFERROR(INDEX('Retirement Calculator'!K:K,MATCH('Lorri 401b'!N4693,'Retirement Calculator'!A:A,0),0),0)</f>
        <v>0</v>
      </c>
      <c r="K4693" s="455">
        <f t="shared" ca="1" si="173"/>
        <v>-518785210564.0542</v>
      </c>
      <c r="L4693" s="455">
        <f t="shared" ca="1" si="174"/>
        <v>-125027235745937.06</v>
      </c>
      <c r="M4693" s="471">
        <f t="shared" si="176"/>
        <v>0.05</v>
      </c>
      <c r="N4693" s="475">
        <f t="shared" si="177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75"/>
        <v>-125027235745937.06</v>
      </c>
      <c r="J4694" s="455">
        <f t="array" ref="J4694">IFERROR(INDEX('Retirement Calculator'!K:K,MATCH('Lorri 401b'!N4694,'Retirement Calculator'!A:A,0),0),0)</f>
        <v>0</v>
      </c>
      <c r="K4694" s="455">
        <f t="shared" ca="1" si="173"/>
        <v>-520946815608.07111</v>
      </c>
      <c r="L4694" s="455">
        <f t="shared" ca="1" si="174"/>
        <v>-125548182561545.14</v>
      </c>
      <c r="M4694" s="471">
        <f t="shared" si="176"/>
        <v>0.05</v>
      </c>
      <c r="N4694" s="475">
        <f t="shared" si="177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75"/>
        <v>-125548182561545.14</v>
      </c>
      <c r="J4695" s="455">
        <f t="array" ref="J4695">IFERROR(INDEX('Retirement Calculator'!K:K,MATCH('Lorri 401b'!N4695,'Retirement Calculator'!A:A,0),0),0)</f>
        <v>0</v>
      </c>
      <c r="K4695" s="455">
        <f t="shared" ca="1" si="173"/>
        <v>-523117427339.77148</v>
      </c>
      <c r="L4695" s="455">
        <f t="shared" ca="1" si="174"/>
        <v>-126071299988884.91</v>
      </c>
      <c r="M4695" s="471">
        <f t="shared" si="176"/>
        <v>0.05</v>
      </c>
      <c r="N4695" s="475">
        <f t="shared" si="177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75"/>
        <v>-126071299988884.91</v>
      </c>
      <c r="J4696" s="455">
        <f t="array" ref="J4696">IFERROR(INDEX('Retirement Calculator'!K:K,MATCH('Lorri 401b'!N4696,'Retirement Calculator'!A:A,0),0),0)</f>
        <v>0</v>
      </c>
      <c r="K4696" s="455">
        <f t="shared" ca="1" si="173"/>
        <v>-525297083287.02051</v>
      </c>
      <c r="L4696" s="455">
        <f t="shared" ca="1" si="174"/>
        <v>-126596597072171.92</v>
      </c>
      <c r="M4696" s="471">
        <f t="shared" si="176"/>
        <v>0.05</v>
      </c>
      <c r="N4696" s="475">
        <f t="shared" si="177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75"/>
        <v>-126596597072171.92</v>
      </c>
      <c r="J4697" s="455">
        <f t="array" ref="J4697">IFERROR(INDEX('Retirement Calculator'!K:K,MATCH('Lorri 401b'!N4697,'Retirement Calculator'!A:A,0),0),0)</f>
        <v>0</v>
      </c>
      <c r="K4697" s="455">
        <f t="shared" ca="1" si="173"/>
        <v>-527485821134.04968</v>
      </c>
      <c r="L4697" s="455">
        <f t="shared" ca="1" si="174"/>
        <v>-127124082893305.97</v>
      </c>
      <c r="M4697" s="471">
        <f t="shared" si="176"/>
        <v>0.05</v>
      </c>
      <c r="N4697" s="475">
        <f t="shared" si="177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75"/>
        <v>-127124082893305.97</v>
      </c>
      <c r="J4698" s="455">
        <f t="array" ref="J4698">IFERROR(INDEX('Retirement Calculator'!K:K,MATCH('Lorri 401b'!N4698,'Retirement Calculator'!A:A,0),0),0)</f>
        <v>0</v>
      </c>
      <c r="K4698" s="455">
        <f t="shared" ca="1" si="173"/>
        <v>-529683678722.10822</v>
      </c>
      <c r="L4698" s="455">
        <f t="shared" ca="1" si="174"/>
        <v>-127653766572028.08</v>
      </c>
      <c r="M4698" s="471">
        <f t="shared" si="176"/>
        <v>0.05</v>
      </c>
      <c r="N4698" s="475">
        <f t="shared" si="177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75"/>
        <v>-127653766572028.08</v>
      </c>
      <c r="J4699" s="455">
        <f t="array" ref="J4699">IFERROR(INDEX('Retirement Calculator'!K:K,MATCH('Lorri 401b'!N4699,'Retirement Calculator'!A:A,0),0),0)</f>
        <v>0</v>
      </c>
      <c r="K4699" s="455">
        <f t="shared" ca="1" si="173"/>
        <v>-531890694050.117</v>
      </c>
      <c r="L4699" s="455">
        <f t="shared" ca="1" si="174"/>
        <v>-128185657266078.19</v>
      </c>
      <c r="M4699" s="471">
        <f t="shared" si="176"/>
        <v>0.05</v>
      </c>
      <c r="N4699" s="475">
        <f t="shared" si="177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75"/>
        <v>-128185657266078.19</v>
      </c>
      <c r="J4700" s="455">
        <f t="array" ref="J4700">IFERROR(INDEX('Retirement Calculator'!K:K,MATCH('Lorri 401b'!N4700,'Retirement Calculator'!A:A,0),0),0)</f>
        <v>0</v>
      </c>
      <c r="K4700" s="455">
        <f t="shared" ca="1" si="173"/>
        <v>-534106905275.32574</v>
      </c>
      <c r="L4700" s="455">
        <f t="shared" ca="1" si="174"/>
        <v>-128719764171353.52</v>
      </c>
      <c r="M4700" s="471">
        <f t="shared" si="176"/>
        <v>0.05</v>
      </c>
      <c r="N4700" s="475">
        <f t="shared" si="177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75"/>
        <v>-128719764171353.52</v>
      </c>
      <c r="J4701" s="455">
        <f t="array" ref="J4701">IFERROR(INDEX('Retirement Calculator'!K:K,MATCH('Lorri 401b'!N4701,'Retirement Calculator'!A:A,0),0),0)</f>
        <v>0</v>
      </c>
      <c r="K4701" s="455">
        <f t="shared" ca="1" si="173"/>
        <v>-536332350713.97296</v>
      </c>
      <c r="L4701" s="455">
        <f t="shared" ca="1" si="174"/>
        <v>-129256096522067.48</v>
      </c>
      <c r="M4701" s="471">
        <f t="shared" si="176"/>
        <v>0.05</v>
      </c>
      <c r="N4701" s="475">
        <f t="shared" si="177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75"/>
        <v>-129256096522067.48</v>
      </c>
      <c r="J4702" s="455">
        <f t="array" ref="J4702">IFERROR(INDEX('Retirement Calculator'!K:K,MATCH('Lorri 401b'!N4702,'Retirement Calculator'!A:A,0),0),0)</f>
        <v>0</v>
      </c>
      <c r="K4702" s="455">
        <f t="shared" ca="1" si="173"/>
        <v>-538567068841.94781</v>
      </c>
      <c r="L4702" s="455">
        <f t="shared" ca="1" si="174"/>
        <v>-129794663590909.44</v>
      </c>
      <c r="M4702" s="471">
        <f t="shared" si="176"/>
        <v>0.05</v>
      </c>
      <c r="N4702" s="475">
        <f t="shared" si="177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75"/>
        <v>-129794663590909.44</v>
      </c>
      <c r="J4703" s="455">
        <f t="array" ref="J4703">IFERROR(INDEX('Retirement Calculator'!K:K,MATCH('Lorri 401b'!N4703,'Retirement Calculator'!A:A,0),0),0)</f>
        <v>0</v>
      </c>
      <c r="K4703" s="455">
        <f t="shared" ca="1" si="173"/>
        <v>-540811098295.45599</v>
      </c>
      <c r="L4703" s="455">
        <f t="shared" ca="1" si="174"/>
        <v>-130335474689204.89</v>
      </c>
      <c r="M4703" s="471">
        <f t="shared" si="176"/>
        <v>0.05</v>
      </c>
      <c r="N4703" s="475">
        <f t="shared" si="177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75"/>
        <v>-130335474689204.89</v>
      </c>
      <c r="J4704" s="455">
        <f t="array" ref="J4704">IFERROR(INDEX('Retirement Calculator'!K:K,MATCH('Lorri 401b'!N4704,'Retirement Calculator'!A:A,0),0),0)</f>
        <v>0</v>
      </c>
      <c r="K4704" s="455">
        <f t="shared" ca="1" si="173"/>
        <v>-543064477871.68707</v>
      </c>
      <c r="L4704" s="455">
        <f t="shared" ca="1" si="174"/>
        <v>-130878539167076.58</v>
      </c>
      <c r="M4704" s="471">
        <f t="shared" si="176"/>
        <v>0.05</v>
      </c>
      <c r="N4704" s="475">
        <f t="shared" si="177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75"/>
        <v>-130878539167076.58</v>
      </c>
      <c r="J4705" s="455">
        <f t="array" ref="J4705">IFERROR(INDEX('Retirement Calculator'!K:K,MATCH('Lorri 401b'!N4705,'Retirement Calculator'!A:A,0),0),0)</f>
        <v>0</v>
      </c>
      <c r="K4705" s="455">
        <f t="shared" ca="1" si="173"/>
        <v>-545327246529.48572</v>
      </c>
      <c r="L4705" s="455">
        <f t="shared" ca="1" si="174"/>
        <v>-131423866413606.06</v>
      </c>
      <c r="M4705" s="471">
        <f t="shared" si="176"/>
        <v>0.05</v>
      </c>
      <c r="N4705" s="475">
        <f t="shared" si="177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75"/>
        <v>-131423866413606.06</v>
      </c>
      <c r="J4706" s="455">
        <f t="array" ref="J4706">IFERROR(INDEX('Retirement Calculator'!K:K,MATCH('Lorri 401b'!N4706,'Retirement Calculator'!A:A,0),0),0)</f>
        <v>0</v>
      </c>
      <c r="K4706" s="455">
        <f t="shared" ca="1" si="173"/>
        <v>-547599443390.02533</v>
      </c>
      <c r="L4706" s="455">
        <f t="shared" ca="1" si="174"/>
        <v>-131971465856996.09</v>
      </c>
      <c r="M4706" s="471">
        <f t="shared" si="176"/>
        <v>0.05</v>
      </c>
      <c r="N4706" s="475">
        <f t="shared" si="177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75"/>
        <v>-131971465856996.09</v>
      </c>
      <c r="J4707" s="455">
        <f t="array" ref="J4707">IFERROR(INDEX('Retirement Calculator'!K:K,MATCH('Lorri 401b'!N4707,'Retirement Calculator'!A:A,0),0),0)</f>
        <v>0</v>
      </c>
      <c r="K4707" s="455">
        <f t="shared" ca="1" si="173"/>
        <v>-549881107737.48376</v>
      </c>
      <c r="L4707" s="455">
        <f t="shared" ca="1" si="174"/>
        <v>-132521346964733.58</v>
      </c>
      <c r="M4707" s="471">
        <f t="shared" si="176"/>
        <v>0.05</v>
      </c>
      <c r="N4707" s="475">
        <f t="shared" si="177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75"/>
        <v>-132521346964733.58</v>
      </c>
      <c r="J4708" s="455">
        <f t="array" ref="J4708">IFERROR(INDEX('Retirement Calculator'!K:K,MATCH('Lorri 401b'!N4708,'Retirement Calculator'!A:A,0),0),0)</f>
        <v>0</v>
      </c>
      <c r="K4708" s="455">
        <f t="shared" ca="1" si="173"/>
        <v>-552172279019.72314</v>
      </c>
      <c r="L4708" s="455">
        <f t="shared" ca="1" si="174"/>
        <v>-133073519243753.3</v>
      </c>
      <c r="M4708" s="471">
        <f t="shared" si="176"/>
        <v>0.05</v>
      </c>
      <c r="N4708" s="475">
        <f t="shared" si="177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75"/>
        <v>-133073519243753.3</v>
      </c>
      <c r="J4709" s="455">
        <f t="array" ref="J4709">IFERROR(INDEX('Retirement Calculator'!K:K,MATCH('Lorri 401b'!N4709,'Retirement Calculator'!A:A,0),0),0)</f>
        <v>0</v>
      </c>
      <c r="K4709" s="455">
        <f t="shared" ca="1" si="173"/>
        <v>-554472996848.97205</v>
      </c>
      <c r="L4709" s="455">
        <f t="shared" ca="1" si="174"/>
        <v>-133627992240602.27</v>
      </c>
      <c r="M4709" s="471">
        <f t="shared" si="176"/>
        <v>0.05</v>
      </c>
      <c r="N4709" s="475">
        <f t="shared" si="177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75"/>
        <v>-133627992240602.27</v>
      </c>
      <c r="J4710" s="455">
        <f t="array" ref="J4710">IFERROR(INDEX('Retirement Calculator'!K:K,MATCH('Lorri 401b'!N4710,'Retirement Calculator'!A:A,0),0),0)</f>
        <v>0</v>
      </c>
      <c r="K4710" s="455">
        <f t="shared" ca="1" si="173"/>
        <v>-556783301002.5094</v>
      </c>
      <c r="L4710" s="455">
        <f t="shared" ca="1" si="174"/>
        <v>-134184775541604.78</v>
      </c>
      <c r="M4710" s="471">
        <f t="shared" si="176"/>
        <v>0.05</v>
      </c>
      <c r="N4710" s="475">
        <f t="shared" si="177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75"/>
        <v>-134184775541604.78</v>
      </c>
      <c r="J4711" s="455">
        <f t="array" ref="J4711">IFERROR(INDEX('Retirement Calculator'!K:K,MATCH('Lorri 401b'!N4711,'Retirement Calculator'!A:A,0),0),0)</f>
        <v>0</v>
      </c>
      <c r="K4711" s="455">
        <f t="shared" ca="1" si="173"/>
        <v>-559103231423.35327</v>
      </c>
      <c r="L4711" s="455">
        <f t="shared" ca="1" si="174"/>
        <v>-134743878773028.14</v>
      </c>
      <c r="M4711" s="471">
        <f t="shared" si="176"/>
        <v>0.05</v>
      </c>
      <c r="N4711" s="475">
        <f t="shared" si="177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75"/>
        <v>-134743878773028.14</v>
      </c>
      <c r="J4712" s="455">
        <f t="array" ref="J4712">IFERROR(INDEX('Retirement Calculator'!K:K,MATCH('Lorri 401b'!N4712,'Retirement Calculator'!A:A,0),0),0)</f>
        <v>0</v>
      </c>
      <c r="K4712" s="455">
        <f t="shared" ca="1" si="173"/>
        <v>-561432828220.95056</v>
      </c>
      <c r="L4712" s="455">
        <f t="shared" ca="1" si="174"/>
        <v>-135305311601249.09</v>
      </c>
      <c r="M4712" s="471">
        <f t="shared" si="176"/>
        <v>0.05</v>
      </c>
      <c r="N4712" s="475">
        <f t="shared" si="177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75"/>
        <v>-135305311601249.09</v>
      </c>
      <c r="J4713" s="455">
        <f t="array" ref="J4713">IFERROR(INDEX('Retirement Calculator'!K:K,MATCH('Lorri 401b'!N4713,'Retirement Calculator'!A:A,0),0),0)</f>
        <v>0</v>
      </c>
      <c r="K4713" s="455">
        <f t="shared" ca="1" si="173"/>
        <v>-563772131671.87122</v>
      </c>
      <c r="L4713" s="455">
        <f t="shared" ca="1" si="174"/>
        <v>-135869083732920.97</v>
      </c>
      <c r="M4713" s="471">
        <f t="shared" si="176"/>
        <v>0.05</v>
      </c>
      <c r="N4713" s="475">
        <f t="shared" si="177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75"/>
        <v>-135869083732920.97</v>
      </c>
      <c r="J4714" s="455">
        <f t="array" ref="J4714">IFERROR(INDEX('Retirement Calculator'!K:K,MATCH('Lorri 401b'!N4714,'Retirement Calculator'!A:A,0),0),0)</f>
        <v>0</v>
      </c>
      <c r="K4714" s="455">
        <f t="shared" ca="1" si="173"/>
        <v>-566121182220.50403</v>
      </c>
      <c r="L4714" s="455">
        <f t="shared" ca="1" si="174"/>
        <v>-136435204915141.47</v>
      </c>
      <c r="M4714" s="471">
        <f t="shared" si="176"/>
        <v>0.05</v>
      </c>
      <c r="N4714" s="475">
        <f t="shared" si="177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75"/>
        <v>-136435204915141.47</v>
      </c>
      <c r="J4715" s="455">
        <f t="array" ref="J4715">IFERROR(INDEX('Retirement Calculator'!K:K,MATCH('Lorri 401b'!N4715,'Retirement Calculator'!A:A,0),0),0)</f>
        <v>0</v>
      </c>
      <c r="K4715" s="455">
        <f t="shared" ca="1" si="173"/>
        <v>-568480020479.7561</v>
      </c>
      <c r="L4715" s="455">
        <f t="shared" ca="1" si="174"/>
        <v>-137003684935621.22</v>
      </c>
      <c r="M4715" s="471">
        <f t="shared" si="176"/>
        <v>0.05</v>
      </c>
      <c r="N4715" s="475">
        <f t="shared" si="177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75"/>
        <v>-137003684935621.22</v>
      </c>
      <c r="J4716" s="455">
        <f t="array" ref="J4716">IFERROR(INDEX('Retirement Calculator'!K:K,MATCH('Lorri 401b'!N4716,'Retirement Calculator'!A:A,0),0),0)</f>
        <v>0</v>
      </c>
      <c r="K4716" s="455">
        <f t="shared" ca="1" si="173"/>
        <v>-570848687231.75513</v>
      </c>
      <c r="L4716" s="455">
        <f t="shared" ca="1" si="174"/>
        <v>-137574533622852.97</v>
      </c>
      <c r="M4716" s="471">
        <f t="shared" si="176"/>
        <v>0.05</v>
      </c>
      <c r="N4716" s="475">
        <f t="shared" si="177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75"/>
        <v>-137574533622852.97</v>
      </c>
      <c r="J4717" s="455">
        <f t="array" ref="J4717">IFERROR(INDEX('Retirement Calculator'!K:K,MATCH('Lorri 401b'!N4717,'Retirement Calculator'!A:A,0),0),0)</f>
        <v>0</v>
      </c>
      <c r="K4717" s="455">
        <f t="shared" ca="1" si="173"/>
        <v>-573227223428.55408</v>
      </c>
      <c r="L4717" s="455">
        <f t="shared" ca="1" si="174"/>
        <v>-138147760846281.52</v>
      </c>
      <c r="M4717" s="471">
        <f t="shared" si="176"/>
        <v>0.05</v>
      </c>
      <c r="N4717" s="475">
        <f t="shared" si="177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75"/>
        <v>-138147760846281.52</v>
      </c>
      <c r="J4718" s="455">
        <f t="array" ref="J4718">IFERROR(INDEX('Retirement Calculator'!K:K,MATCH('Lorri 401b'!N4718,'Retirement Calculator'!A:A,0),0),0)</f>
        <v>0</v>
      </c>
      <c r="K4718" s="455">
        <f t="shared" ca="1" si="173"/>
        <v>-575615670192.8396</v>
      </c>
      <c r="L4718" s="455">
        <f t="shared" ca="1" si="174"/>
        <v>-138723376516474.36</v>
      </c>
      <c r="M4718" s="471">
        <f t="shared" si="176"/>
        <v>0.05</v>
      </c>
      <c r="N4718" s="475">
        <f t="shared" si="177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75"/>
        <v>-138723376516474.36</v>
      </c>
      <c r="J4719" s="455">
        <f t="array" ref="J4719">IFERROR(INDEX('Retirement Calculator'!K:K,MATCH('Lorri 401b'!N4719,'Retirement Calculator'!A:A,0),0),0)</f>
        <v>0</v>
      </c>
      <c r="K4719" s="455">
        <f t="shared" ca="1" si="173"/>
        <v>-578014068818.64319</v>
      </c>
      <c r="L4719" s="455">
        <f t="shared" ca="1" si="174"/>
        <v>-139301390585293</v>
      </c>
      <c r="M4719" s="471">
        <f t="shared" si="176"/>
        <v>0.05</v>
      </c>
      <c r="N4719" s="475">
        <f t="shared" si="177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75"/>
        <v>-139301390585293</v>
      </c>
      <c r="J4720" s="455">
        <f t="array" ref="J4720">IFERROR(INDEX('Retirement Calculator'!K:K,MATCH('Lorri 401b'!N4720,'Retirement Calculator'!A:A,0),0),0)</f>
        <v>0</v>
      </c>
      <c r="K4720" s="455">
        <f t="shared" ca="1" si="173"/>
        <v>-580422460772.0542</v>
      </c>
      <c r="L4720" s="455">
        <f t="shared" ca="1" si="174"/>
        <v>-139881813046065.05</v>
      </c>
      <c r="M4720" s="471">
        <f t="shared" si="176"/>
        <v>0.05</v>
      </c>
      <c r="N4720" s="475">
        <f t="shared" si="177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75"/>
        <v>-139881813046065.05</v>
      </c>
      <c r="J4721" s="455">
        <f t="array" ref="J4721">IFERROR(INDEX('Retirement Calculator'!K:K,MATCH('Lorri 401b'!N4721,'Retirement Calculator'!A:A,0),0),0)</f>
        <v>0</v>
      </c>
      <c r="K4721" s="455">
        <f t="shared" ca="1" si="173"/>
        <v>-582840887691.93774</v>
      </c>
      <c r="L4721" s="455">
        <f t="shared" ca="1" si="174"/>
        <v>-140464653933756.98</v>
      </c>
      <c r="M4721" s="471">
        <f t="shared" si="176"/>
        <v>0.05</v>
      </c>
      <c r="N4721" s="475">
        <f t="shared" si="177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75"/>
        <v>-140464653933756.98</v>
      </c>
      <c r="J4722" s="455">
        <f t="array" ref="J4722">IFERROR(INDEX('Retirement Calculator'!K:K,MATCH('Lorri 401b'!N4722,'Retirement Calculator'!A:A,0),0),0)</f>
        <v>0</v>
      </c>
      <c r="K4722" s="455">
        <f t="shared" ca="1" si="173"/>
        <v>-585269391390.65417</v>
      </c>
      <c r="L4722" s="455">
        <f t="shared" ca="1" si="174"/>
        <v>-141049923325147.63</v>
      </c>
      <c r="M4722" s="471">
        <f t="shared" si="176"/>
        <v>0.05</v>
      </c>
      <c r="N4722" s="475">
        <f t="shared" si="177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75"/>
        <v>-141049923325147.63</v>
      </c>
      <c r="J4723" s="455">
        <f t="array" ref="J4723">IFERROR(INDEX('Retirement Calculator'!K:K,MATCH('Lorri 401b'!N4723,'Retirement Calculator'!A:A,0),0),0)</f>
        <v>0</v>
      </c>
      <c r="K4723" s="455">
        <f t="shared" ca="1" si="173"/>
        <v>-587708013854.78174</v>
      </c>
      <c r="L4723" s="455">
        <f t="shared" ca="1" si="174"/>
        <v>-141637631339002.41</v>
      </c>
      <c r="M4723" s="471">
        <f t="shared" si="176"/>
        <v>0.05</v>
      </c>
      <c r="N4723" s="475">
        <f t="shared" si="177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75"/>
        <v>-141637631339002.41</v>
      </c>
      <c r="J4724" s="455">
        <f t="array" ref="J4724">IFERROR(INDEX('Retirement Calculator'!K:K,MATCH('Lorri 401b'!N4724,'Retirement Calculator'!A:A,0),0),0)</f>
        <v>0</v>
      </c>
      <c r="K4724" s="455">
        <f t="shared" ca="1" si="173"/>
        <v>-590156797245.84338</v>
      </c>
      <c r="L4724" s="455">
        <f t="shared" ca="1" si="174"/>
        <v>-142227788136248.25</v>
      </c>
      <c r="M4724" s="471">
        <f t="shared" si="176"/>
        <v>0.05</v>
      </c>
      <c r="N4724" s="475">
        <f t="shared" si="177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75"/>
        <v>-142227788136248.25</v>
      </c>
      <c r="J4725" s="455">
        <f t="array" ref="J4725">IFERROR(INDEX('Retirement Calculator'!K:K,MATCH('Lorri 401b'!N4725,'Retirement Calculator'!A:A,0),0),0)</f>
        <v>0</v>
      </c>
      <c r="K4725" s="455">
        <f t="shared" ca="1" si="173"/>
        <v>-592615783901.03442</v>
      </c>
      <c r="L4725" s="455">
        <f t="shared" ca="1" si="174"/>
        <v>-142820403920149.28</v>
      </c>
      <c r="M4725" s="471">
        <f t="shared" si="176"/>
        <v>0.05</v>
      </c>
      <c r="N4725" s="475">
        <f t="shared" si="177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75"/>
        <v>-142820403920149.28</v>
      </c>
      <c r="J4726" s="455">
        <f t="array" ref="J4726">IFERROR(INDEX('Retirement Calculator'!K:K,MATCH('Lorri 401b'!N4726,'Retirement Calculator'!A:A,0),0),0)</f>
        <v>0</v>
      </c>
      <c r="K4726" s="455">
        <f t="shared" ca="1" si="173"/>
        <v>-595085016333.95532</v>
      </c>
      <c r="L4726" s="455">
        <f t="shared" ca="1" si="174"/>
        <v>-143415488936483.25</v>
      </c>
      <c r="M4726" s="471">
        <f t="shared" si="176"/>
        <v>0.05</v>
      </c>
      <c r="N4726" s="475">
        <f t="shared" si="177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75"/>
        <v>-143415488936483.25</v>
      </c>
      <c r="J4727" s="455">
        <f t="array" ref="J4727">IFERROR(INDEX('Retirement Calculator'!K:K,MATCH('Lorri 401b'!N4727,'Retirement Calculator'!A:A,0),0),0)</f>
        <v>0</v>
      </c>
      <c r="K4727" s="455">
        <f t="shared" ca="1" si="173"/>
        <v>-597564537235.34692</v>
      </c>
      <c r="L4727" s="455">
        <f t="shared" ca="1" si="174"/>
        <v>-144013053473718.59</v>
      </c>
      <c r="M4727" s="471">
        <f t="shared" si="176"/>
        <v>0.05</v>
      </c>
      <c r="N4727" s="475">
        <f t="shared" si="177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75"/>
        <v>-144013053473718.59</v>
      </c>
      <c r="J4728" s="455">
        <f t="array" ref="J4728">IFERROR(INDEX('Retirement Calculator'!K:K,MATCH('Lorri 401b'!N4728,'Retirement Calculator'!A:A,0),0),0)</f>
        <v>0</v>
      </c>
      <c r="K4728" s="455">
        <f t="shared" ca="1" si="173"/>
        <v>-600054389473.82751</v>
      </c>
      <c r="L4728" s="455">
        <f t="shared" ca="1" si="174"/>
        <v>-144613107863192.41</v>
      </c>
      <c r="M4728" s="471">
        <f t="shared" si="176"/>
        <v>0.05</v>
      </c>
      <c r="N4728" s="475">
        <f t="shared" si="177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75"/>
        <v>-144613107863192.41</v>
      </c>
      <c r="J4729" s="455">
        <f t="array" ref="J4729">IFERROR(INDEX('Retirement Calculator'!K:K,MATCH('Lorri 401b'!N4729,'Retirement Calculator'!A:A,0),0),0)</f>
        <v>0</v>
      </c>
      <c r="K4729" s="455">
        <f t="shared" ca="1" si="173"/>
        <v>-602554616096.63501</v>
      </c>
      <c r="L4729" s="455">
        <f t="shared" ca="1" si="174"/>
        <v>-145215662479289.03</v>
      </c>
      <c r="M4729" s="471">
        <f t="shared" si="176"/>
        <v>0.05</v>
      </c>
      <c r="N4729" s="475">
        <f t="shared" si="177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75"/>
        <v>-145215662479289.03</v>
      </c>
      <c r="J4730" s="455">
        <f t="array" ref="J4730">IFERROR(INDEX('Retirement Calculator'!K:K,MATCH('Lorri 401b'!N4730,'Retirement Calculator'!A:A,0),0),0)</f>
        <v>0</v>
      </c>
      <c r="K4730" s="455">
        <f t="shared" ca="1" si="173"/>
        <v>-605065260330.37097</v>
      </c>
      <c r="L4730" s="455">
        <f t="shared" ca="1" si="174"/>
        <v>-145820727739619.41</v>
      </c>
      <c r="M4730" s="471">
        <f t="shared" si="176"/>
        <v>0.05</v>
      </c>
      <c r="N4730" s="475">
        <f t="shared" si="177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75"/>
        <v>-145820727739619.41</v>
      </c>
      <c r="J4731" s="455">
        <f t="array" ref="J4731">IFERROR(INDEX('Retirement Calculator'!K:K,MATCH('Lorri 401b'!N4731,'Retirement Calculator'!A:A,0),0),0)</f>
        <v>0</v>
      </c>
      <c r="K4731" s="455">
        <f t="shared" ca="1" si="173"/>
        <v>-607586365581.74756</v>
      </c>
      <c r="L4731" s="455">
        <f t="shared" ca="1" si="174"/>
        <v>-146428314105201.16</v>
      </c>
      <c r="M4731" s="471">
        <f t="shared" si="176"/>
        <v>0.05</v>
      </c>
      <c r="N4731" s="475">
        <f t="shared" si="177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75"/>
        <v>-146428314105201.16</v>
      </c>
      <c r="J4732" s="455">
        <f t="array" ref="J4732">IFERROR(INDEX('Retirement Calculator'!K:K,MATCH('Lorri 401b'!N4732,'Retirement Calculator'!A:A,0),0),0)</f>
        <v>0</v>
      </c>
      <c r="K4732" s="455">
        <f t="shared" ca="1" si="173"/>
        <v>-610117975438.33813</v>
      </c>
      <c r="L4732" s="455">
        <f t="shared" ca="1" si="174"/>
        <v>-147038432080639.5</v>
      </c>
      <c r="M4732" s="471">
        <f t="shared" si="176"/>
        <v>0.05</v>
      </c>
      <c r="N4732" s="475">
        <f t="shared" si="177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75"/>
        <v>-147038432080639.5</v>
      </c>
      <c r="J4733" s="455">
        <f t="array" ref="J4733">IFERROR(INDEX('Retirement Calculator'!K:K,MATCH('Lorri 401b'!N4733,'Retirement Calculator'!A:A,0),0),0)</f>
        <v>0</v>
      </c>
      <c r="K4733" s="455">
        <f t="shared" ca="1" si="173"/>
        <v>-612660133669.3313</v>
      </c>
      <c r="L4733" s="455">
        <f t="shared" ca="1" si="174"/>
        <v>-147651092214308.84</v>
      </c>
      <c r="M4733" s="471">
        <f t="shared" si="176"/>
        <v>0.05</v>
      </c>
      <c r="N4733" s="475">
        <f t="shared" si="177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75"/>
        <v>-147651092214308.84</v>
      </c>
      <c r="J4734" s="455">
        <f t="array" ref="J4734">IFERROR(INDEX('Retirement Calculator'!K:K,MATCH('Lorri 401b'!N4734,'Retirement Calculator'!A:A,0),0),0)</f>
        <v>0</v>
      </c>
      <c r="K4734" s="455">
        <f t="shared" ca="1" si="173"/>
        <v>-615212884226.28687</v>
      </c>
      <c r="L4734" s="455">
        <f t="shared" ca="1" si="174"/>
        <v>-148266305098535.13</v>
      </c>
      <c r="M4734" s="471">
        <f t="shared" si="176"/>
        <v>0.05</v>
      </c>
      <c r="N4734" s="475">
        <f t="shared" si="177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75"/>
        <v>-148266305098535.13</v>
      </c>
      <c r="J4735" s="455">
        <f t="array" ref="J4735">IFERROR(INDEX('Retirement Calculator'!K:K,MATCH('Lorri 401b'!N4735,'Retirement Calculator'!A:A,0),0),0)</f>
        <v>0</v>
      </c>
      <c r="K4735" s="455">
        <f t="shared" ca="1" si="173"/>
        <v>-617776271243.89636</v>
      </c>
      <c r="L4735" s="455">
        <f t="shared" ca="1" si="174"/>
        <v>-148884081369779.03</v>
      </c>
      <c r="M4735" s="471">
        <f t="shared" si="176"/>
        <v>0.05</v>
      </c>
      <c r="N4735" s="475">
        <f t="shared" si="177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75"/>
        <v>-148884081369779.03</v>
      </c>
      <c r="J4736" s="455">
        <f t="array" ref="J4736">IFERROR(INDEX('Retirement Calculator'!K:K,MATCH('Lorri 401b'!N4736,'Retirement Calculator'!A:A,0),0),0)</f>
        <v>0</v>
      </c>
      <c r="K4736" s="455">
        <f t="shared" ca="1" si="173"/>
        <v>-620350339040.74597</v>
      </c>
      <c r="L4736" s="455">
        <f t="shared" ca="1" si="174"/>
        <v>-149504431708819.78</v>
      </c>
      <c r="M4736" s="471">
        <f t="shared" si="176"/>
        <v>0.05</v>
      </c>
      <c r="N4736" s="475">
        <f t="shared" si="177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75"/>
        <v>-149504431708819.78</v>
      </c>
      <c r="J4737" s="455">
        <f t="array" ref="J4737">IFERROR(INDEX('Retirement Calculator'!K:K,MATCH('Lorri 401b'!N4737,'Retirement Calculator'!A:A,0),0),0)</f>
        <v>0</v>
      </c>
      <c r="K4737" s="455">
        <f t="shared" ca="1" si="173"/>
        <v>-622935132120.0824</v>
      </c>
      <c r="L4737" s="455">
        <f t="shared" ca="1" si="174"/>
        <v>-150127366840939.88</v>
      </c>
      <c r="M4737" s="471">
        <f t="shared" si="176"/>
        <v>0.05</v>
      </c>
      <c r="N4737" s="475">
        <f t="shared" si="177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75"/>
        <v>-150127366840939.88</v>
      </c>
      <c r="J4738" s="455">
        <f t="array" ref="J4738">IFERROR(INDEX('Retirement Calculator'!K:K,MATCH('Lorri 401b'!N4738,'Retirement Calculator'!A:A,0),0),0)</f>
        <v>0</v>
      </c>
      <c r="K4738" s="455">
        <f t="shared" ca="1" si="173"/>
        <v>-625530695170.58276</v>
      </c>
      <c r="L4738" s="455">
        <f t="shared" ca="1" si="174"/>
        <v>-150752897536110.47</v>
      </c>
      <c r="M4738" s="471">
        <f t="shared" si="176"/>
        <v>0.05</v>
      </c>
      <c r="N4738" s="475">
        <f t="shared" si="177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75"/>
        <v>-150752897536110.47</v>
      </c>
      <c r="J4739" s="455">
        <f t="array" ref="J4739">IFERROR(INDEX('Retirement Calculator'!K:K,MATCH('Lorri 401b'!N4739,'Retirement Calculator'!A:A,0),0),0)</f>
        <v>0</v>
      </c>
      <c r="K4739" s="455">
        <f t="shared" ca="1" si="173"/>
        <v>-628137073067.12695</v>
      </c>
      <c r="L4739" s="455">
        <f t="shared" ca="1" si="174"/>
        <v>-151381034609177.59</v>
      </c>
      <c r="M4739" s="471">
        <f t="shared" si="176"/>
        <v>0.05</v>
      </c>
      <c r="N4739" s="475">
        <f t="shared" si="177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75"/>
        <v>-151381034609177.59</v>
      </c>
      <c r="J4740" s="455">
        <f t="array" ref="J4740">IFERROR(INDEX('Retirement Calculator'!K:K,MATCH('Lorri 401b'!N4740,'Retirement Calculator'!A:A,0),0),0)</f>
        <v>0</v>
      </c>
      <c r="K4740" s="455">
        <f t="shared" ca="1" si="173"/>
        <v>-630754310871.57324</v>
      </c>
      <c r="L4740" s="455">
        <f t="shared" ca="1" si="174"/>
        <v>-152011788920049.16</v>
      </c>
      <c r="M4740" s="471">
        <f t="shared" si="176"/>
        <v>0.05</v>
      </c>
      <c r="N4740" s="475">
        <f t="shared" si="177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75"/>
        <v>-152011788920049.16</v>
      </c>
      <c r="J4741" s="455">
        <f t="array" ref="J4741">IFERROR(INDEX('Retirement Calculator'!K:K,MATCH('Lorri 401b'!N4741,'Retirement Calculator'!A:A,0),0),0)</f>
        <v>0</v>
      </c>
      <c r="K4741" s="455">
        <f t="shared" ca="1" si="173"/>
        <v>-633382453833.53809</v>
      </c>
      <c r="L4741" s="455">
        <f t="shared" ca="1" si="174"/>
        <v>-152645171373882.69</v>
      </c>
      <c r="M4741" s="471">
        <f t="shared" si="176"/>
        <v>0.05</v>
      </c>
      <c r="N4741" s="475">
        <f t="shared" si="177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75"/>
        <v>-152645171373882.69</v>
      </c>
      <c r="J4742" s="455">
        <f t="array" ref="J4742">IFERROR(INDEX('Retirement Calculator'!K:K,MATCH('Lorri 401b'!N4742,'Retirement Calculator'!A:A,0),0),0)</f>
        <v>0</v>
      </c>
      <c r="K4742" s="455">
        <f t="shared" ca="1" si="173"/>
        <v>-636021547391.17786</v>
      </c>
      <c r="L4742" s="455">
        <f t="shared" ca="1" si="174"/>
        <v>-153281192921273.88</v>
      </c>
      <c r="M4742" s="471">
        <f t="shared" si="176"/>
        <v>0.05</v>
      </c>
      <c r="N4742" s="475">
        <f t="shared" si="177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75"/>
        <v>-153281192921273.88</v>
      </c>
      <c r="J4743" s="455">
        <f t="array" ref="J4743">IFERROR(INDEX('Retirement Calculator'!K:K,MATCH('Lorri 401b'!N4743,'Retirement Calculator'!A:A,0),0),0)</f>
        <v>0</v>
      </c>
      <c r="K4743" s="455">
        <f t="shared" ca="1" si="173"/>
        <v>-638671637171.97449</v>
      </c>
      <c r="L4743" s="455">
        <f t="shared" ca="1" si="174"/>
        <v>-153919864558445.84</v>
      </c>
      <c r="M4743" s="471">
        <f t="shared" si="176"/>
        <v>0.05</v>
      </c>
      <c r="N4743" s="475">
        <f t="shared" si="177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75"/>
        <v>-153919864558445.84</v>
      </c>
      <c r="J4744" s="455">
        <f t="array" ref="J4744">IFERROR(INDEX('Retirement Calculator'!K:K,MATCH('Lorri 401b'!N4744,'Retirement Calculator'!A:A,0),0),0)</f>
        <v>0</v>
      </c>
      <c r="K4744" s="455">
        <f t="shared" ca="1" si="173"/>
        <v>-641332768993.52429</v>
      </c>
      <c r="L4744" s="455">
        <f t="shared" ca="1" si="174"/>
        <v>-154561197327439.38</v>
      </c>
      <c r="M4744" s="471">
        <f t="shared" si="176"/>
        <v>0.05</v>
      </c>
      <c r="N4744" s="475">
        <f t="shared" si="177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75"/>
        <v>-154561197327439.38</v>
      </c>
      <c r="J4745" s="455">
        <f t="array" ref="J4745">IFERROR(INDEX('Retirement Calculator'!K:K,MATCH('Lorri 401b'!N4745,'Retirement Calculator'!A:A,0),0),0)</f>
        <v>0</v>
      </c>
      <c r="K4745" s="455">
        <f t="shared" ca="1" si="173"/>
        <v>-644004988864.33069</v>
      </c>
      <c r="L4745" s="455">
        <f t="shared" ca="1" si="174"/>
        <v>-155205202316303.72</v>
      </c>
      <c r="M4745" s="471">
        <f t="shared" si="176"/>
        <v>0.05</v>
      </c>
      <c r="N4745" s="475">
        <f t="shared" si="177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75"/>
        <v>-155205202316303.72</v>
      </c>
      <c r="J4746" s="455">
        <f t="array" ref="J4746">IFERROR(INDEX('Retirement Calculator'!K:K,MATCH('Lorri 401b'!N4746,'Retirement Calculator'!A:A,0),0),0)</f>
        <v>0</v>
      </c>
      <c r="K4746" s="455">
        <f t="shared" ca="1" si="173"/>
        <v>-646688342984.59888</v>
      </c>
      <c r="L4746" s="455">
        <f t="shared" ca="1" si="174"/>
        <v>-155851890659288.31</v>
      </c>
      <c r="M4746" s="471">
        <f t="shared" si="176"/>
        <v>0.05</v>
      </c>
      <c r="N4746" s="475">
        <f t="shared" si="177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75"/>
        <v>-155851890659288.31</v>
      </c>
      <c r="J4747" s="455">
        <f t="array" ref="J4747">IFERROR(INDEX('Retirement Calculator'!K:K,MATCH('Lorri 401b'!N4747,'Retirement Calculator'!A:A,0),0),0)</f>
        <v>0</v>
      </c>
      <c r="K4747" s="455">
        <f t="shared" ca="1" si="173"/>
        <v>-649382877747.03467</v>
      </c>
      <c r="L4747" s="455">
        <f t="shared" ca="1" si="174"/>
        <v>-156501273537035.34</v>
      </c>
      <c r="M4747" s="471">
        <f t="shared" si="176"/>
        <v>0.05</v>
      </c>
      <c r="N4747" s="475">
        <f t="shared" si="177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75"/>
        <v>-156501273537035.34</v>
      </c>
      <c r="J4748" s="455">
        <f t="array" ref="J4748">IFERROR(INDEX('Retirement Calculator'!K:K,MATCH('Lorri 401b'!N4748,'Retirement Calculator'!A:A,0),0),0)</f>
        <v>0</v>
      </c>
      <c r="K4748" s="455">
        <f t="shared" ca="1" si="173"/>
        <v>-652088639737.64722</v>
      </c>
      <c r="L4748" s="455">
        <f t="shared" ca="1" si="174"/>
        <v>-157153362176773</v>
      </c>
      <c r="M4748" s="471">
        <f t="shared" si="176"/>
        <v>0.05</v>
      </c>
      <c r="N4748" s="475">
        <f t="shared" si="177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75"/>
        <v>-157153362176773</v>
      </c>
      <c r="J4749" s="455">
        <f t="array" ref="J4749">IFERROR(INDEX('Retirement Calculator'!K:K,MATCH('Lorri 401b'!N4749,'Retirement Calculator'!A:A,0),0),0)</f>
        <v>0</v>
      </c>
      <c r="K4749" s="455">
        <f t="shared" ca="1" si="173"/>
        <v>-654805675736.5542</v>
      </c>
      <c r="L4749" s="455">
        <f t="shared" ca="1" si="174"/>
        <v>-157808167852509.56</v>
      </c>
      <c r="M4749" s="471">
        <f t="shared" si="176"/>
        <v>0.05</v>
      </c>
      <c r="N4749" s="475">
        <f t="shared" si="177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75"/>
        <v>-157808167852509.56</v>
      </c>
      <c r="J4750" s="455">
        <f t="array" ref="J4750">IFERROR(INDEX('Retirement Calculator'!K:K,MATCH('Lorri 401b'!N4750,'Retirement Calculator'!A:A,0),0),0)</f>
        <v>0</v>
      </c>
      <c r="K4750" s="455">
        <f t="shared" ca="1" si="173"/>
        <v>-657534032718.78979</v>
      </c>
      <c r="L4750" s="455">
        <f t="shared" ca="1" si="174"/>
        <v>-158465701885228.34</v>
      </c>
      <c r="M4750" s="471">
        <f t="shared" si="176"/>
        <v>0.05</v>
      </c>
      <c r="N4750" s="475">
        <f t="shared" si="177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75"/>
        <v>-158465701885228.34</v>
      </c>
      <c r="J4751" s="455">
        <f t="array" ref="J4751">IFERROR(INDEX('Retirement Calculator'!K:K,MATCH('Lorri 401b'!N4751,'Retirement Calculator'!A:A,0),0),0)</f>
        <v>0</v>
      </c>
      <c r="K4751" s="455">
        <f t="shared" ca="1" si="173"/>
        <v>-660273757855.11804</v>
      </c>
      <c r="L4751" s="455">
        <f t="shared" ca="1" si="174"/>
        <v>-159125975643083.47</v>
      </c>
      <c r="M4751" s="471">
        <f t="shared" si="176"/>
        <v>0.05</v>
      </c>
      <c r="N4751" s="475">
        <f t="shared" si="177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75"/>
        <v>-159125975643083.47</v>
      </c>
      <c r="J4752" s="455">
        <f t="array" ref="J4752">IFERROR(INDEX('Retirement Calculator'!K:K,MATCH('Lorri 401b'!N4752,'Retirement Calculator'!A:A,0),0),0)</f>
        <v>0</v>
      </c>
      <c r="K4752" s="455">
        <f t="shared" ca="1" si="173"/>
        <v>-663024898512.84778</v>
      </c>
      <c r="L4752" s="455">
        <f t="shared" ca="1" si="174"/>
        <v>-159789000541596.31</v>
      </c>
      <c r="M4752" s="471">
        <f t="shared" si="176"/>
        <v>0.05</v>
      </c>
      <c r="N4752" s="475">
        <f t="shared" si="177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75"/>
        <v>-159789000541596.31</v>
      </c>
      <c r="J4753" s="455">
        <f t="array" ref="J4753">IFERROR(INDEX('Retirement Calculator'!K:K,MATCH('Lorri 401b'!N4753,'Retirement Calculator'!A:A,0),0),0)</f>
        <v>0</v>
      </c>
      <c r="K4753" s="455">
        <f t="shared" ca="1" si="173"/>
        <v>-665787502256.65125</v>
      </c>
      <c r="L4753" s="455">
        <f t="shared" ca="1" si="174"/>
        <v>-160454788043852.97</v>
      </c>
      <c r="M4753" s="471">
        <f t="shared" si="176"/>
        <v>0.05</v>
      </c>
      <c r="N4753" s="475">
        <f t="shared" si="177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75"/>
        <v>-160454788043852.97</v>
      </c>
      <c r="J4754" s="455">
        <f t="array" ref="J4754">IFERROR(INDEX('Retirement Calculator'!K:K,MATCH('Lorri 401b'!N4754,'Retirement Calculator'!A:A,0),0),0)</f>
        <v>0</v>
      </c>
      <c r="K4754" s="455">
        <f t="shared" ca="1" si="173"/>
        <v>-668561616849.38733</v>
      </c>
      <c r="L4754" s="455">
        <f t="shared" ca="1" si="174"/>
        <v>-161123349660702.34</v>
      </c>
      <c r="M4754" s="471">
        <f t="shared" si="176"/>
        <v>0.05</v>
      </c>
      <c r="N4754" s="475">
        <f t="shared" si="177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75"/>
        <v>-161123349660702.34</v>
      </c>
      <c r="J4755" s="455">
        <f t="array" ref="J4755">IFERROR(INDEX('Retirement Calculator'!K:K,MATCH('Lorri 401b'!N4755,'Retirement Calculator'!A:A,0),0),0)</f>
        <v>0</v>
      </c>
      <c r="K4755" s="455">
        <f t="shared" ca="1" si="173"/>
        <v>-671347290252.92639</v>
      </c>
      <c r="L4755" s="455">
        <f t="shared" ca="1" si="174"/>
        <v>-161794696950955.28</v>
      </c>
      <c r="M4755" s="471">
        <f t="shared" si="176"/>
        <v>0.05</v>
      </c>
      <c r="N4755" s="475">
        <f t="shared" si="177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75"/>
        <v>-161794696950955.28</v>
      </c>
      <c r="J4756" s="455">
        <f t="array" ref="J4756">IFERROR(INDEX('Retirement Calculator'!K:K,MATCH('Lorri 401b'!N4756,'Retirement Calculator'!A:A,0),0),0)</f>
        <v>0</v>
      </c>
      <c r="K4756" s="455">
        <f t="shared" ca="1" si="173"/>
        <v>-674144570628.98035</v>
      </c>
      <c r="L4756" s="455">
        <f t="shared" ca="1" si="174"/>
        <v>-162468841521584.25</v>
      </c>
      <c r="M4756" s="471">
        <f t="shared" si="176"/>
        <v>0.05</v>
      </c>
      <c r="N4756" s="475">
        <f t="shared" si="177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75"/>
        <v>-162468841521584.25</v>
      </c>
      <c r="J4757" s="455">
        <f t="array" ref="J4757">IFERROR(INDEX('Retirement Calculator'!K:K,MATCH('Lorri 401b'!N4757,'Retirement Calculator'!A:A,0),0),0)</f>
        <v>0</v>
      </c>
      <c r="K4757" s="455">
        <f t="shared" ca="1" si="173"/>
        <v>-676953506339.93433</v>
      </c>
      <c r="L4757" s="455">
        <f t="shared" ca="1" si="174"/>
        <v>-163145795027924.19</v>
      </c>
      <c r="M4757" s="471">
        <f t="shared" si="176"/>
        <v>0.05</v>
      </c>
      <c r="N4757" s="475">
        <f t="shared" si="177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75"/>
        <v>-163145795027924.19</v>
      </c>
      <c r="J4758" s="455">
        <f t="array" ref="J4758">IFERROR(INDEX('Retirement Calculator'!K:K,MATCH('Lorri 401b'!N4758,'Retirement Calculator'!A:A,0),0),0)</f>
        <v>0</v>
      </c>
      <c r="K4758" s="455">
        <f t="shared" ca="1" si="173"/>
        <v>-679774145949.68408</v>
      </c>
      <c r="L4758" s="455">
        <f t="shared" ca="1" si="174"/>
        <v>-163825569173873.88</v>
      </c>
      <c r="M4758" s="471">
        <f t="shared" si="176"/>
        <v>0.05</v>
      </c>
      <c r="N4758" s="475">
        <f t="shared" si="177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75"/>
        <v>-163825569173873.88</v>
      </c>
      <c r="J4759" s="455">
        <f t="array" ref="J4759">IFERROR(INDEX('Retirement Calculator'!K:K,MATCH('Lorri 401b'!N4759,'Retirement Calculator'!A:A,0),0),0)</f>
        <v>0</v>
      </c>
      <c r="K4759" s="455">
        <f t="shared" ca="1" si="173"/>
        <v>-682606538224.47449</v>
      </c>
      <c r="L4759" s="455">
        <f t="shared" ca="1" si="174"/>
        <v>-164508175712098.34</v>
      </c>
      <c r="M4759" s="471">
        <f t="shared" si="176"/>
        <v>0.05</v>
      </c>
      <c r="N4759" s="475">
        <f t="shared" si="177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75"/>
        <v>-164508175712098.34</v>
      </c>
      <c r="J4760" s="455">
        <f t="array" ref="J4760">IFERROR(INDEX('Retirement Calculator'!K:K,MATCH('Lorri 401b'!N4760,'Retirement Calculator'!A:A,0),0),0)</f>
        <v>0</v>
      </c>
      <c r="K4760" s="455">
        <f t="shared" ca="1" si="173"/>
        <v>-685450732133.74304</v>
      </c>
      <c r="L4760" s="455">
        <f t="shared" ca="1" si="174"/>
        <v>-165193626444232.09</v>
      </c>
      <c r="M4760" s="471">
        <f t="shared" si="176"/>
        <v>0.05</v>
      </c>
      <c r="N4760" s="475">
        <f t="shared" si="177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75"/>
        <v>-165193626444232.09</v>
      </c>
      <c r="J4761" s="455">
        <f t="array" ref="J4761">IFERROR(INDEX('Retirement Calculator'!K:K,MATCH('Lorri 401b'!N4761,'Retirement Calculator'!A:A,0),0),0)</f>
        <v>0</v>
      </c>
      <c r="K4761" s="455">
        <f t="shared" ca="1" si="173"/>
        <v>-688306776850.96704</v>
      </c>
      <c r="L4761" s="455">
        <f t="shared" ca="1" si="174"/>
        <v>-165881933221083.06</v>
      </c>
      <c r="M4761" s="471">
        <f t="shared" si="176"/>
        <v>0.05</v>
      </c>
      <c r="N4761" s="475">
        <f t="shared" si="177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75"/>
        <v>-165881933221083.06</v>
      </c>
      <c r="J4762" s="455">
        <f t="array" ref="J4762">IFERROR(INDEX('Retirement Calculator'!K:K,MATCH('Lorri 401b'!N4762,'Retirement Calculator'!A:A,0),0),0)</f>
        <v>0</v>
      </c>
      <c r="K4762" s="455">
        <f t="shared" ca="1" si="173"/>
        <v>-691174721754.5127</v>
      </c>
      <c r="L4762" s="455">
        <f t="shared" ca="1" si="174"/>
        <v>-166573107942837.56</v>
      </c>
      <c r="M4762" s="471">
        <f t="shared" si="176"/>
        <v>0.05</v>
      </c>
      <c r="N4762" s="475">
        <f t="shared" si="177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75"/>
        <v>-166573107942837.56</v>
      </c>
      <c r="J4763" s="455">
        <f t="array" ref="J4763">IFERROR(INDEX('Retirement Calculator'!K:K,MATCH('Lorri 401b'!N4763,'Retirement Calculator'!A:A,0),0),0)</f>
        <v>0</v>
      </c>
      <c r="K4763" s="455">
        <f t="shared" ca="1" si="173"/>
        <v>-694054616428.48987</v>
      </c>
      <c r="L4763" s="455">
        <f t="shared" ca="1" si="174"/>
        <v>-167267162559266.06</v>
      </c>
      <c r="M4763" s="471">
        <f t="shared" si="176"/>
        <v>0.05</v>
      </c>
      <c r="N4763" s="475">
        <f t="shared" si="177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75"/>
        <v>-167267162559266.06</v>
      </c>
      <c r="J4764" s="455">
        <f t="array" ref="J4764">IFERROR(INDEX('Retirement Calculator'!K:K,MATCH('Lorri 401b'!N4764,'Retirement Calculator'!A:A,0),0),0)</f>
        <v>0</v>
      </c>
      <c r="K4764" s="455">
        <f t="shared" ca="1" si="173"/>
        <v>-696946510663.60864</v>
      </c>
      <c r="L4764" s="455">
        <f t="shared" ca="1" si="174"/>
        <v>-167964109069929.66</v>
      </c>
      <c r="M4764" s="471">
        <f t="shared" si="176"/>
        <v>0.05</v>
      </c>
      <c r="N4764" s="475">
        <f t="shared" si="177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75"/>
        <v>-167964109069929.66</v>
      </c>
      <c r="J4765" s="455">
        <f t="array" ref="J4765">IFERROR(INDEX('Retirement Calculator'!K:K,MATCH('Lorri 401b'!N4765,'Retirement Calculator'!A:A,0),0),0)</f>
        <v>0</v>
      </c>
      <c r="K4765" s="455">
        <f t="shared" ca="1" si="173"/>
        <v>-699850454458.04028</v>
      </c>
      <c r="L4765" s="455">
        <f t="shared" ca="1" si="174"/>
        <v>-168663959524387.69</v>
      </c>
      <c r="M4765" s="471">
        <f t="shared" si="176"/>
        <v>0.05</v>
      </c>
      <c r="N4765" s="475">
        <f t="shared" si="177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75"/>
        <v>-168663959524387.69</v>
      </c>
      <c r="J4766" s="455">
        <f t="array" ref="J4766">IFERROR(INDEX('Retirement Calculator'!K:K,MATCH('Lorri 401b'!N4766,'Retirement Calculator'!A:A,0),0),0)</f>
        <v>0</v>
      </c>
      <c r="K4766" s="455">
        <f t="shared" ca="1" si="173"/>
        <v>-702766498018.28198</v>
      </c>
      <c r="L4766" s="455">
        <f t="shared" ca="1" si="174"/>
        <v>-169366726022405.97</v>
      </c>
      <c r="M4766" s="471">
        <f t="shared" si="176"/>
        <v>0.05</v>
      </c>
      <c r="N4766" s="475">
        <f t="shared" si="177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75"/>
        <v>-169366726022405.97</v>
      </c>
      <c r="J4767" s="455">
        <f t="array" ref="J4767">IFERROR(INDEX('Retirement Calculator'!K:K,MATCH('Lorri 401b'!N4767,'Retirement Calculator'!A:A,0),0),0)</f>
        <v>0</v>
      </c>
      <c r="K4767" s="455">
        <f t="shared" ca="1" si="173"/>
        <v>-705694691760.0249</v>
      </c>
      <c r="L4767" s="455">
        <f t="shared" ca="1" si="174"/>
        <v>-170072420714166</v>
      </c>
      <c r="M4767" s="471">
        <f t="shared" si="176"/>
        <v>0.05</v>
      </c>
      <c r="N4767" s="475">
        <f t="shared" si="177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75"/>
        <v>-170072420714166</v>
      </c>
      <c r="J4768" s="455">
        <f t="array" ref="J4768">IFERROR(INDEX('Retirement Calculator'!K:K,MATCH('Lorri 401b'!N4768,'Retirement Calculator'!A:A,0),0),0)</f>
        <v>0</v>
      </c>
      <c r="K4768" s="455">
        <f t="shared" ca="1" si="173"/>
        <v>-708635086309.02502</v>
      </c>
      <c r="L4768" s="455">
        <f t="shared" ca="1" si="174"/>
        <v>-170781055800475.03</v>
      </c>
      <c r="M4768" s="471">
        <f t="shared" si="176"/>
        <v>0.05</v>
      </c>
      <c r="N4768" s="475">
        <f t="shared" si="177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75"/>
        <v>-170781055800475.03</v>
      </c>
      <c r="J4769" s="455">
        <f t="array" ref="J4769">IFERROR(INDEX('Retirement Calculator'!K:K,MATCH('Lorri 401b'!N4769,'Retirement Calculator'!A:A,0),0),0)</f>
        <v>0</v>
      </c>
      <c r="K4769" s="455">
        <f t="shared" ca="1" si="173"/>
        <v>-711587732501.97925</v>
      </c>
      <c r="L4769" s="455">
        <f t="shared" ca="1" si="174"/>
        <v>-171492643532977</v>
      </c>
      <c r="M4769" s="471">
        <f t="shared" si="176"/>
        <v>0.05</v>
      </c>
      <c r="N4769" s="475">
        <f t="shared" si="177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75"/>
        <v>-171492643532977</v>
      </c>
      <c r="J4770" s="455">
        <f t="array" ref="J4770">IFERROR(INDEX('Retirement Calculator'!K:K,MATCH('Lorri 401b'!N4770,'Retirement Calculator'!A:A,0),0),0)</f>
        <v>0</v>
      </c>
      <c r="K4770" s="455">
        <f t="shared" ca="1" si="173"/>
        <v>-714552681387.40417</v>
      </c>
      <c r="L4770" s="455">
        <f t="shared" ca="1" si="174"/>
        <v>-172207196214364.41</v>
      </c>
      <c r="M4770" s="471">
        <f t="shared" si="176"/>
        <v>0.05</v>
      </c>
      <c r="N4770" s="475">
        <f t="shared" si="177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75"/>
        <v>-172207196214364.41</v>
      </c>
      <c r="J4771" s="455">
        <f t="array" ref="J4771">IFERROR(INDEX('Retirement Calculator'!K:K,MATCH('Lorri 401b'!N4771,'Retirement Calculator'!A:A,0),0),0)</f>
        <v>0</v>
      </c>
      <c r="K4771" s="455">
        <f t="shared" ca="1" si="173"/>
        <v>-717529984226.51831</v>
      </c>
      <c r="L4771" s="455">
        <f t="shared" ca="1" si="174"/>
        <v>-172924726198590.94</v>
      </c>
      <c r="M4771" s="471">
        <f t="shared" si="176"/>
        <v>0.05</v>
      </c>
      <c r="N4771" s="475">
        <f t="shared" si="177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75"/>
        <v>-172924726198590.94</v>
      </c>
      <c r="J4772" s="455">
        <f t="array" ref="J4772">IFERROR(INDEX('Retirement Calculator'!K:K,MATCH('Lorri 401b'!N4772,'Retirement Calculator'!A:A,0),0),0)</f>
        <v>0</v>
      </c>
      <c r="K4772" s="455">
        <f t="shared" ca="1" si="173"/>
        <v>-720519692494.12891</v>
      </c>
      <c r="L4772" s="455">
        <f t="shared" ca="1" si="174"/>
        <v>-173645245891085.06</v>
      </c>
      <c r="M4772" s="471">
        <f t="shared" si="176"/>
        <v>0.05</v>
      </c>
      <c r="N4772" s="475">
        <f t="shared" si="177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75"/>
        <v>-173645245891085.06</v>
      </c>
      <c r="J4773" s="455">
        <f t="array" ref="J4773">IFERROR(INDEX('Retirement Calculator'!K:K,MATCH('Lorri 401b'!N4773,'Retirement Calculator'!A:A,0),0),0)</f>
        <v>0</v>
      </c>
      <c r="K4773" s="455">
        <f t="shared" ca="1" si="173"/>
        <v>-723521857879.52112</v>
      </c>
      <c r="L4773" s="455">
        <f t="shared" ca="1" si="174"/>
        <v>-174368767748964.59</v>
      </c>
      <c r="M4773" s="471">
        <f t="shared" si="176"/>
        <v>0.05</v>
      </c>
      <c r="N4773" s="475">
        <f t="shared" si="177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75"/>
        <v>-174368767748964.59</v>
      </c>
      <c r="J4774" s="455">
        <f t="array" ref="J4774">IFERROR(INDEX('Retirement Calculator'!K:K,MATCH('Lorri 401b'!N4774,'Retirement Calculator'!A:A,0),0),0)</f>
        <v>0</v>
      </c>
      <c r="K4774" s="455">
        <f t="shared" ca="1" si="173"/>
        <v>-726536532287.35242</v>
      </c>
      <c r="L4774" s="455">
        <f t="shared" ca="1" si="174"/>
        <v>-175095304281251.94</v>
      </c>
      <c r="M4774" s="471">
        <f t="shared" si="176"/>
        <v>0.05</v>
      </c>
      <c r="N4774" s="475">
        <f t="shared" si="177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75"/>
        <v>-175095304281251.94</v>
      </c>
      <c r="J4775" s="455">
        <f t="array" ref="J4775">IFERROR(INDEX('Retirement Calculator'!K:K,MATCH('Lorri 401b'!N4775,'Retirement Calculator'!A:A,0),0),0)</f>
        <v>0</v>
      </c>
      <c r="K4775" s="455">
        <f t="shared" ca="1" si="173"/>
        <v>-729563767838.54968</v>
      </c>
      <c r="L4775" s="455">
        <f t="shared" ca="1" si="174"/>
        <v>-175824868049090.5</v>
      </c>
      <c r="M4775" s="471">
        <f t="shared" si="176"/>
        <v>0.05</v>
      </c>
      <c r="N4775" s="475">
        <f t="shared" si="177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75"/>
        <v>-175824868049090.5</v>
      </c>
      <c r="J4776" s="455">
        <f t="array" ref="J4776">IFERROR(INDEX('Retirement Calculator'!K:K,MATCH('Lorri 401b'!N4776,'Retirement Calculator'!A:A,0),0),0)</f>
        <v>0</v>
      </c>
      <c r="K4776" s="455">
        <f t="shared" ca="1" si="173"/>
        <v>-732603616871.21045</v>
      </c>
      <c r="L4776" s="455">
        <f t="shared" ca="1" si="174"/>
        <v>-176557471665961.72</v>
      </c>
      <c r="M4776" s="471">
        <f t="shared" si="176"/>
        <v>0.05</v>
      </c>
      <c r="N4776" s="475">
        <f t="shared" si="177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75"/>
        <v>-176557471665961.72</v>
      </c>
      <c r="J4777" s="455">
        <f t="array" ref="J4777">IFERROR(INDEX('Retirement Calculator'!K:K,MATCH('Lorri 401b'!N4777,'Retirement Calculator'!A:A,0),0),0)</f>
        <v>0</v>
      </c>
      <c r="K4777" s="455">
        <f t="shared" ca="1" si="173"/>
        <v>-735656131941.5072</v>
      </c>
      <c r="L4777" s="455">
        <f t="shared" ca="1" si="174"/>
        <v>-177293127797903.22</v>
      </c>
      <c r="M4777" s="471">
        <f t="shared" si="176"/>
        <v>0.05</v>
      </c>
      <c r="N4777" s="475">
        <f t="shared" si="177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75"/>
        <v>-177293127797903.22</v>
      </c>
      <c r="J4778" s="455">
        <f t="array" ref="J4778">IFERROR(INDEX('Retirement Calculator'!K:K,MATCH('Lorri 401b'!N4778,'Retirement Calculator'!A:A,0),0),0)</f>
        <v>0</v>
      </c>
      <c r="K4778" s="455">
        <f t="shared" ca="1" si="173"/>
        <v>-738721365824.59668</v>
      </c>
      <c r="L4778" s="455">
        <f t="shared" ca="1" si="174"/>
        <v>-178031849163727.81</v>
      </c>
      <c r="M4778" s="471">
        <f t="shared" si="176"/>
        <v>0.05</v>
      </c>
      <c r="N4778" s="475">
        <f t="shared" si="177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75"/>
        <v>-178031849163727.81</v>
      </c>
      <c r="J4779" s="455">
        <f t="array" ref="J4779">IFERROR(INDEX('Retirement Calculator'!K:K,MATCH('Lorri 401b'!N4779,'Retirement Calculator'!A:A,0),0),0)</f>
        <v>0</v>
      </c>
      <c r="K4779" s="455">
        <f t="shared" ca="1" si="173"/>
        <v>-741799371515.53259</v>
      </c>
      <c r="L4779" s="455">
        <f t="shared" ca="1" si="174"/>
        <v>-178773648535243.34</v>
      </c>
      <c r="M4779" s="471">
        <f t="shared" si="176"/>
        <v>0.05</v>
      </c>
      <c r="N4779" s="475">
        <f t="shared" si="177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75"/>
        <v>-178773648535243.34</v>
      </c>
      <c r="J4780" s="455">
        <f t="array" ref="J4780">IFERROR(INDEX('Retirement Calculator'!K:K,MATCH('Lorri 401b'!N4780,'Retirement Calculator'!A:A,0),0),0)</f>
        <v>0</v>
      </c>
      <c r="K4780" s="455">
        <f t="shared" ca="1" si="173"/>
        <v>-744890202230.18054</v>
      </c>
      <c r="L4780" s="455">
        <f t="shared" ca="1" si="174"/>
        <v>-179518538737473.53</v>
      </c>
      <c r="M4780" s="471">
        <f t="shared" si="176"/>
        <v>0.05</v>
      </c>
      <c r="N4780" s="475">
        <f t="shared" si="177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75"/>
        <v>-179518538737473.53</v>
      </c>
      <c r="J4781" s="455">
        <f t="array" ref="J4781">IFERROR(INDEX('Retirement Calculator'!K:K,MATCH('Lorri 401b'!N4781,'Retirement Calculator'!A:A,0),0),0)</f>
        <v>0</v>
      </c>
      <c r="K4781" s="455">
        <f t="shared" ca="1" si="173"/>
        <v>-747993911406.13965</v>
      </c>
      <c r="L4781" s="455">
        <f t="shared" ca="1" si="174"/>
        <v>-180266532648879.66</v>
      </c>
      <c r="M4781" s="471">
        <f t="shared" si="176"/>
        <v>0.05</v>
      </c>
      <c r="N4781" s="475">
        <f t="shared" si="177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75"/>
        <v>-180266532648879.66</v>
      </c>
      <c r="J4782" s="455">
        <f t="array" ref="J4782">IFERROR(INDEX('Retirement Calculator'!K:K,MATCH('Lorri 401b'!N4782,'Retirement Calculator'!A:A,0),0),0)</f>
        <v>0</v>
      </c>
      <c r="K4782" s="455">
        <f t="shared" ca="1" si="173"/>
        <v>-751110552703.66528</v>
      </c>
      <c r="L4782" s="455">
        <f t="shared" ca="1" si="174"/>
        <v>-181017643201583.31</v>
      </c>
      <c r="M4782" s="471">
        <f t="shared" si="176"/>
        <v>0.05</v>
      </c>
      <c r="N4782" s="475">
        <f t="shared" si="177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75"/>
        <v>-181017643201583.31</v>
      </c>
      <c r="J4783" s="455">
        <f t="array" ref="J4783">IFERROR(INDEX('Retirement Calculator'!K:K,MATCH('Lorri 401b'!N4783,'Retirement Calculator'!A:A,0),0),0)</f>
        <v>0</v>
      </c>
      <c r="K4783" s="455">
        <f t="shared" ca="1" si="173"/>
        <v>-754240180006.59717</v>
      </c>
      <c r="L4783" s="455">
        <f t="shared" ca="1" si="174"/>
        <v>-181771883381589.91</v>
      </c>
      <c r="M4783" s="471">
        <f t="shared" si="176"/>
        <v>0.05</v>
      </c>
      <c r="N4783" s="475">
        <f t="shared" si="177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75"/>
        <v>-181771883381589.91</v>
      </c>
      <c r="J4784" s="455">
        <f t="array" ref="J4784">IFERROR(INDEX('Retirement Calculator'!K:K,MATCH('Lorri 401b'!N4784,'Retirement Calculator'!A:A,0),0),0)</f>
        <v>0</v>
      </c>
      <c r="K4784" s="455">
        <f t="shared" ca="1" si="173"/>
        <v>-757382847423.29126</v>
      </c>
      <c r="L4784" s="455">
        <f t="shared" ca="1" si="174"/>
        <v>-182529266229013.19</v>
      </c>
      <c r="M4784" s="471">
        <f t="shared" si="176"/>
        <v>0.05</v>
      </c>
      <c r="N4784" s="475">
        <f t="shared" si="177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75"/>
        <v>-182529266229013.19</v>
      </c>
      <c r="J4785" s="455">
        <f t="array" ref="J4785">IFERROR(INDEX('Retirement Calculator'!K:K,MATCH('Lorri 401b'!N4785,'Retirement Calculator'!A:A,0),0),0)</f>
        <v>0</v>
      </c>
      <c r="K4785" s="455">
        <f t="shared" ca="1" si="173"/>
        <v>-760538609287.55493</v>
      </c>
      <c r="L4785" s="455">
        <f t="shared" ca="1" si="174"/>
        <v>-183289804838300.75</v>
      </c>
      <c r="M4785" s="471">
        <f t="shared" si="176"/>
        <v>0.05</v>
      </c>
      <c r="N4785" s="475">
        <f t="shared" si="177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75"/>
        <v>-183289804838300.75</v>
      </c>
      <c r="J4786" s="455">
        <f t="array" ref="J4786">IFERROR(INDEX('Retirement Calculator'!K:K,MATCH('Lorri 401b'!N4786,'Retirement Calculator'!A:A,0),0),0)</f>
        <v>0</v>
      </c>
      <c r="K4786" s="455">
        <f t="shared" ca="1" si="173"/>
        <v>-763707520159.58643</v>
      </c>
      <c r="L4786" s="455">
        <f t="shared" ca="1" si="174"/>
        <v>-184053512358460.34</v>
      </c>
      <c r="M4786" s="471">
        <f t="shared" si="176"/>
        <v>0.05</v>
      </c>
      <c r="N4786" s="475">
        <f t="shared" si="177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75"/>
        <v>-184053512358460.34</v>
      </c>
      <c r="J4787" s="455">
        <f t="array" ref="J4787">IFERROR(INDEX('Retirement Calculator'!K:K,MATCH('Lorri 401b'!N4787,'Retirement Calculator'!A:A,0),0),0)</f>
        <v>0</v>
      </c>
      <c r="K4787" s="455">
        <f t="shared" ca="1" si="173"/>
        <v>-766889634826.91809</v>
      </c>
      <c r="L4787" s="455">
        <f t="shared" ca="1" si="174"/>
        <v>-184820401993287.25</v>
      </c>
      <c r="M4787" s="471">
        <f t="shared" si="176"/>
        <v>0.05</v>
      </c>
      <c r="N4787" s="475">
        <f t="shared" si="177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75"/>
        <v>-184820401993287.25</v>
      </c>
      <c r="J4788" s="455">
        <f t="array" ref="J4788">IFERROR(INDEX('Retirement Calculator'!K:K,MATCH('Lorri 401b'!N4788,'Retirement Calculator'!A:A,0),0),0)</f>
        <v>0</v>
      </c>
      <c r="K4788" s="455">
        <f t="shared" ca="1" si="173"/>
        <v>-770085008305.36353</v>
      </c>
      <c r="L4788" s="455">
        <f t="shared" ca="1" si="174"/>
        <v>-185590487001592.63</v>
      </c>
      <c r="M4788" s="471">
        <f t="shared" si="176"/>
        <v>0.05</v>
      </c>
      <c r="N4788" s="475">
        <f t="shared" si="177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75"/>
        <v>-185590487001592.63</v>
      </c>
      <c r="J4789" s="455">
        <f t="array" ref="J4789">IFERROR(INDEX('Retirement Calculator'!K:K,MATCH('Lorri 401b'!N4789,'Retirement Calculator'!A:A,0),0),0)</f>
        <v>0</v>
      </c>
      <c r="K4789" s="455">
        <f t="shared" ca="1" si="173"/>
        <v>-773293695839.96924</v>
      </c>
      <c r="L4789" s="455">
        <f t="shared" ca="1" si="174"/>
        <v>-186363780697432.59</v>
      </c>
      <c r="M4789" s="471">
        <f t="shared" si="176"/>
        <v>0.05</v>
      </c>
      <c r="N4789" s="475">
        <f t="shared" si="177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75"/>
        <v>-186363780697432.59</v>
      </c>
      <c r="J4790" s="455">
        <f t="array" ref="J4790">IFERROR(INDEX('Retirement Calculator'!K:K,MATCH('Lorri 401b'!N4790,'Retirement Calculator'!A:A,0),0),0)</f>
        <v>0</v>
      </c>
      <c r="K4790" s="455">
        <f t="shared" ca="1" si="173"/>
        <v>-776515752905.96912</v>
      </c>
      <c r="L4790" s="455">
        <f t="shared" ca="1" si="174"/>
        <v>-187140296450338.56</v>
      </c>
      <c r="M4790" s="471">
        <f t="shared" si="176"/>
        <v>0.05</v>
      </c>
      <c r="N4790" s="475">
        <f t="shared" si="177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75"/>
        <v>-187140296450338.56</v>
      </c>
      <c r="J4791" s="455">
        <f t="array" ref="J4791">IFERROR(INDEX('Retirement Calculator'!K:K,MATCH('Lorri 401b'!N4791,'Retirement Calculator'!A:A,0),0),0)</f>
        <v>0</v>
      </c>
      <c r="K4791" s="455">
        <f t="shared" ca="1" si="173"/>
        <v>-779751235209.74402</v>
      </c>
      <c r="L4791" s="455">
        <f t="shared" ca="1" si="174"/>
        <v>-187920047685548.31</v>
      </c>
      <c r="M4791" s="471">
        <f t="shared" si="176"/>
        <v>0.05</v>
      </c>
      <c r="N4791" s="475">
        <f t="shared" si="177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75"/>
        <v>-187920047685548.31</v>
      </c>
      <c r="J4792" s="455">
        <f t="array" ref="J4792">IFERROR(INDEX('Retirement Calculator'!K:K,MATCH('Lorri 401b'!N4792,'Retirement Calculator'!A:A,0),0),0)</f>
        <v>0</v>
      </c>
      <c r="K4792" s="455">
        <f t="shared" ca="1" si="173"/>
        <v>-783000198689.78467</v>
      </c>
      <c r="L4792" s="455">
        <f t="shared" ca="1" si="174"/>
        <v>-188703047884238.09</v>
      </c>
      <c r="M4792" s="471">
        <f t="shared" si="176"/>
        <v>0.05</v>
      </c>
      <c r="N4792" s="475">
        <f t="shared" si="177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75"/>
        <v>-188703047884238.09</v>
      </c>
      <c r="J4793" s="455">
        <f t="array" ref="J4793">IFERROR(INDEX('Retirement Calculator'!K:K,MATCH('Lorri 401b'!N4793,'Retirement Calculator'!A:A,0),0),0)</f>
        <v>0</v>
      </c>
      <c r="K4793" s="455">
        <f t="shared" ca="1" si="173"/>
        <v>-786262699517.65869</v>
      </c>
      <c r="L4793" s="455">
        <f t="shared" ca="1" si="174"/>
        <v>-189489310583755.75</v>
      </c>
      <c r="M4793" s="471">
        <f t="shared" si="176"/>
        <v>0.05</v>
      </c>
      <c r="N4793" s="475">
        <f t="shared" si="177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75"/>
        <v>-189489310583755.75</v>
      </c>
      <c r="J4794" s="455">
        <f t="array" ref="J4794">IFERROR(INDEX('Retirement Calculator'!K:K,MATCH('Lorri 401b'!N4794,'Retirement Calculator'!A:A,0),0),0)</f>
        <v>0</v>
      </c>
      <c r="K4794" s="455">
        <f t="shared" ca="1" si="173"/>
        <v>-789538794098.9823</v>
      </c>
      <c r="L4794" s="455">
        <f t="shared" ca="1" si="174"/>
        <v>-190278849377854.72</v>
      </c>
      <c r="M4794" s="471">
        <f t="shared" si="176"/>
        <v>0.05</v>
      </c>
      <c r="N4794" s="475">
        <f t="shared" si="177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75"/>
        <v>-190278849377854.72</v>
      </c>
      <c r="J4795" s="455">
        <f t="array" ref="J4795">IFERROR(INDEX('Retirement Calculator'!K:K,MATCH('Lorri 401b'!N4795,'Retirement Calculator'!A:A,0),0),0)</f>
        <v>0</v>
      </c>
      <c r="K4795" s="455">
        <f t="shared" ca="1" si="173"/>
        <v>-792828539074.39465</v>
      </c>
      <c r="L4795" s="455">
        <f t="shared" ca="1" si="174"/>
        <v>-191071677916929.13</v>
      </c>
      <c r="M4795" s="471">
        <f t="shared" si="176"/>
        <v>0.05</v>
      </c>
      <c r="N4795" s="475">
        <f t="shared" si="177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75"/>
        <v>-191071677916929.13</v>
      </c>
      <c r="J4796" s="455">
        <f t="array" ref="J4796">IFERROR(INDEX('Retirement Calculator'!K:K,MATCH('Lorri 401b'!N4796,'Retirement Calculator'!A:A,0),0),0)</f>
        <v>0</v>
      </c>
      <c r="K4796" s="455">
        <f t="shared" ca="1" si="173"/>
        <v>-796131991320.53796</v>
      </c>
      <c r="L4796" s="455">
        <f t="shared" ca="1" si="174"/>
        <v>-191867809908249.66</v>
      </c>
      <c r="M4796" s="471">
        <f t="shared" si="176"/>
        <v>0.05</v>
      </c>
      <c r="N4796" s="475">
        <f t="shared" si="177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75"/>
        <v>-191867809908249.66</v>
      </c>
      <c r="J4797" s="455">
        <f t="array" ref="J4797">IFERROR(INDEX('Retirement Calculator'!K:K,MATCH('Lorri 401b'!N4797,'Retirement Calculator'!A:A,0),0),0)</f>
        <v>0</v>
      </c>
      <c r="K4797" s="455">
        <f t="shared" ca="1" si="173"/>
        <v>-799449207951.04028</v>
      </c>
      <c r="L4797" s="455">
        <f t="shared" ca="1" si="174"/>
        <v>-192667259116200.69</v>
      </c>
      <c r="M4797" s="471">
        <f t="shared" si="176"/>
        <v>0.05</v>
      </c>
      <c r="N4797" s="475">
        <f t="shared" si="177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75"/>
        <v>-192667259116200.69</v>
      </c>
      <c r="J4798" s="455">
        <f t="array" ref="J4798">IFERROR(INDEX('Retirement Calculator'!K:K,MATCH('Lorri 401b'!N4798,'Retirement Calculator'!A:A,0),0),0)</f>
        <v>0</v>
      </c>
      <c r="K4798" s="455">
        <f t="shared" ca="1" si="173"/>
        <v>-802780246317.50281</v>
      </c>
      <c r="L4798" s="455">
        <f t="shared" ca="1" si="174"/>
        <v>-193470039362518.19</v>
      </c>
      <c r="M4798" s="471">
        <f t="shared" si="176"/>
        <v>0.05</v>
      </c>
      <c r="N4798" s="475">
        <f t="shared" si="177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75"/>
        <v>-193470039362518.19</v>
      </c>
      <c r="J4799" s="455">
        <f t="array" ref="J4799">IFERROR(INDEX('Retirement Calculator'!K:K,MATCH('Lorri 401b'!N4799,'Retirement Calculator'!A:A,0),0),0)</f>
        <v>0</v>
      </c>
      <c r="K4799" s="455">
        <f t="shared" ca="1" si="173"/>
        <v>-806125164010.49243</v>
      </c>
      <c r="L4799" s="455">
        <f t="shared" ca="1" si="174"/>
        <v>-194276164526528.69</v>
      </c>
      <c r="M4799" s="471">
        <f t="shared" si="176"/>
        <v>0.05</v>
      </c>
      <c r="N4799" s="475">
        <f t="shared" si="177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75"/>
        <v>-194276164526528.69</v>
      </c>
      <c r="J4800" s="455">
        <f t="array" ref="J4800">IFERROR(INDEX('Retirement Calculator'!K:K,MATCH('Lorri 401b'!N4800,'Retirement Calculator'!A:A,0),0),0)</f>
        <v>0</v>
      </c>
      <c r="K4800" s="455">
        <f t="shared" ca="1" si="173"/>
        <v>-809484018860.53613</v>
      </c>
      <c r="L4800" s="455">
        <f t="shared" ca="1" si="174"/>
        <v>-195085648545389.22</v>
      </c>
      <c r="M4800" s="471">
        <f t="shared" si="176"/>
        <v>0.05</v>
      </c>
      <c r="N4800" s="475">
        <f t="shared" si="177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75"/>
        <v>-195085648545389.22</v>
      </c>
      <c r="J4801" s="455">
        <f t="array" ref="J4801">IFERROR(INDEX('Retirement Calculator'!K:K,MATCH('Lorri 401b'!N4801,'Retirement Calculator'!A:A,0),0),0)</f>
        <v>0</v>
      </c>
      <c r="K4801" s="455">
        <f t="shared" ca="1" si="173"/>
        <v>-812856868939.1217</v>
      </c>
      <c r="L4801" s="455">
        <f t="shared" ca="1" si="174"/>
        <v>-195898505414328.34</v>
      </c>
      <c r="M4801" s="471">
        <f t="shared" si="176"/>
        <v>0.05</v>
      </c>
      <c r="N4801" s="475">
        <f t="shared" si="177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75"/>
        <v>-195898505414328.34</v>
      </c>
      <c r="J4802" s="455">
        <f t="array" ref="J4802">IFERROR(INDEX('Retirement Calculator'!K:K,MATCH('Lorri 401b'!N4802,'Retirement Calculator'!A:A,0),0),0)</f>
        <v>0</v>
      </c>
      <c r="K4802" s="455">
        <f t="shared" ca="1" si="173"/>
        <v>-816243772559.70142</v>
      </c>
      <c r="L4802" s="455">
        <f t="shared" ca="1" si="174"/>
        <v>-196714749186888.03</v>
      </c>
      <c r="M4802" s="471">
        <f t="shared" si="176"/>
        <v>0.05</v>
      </c>
      <c r="N4802" s="475">
        <f t="shared" si="177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75"/>
        <v>-196714749186888.03</v>
      </c>
      <c r="J4803" s="455">
        <f t="array" ref="J4803">IFERROR(INDEX('Retirement Calculator'!K:K,MATCH('Lorri 401b'!N4803,'Retirement Calculator'!A:A,0),0),0)</f>
        <v>0</v>
      </c>
      <c r="K4803" s="455">
        <f t="shared" ca="1" si="173"/>
        <v>-819644788278.70007</v>
      </c>
      <c r="L4803" s="455">
        <f t="shared" ca="1" si="174"/>
        <v>-197534393975166.72</v>
      </c>
      <c r="M4803" s="471">
        <f t="shared" si="176"/>
        <v>0.05</v>
      </c>
      <c r="N4803" s="475">
        <f t="shared" si="177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75"/>
        <v>-197534393975166.72</v>
      </c>
      <c r="J4804" s="455">
        <f t="array" ref="J4804">IFERROR(INDEX('Retirement Calculator'!K:K,MATCH('Lorri 401b'!N4804,'Retirement Calculator'!A:A,0),0),0)</f>
        <v>0</v>
      </c>
      <c r="K4804" s="455">
        <f t="shared" ca="1" si="173"/>
        <v>-823059974896.52795</v>
      </c>
      <c r="L4804" s="455">
        <f t="shared" ca="1" si="174"/>
        <v>-198357453950063.25</v>
      </c>
      <c r="M4804" s="471">
        <f t="shared" si="176"/>
        <v>0.05</v>
      </c>
      <c r="N4804" s="475">
        <f t="shared" si="177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75"/>
        <v>-198357453950063.25</v>
      </c>
      <c r="J4805" s="455">
        <f t="array" ref="J4805">IFERROR(INDEX('Retirement Calculator'!K:K,MATCH('Lorri 401b'!N4805,'Retirement Calculator'!A:A,0),0),0)</f>
        <v>0</v>
      </c>
      <c r="K4805" s="455">
        <f t="shared" ca="1" si="173"/>
        <v>-826489391458.59692</v>
      </c>
      <c r="L4805" s="455">
        <f t="shared" ca="1" si="174"/>
        <v>-199183943341521.84</v>
      </c>
      <c r="M4805" s="471">
        <f t="shared" si="176"/>
        <v>0.05</v>
      </c>
      <c r="N4805" s="475">
        <f t="shared" si="177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75"/>
        <v>-199183943341521.84</v>
      </c>
      <c r="J4806" s="455">
        <f t="array" ref="J4806">IFERROR(INDEX('Retirement Calculator'!K:K,MATCH('Lorri 401b'!N4806,'Retirement Calculator'!A:A,0),0),0)</f>
        <v>0</v>
      </c>
      <c r="K4806" s="455">
        <f t="shared" ca="1" si="173"/>
        <v>-829933097256.34106</v>
      </c>
      <c r="L4806" s="455">
        <f t="shared" ca="1" si="174"/>
        <v>-200013876438778.19</v>
      </c>
      <c r="M4806" s="471">
        <f t="shared" si="176"/>
        <v>0.05</v>
      </c>
      <c r="N4806" s="475">
        <f t="shared" si="177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75"/>
        <v>-200013876438778.19</v>
      </c>
      <c r="J4807" s="455">
        <f t="array" ref="J4807">IFERROR(INDEX('Retirement Calculator'!K:K,MATCH('Lorri 401b'!N4807,'Retirement Calculator'!A:A,0),0),0)</f>
        <v>0</v>
      </c>
      <c r="K4807" s="455">
        <f t="shared" ca="1" si="173"/>
        <v>-833391151828.24243</v>
      </c>
      <c r="L4807" s="455">
        <f t="shared" ca="1" si="174"/>
        <v>-200847267590606.44</v>
      </c>
      <c r="M4807" s="471">
        <f t="shared" si="176"/>
        <v>0.05</v>
      </c>
      <c r="N4807" s="475">
        <f t="shared" si="177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75"/>
        <v>-200847267590606.44</v>
      </c>
      <c r="J4808" s="455">
        <f t="array" ref="J4808">IFERROR(INDEX('Retirement Calculator'!K:K,MATCH('Lorri 401b'!N4808,'Retirement Calculator'!A:A,0),0),0)</f>
        <v>0</v>
      </c>
      <c r="K4808" s="455">
        <f t="shared" ca="1" si="173"/>
        <v>-836863614960.86011</v>
      </c>
      <c r="L4808" s="455">
        <f t="shared" ca="1" si="174"/>
        <v>-201684131205567.31</v>
      </c>
      <c r="M4808" s="471">
        <f t="shared" si="176"/>
        <v>0.05</v>
      </c>
      <c r="N4808" s="475">
        <f t="shared" si="177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75"/>
        <v>-201684131205567.31</v>
      </c>
      <c r="J4809" s="455">
        <f t="array" ref="J4809">IFERROR(INDEX('Retirement Calculator'!K:K,MATCH('Lorri 401b'!N4809,'Retirement Calculator'!A:A,0),0),0)</f>
        <v>0</v>
      </c>
      <c r="K4809" s="455">
        <f t="shared" ca="1" si="173"/>
        <v>-840350546689.86377</v>
      </c>
      <c r="L4809" s="455">
        <f t="shared" ca="1" si="174"/>
        <v>-202524481752257.19</v>
      </c>
      <c r="M4809" s="471">
        <f t="shared" si="176"/>
        <v>0.05</v>
      </c>
      <c r="N4809" s="475">
        <f t="shared" si="177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75"/>
        <v>-202524481752257.19</v>
      </c>
      <c r="J4810" s="455">
        <f t="array" ref="J4810">IFERROR(INDEX('Retirement Calculator'!K:K,MATCH('Lorri 401b'!N4810,'Retirement Calculator'!A:A,0),0),0)</f>
        <v>0</v>
      </c>
      <c r="K4810" s="455">
        <f t="shared" ca="1" si="173"/>
        <v>-843852007301.07166</v>
      </c>
      <c r="L4810" s="455">
        <f t="shared" ca="1" si="174"/>
        <v>-203368333759558.25</v>
      </c>
      <c r="M4810" s="471">
        <f t="shared" si="176"/>
        <v>0.05</v>
      </c>
      <c r="N4810" s="475">
        <f t="shared" si="177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75"/>
        <v>-203368333759558.25</v>
      </c>
      <c r="J4811" s="455">
        <f t="array" ref="J4811">IFERROR(INDEX('Retirement Calculator'!K:K,MATCH('Lorri 401b'!N4811,'Retirement Calculator'!A:A,0),0),0)</f>
        <v>0</v>
      </c>
      <c r="K4811" s="455">
        <f t="shared" ca="1" si="173"/>
        <v>-847368057331.49268</v>
      </c>
      <c r="L4811" s="455">
        <f t="shared" ca="1" si="174"/>
        <v>-204215701816889.75</v>
      </c>
      <c r="M4811" s="471">
        <f t="shared" si="176"/>
        <v>0.05</v>
      </c>
      <c r="N4811" s="475">
        <f t="shared" si="177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75"/>
        <v>-204215701816889.75</v>
      </c>
      <c r="J4812" s="455">
        <f t="array" ref="J4812">IFERROR(INDEX('Retirement Calculator'!K:K,MATCH('Lorri 401b'!N4812,'Retirement Calculator'!A:A,0),0),0)</f>
        <v>0</v>
      </c>
      <c r="K4812" s="455">
        <f t="shared" ca="1" si="173"/>
        <v>-850898757570.3739</v>
      </c>
      <c r="L4812" s="455">
        <f t="shared" ca="1" si="174"/>
        <v>-205066600574460.13</v>
      </c>
      <c r="M4812" s="471">
        <f t="shared" si="176"/>
        <v>0.05</v>
      </c>
      <c r="N4812" s="475">
        <f t="shared" si="177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75"/>
        <v>-205066600574460.13</v>
      </c>
      <c r="J4813" s="455">
        <f t="array" ref="J4813">IFERROR(INDEX('Retirement Calculator'!K:K,MATCH('Lorri 401b'!N4813,'Retirement Calculator'!A:A,0),0),0)</f>
        <v>0</v>
      </c>
      <c r="K4813" s="455">
        <f t="shared" ca="1" si="173"/>
        <v>-854444169060.25049</v>
      </c>
      <c r="L4813" s="455">
        <f t="shared" ca="1" si="174"/>
        <v>-205921044743520.38</v>
      </c>
      <c r="M4813" s="471">
        <f t="shared" si="176"/>
        <v>0.05</v>
      </c>
      <c r="N4813" s="475">
        <f t="shared" si="177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75"/>
        <v>-205921044743520.38</v>
      </c>
      <c r="J4814" s="455">
        <f t="array" ref="J4814">IFERROR(INDEX('Retirement Calculator'!K:K,MATCH('Lorri 401b'!N4814,'Retirement Calculator'!A:A,0),0),0)</f>
        <v>0</v>
      </c>
      <c r="K4814" s="455">
        <f t="shared" ca="1" si="173"/>
        <v>-858004353098.00159</v>
      </c>
      <c r="L4814" s="455">
        <f t="shared" ca="1" si="174"/>
        <v>-206779049096618.38</v>
      </c>
      <c r="M4814" s="471">
        <f t="shared" si="176"/>
        <v>0.05</v>
      </c>
      <c r="N4814" s="475">
        <f t="shared" si="177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75"/>
        <v>-206779049096618.38</v>
      </c>
      <c r="J4815" s="455">
        <f t="array" ref="J4815">IFERROR(INDEX('Retirement Calculator'!K:K,MATCH('Lorri 401b'!N4815,'Retirement Calculator'!A:A,0),0),0)</f>
        <v>0</v>
      </c>
      <c r="K4815" s="455">
        <f t="shared" ca="1" si="173"/>
        <v>-861579371235.90991</v>
      </c>
      <c r="L4815" s="455">
        <f t="shared" ca="1" si="174"/>
        <v>-207640628467854.28</v>
      </c>
      <c r="M4815" s="471">
        <f t="shared" si="176"/>
        <v>0.05</v>
      </c>
      <c r="N4815" s="475">
        <f t="shared" si="177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75"/>
        <v>-207640628467854.28</v>
      </c>
      <c r="J4816" s="455">
        <f t="array" ref="J4816">IFERROR(INDEX('Retirement Calculator'!K:K,MATCH('Lorri 401b'!N4816,'Retirement Calculator'!A:A,0),0),0)</f>
        <v>0</v>
      </c>
      <c r="K4816" s="455">
        <f t="shared" ca="1" si="173"/>
        <v>-865169285282.7262</v>
      </c>
      <c r="L4816" s="455">
        <f t="shared" ca="1" si="174"/>
        <v>-208505797753137</v>
      </c>
      <c r="M4816" s="471">
        <f t="shared" si="176"/>
        <v>0.05</v>
      </c>
      <c r="N4816" s="475">
        <f t="shared" si="177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75"/>
        <v>-208505797753137</v>
      </c>
      <c r="J4817" s="455">
        <f t="array" ref="J4817">IFERROR(INDEX('Retirement Calculator'!K:K,MATCH('Lorri 401b'!N4817,'Retirement Calculator'!A:A,0),0),0)</f>
        <v>0</v>
      </c>
      <c r="K4817" s="455">
        <f t="shared" ca="1" si="173"/>
        <v>-868774157304.73755</v>
      </c>
      <c r="L4817" s="455">
        <f t="shared" ca="1" si="174"/>
        <v>-209374571910441.75</v>
      </c>
      <c r="M4817" s="471">
        <f t="shared" si="176"/>
        <v>0.05</v>
      </c>
      <c r="N4817" s="475">
        <f t="shared" si="177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75"/>
        <v>-209374571910441.75</v>
      </c>
      <c r="J4818" s="455">
        <f t="array" ref="J4818">IFERROR(INDEX('Retirement Calculator'!K:K,MATCH('Lorri 401b'!N4818,'Retirement Calculator'!A:A,0),0),0)</f>
        <v>0</v>
      </c>
      <c r="K4818" s="455">
        <f t="shared" ca="1" si="173"/>
        <v>-872394049626.84058</v>
      </c>
      <c r="L4818" s="455">
        <f t="shared" ca="1" si="174"/>
        <v>-210246965960068.59</v>
      </c>
      <c r="M4818" s="471">
        <f t="shared" si="176"/>
        <v>0.05</v>
      </c>
      <c r="N4818" s="475">
        <f t="shared" si="177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75"/>
        <v>-210246965960068.59</v>
      </c>
      <c r="J4819" s="455">
        <f t="array" ref="J4819">IFERROR(INDEX('Retirement Calculator'!K:K,MATCH('Lorri 401b'!N4819,'Retirement Calculator'!A:A,0),0),0)</f>
        <v>0</v>
      </c>
      <c r="K4819" s="455">
        <f t="shared" ca="1" si="173"/>
        <v>-876029024833.61914</v>
      </c>
      <c r="L4819" s="455">
        <f t="shared" ca="1" si="174"/>
        <v>-211122994984902.22</v>
      </c>
      <c r="M4819" s="471">
        <f t="shared" si="176"/>
        <v>0.05</v>
      </c>
      <c r="N4819" s="475">
        <f t="shared" si="177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75"/>
        <v>-211122994984902.22</v>
      </c>
      <c r="J4820" s="455">
        <f t="array" ref="J4820">IFERROR(INDEX('Retirement Calculator'!K:K,MATCH('Lorri 401b'!N4820,'Retirement Calculator'!A:A,0),0),0)</f>
        <v>0</v>
      </c>
      <c r="K4820" s="455">
        <f t="shared" ca="1" si="173"/>
        <v>-879679145770.4259</v>
      </c>
      <c r="L4820" s="455">
        <f t="shared" ca="1" si="174"/>
        <v>-212002674130672.66</v>
      </c>
      <c r="M4820" s="471">
        <f t="shared" si="176"/>
        <v>0.05</v>
      </c>
      <c r="N4820" s="475">
        <f t="shared" si="177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75"/>
        <v>-212002674130672.66</v>
      </c>
      <c r="J4821" s="455">
        <f t="array" ref="J4821">IFERROR(INDEX('Retirement Calculator'!K:K,MATCH('Lorri 401b'!N4821,'Retirement Calculator'!A:A,0),0),0)</f>
        <v>0</v>
      </c>
      <c r="K4821" s="455">
        <f t="shared" ca="1" si="173"/>
        <v>-883344475544.46936</v>
      </c>
      <c r="L4821" s="455">
        <f t="shared" ca="1" si="174"/>
        <v>-212886018606217.13</v>
      </c>
      <c r="M4821" s="471">
        <f t="shared" si="176"/>
        <v>0.05</v>
      </c>
      <c r="N4821" s="475">
        <f t="shared" si="177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75"/>
        <v>-212886018606217.13</v>
      </c>
      <c r="J4822" s="455">
        <f t="array" ref="J4822">IFERROR(INDEX('Retirement Calculator'!K:K,MATCH('Lorri 401b'!N4822,'Retirement Calculator'!A:A,0),0),0)</f>
        <v>0</v>
      </c>
      <c r="K4822" s="455">
        <f t="shared" ca="1" si="173"/>
        <v>-887025077525.90466</v>
      </c>
      <c r="L4822" s="455">
        <f t="shared" ca="1" si="174"/>
        <v>-213773043683743.03</v>
      </c>
      <c r="M4822" s="471">
        <f t="shared" si="176"/>
        <v>0.05</v>
      </c>
      <c r="N4822" s="475">
        <f t="shared" si="177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75"/>
        <v>-213773043683743.03</v>
      </c>
      <c r="J4823" s="455">
        <f t="array" ref="J4823">IFERROR(INDEX('Retirement Calculator'!K:K,MATCH('Lorri 401b'!N4823,'Retirement Calculator'!A:A,0),0),0)</f>
        <v>0</v>
      </c>
      <c r="K4823" s="455">
        <f t="shared" ca="1" si="173"/>
        <v>-890721015348.92932</v>
      </c>
      <c r="L4823" s="455">
        <f t="shared" ca="1" si="174"/>
        <v>-214663764699091.97</v>
      </c>
      <c r="M4823" s="471">
        <f t="shared" si="176"/>
        <v>0.05</v>
      </c>
      <c r="N4823" s="475">
        <f t="shared" si="177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75"/>
        <v>-214663764699091.97</v>
      </c>
      <c r="J4824" s="455">
        <f t="array" ref="J4824">IFERROR(INDEX('Retirement Calculator'!K:K,MATCH('Lorri 401b'!N4824,'Retirement Calculator'!A:A,0),0),0)</f>
        <v>0</v>
      </c>
      <c r="K4824" s="455">
        <f t="shared" ca="1" si="173"/>
        <v>-894432352912.88318</v>
      </c>
      <c r="L4824" s="455">
        <f t="shared" ca="1" si="174"/>
        <v>-215558197052004.84</v>
      </c>
      <c r="M4824" s="471">
        <f t="shared" si="176"/>
        <v>0.05</v>
      </c>
      <c r="N4824" s="475">
        <f t="shared" si="177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75"/>
        <v>-215558197052004.84</v>
      </c>
      <c r="J4825" s="455">
        <f t="array" ref="J4825">IFERROR(INDEX('Retirement Calculator'!K:K,MATCH('Lorri 401b'!N4825,'Retirement Calculator'!A:A,0),0),0)</f>
        <v>0</v>
      </c>
      <c r="K4825" s="455">
        <f t="shared" ca="1" si="173"/>
        <v>-898159154383.35352</v>
      </c>
      <c r="L4825" s="455">
        <f t="shared" ca="1" si="174"/>
        <v>-216456356206388.19</v>
      </c>
      <c r="M4825" s="471">
        <f t="shared" si="176"/>
        <v>0.05</v>
      </c>
      <c r="N4825" s="475">
        <f t="shared" si="177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75"/>
        <v>-216456356206388.19</v>
      </c>
      <c r="J4826" s="455">
        <f t="array" ref="J4826">IFERROR(INDEX('Retirement Calculator'!K:K,MATCH('Lorri 401b'!N4826,'Retirement Calculator'!A:A,0),0),0)</f>
        <v>0</v>
      </c>
      <c r="K4826" s="455">
        <f t="shared" ca="1" si="173"/>
        <v>-901901484193.28406</v>
      </c>
      <c r="L4826" s="455">
        <f t="shared" ca="1" si="174"/>
        <v>-217358257690581.47</v>
      </c>
      <c r="M4826" s="471">
        <f t="shared" si="176"/>
        <v>0.05</v>
      </c>
      <c r="N4826" s="475">
        <f t="shared" si="177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75"/>
        <v>-217358257690581.47</v>
      </c>
      <c r="J4827" s="455">
        <f t="array" ref="J4827">IFERROR(INDEX('Retirement Calculator'!K:K,MATCH('Lorri 401b'!N4827,'Retirement Calculator'!A:A,0),0),0)</f>
        <v>0</v>
      </c>
      <c r="K4827" s="455">
        <f t="shared" ca="1" si="173"/>
        <v>-905659407044.08948</v>
      </c>
      <c r="L4827" s="455">
        <f t="shared" ca="1" si="174"/>
        <v>-218263917097625.56</v>
      </c>
      <c r="M4827" s="471">
        <f t="shared" si="176"/>
        <v>0.05</v>
      </c>
      <c r="N4827" s="475">
        <f t="shared" si="177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75"/>
        <v>-218263917097625.56</v>
      </c>
      <c r="J4828" s="455">
        <f t="array" ref="J4828">IFERROR(INDEX('Retirement Calculator'!K:K,MATCH('Lorri 401b'!N4828,'Retirement Calculator'!A:A,0),0),0)</f>
        <v>0</v>
      </c>
      <c r="K4828" s="455">
        <f t="shared" ca="1" si="173"/>
        <v>-909432987906.77319</v>
      </c>
      <c r="L4828" s="455">
        <f t="shared" ca="1" si="174"/>
        <v>-219173350085532.34</v>
      </c>
      <c r="M4828" s="471">
        <f t="shared" si="176"/>
        <v>0.05</v>
      </c>
      <c r="N4828" s="475">
        <f t="shared" si="177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75"/>
        <v>-219173350085532.34</v>
      </c>
      <c r="J4829" s="455">
        <f t="array" ref="J4829">IFERROR(INDEX('Retirement Calculator'!K:K,MATCH('Lorri 401b'!N4829,'Retirement Calculator'!A:A,0),0),0)</f>
        <v>0</v>
      </c>
      <c r="K4829" s="455">
        <f t="shared" ca="1" si="173"/>
        <v>-913222292023.05139</v>
      </c>
      <c r="L4829" s="455">
        <f t="shared" ca="1" si="174"/>
        <v>-220086572377555.41</v>
      </c>
      <c r="M4829" s="471">
        <f t="shared" si="176"/>
        <v>0.05</v>
      </c>
      <c r="N4829" s="475">
        <f t="shared" si="177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75"/>
        <v>-220086572377555.41</v>
      </c>
      <c r="J4830" s="455">
        <f t="array" ref="J4830">IFERROR(INDEX('Retirement Calculator'!K:K,MATCH('Lorri 401b'!N4830,'Retirement Calculator'!A:A,0),0),0)</f>
        <v>0</v>
      </c>
      <c r="K4830" s="455">
        <f t="shared" ca="1" si="173"/>
        <v>-917027384906.48096</v>
      </c>
      <c r="L4830" s="455">
        <f t="shared" ca="1" si="174"/>
        <v>-221003599762461.88</v>
      </c>
      <c r="M4830" s="471">
        <f t="shared" si="176"/>
        <v>0.05</v>
      </c>
      <c r="N4830" s="475">
        <f t="shared" si="177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75"/>
        <v>-221003599762461.88</v>
      </c>
      <c r="J4831" s="455">
        <f t="array" ref="J4831">IFERROR(INDEX('Retirement Calculator'!K:K,MATCH('Lorri 401b'!N4831,'Retirement Calculator'!A:A,0),0),0)</f>
        <v>0</v>
      </c>
      <c r="K4831" s="455">
        <f t="shared" ca="1" si="173"/>
        <v>-920848332343.59119</v>
      </c>
      <c r="L4831" s="455">
        <f t="shared" ca="1" si="174"/>
        <v>-221924448094805.47</v>
      </c>
      <c r="M4831" s="471">
        <f t="shared" si="176"/>
        <v>0.05</v>
      </c>
      <c r="N4831" s="475">
        <f t="shared" si="177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75"/>
        <v>-221924448094805.47</v>
      </c>
      <c r="J4832" s="455">
        <f t="array" ref="J4832">IFERROR(INDEX('Retirement Calculator'!K:K,MATCH('Lorri 401b'!N4832,'Retirement Calculator'!A:A,0),0),0)</f>
        <v>0</v>
      </c>
      <c r="K4832" s="455">
        <f t="shared" ca="1" si="173"/>
        <v>-924685200395.02283</v>
      </c>
      <c r="L4832" s="455">
        <f t="shared" ca="1" si="174"/>
        <v>-222849133295200.5</v>
      </c>
      <c r="M4832" s="471">
        <f t="shared" si="176"/>
        <v>0.05</v>
      </c>
      <c r="N4832" s="475">
        <f t="shared" si="177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75"/>
        <v>-222849133295200.5</v>
      </c>
      <c r="J4833" s="455">
        <f t="array" ref="J4833">IFERROR(INDEX('Retirement Calculator'!K:K,MATCH('Lorri 401b'!N4833,'Retirement Calculator'!A:A,0),0),0)</f>
        <v>0</v>
      </c>
      <c r="K4833" s="455">
        <f t="shared" ca="1" si="173"/>
        <v>-928538055396.66882</v>
      </c>
      <c r="L4833" s="455">
        <f t="shared" ca="1" si="174"/>
        <v>-223777671350597.16</v>
      </c>
      <c r="M4833" s="471">
        <f t="shared" si="176"/>
        <v>0.05</v>
      </c>
      <c r="N4833" s="475">
        <f t="shared" si="177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75"/>
        <v>-223777671350597.16</v>
      </c>
      <c r="J4834" s="455">
        <f t="array" ref="J4834">IFERROR(INDEX('Retirement Calculator'!K:K,MATCH('Lorri 401b'!N4834,'Retirement Calculator'!A:A,0),0),0)</f>
        <v>0</v>
      </c>
      <c r="K4834" s="455">
        <f t="shared" ca="1" si="173"/>
        <v>-932406963960.82141</v>
      </c>
      <c r="L4834" s="455">
        <f t="shared" ca="1" si="174"/>
        <v>-224710078314557.97</v>
      </c>
      <c r="M4834" s="471">
        <f t="shared" si="176"/>
        <v>0.05</v>
      </c>
      <c r="N4834" s="475">
        <f t="shared" si="177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75"/>
        <v>-224710078314557.97</v>
      </c>
      <c r="J4835" s="455">
        <f t="array" ref="J4835">IFERROR(INDEX('Retirement Calculator'!K:K,MATCH('Lorri 401b'!N4835,'Retirement Calculator'!A:A,0),0),0)</f>
        <v>0</v>
      </c>
      <c r="K4835" s="455">
        <f t="shared" ca="1" si="173"/>
        <v>-936291992977.32471</v>
      </c>
      <c r="L4835" s="455">
        <f t="shared" ca="1" si="174"/>
        <v>-225646370307535.28</v>
      </c>
      <c r="M4835" s="471">
        <f t="shared" si="176"/>
        <v>0.05</v>
      </c>
      <c r="N4835" s="475">
        <f t="shared" si="177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75"/>
        <v>-225646370307535.28</v>
      </c>
      <c r="J4836" s="455">
        <f t="array" ref="J4836">IFERROR(INDEX('Retirement Calculator'!K:K,MATCH('Lorri 401b'!N4836,'Retirement Calculator'!A:A,0),0),0)</f>
        <v>0</v>
      </c>
      <c r="K4836" s="455">
        <f t="shared" ca="1" si="173"/>
        <v>-940193209614.73035</v>
      </c>
      <c r="L4836" s="455">
        <f t="shared" ca="1" si="174"/>
        <v>-226586563517150</v>
      </c>
      <c r="M4836" s="471">
        <f t="shared" si="176"/>
        <v>0.05</v>
      </c>
      <c r="N4836" s="475">
        <f t="shared" si="177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75"/>
        <v>-226586563517150</v>
      </c>
      <c r="J4837" s="455">
        <f t="array" ref="J4837">IFERROR(INDEX('Retirement Calculator'!K:K,MATCH('Lorri 401b'!N4837,'Retirement Calculator'!A:A,0),0),0)</f>
        <v>0</v>
      </c>
      <c r="K4837" s="455">
        <f t="shared" ca="1" si="173"/>
        <v>-944110681321.4585</v>
      </c>
      <c r="L4837" s="455">
        <f t="shared" ca="1" si="174"/>
        <v>-227530674198471.47</v>
      </c>
      <c r="M4837" s="471">
        <f t="shared" si="176"/>
        <v>0.05</v>
      </c>
      <c r="N4837" s="475">
        <f t="shared" si="177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75"/>
        <v>-227530674198471.47</v>
      </c>
      <c r="J4838" s="455">
        <f t="array" ref="J4838">IFERROR(INDEX('Retirement Calculator'!K:K,MATCH('Lorri 401b'!N4838,'Retirement Calculator'!A:A,0),0),0)</f>
        <v>0</v>
      </c>
      <c r="K4838" s="455">
        <f t="shared" ca="1" si="173"/>
        <v>-948044475826.9646</v>
      </c>
      <c r="L4838" s="455">
        <f t="shared" ca="1" si="174"/>
        <v>-228478718674298.44</v>
      </c>
      <c r="M4838" s="471">
        <f t="shared" si="176"/>
        <v>0.05</v>
      </c>
      <c r="N4838" s="475">
        <f t="shared" si="177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75"/>
        <v>-228478718674298.44</v>
      </c>
      <c r="J4839" s="455">
        <f t="array" ref="J4839">IFERROR(INDEX('Retirement Calculator'!K:K,MATCH('Lorri 401b'!N4839,'Retirement Calculator'!A:A,0),0),0)</f>
        <v>0</v>
      </c>
      <c r="K4839" s="455">
        <f t="shared" ca="1" si="173"/>
        <v>-951994661142.91016</v>
      </c>
      <c r="L4839" s="455">
        <f t="shared" ca="1" si="174"/>
        <v>-229430713335441.34</v>
      </c>
      <c r="M4839" s="471">
        <f t="shared" si="176"/>
        <v>0.05</v>
      </c>
      <c r="N4839" s="475">
        <f t="shared" si="177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75"/>
        <v>-229430713335441.34</v>
      </c>
      <c r="J4840" s="455">
        <f t="array" ref="J4840">IFERROR(INDEX('Retirement Calculator'!K:K,MATCH('Lorri 401b'!N4840,'Retirement Calculator'!A:A,0),0),0)</f>
        <v>0</v>
      </c>
      <c r="K4840" s="455">
        <f t="shared" ca="1" si="173"/>
        <v>-955961305564.33887</v>
      </c>
      <c r="L4840" s="455">
        <f t="shared" ca="1" si="174"/>
        <v>-230386674641005.69</v>
      </c>
      <c r="M4840" s="471">
        <f t="shared" si="176"/>
        <v>0.05</v>
      </c>
      <c r="N4840" s="475">
        <f t="shared" si="177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75"/>
        <v>-230386674641005.69</v>
      </c>
      <c r="J4841" s="455">
        <f t="array" ref="J4841">IFERROR(INDEX('Retirement Calculator'!K:K,MATCH('Lorri 401b'!N4841,'Retirement Calculator'!A:A,0),0),0)</f>
        <v>0</v>
      </c>
      <c r="K4841" s="455">
        <f t="shared" ca="1" si="173"/>
        <v>-959944477670.85706</v>
      </c>
      <c r="L4841" s="455">
        <f t="shared" ca="1" si="174"/>
        <v>-231346619118676.53</v>
      </c>
      <c r="M4841" s="471">
        <f t="shared" si="176"/>
        <v>0.05</v>
      </c>
      <c r="N4841" s="475">
        <f t="shared" si="177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75"/>
        <v>-231346619118676.53</v>
      </c>
      <c r="J4842" s="455">
        <f t="array" ref="J4842">IFERROR(INDEX('Retirement Calculator'!K:K,MATCH('Lorri 401b'!N4842,'Retirement Calculator'!A:A,0),0),0)</f>
        <v>0</v>
      </c>
      <c r="K4842" s="455">
        <f t="shared" ca="1" si="173"/>
        <v>-963944246327.81885</v>
      </c>
      <c r="L4842" s="455">
        <f t="shared" ca="1" si="174"/>
        <v>-232310563365004.34</v>
      </c>
      <c r="M4842" s="471">
        <f t="shared" si="176"/>
        <v>0.05</v>
      </c>
      <c r="N4842" s="475">
        <f t="shared" si="177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75"/>
        <v>-232310563365004.34</v>
      </c>
      <c r="J4843" s="455">
        <f t="array" ref="J4843">IFERROR(INDEX('Retirement Calculator'!K:K,MATCH('Lorri 401b'!N4843,'Retirement Calculator'!A:A,0),0),0)</f>
        <v>0</v>
      </c>
      <c r="K4843" s="455">
        <f t="shared" ca="1" si="173"/>
        <v>-967960680687.51819</v>
      </c>
      <c r="L4843" s="455">
        <f t="shared" ca="1" si="174"/>
        <v>-233278524045691.88</v>
      </c>
      <c r="M4843" s="471">
        <f t="shared" si="176"/>
        <v>0.05</v>
      </c>
      <c r="N4843" s="475">
        <f t="shared" si="177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75"/>
        <v>-233278524045691.88</v>
      </c>
      <c r="J4844" s="455">
        <f t="array" ref="J4844">IFERROR(INDEX('Retirement Calculator'!K:K,MATCH('Lorri 401b'!N4844,'Retirement Calculator'!A:A,0),0),0)</f>
        <v>0</v>
      </c>
      <c r="K4844" s="455">
        <f t="shared" ca="1" si="173"/>
        <v>-971993850190.38281</v>
      </c>
      <c r="L4844" s="455">
        <f t="shared" ca="1" si="174"/>
        <v>-234250517895882.25</v>
      </c>
      <c r="M4844" s="471">
        <f t="shared" si="176"/>
        <v>0.05</v>
      </c>
      <c r="N4844" s="475">
        <f t="shared" si="177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75"/>
        <v>-234250517895882.25</v>
      </c>
      <c r="J4845" s="455">
        <f t="array" ref="J4845">IFERROR(INDEX('Retirement Calculator'!K:K,MATCH('Lorri 401b'!N4845,'Retirement Calculator'!A:A,0),0),0)</f>
        <v>0</v>
      </c>
      <c r="K4845" s="455">
        <f t="shared" ca="1" si="173"/>
        <v>-976043824566.17603</v>
      </c>
      <c r="L4845" s="455">
        <f t="shared" ca="1" si="174"/>
        <v>-235226561720448.44</v>
      </c>
      <c r="M4845" s="471">
        <f t="shared" si="176"/>
        <v>0.05</v>
      </c>
      <c r="N4845" s="475">
        <f t="shared" si="177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75"/>
        <v>-235226561720448.44</v>
      </c>
      <c r="J4846" s="455">
        <f t="array" ref="J4846">IFERROR(INDEX('Retirement Calculator'!K:K,MATCH('Lorri 401b'!N4846,'Retirement Calculator'!A:A,0),0),0)</f>
        <v>0</v>
      </c>
      <c r="K4846" s="455">
        <f t="shared" ca="1" si="173"/>
        <v>-980110673835.20178</v>
      </c>
      <c r="L4846" s="455">
        <f t="shared" ca="1" si="174"/>
        <v>-236206672394283.63</v>
      </c>
      <c r="M4846" s="471">
        <f t="shared" si="176"/>
        <v>0.05</v>
      </c>
      <c r="N4846" s="475">
        <f t="shared" si="177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75"/>
        <v>-236206672394283.63</v>
      </c>
      <c r="J4847" s="455">
        <f t="array" ref="J4847">IFERROR(INDEX('Retirement Calculator'!K:K,MATCH('Lorri 401b'!N4847,'Retirement Calculator'!A:A,0),0),0)</f>
        <v>0</v>
      </c>
      <c r="K4847" s="455">
        <f t="shared" ca="1" si="173"/>
        <v>-984194468309.51526</v>
      </c>
      <c r="L4847" s="455">
        <f t="shared" ca="1" si="174"/>
        <v>-237190866862593.13</v>
      </c>
      <c r="M4847" s="471">
        <f t="shared" si="176"/>
        <v>0.05</v>
      </c>
      <c r="N4847" s="475">
        <f t="shared" si="177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75"/>
        <v>-237190866862593.13</v>
      </c>
      <c r="J4848" s="455">
        <f t="array" ref="J4848">IFERROR(INDEX('Retirement Calculator'!K:K,MATCH('Lorri 401b'!N4848,'Retirement Calculator'!A:A,0),0),0)</f>
        <v>0</v>
      </c>
      <c r="K4848" s="455">
        <f t="shared" ca="1" si="173"/>
        <v>-988295278594.13782</v>
      </c>
      <c r="L4848" s="455">
        <f t="shared" ca="1" si="174"/>
        <v>-238179162141187.25</v>
      </c>
      <c r="M4848" s="471">
        <f t="shared" si="176"/>
        <v>0.05</v>
      </c>
      <c r="N4848" s="475">
        <f t="shared" si="177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75"/>
        <v>-238179162141187.25</v>
      </c>
      <c r="J4849" s="455">
        <f t="array" ref="J4849">IFERROR(INDEX('Retirement Calculator'!K:K,MATCH('Lorri 401b'!N4849,'Retirement Calculator'!A:A,0),0),0)</f>
        <v>0</v>
      </c>
      <c r="K4849" s="455">
        <f t="shared" ca="1" si="173"/>
        <v>-992413175588.28015</v>
      </c>
      <c r="L4849" s="455">
        <f t="shared" ca="1" si="174"/>
        <v>-239171575316775.53</v>
      </c>
      <c r="M4849" s="471">
        <f t="shared" si="176"/>
        <v>0.05</v>
      </c>
      <c r="N4849" s="475">
        <f t="shared" si="177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75"/>
        <v>-239171575316775.53</v>
      </c>
      <c r="J4850" s="455">
        <f t="array" ref="J4850">IFERROR(INDEX('Retirement Calculator'!K:K,MATCH('Lorri 401b'!N4850,'Retirement Calculator'!A:A,0),0),0)</f>
        <v>0</v>
      </c>
      <c r="K4850" s="455">
        <f t="shared" ca="1" si="173"/>
        <v>-996548230486.56458</v>
      </c>
      <c r="L4850" s="455">
        <f t="shared" ca="1" si="174"/>
        <v>-240168123547262.09</v>
      </c>
      <c r="M4850" s="471">
        <f t="shared" si="176"/>
        <v>0.05</v>
      </c>
      <c r="N4850" s="475">
        <f t="shared" si="177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75"/>
        <v>-240168123547262.09</v>
      </c>
      <c r="J4851" s="455">
        <f t="array" ref="J4851">IFERROR(INDEX('Retirement Calculator'!K:K,MATCH('Lorri 401b'!N4851,'Retirement Calculator'!A:A,0),0),0)</f>
        <v>0</v>
      </c>
      <c r="K4851" s="455">
        <f t="shared" ca="1" si="173"/>
        <v>-1000700514780.2587</v>
      </c>
      <c r="L4851" s="455">
        <f t="shared" ca="1" si="174"/>
        <v>-241168824062042.34</v>
      </c>
      <c r="M4851" s="471">
        <f t="shared" si="176"/>
        <v>0.05</v>
      </c>
      <c r="N4851" s="475">
        <f t="shared" si="177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75"/>
        <v>-241168824062042.34</v>
      </c>
      <c r="J4852" s="455">
        <f t="array" ref="J4852">IFERROR(INDEX('Retirement Calculator'!K:K,MATCH('Lorri 401b'!N4852,'Retirement Calculator'!A:A,0),0),0)</f>
        <v>0</v>
      </c>
      <c r="K4852" s="455">
        <f t="shared" ca="1" si="173"/>
        <v>-1004870100258.5099</v>
      </c>
      <c r="L4852" s="455">
        <f t="shared" ca="1" si="174"/>
        <v>-242173694162300.84</v>
      </c>
      <c r="M4852" s="471">
        <f t="shared" si="176"/>
        <v>0.05</v>
      </c>
      <c r="N4852" s="475">
        <f t="shared" si="177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75"/>
        <v>-242173694162300.84</v>
      </c>
      <c r="J4853" s="455">
        <f t="array" ref="J4853">IFERROR(INDEX('Retirement Calculator'!K:K,MATCH('Lorri 401b'!N4853,'Retirement Calculator'!A:A,0),0),0)</f>
        <v>0</v>
      </c>
      <c r="K4853" s="455">
        <f t="shared" ref="K4853:K5107" ca="1" si="178">IPMT(M4853/12,1,12,-I4853+J4853,,0)</f>
        <v>-1009057059009.5868</v>
      </c>
      <c r="L4853" s="455">
        <f t="shared" ref="L4853:L5107" ca="1" si="179">I4853-J4853+K4853</f>
        <v>-243182751221310.44</v>
      </c>
      <c r="M4853" s="471">
        <f t="shared" si="176"/>
        <v>0.05</v>
      </c>
      <c r="N4853" s="475">
        <f t="shared" si="177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80">L4853</f>
        <v>-243182751221310.44</v>
      </c>
      <c r="J4854" s="455">
        <f t="array" ref="J4854">IFERROR(INDEX('Retirement Calculator'!K:K,MATCH('Lorri 401b'!N4854,'Retirement Calculator'!A:A,0),0),0)</f>
        <v>0</v>
      </c>
      <c r="K4854" s="455">
        <f t="shared" ca="1" si="178"/>
        <v>-1013261463422.1268</v>
      </c>
      <c r="L4854" s="455">
        <f t="shared" ca="1" si="179"/>
        <v>-244196012684732.56</v>
      </c>
      <c r="M4854" s="471">
        <f t="shared" ref="M4854:M5108" si="181">M4853</f>
        <v>0.05</v>
      </c>
      <c r="N4854" s="475">
        <f t="shared" ref="N4854:N5108" si="182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80"/>
        <v>-244196012684732.56</v>
      </c>
      <c r="J4855" s="455">
        <f t="array" ref="J4855">IFERROR(INDEX('Retirement Calculator'!K:K,MATCH('Lorri 401b'!N4855,'Retirement Calculator'!A:A,0),0),0)</f>
        <v>0</v>
      </c>
      <c r="K4855" s="455">
        <f t="shared" ca="1" si="178"/>
        <v>-1017483386186.3855</v>
      </c>
      <c r="L4855" s="455">
        <f t="shared" ca="1" si="179"/>
        <v>-245213496070918.94</v>
      </c>
      <c r="M4855" s="471">
        <f t="shared" si="181"/>
        <v>0.05</v>
      </c>
      <c r="N4855" s="475">
        <f t="shared" si="182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80"/>
        <v>-245213496070918.94</v>
      </c>
      <c r="J4856" s="455">
        <f t="array" ref="J4856">IFERROR(INDEX('Retirement Calculator'!K:K,MATCH('Lorri 401b'!N4856,'Retirement Calculator'!A:A,0),0),0)</f>
        <v>0</v>
      </c>
      <c r="K4856" s="455">
        <f t="shared" ca="1" si="178"/>
        <v>-1021722900295.4956</v>
      </c>
      <c r="L4856" s="455">
        <f t="shared" ca="1" si="179"/>
        <v>-246235218971214.44</v>
      </c>
      <c r="M4856" s="471">
        <f t="shared" si="181"/>
        <v>0.05</v>
      </c>
      <c r="N4856" s="475">
        <f t="shared" si="182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80"/>
        <v>-246235218971214.44</v>
      </c>
      <c r="J4857" s="455">
        <f t="array" ref="J4857">IFERROR(INDEX('Retirement Calculator'!K:K,MATCH('Lorri 401b'!N4857,'Retirement Calculator'!A:A,0),0),0)</f>
        <v>0</v>
      </c>
      <c r="K4857" s="455">
        <f t="shared" ca="1" si="178"/>
        <v>-1025980079046.7267</v>
      </c>
      <c r="L4857" s="455">
        <f t="shared" ca="1" si="179"/>
        <v>-247261199050261.16</v>
      </c>
      <c r="M4857" s="471">
        <f t="shared" si="181"/>
        <v>0.05</v>
      </c>
      <c r="N4857" s="475">
        <f t="shared" si="182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80"/>
        <v>-247261199050261.16</v>
      </c>
      <c r="J4858" s="455">
        <f t="array" ref="J4858">IFERROR(INDEX('Retirement Calculator'!K:K,MATCH('Lorri 401b'!N4858,'Retirement Calculator'!A:A,0),0),0)</f>
        <v>0</v>
      </c>
      <c r="K4858" s="455">
        <f t="shared" ca="1" si="178"/>
        <v>-1030254996042.7549</v>
      </c>
      <c r="L4858" s="455">
        <f t="shared" ca="1" si="179"/>
        <v>-248291454046303.91</v>
      </c>
      <c r="M4858" s="471">
        <f t="shared" si="181"/>
        <v>0.05</v>
      </c>
      <c r="N4858" s="475">
        <f t="shared" si="182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80"/>
        <v>-248291454046303.91</v>
      </c>
      <c r="J4859" s="455">
        <f t="array" ref="J4859">IFERROR(INDEX('Retirement Calculator'!K:K,MATCH('Lorri 401b'!N4859,'Retirement Calculator'!A:A,0),0),0)</f>
        <v>0</v>
      </c>
      <c r="K4859" s="455">
        <f t="shared" ca="1" si="178"/>
        <v>-1034547725192.9327</v>
      </c>
      <c r="L4859" s="455">
        <f t="shared" ca="1" si="179"/>
        <v>-249326001771496.84</v>
      </c>
      <c r="M4859" s="471">
        <f t="shared" si="181"/>
        <v>0.05</v>
      </c>
      <c r="N4859" s="475">
        <f t="shared" si="182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80"/>
        <v>-249326001771496.84</v>
      </c>
      <c r="J4860" s="455">
        <f t="array" ref="J4860">IFERROR(INDEX('Retirement Calculator'!K:K,MATCH('Lorri 401b'!N4860,'Retirement Calculator'!A:A,0),0),0)</f>
        <v>0</v>
      </c>
      <c r="K4860" s="455">
        <f t="shared" ca="1" si="178"/>
        <v>-1038858340714.5701</v>
      </c>
      <c r="L4860" s="455">
        <f t="shared" ca="1" si="179"/>
        <v>-250364860112211.41</v>
      </c>
      <c r="M4860" s="471">
        <f t="shared" si="181"/>
        <v>0.05</v>
      </c>
      <c r="N4860" s="475">
        <f t="shared" si="182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80"/>
        <v>-250364860112211.41</v>
      </c>
      <c r="J4861" s="455">
        <f t="array" ref="J4861">IFERROR(INDEX('Retirement Calculator'!K:K,MATCH('Lorri 401b'!N4861,'Retirement Calculator'!A:A,0),0),0)</f>
        <v>0</v>
      </c>
      <c r="K4861" s="455">
        <f t="shared" ca="1" si="178"/>
        <v>-1043186917134.2142</v>
      </c>
      <c r="L4861" s="455">
        <f t="shared" ca="1" si="179"/>
        <v>-251408047029345.63</v>
      </c>
      <c r="M4861" s="471">
        <f t="shared" si="181"/>
        <v>0.05</v>
      </c>
      <c r="N4861" s="475">
        <f t="shared" si="182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80"/>
        <v>-251408047029345.63</v>
      </c>
      <c r="J4862" s="455">
        <f t="array" ref="J4862">IFERROR(INDEX('Retirement Calculator'!K:K,MATCH('Lorri 401b'!N4862,'Retirement Calculator'!A:A,0),0),0)</f>
        <v>0</v>
      </c>
      <c r="K4862" s="455">
        <f t="shared" ca="1" si="178"/>
        <v>-1047533529288.9399</v>
      </c>
      <c r="L4862" s="455">
        <f t="shared" ca="1" si="179"/>
        <v>-252455580558634.56</v>
      </c>
      <c r="M4862" s="471">
        <f t="shared" si="181"/>
        <v>0.05</v>
      </c>
      <c r="N4862" s="475">
        <f t="shared" si="182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80"/>
        <v>-252455580558634.56</v>
      </c>
      <c r="J4863" s="455">
        <f t="array" ref="J4863">IFERROR(INDEX('Retirement Calculator'!K:K,MATCH('Lorri 401b'!N4863,'Retirement Calculator'!A:A,0),0),0)</f>
        <v>0</v>
      </c>
      <c r="K4863" s="455">
        <f t="shared" ca="1" si="178"/>
        <v>-1051898252327.644</v>
      </c>
      <c r="L4863" s="455">
        <f t="shared" ca="1" si="179"/>
        <v>-253507478810962.22</v>
      </c>
      <c r="M4863" s="471">
        <f t="shared" si="181"/>
        <v>0.05</v>
      </c>
      <c r="N4863" s="475">
        <f t="shared" si="182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80"/>
        <v>-253507478810962.22</v>
      </c>
      <c r="J4864" s="455">
        <f t="array" ref="J4864">IFERROR(INDEX('Retirement Calculator'!K:K,MATCH('Lorri 401b'!N4864,'Retirement Calculator'!A:A,0),0),0)</f>
        <v>0</v>
      </c>
      <c r="K4864" s="455">
        <f t="shared" ca="1" si="178"/>
        <v>-1056281161712.3427</v>
      </c>
      <c r="L4864" s="455">
        <f t="shared" ca="1" si="179"/>
        <v>-254563759972674.56</v>
      </c>
      <c r="M4864" s="471">
        <f t="shared" si="181"/>
        <v>0.05</v>
      </c>
      <c r="N4864" s="475">
        <f t="shared" si="182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80"/>
        <v>-254563759972674.56</v>
      </c>
      <c r="J4865" s="455">
        <f t="array" ref="J4865">IFERROR(INDEX('Retirement Calculator'!K:K,MATCH('Lorri 401b'!N4865,'Retirement Calculator'!A:A,0),0),0)</f>
        <v>0</v>
      </c>
      <c r="K4865" s="455">
        <f t="shared" ca="1" si="178"/>
        <v>-1060682333219.4773</v>
      </c>
      <c r="L4865" s="455">
        <f t="shared" ca="1" si="179"/>
        <v>-255624442305894.03</v>
      </c>
      <c r="M4865" s="471">
        <f t="shared" si="181"/>
        <v>0.05</v>
      </c>
      <c r="N4865" s="475">
        <f t="shared" si="182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80"/>
        <v>-255624442305894.03</v>
      </c>
      <c r="J4866" s="455">
        <f t="array" ref="J4866">IFERROR(INDEX('Retirement Calculator'!K:K,MATCH('Lorri 401b'!N4866,'Retirement Calculator'!A:A,0),0),0)</f>
        <v>0</v>
      </c>
      <c r="K4866" s="455">
        <f t="shared" ca="1" si="178"/>
        <v>-1065101842941.2252</v>
      </c>
      <c r="L4866" s="455">
        <f t="shared" ca="1" si="179"/>
        <v>-256689544148835.25</v>
      </c>
      <c r="M4866" s="471">
        <f t="shared" si="181"/>
        <v>0.05</v>
      </c>
      <c r="N4866" s="475">
        <f t="shared" si="182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80"/>
        <v>-256689544148835.25</v>
      </c>
      <c r="J4867" s="455">
        <f t="array" ref="J4867">IFERROR(INDEX('Retirement Calculator'!K:K,MATCH('Lorri 401b'!N4867,'Retirement Calculator'!A:A,0),0),0)</f>
        <v>0</v>
      </c>
      <c r="K4867" s="455">
        <f t="shared" ca="1" si="178"/>
        <v>-1069539767286.8135</v>
      </c>
      <c r="L4867" s="455">
        <f t="shared" ca="1" si="179"/>
        <v>-257759083916122.06</v>
      </c>
      <c r="M4867" s="471">
        <f t="shared" si="181"/>
        <v>0.05</v>
      </c>
      <c r="N4867" s="475">
        <f t="shared" si="182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80"/>
        <v>-257759083916122.06</v>
      </c>
      <c r="J4868" s="455">
        <f t="array" ref="J4868">IFERROR(INDEX('Retirement Calculator'!K:K,MATCH('Lorri 401b'!N4868,'Retirement Calculator'!A:A,0),0),0)</f>
        <v>0</v>
      </c>
      <c r="K4868" s="455">
        <f t="shared" ca="1" si="178"/>
        <v>-1073996182983.842</v>
      </c>
      <c r="L4868" s="455">
        <f t="shared" ca="1" si="179"/>
        <v>-258833080099105.91</v>
      </c>
      <c r="M4868" s="471">
        <f t="shared" si="181"/>
        <v>0.05</v>
      </c>
      <c r="N4868" s="475">
        <f t="shared" si="182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80"/>
        <v>-258833080099105.91</v>
      </c>
      <c r="J4869" s="455">
        <f t="array" ref="J4869">IFERROR(INDEX('Retirement Calculator'!K:K,MATCH('Lorri 401b'!N4869,'Retirement Calculator'!A:A,0),0),0)</f>
        <v>0</v>
      </c>
      <c r="K4869" s="455">
        <f t="shared" ca="1" si="178"/>
        <v>-1078471167079.6079</v>
      </c>
      <c r="L4869" s="455">
        <f t="shared" ca="1" si="179"/>
        <v>-259911551266185.5</v>
      </c>
      <c r="M4869" s="471">
        <f t="shared" si="181"/>
        <v>0.05</v>
      </c>
      <c r="N4869" s="475">
        <f t="shared" si="182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80"/>
        <v>-259911551266185.5</v>
      </c>
      <c r="J4870" s="455">
        <f t="array" ref="J4870">IFERROR(INDEX('Retirement Calculator'!K:K,MATCH('Lorri 401b'!N4870,'Retirement Calculator'!A:A,0),0),0)</f>
        <v>0</v>
      </c>
      <c r="K4870" s="455">
        <f t="shared" ca="1" si="178"/>
        <v>-1082964796942.4396</v>
      </c>
      <c r="L4870" s="455">
        <f t="shared" ca="1" si="179"/>
        <v>-260994516063127.94</v>
      </c>
      <c r="M4870" s="471">
        <f t="shared" si="181"/>
        <v>0.05</v>
      </c>
      <c r="N4870" s="475">
        <f t="shared" si="182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80"/>
        <v>-260994516063127.94</v>
      </c>
      <c r="J4871" s="455">
        <f t="array" ref="J4871">IFERROR(INDEX('Retirement Calculator'!K:K,MATCH('Lorri 401b'!N4871,'Retirement Calculator'!A:A,0),0),0)</f>
        <v>0</v>
      </c>
      <c r="K4871" s="455">
        <f t="shared" ca="1" si="178"/>
        <v>-1087477150263.0331</v>
      </c>
      <c r="L4871" s="455">
        <f t="shared" ca="1" si="179"/>
        <v>-262081993213390.97</v>
      </c>
      <c r="M4871" s="471">
        <f t="shared" si="181"/>
        <v>0.05</v>
      </c>
      <c r="N4871" s="475">
        <f t="shared" si="182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80"/>
        <v>-262081993213390.97</v>
      </c>
      <c r="J4872" s="455">
        <f t="array" ref="J4872">IFERROR(INDEX('Retirement Calculator'!K:K,MATCH('Lorri 401b'!N4872,'Retirement Calculator'!A:A,0),0),0)</f>
        <v>0</v>
      </c>
      <c r="K4872" s="455">
        <f t="shared" ca="1" si="178"/>
        <v>-1092008305055.7957</v>
      </c>
      <c r="L4872" s="455">
        <f t="shared" ca="1" si="179"/>
        <v>-263174001518446.75</v>
      </c>
      <c r="M4872" s="471">
        <f t="shared" si="181"/>
        <v>0.05</v>
      </c>
      <c r="N4872" s="475">
        <f t="shared" si="182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80"/>
        <v>-263174001518446.75</v>
      </c>
      <c r="J4873" s="455">
        <f t="array" ref="J4873">IFERROR(INDEX('Retirement Calculator'!K:K,MATCH('Lorri 401b'!N4873,'Retirement Calculator'!A:A,0),0),0)</f>
        <v>0</v>
      </c>
      <c r="K4873" s="455">
        <f t="shared" ca="1" si="178"/>
        <v>-1096558339660.1948</v>
      </c>
      <c r="L4873" s="455">
        <f t="shared" ca="1" si="179"/>
        <v>-264270559858106.94</v>
      </c>
      <c r="M4873" s="471">
        <f t="shared" si="181"/>
        <v>0.05</v>
      </c>
      <c r="N4873" s="475">
        <f t="shared" si="182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80"/>
        <v>-264270559858106.94</v>
      </c>
      <c r="J4874" s="455">
        <f t="array" ref="J4874">IFERROR(INDEX('Retirement Calculator'!K:K,MATCH('Lorri 401b'!N4874,'Retirement Calculator'!A:A,0),0),0)</f>
        <v>0</v>
      </c>
      <c r="K4874" s="455">
        <f t="shared" ca="1" si="178"/>
        <v>-1101127332742.1121</v>
      </c>
      <c r="L4874" s="455">
        <f t="shared" ca="1" si="179"/>
        <v>-265371687190849.06</v>
      </c>
      <c r="M4874" s="471">
        <f t="shared" si="181"/>
        <v>0.05</v>
      </c>
      <c r="N4874" s="475">
        <f t="shared" si="182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80"/>
        <v>-265371687190849.06</v>
      </c>
      <c r="J4875" s="455">
        <f t="array" ref="J4875">IFERROR(INDEX('Retirement Calculator'!K:K,MATCH('Lorri 401b'!N4875,'Retirement Calculator'!A:A,0),0),0)</f>
        <v>0</v>
      </c>
      <c r="K4875" s="455">
        <f t="shared" ca="1" si="178"/>
        <v>-1105715363295.2046</v>
      </c>
      <c r="L4875" s="455">
        <f t="shared" ca="1" si="179"/>
        <v>-266477402554144.28</v>
      </c>
      <c r="M4875" s="471">
        <f t="shared" si="181"/>
        <v>0.05</v>
      </c>
      <c r="N4875" s="475">
        <f t="shared" si="182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80"/>
        <v>-266477402554144.28</v>
      </c>
      <c r="J4876" s="455">
        <f t="array" ref="J4876">IFERROR(INDEX('Retirement Calculator'!K:K,MATCH('Lorri 401b'!N4876,'Retirement Calculator'!A:A,0),0),0)</f>
        <v>0</v>
      </c>
      <c r="K4876" s="455">
        <f t="shared" ca="1" si="178"/>
        <v>-1110322510642.2676</v>
      </c>
      <c r="L4876" s="455">
        <f t="shared" ca="1" si="179"/>
        <v>-267587725064786.56</v>
      </c>
      <c r="M4876" s="471">
        <f t="shared" si="181"/>
        <v>0.05</v>
      </c>
      <c r="N4876" s="475">
        <f t="shared" si="182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80"/>
        <v>-267587725064786.56</v>
      </c>
      <c r="J4877" s="455">
        <f t="array" ref="J4877">IFERROR(INDEX('Retirement Calculator'!K:K,MATCH('Lorri 401b'!N4877,'Retirement Calculator'!A:A,0),0),0)</f>
        <v>0</v>
      </c>
      <c r="K4877" s="455">
        <f t="shared" ca="1" si="178"/>
        <v>-1114948854436.6108</v>
      </c>
      <c r="L4877" s="455">
        <f t="shared" ca="1" si="179"/>
        <v>-268702673919223.19</v>
      </c>
      <c r="M4877" s="471">
        <f t="shared" si="181"/>
        <v>0.05</v>
      </c>
      <c r="N4877" s="475">
        <f t="shared" si="182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80"/>
        <v>-268702673919223.19</v>
      </c>
      <c r="J4878" s="455">
        <f t="array" ref="J4878">IFERROR(INDEX('Retirement Calculator'!K:K,MATCH('Lorri 401b'!N4878,'Retirement Calculator'!A:A,0),0),0)</f>
        <v>0</v>
      </c>
      <c r="K4878" s="455">
        <f t="shared" ca="1" si="178"/>
        <v>-1119594474663.4299</v>
      </c>
      <c r="L4878" s="455">
        <f t="shared" ca="1" si="179"/>
        <v>-269822268393886.63</v>
      </c>
      <c r="M4878" s="471">
        <f t="shared" si="181"/>
        <v>0.05</v>
      </c>
      <c r="N4878" s="475">
        <f t="shared" si="182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80"/>
        <v>-269822268393886.63</v>
      </c>
      <c r="J4879" s="455">
        <f t="array" ref="J4879">IFERROR(INDEX('Retirement Calculator'!K:K,MATCH('Lorri 401b'!N4879,'Retirement Calculator'!A:A,0),0),0)</f>
        <v>0</v>
      </c>
      <c r="K4879" s="455">
        <f t="shared" ca="1" si="178"/>
        <v>-1124259451641.1941</v>
      </c>
      <c r="L4879" s="455">
        <f t="shared" ca="1" si="179"/>
        <v>-270946527845527.81</v>
      </c>
      <c r="M4879" s="471">
        <f t="shared" si="181"/>
        <v>0.05</v>
      </c>
      <c r="N4879" s="475">
        <f t="shared" si="182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80"/>
        <v>-270946527845527.81</v>
      </c>
      <c r="J4880" s="455">
        <f t="array" ref="J4880">IFERROR(INDEX('Retirement Calculator'!K:K,MATCH('Lorri 401b'!N4880,'Retirement Calculator'!A:A,0),0),0)</f>
        <v>0</v>
      </c>
      <c r="K4880" s="455">
        <f t="shared" ca="1" si="178"/>
        <v>-1128943866023.0325</v>
      </c>
      <c r="L4880" s="455">
        <f t="shared" ca="1" si="179"/>
        <v>-272075471711550.84</v>
      </c>
      <c r="M4880" s="471">
        <f t="shared" si="181"/>
        <v>0.05</v>
      </c>
      <c r="N4880" s="475">
        <f t="shared" si="182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80"/>
        <v>-272075471711550.84</v>
      </c>
      <c r="J4881" s="455">
        <f t="array" ref="J4881">IFERROR(INDEX('Retirement Calculator'!K:K,MATCH('Lorri 401b'!N4881,'Retirement Calculator'!A:A,0),0),0)</f>
        <v>0</v>
      </c>
      <c r="K4881" s="455">
        <f t="shared" ca="1" si="178"/>
        <v>-1133647798798.1284</v>
      </c>
      <c r="L4881" s="455">
        <f t="shared" ca="1" si="179"/>
        <v>-273209119510348.97</v>
      </c>
      <c r="M4881" s="471">
        <f t="shared" si="181"/>
        <v>0.05</v>
      </c>
      <c r="N4881" s="475">
        <f t="shared" si="182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80"/>
        <v>-273209119510348.97</v>
      </c>
      <c r="J4882" s="455">
        <f t="array" ref="J4882">IFERROR(INDEX('Retirement Calculator'!K:K,MATCH('Lorri 401b'!N4882,'Retirement Calculator'!A:A,0),0),0)</f>
        <v>0</v>
      </c>
      <c r="K4882" s="455">
        <f t="shared" ca="1" si="178"/>
        <v>-1138371331293.1206</v>
      </c>
      <c r="L4882" s="455">
        <f t="shared" ca="1" si="179"/>
        <v>-274347490841642.09</v>
      </c>
      <c r="M4882" s="471">
        <f t="shared" si="181"/>
        <v>0.05</v>
      </c>
      <c r="N4882" s="475">
        <f t="shared" si="182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80"/>
        <v>-274347490841642.09</v>
      </c>
      <c r="J4883" s="455">
        <f t="array" ref="J4883">IFERROR(INDEX('Retirement Calculator'!K:K,MATCH('Lorri 401b'!N4883,'Retirement Calculator'!A:A,0),0),0)</f>
        <v>0</v>
      </c>
      <c r="K4883" s="455">
        <f t="shared" ca="1" si="178"/>
        <v>-1143114545173.5088</v>
      </c>
      <c r="L4883" s="455">
        <f t="shared" ca="1" si="179"/>
        <v>-275490605386815.59</v>
      </c>
      <c r="M4883" s="471">
        <f t="shared" si="181"/>
        <v>0.05</v>
      </c>
      <c r="N4883" s="475">
        <f t="shared" si="182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80"/>
        <v>-275490605386815.59</v>
      </c>
      <c r="J4884" s="455">
        <f t="array" ref="J4884">IFERROR(INDEX('Retirement Calculator'!K:K,MATCH('Lorri 401b'!N4884,'Retirement Calculator'!A:A,0),0),0)</f>
        <v>0</v>
      </c>
      <c r="K4884" s="455">
        <f t="shared" ca="1" si="178"/>
        <v>-1147877522445.0649</v>
      </c>
      <c r="L4884" s="455">
        <f t="shared" ca="1" si="179"/>
        <v>-276638482909260.66</v>
      </c>
      <c r="M4884" s="471">
        <f t="shared" si="181"/>
        <v>0.05</v>
      </c>
      <c r="N4884" s="475">
        <f t="shared" si="182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80"/>
        <v>-276638482909260.66</v>
      </c>
      <c r="J4885" s="455">
        <f t="array" ref="J4885">IFERROR(INDEX('Retirement Calculator'!K:K,MATCH('Lorri 401b'!N4885,'Retirement Calculator'!A:A,0),0),0)</f>
        <v>0</v>
      </c>
      <c r="K4885" s="455">
        <f t="shared" ca="1" si="178"/>
        <v>-1152660345455.2529</v>
      </c>
      <c r="L4885" s="455">
        <f t="shared" ca="1" si="179"/>
        <v>-277791143254715.91</v>
      </c>
      <c r="M4885" s="471">
        <f t="shared" si="181"/>
        <v>0.05</v>
      </c>
      <c r="N4885" s="475">
        <f t="shared" si="182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80"/>
        <v>-277791143254715.91</v>
      </c>
      <c r="J4886" s="455">
        <f t="array" ref="J4886">IFERROR(INDEX('Retirement Calculator'!K:K,MATCH('Lorri 401b'!N4886,'Retirement Calculator'!A:A,0),0),0)</f>
        <v>0</v>
      </c>
      <c r="K4886" s="455">
        <f t="shared" ca="1" si="178"/>
        <v>-1157463096894.6497</v>
      </c>
      <c r="L4886" s="455">
        <f t="shared" ca="1" si="179"/>
        <v>-278948606351610.56</v>
      </c>
      <c r="M4886" s="471">
        <f t="shared" si="181"/>
        <v>0.05</v>
      </c>
      <c r="N4886" s="475">
        <f t="shared" si="182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80"/>
        <v>-278948606351610.56</v>
      </c>
      <c r="J4887" s="455">
        <f t="array" ref="J4887">IFERROR(INDEX('Retirement Calculator'!K:K,MATCH('Lorri 401b'!N4887,'Retirement Calculator'!A:A,0),0),0)</f>
        <v>0</v>
      </c>
      <c r="K4887" s="455">
        <f t="shared" ca="1" si="178"/>
        <v>-1162285859798.3774</v>
      </c>
      <c r="L4887" s="455">
        <f t="shared" ca="1" si="179"/>
        <v>-280110892211408.94</v>
      </c>
      <c r="M4887" s="471">
        <f t="shared" si="181"/>
        <v>0.05</v>
      </c>
      <c r="N4887" s="475">
        <f t="shared" si="182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80"/>
        <v>-280110892211408.94</v>
      </c>
      <c r="J4888" s="455">
        <f t="array" ref="J4888">IFERROR(INDEX('Retirement Calculator'!K:K,MATCH('Lorri 401b'!N4888,'Retirement Calculator'!A:A,0),0),0)</f>
        <v>0</v>
      </c>
      <c r="K4888" s="455">
        <f t="shared" ca="1" si="178"/>
        <v>-1167128717547.5371</v>
      </c>
      <c r="L4888" s="455">
        <f t="shared" ca="1" si="179"/>
        <v>-281278020928956.47</v>
      </c>
      <c r="M4888" s="471">
        <f t="shared" si="181"/>
        <v>0.05</v>
      </c>
      <c r="N4888" s="475">
        <f t="shared" si="182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80"/>
        <v>-281278020928956.47</v>
      </c>
      <c r="J4889" s="455">
        <f t="array" ref="J4889">IFERROR(INDEX('Retirement Calculator'!K:K,MATCH('Lorri 401b'!N4889,'Retirement Calculator'!A:A,0),0),0)</f>
        <v>0</v>
      </c>
      <c r="K4889" s="455">
        <f t="shared" ca="1" si="178"/>
        <v>-1171991753870.6519</v>
      </c>
      <c r="L4889" s="455">
        <f t="shared" ca="1" si="179"/>
        <v>-282450012682827.13</v>
      </c>
      <c r="M4889" s="471">
        <f t="shared" si="181"/>
        <v>0.05</v>
      </c>
      <c r="N4889" s="475">
        <f t="shared" si="182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80"/>
        <v>-282450012682827.13</v>
      </c>
      <c r="J4890" s="455">
        <f t="array" ref="J4890">IFERROR(INDEX('Retirement Calculator'!K:K,MATCH('Lorri 401b'!N4890,'Retirement Calculator'!A:A,0),0),0)</f>
        <v>0</v>
      </c>
      <c r="K4890" s="455">
        <f t="shared" ca="1" si="178"/>
        <v>-1176875052845.113</v>
      </c>
      <c r="L4890" s="455">
        <f t="shared" ca="1" si="179"/>
        <v>-283626887735672.25</v>
      </c>
      <c r="M4890" s="471">
        <f t="shared" si="181"/>
        <v>0.05</v>
      </c>
      <c r="N4890" s="475">
        <f t="shared" si="182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80"/>
        <v>-283626887735672.25</v>
      </c>
      <c r="J4891" s="455">
        <f t="array" ref="J4891">IFERROR(INDEX('Retirement Calculator'!K:K,MATCH('Lorri 401b'!N4891,'Retirement Calculator'!A:A,0),0),0)</f>
        <v>0</v>
      </c>
      <c r="K4891" s="455">
        <f t="shared" ca="1" si="178"/>
        <v>-1181778698898.6343</v>
      </c>
      <c r="L4891" s="455">
        <f t="shared" ca="1" si="179"/>
        <v>-284808666434570.88</v>
      </c>
      <c r="M4891" s="471">
        <f t="shared" si="181"/>
        <v>0.05</v>
      </c>
      <c r="N4891" s="475">
        <f t="shared" si="182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80"/>
        <v>-284808666434570.88</v>
      </c>
      <c r="J4892" s="455">
        <f t="array" ref="J4892">IFERROR(INDEX('Retirement Calculator'!K:K,MATCH('Lorri 401b'!N4892,'Retirement Calculator'!A:A,0),0),0)</f>
        <v>0</v>
      </c>
      <c r="K4892" s="455">
        <f t="shared" ca="1" si="178"/>
        <v>-1186702776810.7119</v>
      </c>
      <c r="L4892" s="455">
        <f t="shared" ca="1" si="179"/>
        <v>-285995369211381.56</v>
      </c>
      <c r="M4892" s="471">
        <f t="shared" si="181"/>
        <v>0.05</v>
      </c>
      <c r="N4892" s="475">
        <f t="shared" si="182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80"/>
        <v>-285995369211381.56</v>
      </c>
      <c r="J4893" s="455">
        <f t="array" ref="J4893">IFERROR(INDEX('Retirement Calculator'!K:K,MATCH('Lorri 401b'!N4893,'Retirement Calculator'!A:A,0),0),0)</f>
        <v>0</v>
      </c>
      <c r="K4893" s="455">
        <f t="shared" ca="1" si="178"/>
        <v>-1191647371714.0898</v>
      </c>
      <c r="L4893" s="455">
        <f t="shared" ca="1" si="179"/>
        <v>-287187016583095.63</v>
      </c>
      <c r="M4893" s="471">
        <f t="shared" si="181"/>
        <v>0.05</v>
      </c>
      <c r="N4893" s="475">
        <f t="shared" si="182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80"/>
        <v>-287187016583095.63</v>
      </c>
      <c r="J4894" s="455">
        <f t="array" ref="J4894">IFERROR(INDEX('Retirement Calculator'!K:K,MATCH('Lorri 401b'!N4894,'Retirement Calculator'!A:A,0),0),0)</f>
        <v>0</v>
      </c>
      <c r="K4894" s="455">
        <f t="shared" ca="1" si="178"/>
        <v>-1196612569096.2317</v>
      </c>
      <c r="L4894" s="455">
        <f t="shared" ca="1" si="179"/>
        <v>-288383629152191.88</v>
      </c>
      <c r="M4894" s="471">
        <f t="shared" si="181"/>
        <v>0.05</v>
      </c>
      <c r="N4894" s="475">
        <f t="shared" si="182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80"/>
        <v>-288383629152191.88</v>
      </c>
      <c r="J4895" s="455">
        <f t="array" ref="J4895">IFERROR(INDEX('Retirement Calculator'!K:K,MATCH('Lorri 401b'!N4895,'Retirement Calculator'!A:A,0),0),0)</f>
        <v>0</v>
      </c>
      <c r="K4895" s="455">
        <f t="shared" ca="1" si="178"/>
        <v>-1201598454800.7996</v>
      </c>
      <c r="L4895" s="455">
        <f t="shared" ca="1" si="179"/>
        <v>-289585227606992.69</v>
      </c>
      <c r="M4895" s="471">
        <f t="shared" si="181"/>
        <v>0.05</v>
      </c>
      <c r="N4895" s="475">
        <f t="shared" si="182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80"/>
        <v>-289585227606992.69</v>
      </c>
      <c r="J4896" s="455">
        <f t="array" ref="J4896">IFERROR(INDEX('Retirement Calculator'!K:K,MATCH('Lorri 401b'!N4896,'Retirement Calculator'!A:A,0),0),0)</f>
        <v>0</v>
      </c>
      <c r="K4896" s="455">
        <f t="shared" ca="1" si="178"/>
        <v>-1206605115029.1362</v>
      </c>
      <c r="L4896" s="455">
        <f t="shared" ca="1" si="179"/>
        <v>-290791832722021.81</v>
      </c>
      <c r="M4896" s="471">
        <f t="shared" si="181"/>
        <v>0.05</v>
      </c>
      <c r="N4896" s="475">
        <f t="shared" si="182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80"/>
        <v>-290791832722021.81</v>
      </c>
      <c r="J4897" s="455">
        <f t="array" ref="J4897">IFERROR(INDEX('Retirement Calculator'!K:K,MATCH('Lorri 401b'!N4897,'Retirement Calculator'!A:A,0),0),0)</f>
        <v>0</v>
      </c>
      <c r="K4897" s="455">
        <f t="shared" ca="1" si="178"/>
        <v>-1211632636341.7576</v>
      </c>
      <c r="L4897" s="455">
        <f t="shared" ca="1" si="179"/>
        <v>-292003465358363.56</v>
      </c>
      <c r="M4897" s="471">
        <f t="shared" si="181"/>
        <v>0.05</v>
      </c>
      <c r="N4897" s="475">
        <f t="shared" si="182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80"/>
        <v>-292003465358363.56</v>
      </c>
      <c r="J4898" s="455">
        <f t="array" ref="J4898">IFERROR(INDEX('Retirement Calculator'!K:K,MATCH('Lorri 401b'!N4898,'Retirement Calculator'!A:A,0),0),0)</f>
        <v>0</v>
      </c>
      <c r="K4898" s="455">
        <f t="shared" ca="1" si="178"/>
        <v>-1216681105659.8481</v>
      </c>
      <c r="L4898" s="455">
        <f t="shared" ca="1" si="179"/>
        <v>-293220146464023.44</v>
      </c>
      <c r="M4898" s="471">
        <f t="shared" si="181"/>
        <v>0.05</v>
      </c>
      <c r="N4898" s="475">
        <f t="shared" si="182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80"/>
        <v>-293220146464023.44</v>
      </c>
      <c r="J4899" s="455">
        <f t="array" ref="J4899">IFERROR(INDEX('Retirement Calculator'!K:K,MATCH('Lorri 401b'!N4899,'Retirement Calculator'!A:A,0),0),0)</f>
        <v>0</v>
      </c>
      <c r="K4899" s="455">
        <f t="shared" ca="1" si="178"/>
        <v>-1221750610266.7644</v>
      </c>
      <c r="L4899" s="455">
        <f t="shared" ca="1" si="179"/>
        <v>-294441897074290.19</v>
      </c>
      <c r="M4899" s="471">
        <f t="shared" si="181"/>
        <v>0.05</v>
      </c>
      <c r="N4899" s="475">
        <f t="shared" si="182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80"/>
        <v>-294441897074290.19</v>
      </c>
      <c r="J4900" s="455">
        <f t="array" ref="J4900">IFERROR(INDEX('Retirement Calculator'!K:K,MATCH('Lorri 401b'!N4900,'Retirement Calculator'!A:A,0),0),0)</f>
        <v>0</v>
      </c>
      <c r="K4900" s="455">
        <f t="shared" ca="1" si="178"/>
        <v>-1226841237809.5425</v>
      </c>
      <c r="L4900" s="455">
        <f t="shared" ca="1" si="179"/>
        <v>-295668738312099.75</v>
      </c>
      <c r="M4900" s="471">
        <f t="shared" si="181"/>
        <v>0.05</v>
      </c>
      <c r="N4900" s="475">
        <f t="shared" si="182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80"/>
        <v>-295668738312099.75</v>
      </c>
      <c r="J4901" s="455">
        <f t="array" ref="J4901">IFERROR(INDEX('Retirement Calculator'!K:K,MATCH('Lorri 401b'!N4901,'Retirement Calculator'!A:A,0),0),0)</f>
        <v>0</v>
      </c>
      <c r="K4901" s="455">
        <f t="shared" ca="1" si="178"/>
        <v>-1231953076300.4155</v>
      </c>
      <c r="L4901" s="455">
        <f t="shared" ca="1" si="179"/>
        <v>-296900691388400.19</v>
      </c>
      <c r="M4901" s="471">
        <f t="shared" si="181"/>
        <v>0.05</v>
      </c>
      <c r="N4901" s="475">
        <f t="shared" si="182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80"/>
        <v>-296900691388400.19</v>
      </c>
      <c r="J4902" s="455">
        <f t="array" ref="J4902">IFERROR(INDEX('Retirement Calculator'!K:K,MATCH('Lorri 401b'!N4902,'Retirement Calculator'!A:A,0),0),0)</f>
        <v>0</v>
      </c>
      <c r="K4902" s="455">
        <f t="shared" ca="1" si="178"/>
        <v>-1237086214118.334</v>
      </c>
      <c r="L4902" s="455">
        <f t="shared" ca="1" si="179"/>
        <v>-298137777602518.5</v>
      </c>
      <c r="M4902" s="471">
        <f t="shared" si="181"/>
        <v>0.05</v>
      </c>
      <c r="N4902" s="475">
        <f t="shared" si="182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80"/>
        <v>-298137777602518.5</v>
      </c>
      <c r="J4903" s="455">
        <f t="array" ref="J4903">IFERROR(INDEX('Retirement Calculator'!K:K,MATCH('Lorri 401b'!N4903,'Retirement Calculator'!A:A,0),0),0)</f>
        <v>0</v>
      </c>
      <c r="K4903" s="455">
        <f t="shared" ca="1" si="178"/>
        <v>-1242240740010.4937</v>
      </c>
      <c r="L4903" s="455">
        <f t="shared" ca="1" si="179"/>
        <v>-299380018342529</v>
      </c>
      <c r="M4903" s="471">
        <f t="shared" si="181"/>
        <v>0.05</v>
      </c>
      <c r="N4903" s="475">
        <f t="shared" si="182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80"/>
        <v>-299380018342529</v>
      </c>
      <c r="J4904" s="455">
        <f t="array" ref="J4904">IFERROR(INDEX('Retirement Calculator'!K:K,MATCH('Lorri 401b'!N4904,'Retirement Calculator'!A:A,0),0),0)</f>
        <v>0</v>
      </c>
      <c r="K4904" s="455">
        <f t="shared" ca="1" si="178"/>
        <v>-1247416743093.8708</v>
      </c>
      <c r="L4904" s="455">
        <f t="shared" ca="1" si="179"/>
        <v>-300627435085622.88</v>
      </c>
      <c r="M4904" s="471">
        <f t="shared" si="181"/>
        <v>0.05</v>
      </c>
      <c r="N4904" s="475">
        <f t="shared" si="182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80"/>
        <v>-300627435085622.88</v>
      </c>
      <c r="J4905" s="455">
        <f t="array" ref="J4905">IFERROR(INDEX('Retirement Calculator'!K:K,MATCH('Lorri 401b'!N4905,'Retirement Calculator'!A:A,0),0),0)</f>
        <v>0</v>
      </c>
      <c r="K4905" s="455">
        <f t="shared" ca="1" si="178"/>
        <v>-1252614312856.762</v>
      </c>
      <c r="L4905" s="455">
        <f t="shared" ca="1" si="179"/>
        <v>-301880049398479.63</v>
      </c>
      <c r="M4905" s="471">
        <f t="shared" si="181"/>
        <v>0.05</v>
      </c>
      <c r="N4905" s="475">
        <f t="shared" si="182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80"/>
        <v>-301880049398479.63</v>
      </c>
      <c r="J4906" s="455">
        <f t="array" ref="J4906">IFERROR(INDEX('Retirement Calculator'!K:K,MATCH('Lorri 401b'!N4906,'Retirement Calculator'!A:A,0),0),0)</f>
        <v>0</v>
      </c>
      <c r="K4906" s="455">
        <f t="shared" ca="1" si="178"/>
        <v>-1257833539160.3318</v>
      </c>
      <c r="L4906" s="455">
        <f t="shared" ca="1" si="179"/>
        <v>-303137882937639.94</v>
      </c>
      <c r="M4906" s="471">
        <f t="shared" si="181"/>
        <v>0.05</v>
      </c>
      <c r="N4906" s="475">
        <f t="shared" si="182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80"/>
        <v>-303137882937639.94</v>
      </c>
      <c r="J4907" s="455">
        <f t="array" ref="J4907">IFERROR(INDEX('Retirement Calculator'!K:K,MATCH('Lorri 401b'!N4907,'Retirement Calculator'!A:A,0),0),0)</f>
        <v>0</v>
      </c>
      <c r="K4907" s="455">
        <f t="shared" ca="1" si="178"/>
        <v>-1263074512240.1665</v>
      </c>
      <c r="L4907" s="455">
        <f t="shared" ca="1" si="179"/>
        <v>-304400957449880.13</v>
      </c>
      <c r="M4907" s="471">
        <f t="shared" si="181"/>
        <v>0.05</v>
      </c>
      <c r="N4907" s="475">
        <f t="shared" si="182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80"/>
        <v>-304400957449880.13</v>
      </c>
      <c r="J4908" s="455">
        <f t="array" ref="J4908">IFERROR(INDEX('Retirement Calculator'!K:K,MATCH('Lorri 401b'!N4908,'Retirement Calculator'!A:A,0),0),0)</f>
        <v>0</v>
      </c>
      <c r="K4908" s="455">
        <f t="shared" ca="1" si="178"/>
        <v>-1268337322707.8337</v>
      </c>
      <c r="L4908" s="455">
        <f t="shared" ca="1" si="179"/>
        <v>-305669294772587.94</v>
      </c>
      <c r="M4908" s="471">
        <f t="shared" si="181"/>
        <v>0.05</v>
      </c>
      <c r="N4908" s="475">
        <f t="shared" si="182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80"/>
        <v>-305669294772587.94</v>
      </c>
      <c r="J4909" s="455">
        <f t="array" ref="J4909">IFERROR(INDEX('Retirement Calculator'!K:K,MATCH('Lorri 401b'!N4909,'Retirement Calculator'!A:A,0),0),0)</f>
        <v>0</v>
      </c>
      <c r="K4909" s="455">
        <f t="shared" ca="1" si="178"/>
        <v>-1273622061552.4497</v>
      </c>
      <c r="L4909" s="455">
        <f t="shared" ca="1" si="179"/>
        <v>-306942916834140.38</v>
      </c>
      <c r="M4909" s="471">
        <f t="shared" si="181"/>
        <v>0.05</v>
      </c>
      <c r="N4909" s="475">
        <f t="shared" si="182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80"/>
        <v>-306942916834140.38</v>
      </c>
      <c r="J4910" s="455">
        <f t="array" ref="J4910">IFERROR(INDEX('Retirement Calculator'!K:K,MATCH('Lorri 401b'!N4910,'Retirement Calculator'!A:A,0),0),0)</f>
        <v>0</v>
      </c>
      <c r="K4910" s="455">
        <f t="shared" ca="1" si="178"/>
        <v>-1278928820142.2515</v>
      </c>
      <c r="L4910" s="455">
        <f t="shared" ca="1" si="179"/>
        <v>-308221845654282.63</v>
      </c>
      <c r="M4910" s="471">
        <f t="shared" si="181"/>
        <v>0.05</v>
      </c>
      <c r="N4910" s="475">
        <f t="shared" si="182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80"/>
        <v>-308221845654282.63</v>
      </c>
      <c r="J4911" s="455">
        <f t="array" ref="J4911">IFERROR(INDEX('Retirement Calculator'!K:K,MATCH('Lorri 401b'!N4911,'Retirement Calculator'!A:A,0),0),0)</f>
        <v>0</v>
      </c>
      <c r="K4911" s="455">
        <f t="shared" ca="1" si="178"/>
        <v>-1284257690226.1775</v>
      </c>
      <c r="L4911" s="455">
        <f t="shared" ca="1" si="179"/>
        <v>-309506103344508.81</v>
      </c>
      <c r="M4911" s="471">
        <f t="shared" si="181"/>
        <v>0.05</v>
      </c>
      <c r="N4911" s="475">
        <f t="shared" si="182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80"/>
        <v>-309506103344508.81</v>
      </c>
      <c r="J4912" s="455">
        <f t="array" ref="J4912">IFERROR(INDEX('Retirement Calculator'!K:K,MATCH('Lorri 401b'!N4912,'Retirement Calculator'!A:A,0),0),0)</f>
        <v>0</v>
      </c>
      <c r="K4912" s="455">
        <f t="shared" ca="1" si="178"/>
        <v>-1289608763935.4534</v>
      </c>
      <c r="L4912" s="455">
        <f t="shared" ca="1" si="179"/>
        <v>-310795712108444.25</v>
      </c>
      <c r="M4912" s="471">
        <f t="shared" si="181"/>
        <v>0.05</v>
      </c>
      <c r="N4912" s="475">
        <f t="shared" si="182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80"/>
        <v>-310795712108444.25</v>
      </c>
      <c r="J4913" s="455">
        <f t="array" ref="J4913">IFERROR(INDEX('Retirement Calculator'!K:K,MATCH('Lorri 401b'!N4913,'Retirement Calculator'!A:A,0),0),0)</f>
        <v>0</v>
      </c>
      <c r="K4913" s="455">
        <f t="shared" ca="1" si="178"/>
        <v>-1294982133785.1843</v>
      </c>
      <c r="L4913" s="455">
        <f t="shared" ca="1" si="179"/>
        <v>-312090694242229.44</v>
      </c>
      <c r="M4913" s="471">
        <f t="shared" si="181"/>
        <v>0.05</v>
      </c>
      <c r="N4913" s="475">
        <f t="shared" si="182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80"/>
        <v>-312090694242229.44</v>
      </c>
      <c r="J4914" s="455">
        <f t="array" ref="J4914">IFERROR(INDEX('Retirement Calculator'!K:K,MATCH('Lorri 401b'!N4914,'Retirement Calculator'!A:A,0),0),0)</f>
        <v>0</v>
      </c>
      <c r="K4914" s="455">
        <f t="shared" ca="1" si="178"/>
        <v>-1300377892675.9561</v>
      </c>
      <c r="L4914" s="455">
        <f t="shared" ca="1" si="179"/>
        <v>-313391072134905.38</v>
      </c>
      <c r="M4914" s="471">
        <f t="shared" si="181"/>
        <v>0.05</v>
      </c>
      <c r="N4914" s="475">
        <f t="shared" si="182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80"/>
        <v>-313391072134905.38</v>
      </c>
      <c r="J4915" s="455">
        <f t="array" ref="J4915">IFERROR(INDEX('Retirement Calculator'!K:K,MATCH('Lorri 401b'!N4915,'Retirement Calculator'!A:A,0),0),0)</f>
        <v>0</v>
      </c>
      <c r="K4915" s="455">
        <f t="shared" ca="1" si="178"/>
        <v>-1305796133895.439</v>
      </c>
      <c r="L4915" s="455">
        <f t="shared" ca="1" si="179"/>
        <v>-314696868268800.81</v>
      </c>
      <c r="M4915" s="471">
        <f t="shared" si="181"/>
        <v>0.05</v>
      </c>
      <c r="N4915" s="475">
        <f t="shared" si="182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80"/>
        <v>-314696868268800.81</v>
      </c>
      <c r="J4916" s="455">
        <f t="array" ref="J4916">IFERROR(INDEX('Retirement Calculator'!K:K,MATCH('Lorri 401b'!N4916,'Retirement Calculator'!A:A,0),0),0)</f>
        <v>0</v>
      </c>
      <c r="K4916" s="455">
        <f t="shared" ca="1" si="178"/>
        <v>-1311236951120.0034</v>
      </c>
      <c r="L4916" s="455">
        <f t="shared" ca="1" si="179"/>
        <v>-316008105219920.81</v>
      </c>
      <c r="M4916" s="471">
        <f t="shared" si="181"/>
        <v>0.05</v>
      </c>
      <c r="N4916" s="475">
        <f t="shared" si="182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80"/>
        <v>-316008105219920.81</v>
      </c>
      <c r="J4917" s="455">
        <f t="array" ref="J4917">IFERROR(INDEX('Retirement Calculator'!K:K,MATCH('Lorri 401b'!N4917,'Retirement Calculator'!A:A,0),0),0)</f>
        <v>0</v>
      </c>
      <c r="K4917" s="455">
        <f t="shared" ca="1" si="178"/>
        <v>-1316700438416.3367</v>
      </c>
      <c r="L4917" s="455">
        <f t="shared" ca="1" si="179"/>
        <v>-317324805658337.13</v>
      </c>
      <c r="M4917" s="471">
        <f t="shared" si="181"/>
        <v>0.05</v>
      </c>
      <c r="N4917" s="475">
        <f t="shared" si="182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80"/>
        <v>-317324805658337.13</v>
      </c>
      <c r="J4918" s="455">
        <f t="array" ref="J4918">IFERROR(INDEX('Retirement Calculator'!K:K,MATCH('Lorri 401b'!N4918,'Retirement Calculator'!A:A,0),0),0)</f>
        <v>0</v>
      </c>
      <c r="K4918" s="455">
        <f t="shared" ca="1" si="178"/>
        <v>-1322186690243.0713</v>
      </c>
      <c r="L4918" s="455">
        <f t="shared" ca="1" si="179"/>
        <v>-318646992348580.19</v>
      </c>
      <c r="M4918" s="471">
        <f t="shared" si="181"/>
        <v>0.05</v>
      </c>
      <c r="N4918" s="475">
        <f t="shared" si="182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80"/>
        <v>-318646992348580.19</v>
      </c>
      <c r="J4919" s="455">
        <f t="array" ref="J4919">IFERROR(INDEX('Retirement Calculator'!K:K,MATCH('Lorri 401b'!N4919,'Retirement Calculator'!A:A,0),0),0)</f>
        <v>0</v>
      </c>
      <c r="K4919" s="455">
        <f t="shared" ca="1" si="178"/>
        <v>-1327695801452.4175</v>
      </c>
      <c r="L4919" s="455">
        <f t="shared" ca="1" si="179"/>
        <v>-319974688150032.63</v>
      </c>
      <c r="M4919" s="471">
        <f t="shared" si="181"/>
        <v>0.05</v>
      </c>
      <c r="N4919" s="475">
        <f t="shared" si="182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80"/>
        <v>-319974688150032.63</v>
      </c>
      <c r="J4920" s="455">
        <f t="array" ref="J4920">IFERROR(INDEX('Retirement Calculator'!K:K,MATCH('Lorri 401b'!N4920,'Retirement Calculator'!A:A,0),0),0)</f>
        <v>0</v>
      </c>
      <c r="K4920" s="455">
        <f t="shared" ca="1" si="178"/>
        <v>-1333227867291.8025</v>
      </c>
      <c r="L4920" s="455">
        <f t="shared" ca="1" si="179"/>
        <v>-321307916017324.44</v>
      </c>
      <c r="M4920" s="471">
        <f t="shared" si="181"/>
        <v>0.05</v>
      </c>
      <c r="N4920" s="475">
        <f t="shared" si="182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80"/>
        <v>-321307916017324.44</v>
      </c>
      <c r="J4921" s="455">
        <f t="array" ref="J4921">IFERROR(INDEX('Retirement Calculator'!K:K,MATCH('Lorri 401b'!N4921,'Retirement Calculator'!A:A,0),0),0)</f>
        <v>0</v>
      </c>
      <c r="K4921" s="455">
        <f t="shared" ca="1" si="178"/>
        <v>-1338782983405.5186</v>
      </c>
      <c r="L4921" s="455">
        <f t="shared" ca="1" si="179"/>
        <v>-322646699000729.94</v>
      </c>
      <c r="M4921" s="471">
        <f t="shared" si="181"/>
        <v>0.05</v>
      </c>
      <c r="N4921" s="475">
        <f t="shared" si="182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80"/>
        <v>-322646699000729.94</v>
      </c>
      <c r="J4922" s="455">
        <f t="array" ref="J4922">IFERROR(INDEX('Retirement Calculator'!K:K,MATCH('Lorri 401b'!N4922,'Retirement Calculator'!A:A,0),0),0)</f>
        <v>0</v>
      </c>
      <c r="K4922" s="455">
        <f t="shared" ca="1" si="178"/>
        <v>-1344361245836.3748</v>
      </c>
      <c r="L4922" s="455">
        <f t="shared" ca="1" si="179"/>
        <v>-323991060246566.31</v>
      </c>
      <c r="M4922" s="471">
        <f t="shared" si="181"/>
        <v>0.05</v>
      </c>
      <c r="N4922" s="475">
        <f t="shared" si="182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80"/>
        <v>-323991060246566.31</v>
      </c>
      <c r="J4923" s="455">
        <f t="array" ref="J4923">IFERROR(INDEX('Retirement Calculator'!K:K,MATCH('Lorri 401b'!N4923,'Retirement Calculator'!A:A,0),0),0)</f>
        <v>0</v>
      </c>
      <c r="K4923" s="455">
        <f t="shared" ca="1" si="178"/>
        <v>-1349962751027.3596</v>
      </c>
      <c r="L4923" s="455">
        <f t="shared" ca="1" si="179"/>
        <v>-325341022997593.69</v>
      </c>
      <c r="M4923" s="471">
        <f t="shared" si="181"/>
        <v>0.05</v>
      </c>
      <c r="N4923" s="475">
        <f t="shared" si="182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80"/>
        <v>-325341022997593.69</v>
      </c>
      <c r="J4924" s="455">
        <f t="array" ref="J4924">IFERROR(INDEX('Retirement Calculator'!K:K,MATCH('Lorri 401b'!N4924,'Retirement Calculator'!A:A,0),0),0)</f>
        <v>0</v>
      </c>
      <c r="K4924" s="455">
        <f t="shared" ca="1" si="178"/>
        <v>-1355587595823.3071</v>
      </c>
      <c r="L4924" s="455">
        <f t="shared" ca="1" si="179"/>
        <v>-326696610593417</v>
      </c>
      <c r="M4924" s="471">
        <f t="shared" si="181"/>
        <v>0.05</v>
      </c>
      <c r="N4924" s="475">
        <f t="shared" si="182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80"/>
        <v>-326696610593417</v>
      </c>
      <c r="J4925" s="455">
        <f t="array" ref="J4925">IFERROR(INDEX('Retirement Calculator'!K:K,MATCH('Lorri 401b'!N4925,'Retirement Calculator'!A:A,0),0),0)</f>
        <v>0</v>
      </c>
      <c r="K4925" s="455">
        <f t="shared" ca="1" si="178"/>
        <v>-1361235877472.5708</v>
      </c>
      <c r="L4925" s="455">
        <f t="shared" ca="1" si="179"/>
        <v>-328057846470889.56</v>
      </c>
      <c r="M4925" s="471">
        <f t="shared" si="181"/>
        <v>0.05</v>
      </c>
      <c r="N4925" s="475">
        <f t="shared" si="182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80"/>
        <v>-328057846470889.56</v>
      </c>
      <c r="J4926" s="455">
        <f t="array" ref="J4926">IFERROR(INDEX('Retirement Calculator'!K:K,MATCH('Lorri 401b'!N4926,'Retirement Calculator'!A:A,0),0),0)</f>
        <v>0</v>
      </c>
      <c r="K4926" s="455">
        <f t="shared" ca="1" si="178"/>
        <v>-1366907693628.7065</v>
      </c>
      <c r="L4926" s="455">
        <f t="shared" ca="1" si="179"/>
        <v>-329424754164518.25</v>
      </c>
      <c r="M4926" s="471">
        <f t="shared" si="181"/>
        <v>0.05</v>
      </c>
      <c r="N4926" s="475">
        <f t="shared" si="182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80"/>
        <v>-329424754164518.25</v>
      </c>
      <c r="J4927" s="455">
        <f t="array" ref="J4927">IFERROR(INDEX('Retirement Calculator'!K:K,MATCH('Lorri 401b'!N4927,'Retirement Calculator'!A:A,0),0),0)</f>
        <v>0</v>
      </c>
      <c r="K4927" s="455">
        <f t="shared" ca="1" si="178"/>
        <v>-1372603142352.1594</v>
      </c>
      <c r="L4927" s="455">
        <f t="shared" ca="1" si="179"/>
        <v>-330797357306870.44</v>
      </c>
      <c r="M4927" s="471">
        <f t="shared" si="181"/>
        <v>0.05</v>
      </c>
      <c r="N4927" s="475">
        <f t="shared" si="182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80"/>
        <v>-330797357306870.44</v>
      </c>
      <c r="J4928" s="455">
        <f t="array" ref="J4928">IFERROR(INDEX('Retirement Calculator'!K:K,MATCH('Lorri 401b'!N4928,'Retirement Calculator'!A:A,0),0),0)</f>
        <v>0</v>
      </c>
      <c r="K4928" s="455">
        <f t="shared" ca="1" si="178"/>
        <v>-1378322322111.9602</v>
      </c>
      <c r="L4928" s="455">
        <f t="shared" ca="1" si="179"/>
        <v>-332175679628982.38</v>
      </c>
      <c r="M4928" s="471">
        <f t="shared" si="181"/>
        <v>0.05</v>
      </c>
      <c r="N4928" s="475">
        <f t="shared" si="182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80"/>
        <v>-332175679628982.38</v>
      </c>
      <c r="J4929" s="455">
        <f t="array" ref="J4929">IFERROR(INDEX('Retirement Calculator'!K:K,MATCH('Lorri 401b'!N4929,'Retirement Calculator'!A:A,0),0),0)</f>
        <v>0</v>
      </c>
      <c r="K4929" s="455">
        <f t="shared" ca="1" si="178"/>
        <v>-1384065331787.4265</v>
      </c>
      <c r="L4929" s="455">
        <f t="shared" ca="1" si="179"/>
        <v>-333559744960769.81</v>
      </c>
      <c r="M4929" s="471">
        <f t="shared" si="181"/>
        <v>0.05</v>
      </c>
      <c r="N4929" s="475">
        <f t="shared" si="182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80"/>
        <v>-333559744960769.81</v>
      </c>
      <c r="J4930" s="455">
        <f t="array" ref="J4930">IFERROR(INDEX('Retirement Calculator'!K:K,MATCH('Lorri 401b'!N4930,'Retirement Calculator'!A:A,0),0),0)</f>
        <v>0</v>
      </c>
      <c r="K4930" s="455">
        <f t="shared" ca="1" si="178"/>
        <v>-1389832270669.8743</v>
      </c>
      <c r="L4930" s="455">
        <f t="shared" ca="1" si="179"/>
        <v>-334949577231439.69</v>
      </c>
      <c r="M4930" s="471">
        <f t="shared" si="181"/>
        <v>0.05</v>
      </c>
      <c r="N4930" s="475">
        <f t="shared" si="182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80"/>
        <v>-334949577231439.69</v>
      </c>
      <c r="J4931" s="455">
        <f t="array" ref="J4931">IFERROR(INDEX('Retirement Calculator'!K:K,MATCH('Lorri 401b'!N4931,'Retirement Calculator'!A:A,0),0),0)</f>
        <v>0</v>
      </c>
      <c r="K4931" s="455">
        <f t="shared" ca="1" si="178"/>
        <v>-1395623238464.332</v>
      </c>
      <c r="L4931" s="455">
        <f t="shared" ca="1" si="179"/>
        <v>-336345200469904</v>
      </c>
      <c r="M4931" s="471">
        <f t="shared" si="181"/>
        <v>0.05</v>
      </c>
      <c r="N4931" s="475">
        <f t="shared" si="182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80"/>
        <v>-336345200469904</v>
      </c>
      <c r="J4932" s="455">
        <f t="array" ref="J4932">IFERROR(INDEX('Retirement Calculator'!K:K,MATCH('Lorri 401b'!N4932,'Retirement Calculator'!A:A,0),0),0)</f>
        <v>0</v>
      </c>
      <c r="K4932" s="455">
        <f t="shared" ca="1" si="178"/>
        <v>-1401438335291.2666</v>
      </c>
      <c r="L4932" s="455">
        <f t="shared" ca="1" si="179"/>
        <v>-337746638805195.25</v>
      </c>
      <c r="M4932" s="471">
        <f t="shared" si="181"/>
        <v>0.05</v>
      </c>
      <c r="N4932" s="475">
        <f t="shared" si="182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80"/>
        <v>-337746638805195.25</v>
      </c>
      <c r="J4933" s="455">
        <f t="array" ref="J4933">IFERROR(INDEX('Retirement Calculator'!K:K,MATCH('Lorri 401b'!N4933,'Retirement Calculator'!A:A,0),0),0)</f>
        <v>0</v>
      </c>
      <c r="K4933" s="455">
        <f t="shared" ca="1" si="178"/>
        <v>-1407277661688.3135</v>
      </c>
      <c r="L4933" s="455">
        <f t="shared" ca="1" si="179"/>
        <v>-339153916466883.56</v>
      </c>
      <c r="M4933" s="471">
        <f t="shared" si="181"/>
        <v>0.05</v>
      </c>
      <c r="N4933" s="475">
        <f t="shared" si="182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80"/>
        <v>-339153916466883.56</v>
      </c>
      <c r="J4934" s="455">
        <f t="array" ref="J4934">IFERROR(INDEX('Retirement Calculator'!K:K,MATCH('Lorri 401b'!N4934,'Retirement Calculator'!A:A,0),0),0)</f>
        <v>0</v>
      </c>
      <c r="K4934" s="455">
        <f t="shared" ca="1" si="178"/>
        <v>-1413141318612.0149</v>
      </c>
      <c r="L4934" s="455">
        <f t="shared" ca="1" si="179"/>
        <v>-340567057785495.56</v>
      </c>
      <c r="M4934" s="471">
        <f t="shared" si="181"/>
        <v>0.05</v>
      </c>
      <c r="N4934" s="475">
        <f t="shared" si="182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80"/>
        <v>-340567057785495.56</v>
      </c>
      <c r="J4935" s="455">
        <f t="array" ref="J4935">IFERROR(INDEX('Retirement Calculator'!K:K,MATCH('Lorri 401b'!N4935,'Retirement Calculator'!A:A,0),0),0)</f>
        <v>0</v>
      </c>
      <c r="K4935" s="455">
        <f t="shared" ca="1" si="178"/>
        <v>-1419029407439.5649</v>
      </c>
      <c r="L4935" s="455">
        <f t="shared" ca="1" si="179"/>
        <v>-341986087192935.13</v>
      </c>
      <c r="M4935" s="471">
        <f t="shared" si="181"/>
        <v>0.05</v>
      </c>
      <c r="N4935" s="475">
        <f t="shared" si="182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80"/>
        <v>-341986087192935.13</v>
      </c>
      <c r="J4936" s="455">
        <f t="array" ref="J4936">IFERROR(INDEX('Retirement Calculator'!K:K,MATCH('Lorri 401b'!N4936,'Retirement Calculator'!A:A,0),0),0)</f>
        <v>0</v>
      </c>
      <c r="K4936" s="455">
        <f t="shared" ca="1" si="178"/>
        <v>-1424942029970.563</v>
      </c>
      <c r="L4936" s="455">
        <f t="shared" ca="1" si="179"/>
        <v>-343411029222905.69</v>
      </c>
      <c r="M4936" s="471">
        <f t="shared" si="181"/>
        <v>0.05</v>
      </c>
      <c r="N4936" s="475">
        <f t="shared" si="182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80"/>
        <v>-343411029222905.69</v>
      </c>
      <c r="J4937" s="455">
        <f t="array" ref="J4937">IFERROR(INDEX('Retirement Calculator'!K:K,MATCH('Lorri 401b'!N4937,'Retirement Calculator'!A:A,0),0),0)</f>
        <v>0</v>
      </c>
      <c r="K4937" s="455">
        <f t="shared" ca="1" si="178"/>
        <v>-1430879288428.7737</v>
      </c>
      <c r="L4937" s="455">
        <f t="shared" ca="1" si="179"/>
        <v>-344841908511334.44</v>
      </c>
      <c r="M4937" s="471">
        <f t="shared" si="181"/>
        <v>0.05</v>
      </c>
      <c r="N4937" s="475">
        <f t="shared" si="182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80"/>
        <v>-344841908511334.44</v>
      </c>
      <c r="J4938" s="455">
        <f t="array" ref="J4938">IFERROR(INDEX('Retirement Calculator'!K:K,MATCH('Lorri 401b'!N4938,'Retirement Calculator'!A:A,0),0),0)</f>
        <v>0</v>
      </c>
      <c r="K4938" s="455">
        <f t="shared" ca="1" si="178"/>
        <v>-1436841285463.8936</v>
      </c>
      <c r="L4938" s="455">
        <f t="shared" ca="1" si="179"/>
        <v>-346278749796798.31</v>
      </c>
      <c r="M4938" s="471">
        <f t="shared" si="181"/>
        <v>0.05</v>
      </c>
      <c r="N4938" s="475">
        <f t="shared" si="182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80"/>
        <v>-346278749796798.31</v>
      </c>
      <c r="J4939" s="455">
        <f t="array" ref="J4939">IFERROR(INDEX('Retirement Calculator'!K:K,MATCH('Lorri 401b'!N4939,'Retirement Calculator'!A:A,0),0),0)</f>
        <v>0</v>
      </c>
      <c r="K4939" s="455">
        <f t="shared" ca="1" si="178"/>
        <v>-1442828124153.3262</v>
      </c>
      <c r="L4939" s="455">
        <f t="shared" ca="1" si="179"/>
        <v>-347721577920951.63</v>
      </c>
      <c r="M4939" s="471">
        <f t="shared" si="181"/>
        <v>0.05</v>
      </c>
      <c r="N4939" s="475">
        <f t="shared" si="182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80"/>
        <v>-347721577920951.63</v>
      </c>
      <c r="J4940" s="455">
        <f t="array" ref="J4940">IFERROR(INDEX('Retirement Calculator'!K:K,MATCH('Lorri 401b'!N4940,'Retirement Calculator'!A:A,0),0),0)</f>
        <v>0</v>
      </c>
      <c r="K4940" s="455">
        <f t="shared" ca="1" si="178"/>
        <v>-1448839908003.9651</v>
      </c>
      <c r="L4940" s="455">
        <f t="shared" ca="1" si="179"/>
        <v>-349170417828955.56</v>
      </c>
      <c r="M4940" s="471">
        <f t="shared" si="181"/>
        <v>0.05</v>
      </c>
      <c r="N4940" s="475">
        <f t="shared" si="182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80"/>
        <v>-349170417828955.56</v>
      </c>
      <c r="J4941" s="455">
        <f t="array" ref="J4941">IFERROR(INDEX('Retirement Calculator'!K:K,MATCH('Lorri 401b'!N4941,'Retirement Calculator'!A:A,0),0),0)</f>
        <v>0</v>
      </c>
      <c r="K4941" s="455">
        <f t="shared" ca="1" si="178"/>
        <v>-1454876740953.9814</v>
      </c>
      <c r="L4941" s="455">
        <f t="shared" ca="1" si="179"/>
        <v>-350625294569909.56</v>
      </c>
      <c r="M4941" s="471">
        <f t="shared" si="181"/>
        <v>0.05</v>
      </c>
      <c r="N4941" s="475">
        <f t="shared" si="182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80"/>
        <v>-350625294569909.56</v>
      </c>
      <c r="J4942" s="455">
        <f t="array" ref="J4942">IFERROR(INDEX('Retirement Calculator'!K:K,MATCH('Lorri 401b'!N4942,'Retirement Calculator'!A:A,0),0),0)</f>
        <v>0</v>
      </c>
      <c r="K4942" s="455">
        <f t="shared" ca="1" si="178"/>
        <v>-1460938727374.623</v>
      </c>
      <c r="L4942" s="455">
        <f t="shared" ca="1" si="179"/>
        <v>-352086233297284.19</v>
      </c>
      <c r="M4942" s="471">
        <f t="shared" si="181"/>
        <v>0.05</v>
      </c>
      <c r="N4942" s="475">
        <f t="shared" si="182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80"/>
        <v>-352086233297284.19</v>
      </c>
      <c r="J4943" s="455">
        <f t="array" ref="J4943">IFERROR(INDEX('Retirement Calculator'!K:K,MATCH('Lorri 401b'!N4943,'Retirement Calculator'!A:A,0),0),0)</f>
        <v>0</v>
      </c>
      <c r="K4943" s="455">
        <f t="shared" ca="1" si="178"/>
        <v>-1467025972072.0173</v>
      </c>
      <c r="L4943" s="455">
        <f t="shared" ca="1" si="179"/>
        <v>-353553259269356.19</v>
      </c>
      <c r="M4943" s="471">
        <f t="shared" si="181"/>
        <v>0.05</v>
      </c>
      <c r="N4943" s="475">
        <f t="shared" si="182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80"/>
        <v>-353553259269356.19</v>
      </c>
      <c r="J4944" s="455">
        <f t="array" ref="J4944">IFERROR(INDEX('Retirement Calculator'!K:K,MATCH('Lorri 401b'!N4944,'Retirement Calculator'!A:A,0),0),0)</f>
        <v>0</v>
      </c>
      <c r="K4944" s="455">
        <f t="shared" ca="1" si="178"/>
        <v>-1473138580288.9841</v>
      </c>
      <c r="L4944" s="455">
        <f t="shared" ca="1" si="179"/>
        <v>-355026397849645.19</v>
      </c>
      <c r="M4944" s="471">
        <f t="shared" si="181"/>
        <v>0.05</v>
      </c>
      <c r="N4944" s="475">
        <f t="shared" si="182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80"/>
        <v>-355026397849645.19</v>
      </c>
      <c r="J4945" s="455">
        <f t="array" ref="J4945">IFERROR(INDEX('Retirement Calculator'!K:K,MATCH('Lorri 401b'!N4945,'Retirement Calculator'!A:A,0),0),0)</f>
        <v>0</v>
      </c>
      <c r="K4945" s="455">
        <f t="shared" ca="1" si="178"/>
        <v>-1479276657706.855</v>
      </c>
      <c r="L4945" s="455">
        <f t="shared" ca="1" si="179"/>
        <v>-356505674507352.06</v>
      </c>
      <c r="M4945" s="471">
        <f t="shared" si="181"/>
        <v>0.05</v>
      </c>
      <c r="N4945" s="475">
        <f t="shared" si="182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80"/>
        <v>-356505674507352.06</v>
      </c>
      <c r="J4946" s="455">
        <f t="array" ref="J4946">IFERROR(INDEX('Retirement Calculator'!K:K,MATCH('Lorri 401b'!N4946,'Retirement Calculator'!A:A,0),0),0)</f>
        <v>0</v>
      </c>
      <c r="K4946" s="455">
        <f t="shared" ca="1" si="178"/>
        <v>-1485440310447.3003</v>
      </c>
      <c r="L4946" s="455">
        <f t="shared" ca="1" si="179"/>
        <v>-357991114817799.38</v>
      </c>
      <c r="M4946" s="471">
        <f t="shared" si="181"/>
        <v>0.05</v>
      </c>
      <c r="N4946" s="475">
        <f t="shared" si="182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80"/>
        <v>-357991114817799.38</v>
      </c>
      <c r="J4947" s="455">
        <f t="array" ref="J4947">IFERROR(INDEX('Retirement Calculator'!K:K,MATCH('Lorri 401b'!N4947,'Retirement Calculator'!A:A,0),0),0)</f>
        <v>0</v>
      </c>
      <c r="K4947" s="455">
        <f t="shared" ca="1" si="178"/>
        <v>-1491629645074.1641</v>
      </c>
      <c r="L4947" s="455">
        <f t="shared" ca="1" si="179"/>
        <v>-359482744462873.56</v>
      </c>
      <c r="M4947" s="471">
        <f t="shared" si="181"/>
        <v>0.05</v>
      </c>
      <c r="N4947" s="475">
        <f t="shared" si="182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80"/>
        <v>-359482744462873.56</v>
      </c>
      <c r="J4948" s="455">
        <f t="array" ref="J4948">IFERROR(INDEX('Retirement Calculator'!K:K,MATCH('Lorri 401b'!N4948,'Retirement Calculator'!A:A,0),0),0)</f>
        <v>0</v>
      </c>
      <c r="K4948" s="455">
        <f t="shared" ca="1" si="178"/>
        <v>-1497844768595.3064</v>
      </c>
      <c r="L4948" s="455">
        <f t="shared" ca="1" si="179"/>
        <v>-360980589231468.88</v>
      </c>
      <c r="M4948" s="471">
        <f t="shared" si="181"/>
        <v>0.05</v>
      </c>
      <c r="N4948" s="475">
        <f t="shared" si="182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80"/>
        <v>-360980589231468.88</v>
      </c>
      <c r="J4949" s="455">
        <f t="array" ref="J4949">IFERROR(INDEX('Retirement Calculator'!K:K,MATCH('Lorri 401b'!N4949,'Retirement Calculator'!A:A,0),0),0)</f>
        <v>0</v>
      </c>
      <c r="K4949" s="455">
        <f t="shared" ca="1" si="178"/>
        <v>-1504085788464.4536</v>
      </c>
      <c r="L4949" s="455">
        <f t="shared" ca="1" si="179"/>
        <v>-362484675019933.31</v>
      </c>
      <c r="M4949" s="471">
        <f t="shared" si="181"/>
        <v>0.05</v>
      </c>
      <c r="N4949" s="475">
        <f t="shared" si="182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80"/>
        <v>-362484675019933.31</v>
      </c>
      <c r="J4950" s="455">
        <f t="array" ref="J4950">IFERROR(INDEX('Retirement Calculator'!K:K,MATCH('Lorri 401b'!N4950,'Retirement Calculator'!A:A,0),0),0)</f>
        <v>0</v>
      </c>
      <c r="K4950" s="455">
        <f t="shared" ca="1" si="178"/>
        <v>-1510352812583.0554</v>
      </c>
      <c r="L4950" s="455">
        <f t="shared" ca="1" si="179"/>
        <v>-363995027832516.38</v>
      </c>
      <c r="M4950" s="471">
        <f t="shared" si="181"/>
        <v>0.05</v>
      </c>
      <c r="N4950" s="475">
        <f t="shared" si="182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80"/>
        <v>-363995027832516.38</v>
      </c>
      <c r="J4951" s="455">
        <f t="array" ref="J4951">IFERROR(INDEX('Retirement Calculator'!K:K,MATCH('Lorri 401b'!N4951,'Retirement Calculator'!A:A,0),0),0)</f>
        <v>0</v>
      </c>
      <c r="K4951" s="455">
        <f t="shared" ca="1" si="178"/>
        <v>-1516645949302.1516</v>
      </c>
      <c r="L4951" s="455">
        <f t="shared" ca="1" si="179"/>
        <v>-365511673781818.5</v>
      </c>
      <c r="M4951" s="471">
        <f t="shared" si="181"/>
        <v>0.05</v>
      </c>
      <c r="N4951" s="475">
        <f t="shared" si="182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80"/>
        <v>-365511673781818.5</v>
      </c>
      <c r="J4952" s="455">
        <f t="array" ref="J4952">IFERROR(INDEX('Retirement Calculator'!K:K,MATCH('Lorri 401b'!N4952,'Retirement Calculator'!A:A,0),0),0)</f>
        <v>0</v>
      </c>
      <c r="K4952" s="455">
        <f t="shared" ca="1" si="178"/>
        <v>-1522965307424.2437</v>
      </c>
      <c r="L4952" s="455">
        <f t="shared" ca="1" si="179"/>
        <v>-367034639089242.75</v>
      </c>
      <c r="M4952" s="471">
        <f t="shared" si="181"/>
        <v>0.05</v>
      </c>
      <c r="N4952" s="475">
        <f t="shared" si="182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80"/>
        <v>-367034639089242.75</v>
      </c>
      <c r="J4953" s="455">
        <f t="array" ref="J4953">IFERROR(INDEX('Retirement Calculator'!K:K,MATCH('Lorri 401b'!N4953,'Retirement Calculator'!A:A,0),0),0)</f>
        <v>0</v>
      </c>
      <c r="K4953" s="455">
        <f t="shared" ca="1" si="178"/>
        <v>-1529310996205.1782</v>
      </c>
      <c r="L4953" s="455">
        <f t="shared" ca="1" si="179"/>
        <v>-368563950085447.94</v>
      </c>
      <c r="M4953" s="471">
        <f t="shared" si="181"/>
        <v>0.05</v>
      </c>
      <c r="N4953" s="475">
        <f t="shared" si="182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80"/>
        <v>-368563950085447.94</v>
      </c>
      <c r="J4954" s="455">
        <f t="array" ref="J4954">IFERROR(INDEX('Retirement Calculator'!K:K,MATCH('Lorri 401b'!N4954,'Retirement Calculator'!A:A,0),0),0)</f>
        <v>0</v>
      </c>
      <c r="K4954" s="455">
        <f t="shared" ca="1" si="178"/>
        <v>-1535683125356.033</v>
      </c>
      <c r="L4954" s="455">
        <f t="shared" ca="1" si="179"/>
        <v>-370099633210804</v>
      </c>
      <c r="M4954" s="471">
        <f t="shared" si="181"/>
        <v>0.05</v>
      </c>
      <c r="N4954" s="475">
        <f t="shared" si="182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80"/>
        <v>-370099633210804</v>
      </c>
      <c r="J4955" s="455">
        <f t="array" ref="J4955">IFERROR(INDEX('Retirement Calculator'!K:K,MATCH('Lorri 401b'!N4955,'Retirement Calculator'!A:A,0),0),0)</f>
        <v>0</v>
      </c>
      <c r="K4955" s="455">
        <f t="shared" ca="1" si="178"/>
        <v>-1542081805045.0166</v>
      </c>
      <c r="L4955" s="455">
        <f t="shared" ca="1" si="179"/>
        <v>-371641715015849</v>
      </c>
      <c r="M4955" s="471">
        <f t="shared" si="181"/>
        <v>0.05</v>
      </c>
      <c r="N4955" s="475">
        <f t="shared" si="182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80"/>
        <v>-371641715015849</v>
      </c>
      <c r="J4956" s="455">
        <f t="array" ref="J4956">IFERROR(INDEX('Retirement Calculator'!K:K,MATCH('Lorri 401b'!N4956,'Retirement Calculator'!A:A,0),0),0)</f>
        <v>0</v>
      </c>
      <c r="K4956" s="455">
        <f t="shared" ca="1" si="178"/>
        <v>-1548507145899.3708</v>
      </c>
      <c r="L4956" s="455">
        <f t="shared" ca="1" si="179"/>
        <v>-373190222161748.38</v>
      </c>
      <c r="M4956" s="471">
        <f t="shared" si="181"/>
        <v>0.05</v>
      </c>
      <c r="N4956" s="475">
        <f t="shared" si="182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80"/>
        <v>-373190222161748.38</v>
      </c>
      <c r="J4957" s="455">
        <f t="array" ref="J4957">IFERROR(INDEX('Retirement Calculator'!K:K,MATCH('Lorri 401b'!N4957,'Retirement Calculator'!A:A,0),0),0)</f>
        <v>0</v>
      </c>
      <c r="K4957" s="455">
        <f t="shared" ca="1" si="178"/>
        <v>-1554959259007.2849</v>
      </c>
      <c r="L4957" s="455">
        <f t="shared" ca="1" si="179"/>
        <v>-374745181420755.69</v>
      </c>
      <c r="M4957" s="471">
        <f t="shared" si="181"/>
        <v>0.05</v>
      </c>
      <c r="N4957" s="475">
        <f t="shared" si="182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80"/>
        <v>-374745181420755.69</v>
      </c>
      <c r="J4958" s="455">
        <f t="array" ref="J4958">IFERROR(INDEX('Retirement Calculator'!K:K,MATCH('Lorri 401b'!N4958,'Retirement Calculator'!A:A,0),0),0)</f>
        <v>0</v>
      </c>
      <c r="K4958" s="455">
        <f t="shared" ca="1" si="178"/>
        <v>-1561438255919.8154</v>
      </c>
      <c r="L4958" s="455">
        <f t="shared" ca="1" si="179"/>
        <v>-376306619676675.5</v>
      </c>
      <c r="M4958" s="471">
        <f t="shared" si="181"/>
        <v>0.05</v>
      </c>
      <c r="N4958" s="475">
        <f t="shared" si="182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80"/>
        <v>-376306619676675.5</v>
      </c>
      <c r="J4959" s="455">
        <f t="array" ref="J4959">IFERROR(INDEX('Retirement Calculator'!K:K,MATCH('Lorri 401b'!N4959,'Retirement Calculator'!A:A,0),0),0)</f>
        <v>0</v>
      </c>
      <c r="K4959" s="455">
        <f t="shared" ca="1" si="178"/>
        <v>-1567944248652.8145</v>
      </c>
      <c r="L4959" s="455">
        <f t="shared" ca="1" si="179"/>
        <v>-377874563925328.31</v>
      </c>
      <c r="M4959" s="471">
        <f t="shared" si="181"/>
        <v>0.05</v>
      </c>
      <c r="N4959" s="475">
        <f t="shared" si="182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80"/>
        <v>-377874563925328.31</v>
      </c>
      <c r="J4960" s="455">
        <f t="array" ref="J4960">IFERROR(INDEX('Retirement Calculator'!K:K,MATCH('Lorri 401b'!N4960,'Retirement Calculator'!A:A,0),0),0)</f>
        <v>0</v>
      </c>
      <c r="K4960" s="455">
        <f t="shared" ca="1" si="178"/>
        <v>-1574477349688.8679</v>
      </c>
      <c r="L4960" s="455">
        <f t="shared" ca="1" si="179"/>
        <v>-379449041275017.19</v>
      </c>
      <c r="M4960" s="471">
        <f t="shared" si="181"/>
        <v>0.05</v>
      </c>
      <c r="N4960" s="475">
        <f t="shared" si="182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80"/>
        <v>-379449041275017.19</v>
      </c>
      <c r="J4961" s="455">
        <f t="array" ref="J4961">IFERROR(INDEX('Retirement Calculator'!K:K,MATCH('Lorri 401b'!N4961,'Retirement Calculator'!A:A,0),0),0)</f>
        <v>0</v>
      </c>
      <c r="K4961" s="455">
        <f t="shared" ca="1" si="178"/>
        <v>-1581037671979.2383</v>
      </c>
      <c r="L4961" s="455">
        <f t="shared" ca="1" si="179"/>
        <v>-381030078946996.44</v>
      </c>
      <c r="M4961" s="471">
        <f t="shared" si="181"/>
        <v>0.05</v>
      </c>
      <c r="N4961" s="475">
        <f t="shared" si="182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80"/>
        <v>-381030078946996.44</v>
      </c>
      <c r="J4962" s="455">
        <f t="array" ref="J4962">IFERROR(INDEX('Retirement Calculator'!K:K,MATCH('Lorri 401b'!N4962,'Retirement Calculator'!A:A,0),0),0)</f>
        <v>0</v>
      </c>
      <c r="K4962" s="455">
        <f t="shared" ca="1" si="178"/>
        <v>-1587625328945.8184</v>
      </c>
      <c r="L4962" s="455">
        <f t="shared" ca="1" si="179"/>
        <v>-382617704275942.25</v>
      </c>
      <c r="M4962" s="471">
        <f t="shared" si="181"/>
        <v>0.05</v>
      </c>
      <c r="N4962" s="475">
        <f t="shared" si="182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80"/>
        <v>-382617704275942.25</v>
      </c>
      <c r="J4963" s="455">
        <f t="array" ref="J4963">IFERROR(INDEX('Retirement Calculator'!K:K,MATCH('Lorri 401b'!N4963,'Retirement Calculator'!A:A,0),0),0)</f>
        <v>0</v>
      </c>
      <c r="K4963" s="455">
        <f t="shared" ca="1" si="178"/>
        <v>-1594240434483.0928</v>
      </c>
      <c r="L4963" s="455">
        <f t="shared" ca="1" si="179"/>
        <v>-384211944710425.31</v>
      </c>
      <c r="M4963" s="471">
        <f t="shared" si="181"/>
        <v>0.05</v>
      </c>
      <c r="N4963" s="475">
        <f t="shared" si="182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80"/>
        <v>-384211944710425.31</v>
      </c>
      <c r="J4964" s="455">
        <f t="array" ref="J4964">IFERROR(INDEX('Retirement Calculator'!K:K,MATCH('Lorri 401b'!N4964,'Retirement Calculator'!A:A,0),0),0)</f>
        <v>0</v>
      </c>
      <c r="K4964" s="455">
        <f t="shared" ca="1" si="178"/>
        <v>-1600883102960.1055</v>
      </c>
      <c r="L4964" s="455">
        <f t="shared" ca="1" si="179"/>
        <v>-385812827813385.44</v>
      </c>
      <c r="M4964" s="471">
        <f t="shared" si="181"/>
        <v>0.05</v>
      </c>
      <c r="N4964" s="475">
        <f t="shared" si="182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80"/>
        <v>-385812827813385.44</v>
      </c>
      <c r="J4965" s="455">
        <f t="array" ref="J4965">IFERROR(INDEX('Retirement Calculator'!K:K,MATCH('Lorri 401b'!N4965,'Retirement Calculator'!A:A,0),0),0)</f>
        <v>0</v>
      </c>
      <c r="K4965" s="455">
        <f t="shared" ca="1" si="178"/>
        <v>-1607553449222.4392</v>
      </c>
      <c r="L4965" s="455">
        <f t="shared" ca="1" si="179"/>
        <v>-387420381262607.88</v>
      </c>
      <c r="M4965" s="471">
        <f t="shared" si="181"/>
        <v>0.05</v>
      </c>
      <c r="N4965" s="475">
        <f t="shared" si="182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80"/>
        <v>-387420381262607.88</v>
      </c>
      <c r="J4966" s="455">
        <f t="array" ref="J4966">IFERROR(INDEX('Retirement Calculator'!K:K,MATCH('Lorri 401b'!N4966,'Retirement Calculator'!A:A,0),0),0)</f>
        <v>0</v>
      </c>
      <c r="K4966" s="455">
        <f t="shared" ca="1" si="178"/>
        <v>-1614251588594.1995</v>
      </c>
      <c r="L4966" s="455">
        <f t="shared" ca="1" si="179"/>
        <v>-389034632851202.06</v>
      </c>
      <c r="M4966" s="471">
        <f t="shared" si="181"/>
        <v>0.05</v>
      </c>
      <c r="N4966" s="475">
        <f t="shared" si="182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80"/>
        <v>-389034632851202.06</v>
      </c>
      <c r="J4967" s="455">
        <f t="array" ref="J4967">IFERROR(INDEX('Retirement Calculator'!K:K,MATCH('Lorri 401b'!N4967,'Retirement Calculator'!A:A,0),0),0)</f>
        <v>0</v>
      </c>
      <c r="K4967" s="455">
        <f t="shared" ca="1" si="178"/>
        <v>-1620977636880.0085</v>
      </c>
      <c r="L4967" s="455">
        <f t="shared" ca="1" si="179"/>
        <v>-390655610488082.06</v>
      </c>
      <c r="M4967" s="471">
        <f t="shared" si="181"/>
        <v>0.05</v>
      </c>
      <c r="N4967" s="475">
        <f t="shared" si="182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80"/>
        <v>-390655610488082.06</v>
      </c>
      <c r="J4968" s="455">
        <f t="array" ref="J4968">IFERROR(INDEX('Retirement Calculator'!K:K,MATCH('Lorri 401b'!N4968,'Retirement Calculator'!A:A,0),0),0)</f>
        <v>0</v>
      </c>
      <c r="K4968" s="455">
        <f t="shared" ca="1" si="178"/>
        <v>-1627731710367.0085</v>
      </c>
      <c r="L4968" s="455">
        <f t="shared" ca="1" si="179"/>
        <v>-392283342198449.06</v>
      </c>
      <c r="M4968" s="471">
        <f t="shared" si="181"/>
        <v>0.05</v>
      </c>
      <c r="N4968" s="475">
        <f t="shared" si="182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80"/>
        <v>-392283342198449.06</v>
      </c>
      <c r="J4969" s="455">
        <f t="array" ref="J4969">IFERROR(INDEX('Retirement Calculator'!K:K,MATCH('Lorri 401b'!N4969,'Retirement Calculator'!A:A,0),0),0)</f>
        <v>0</v>
      </c>
      <c r="K4969" s="455">
        <f t="shared" ca="1" si="178"/>
        <v>-1634513925826.8711</v>
      </c>
      <c r="L4969" s="455">
        <f t="shared" ca="1" si="179"/>
        <v>-393917856124275.94</v>
      </c>
      <c r="M4969" s="471">
        <f t="shared" si="181"/>
        <v>0.05</v>
      </c>
      <c r="N4969" s="475">
        <f t="shared" si="182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80"/>
        <v>-393917856124275.94</v>
      </c>
      <c r="J4970" s="455">
        <f t="array" ref="J4970">IFERROR(INDEX('Retirement Calculator'!K:K,MATCH('Lorri 401b'!N4970,'Retirement Calculator'!A:A,0),0),0)</f>
        <v>0</v>
      </c>
      <c r="K4970" s="455">
        <f t="shared" ca="1" si="178"/>
        <v>-1641324400517.8164</v>
      </c>
      <c r="L4970" s="455">
        <f t="shared" ca="1" si="179"/>
        <v>-395559180524793.75</v>
      </c>
      <c r="M4970" s="471">
        <f t="shared" si="181"/>
        <v>0.05</v>
      </c>
      <c r="N4970" s="475">
        <f t="shared" si="182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80"/>
        <v>-395559180524793.75</v>
      </c>
      <c r="J4971" s="455">
        <f t="array" ref="J4971">IFERROR(INDEX('Retirement Calculator'!K:K,MATCH('Lorri 401b'!N4971,'Retirement Calculator'!A:A,0),0),0)</f>
        <v>0</v>
      </c>
      <c r="K4971" s="455">
        <f t="shared" ca="1" si="178"/>
        <v>-1648163252186.6406</v>
      </c>
      <c r="L4971" s="455">
        <f t="shared" ca="1" si="179"/>
        <v>-397207343776980.38</v>
      </c>
      <c r="M4971" s="471">
        <f t="shared" si="181"/>
        <v>0.05</v>
      </c>
      <c r="N4971" s="475">
        <f t="shared" si="182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80"/>
        <v>-397207343776980.38</v>
      </c>
      <c r="J4972" s="455">
        <f t="array" ref="J4972">IFERROR(INDEX('Retirement Calculator'!K:K,MATCH('Lorri 401b'!N4972,'Retirement Calculator'!A:A,0),0),0)</f>
        <v>0</v>
      </c>
      <c r="K4972" s="455">
        <f t="shared" ca="1" si="178"/>
        <v>-1655030599070.7515</v>
      </c>
      <c r="L4972" s="455">
        <f t="shared" ca="1" si="179"/>
        <v>-398862374376051.13</v>
      </c>
      <c r="M4972" s="471">
        <f t="shared" si="181"/>
        <v>0.05</v>
      </c>
      <c r="N4972" s="475">
        <f t="shared" si="182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80"/>
        <v>-398862374376051.13</v>
      </c>
      <c r="J4973" s="455">
        <f t="array" ref="J4973">IFERROR(INDEX('Retirement Calculator'!K:K,MATCH('Lorri 401b'!N4973,'Retirement Calculator'!A:A,0),0),0)</f>
        <v>0</v>
      </c>
      <c r="K4973" s="455">
        <f t="shared" ca="1" si="178"/>
        <v>-1661926559900.2129</v>
      </c>
      <c r="L4973" s="455">
        <f t="shared" ca="1" si="179"/>
        <v>-400524300935951.31</v>
      </c>
      <c r="M4973" s="471">
        <f t="shared" si="181"/>
        <v>0.05</v>
      </c>
      <c r="N4973" s="475">
        <f t="shared" si="182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80"/>
        <v>-400524300935951.31</v>
      </c>
      <c r="J4974" s="455">
        <f t="array" ref="J4974">IFERROR(INDEX('Retirement Calculator'!K:K,MATCH('Lorri 401b'!N4974,'Retirement Calculator'!A:A,0),0),0)</f>
        <v>0</v>
      </c>
      <c r="K4974" s="455">
        <f t="shared" ca="1" si="178"/>
        <v>-1668851253899.7971</v>
      </c>
      <c r="L4974" s="455">
        <f t="shared" ca="1" si="179"/>
        <v>-402193152189851.13</v>
      </c>
      <c r="M4974" s="471">
        <f t="shared" si="181"/>
        <v>0.05</v>
      </c>
      <c r="N4974" s="475">
        <f t="shared" si="182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80"/>
        <v>-402193152189851.13</v>
      </c>
      <c r="J4975" s="455">
        <f t="array" ref="J4975">IFERROR(INDEX('Retirement Calculator'!K:K,MATCH('Lorri 401b'!N4975,'Retirement Calculator'!A:A,0),0),0)</f>
        <v>0</v>
      </c>
      <c r="K4975" s="455">
        <f t="shared" ca="1" si="178"/>
        <v>-1675804800791.0464</v>
      </c>
      <c r="L4975" s="455">
        <f t="shared" ca="1" si="179"/>
        <v>-403868956990642.19</v>
      </c>
      <c r="M4975" s="471">
        <f t="shared" si="181"/>
        <v>0.05</v>
      </c>
      <c r="N4975" s="475">
        <f t="shared" si="182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80"/>
        <v>-403868956990642.19</v>
      </c>
      <c r="J4976" s="455">
        <f t="array" ref="J4976">IFERROR(INDEX('Retirement Calculator'!K:K,MATCH('Lorri 401b'!N4976,'Retirement Calculator'!A:A,0),0),0)</f>
        <v>0</v>
      </c>
      <c r="K4976" s="455">
        <f t="shared" ca="1" si="178"/>
        <v>-1682787320794.3425</v>
      </c>
      <c r="L4976" s="455">
        <f t="shared" ca="1" si="179"/>
        <v>-405551744311436.5</v>
      </c>
      <c r="M4976" s="471">
        <f t="shared" si="181"/>
        <v>0.05</v>
      </c>
      <c r="N4976" s="475">
        <f t="shared" si="182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80"/>
        <v>-405551744311436.5</v>
      </c>
      <c r="J4977" s="455">
        <f t="array" ref="J4977">IFERROR(INDEX('Retirement Calculator'!K:K,MATCH('Lorri 401b'!N4977,'Retirement Calculator'!A:A,0),0),0)</f>
        <v>0</v>
      </c>
      <c r="K4977" s="455">
        <f t="shared" ca="1" si="178"/>
        <v>-1689798934630.9854</v>
      </c>
      <c r="L4977" s="455">
        <f t="shared" ca="1" si="179"/>
        <v>-407241543246067.5</v>
      </c>
      <c r="M4977" s="471">
        <f t="shared" si="181"/>
        <v>0.05</v>
      </c>
      <c r="N4977" s="475">
        <f t="shared" si="182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80"/>
        <v>-407241543246067.5</v>
      </c>
      <c r="J4978" s="455">
        <f t="array" ref="J4978">IFERROR(INDEX('Retirement Calculator'!K:K,MATCH('Lorri 401b'!N4978,'Retirement Calculator'!A:A,0),0),0)</f>
        <v>0</v>
      </c>
      <c r="K4978" s="455">
        <f t="shared" ca="1" si="178"/>
        <v>-1696839763525.2813</v>
      </c>
      <c r="L4978" s="455">
        <f t="shared" ca="1" si="179"/>
        <v>-408938383009592.75</v>
      </c>
      <c r="M4978" s="471">
        <f t="shared" si="181"/>
        <v>0.05</v>
      </c>
      <c r="N4978" s="475">
        <f t="shared" si="182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80"/>
        <v>-408938383009592.75</v>
      </c>
      <c r="J4979" s="455">
        <f t="array" ref="J4979">IFERROR(INDEX('Retirement Calculator'!K:K,MATCH('Lorri 401b'!N4979,'Retirement Calculator'!A:A,0),0),0)</f>
        <v>0</v>
      </c>
      <c r="K4979" s="455">
        <f t="shared" ca="1" si="178"/>
        <v>-1703909929206.6365</v>
      </c>
      <c r="L4979" s="455">
        <f t="shared" ca="1" si="179"/>
        <v>-410642292938799.38</v>
      </c>
      <c r="M4979" s="471">
        <f t="shared" si="181"/>
        <v>0.05</v>
      </c>
      <c r="N4979" s="475">
        <f t="shared" si="182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80"/>
        <v>-410642292938799.38</v>
      </c>
      <c r="J4980" s="455">
        <f t="array" ref="J4980">IFERROR(INDEX('Retirement Calculator'!K:K,MATCH('Lorri 401b'!N4980,'Retirement Calculator'!A:A,0),0),0)</f>
        <v>0</v>
      </c>
      <c r="K4980" s="455">
        <f t="shared" ca="1" si="178"/>
        <v>-1711009553911.6641</v>
      </c>
      <c r="L4980" s="455">
        <f t="shared" ca="1" si="179"/>
        <v>-412353302492711.06</v>
      </c>
      <c r="M4980" s="471">
        <f t="shared" si="181"/>
        <v>0.05</v>
      </c>
      <c r="N4980" s="475">
        <f t="shared" si="182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80"/>
        <v>-412353302492711.06</v>
      </c>
      <c r="J4981" s="455">
        <f t="array" ref="J4981">IFERROR(INDEX('Retirement Calculator'!K:K,MATCH('Lorri 401b'!N4981,'Retirement Calculator'!A:A,0),0),0)</f>
        <v>0</v>
      </c>
      <c r="K4981" s="455">
        <f t="shared" ca="1" si="178"/>
        <v>-1718138760386.2961</v>
      </c>
      <c r="L4981" s="455">
        <f t="shared" ca="1" si="179"/>
        <v>-414071441253097.38</v>
      </c>
      <c r="M4981" s="471">
        <f t="shared" si="181"/>
        <v>0.05</v>
      </c>
      <c r="N4981" s="475">
        <f t="shared" si="182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80"/>
        <v>-414071441253097.38</v>
      </c>
      <c r="J4982" s="455">
        <f t="array" ref="J4982">IFERROR(INDEX('Retirement Calculator'!K:K,MATCH('Lorri 401b'!N4982,'Retirement Calculator'!A:A,0),0),0)</f>
        <v>0</v>
      </c>
      <c r="K4982" s="455">
        <f t="shared" ca="1" si="178"/>
        <v>-1725297671887.9058</v>
      </c>
      <c r="L4982" s="455">
        <f t="shared" ca="1" si="179"/>
        <v>-415796738924985.25</v>
      </c>
      <c r="M4982" s="471">
        <f t="shared" si="181"/>
        <v>0.05</v>
      </c>
      <c r="N4982" s="475">
        <f t="shared" si="182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80"/>
        <v>-415796738924985.25</v>
      </c>
      <c r="J4983" s="455">
        <f t="array" ref="J4983">IFERROR(INDEX('Retirement Calculator'!K:K,MATCH('Lorri 401b'!N4983,'Retirement Calculator'!A:A,0),0),0)</f>
        <v>0</v>
      </c>
      <c r="K4983" s="455">
        <f t="shared" ca="1" si="178"/>
        <v>-1732486412187.4385</v>
      </c>
      <c r="L4983" s="455">
        <f t="shared" ca="1" si="179"/>
        <v>-417529225337172.69</v>
      </c>
      <c r="M4983" s="471">
        <f t="shared" si="181"/>
        <v>0.05</v>
      </c>
      <c r="N4983" s="475">
        <f t="shared" si="182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80"/>
        <v>-417529225337172.69</v>
      </c>
      <c r="J4984" s="455">
        <f t="array" ref="J4984">IFERROR(INDEX('Retirement Calculator'!K:K,MATCH('Lorri 401b'!N4984,'Retirement Calculator'!A:A,0),0),0)</f>
        <v>0</v>
      </c>
      <c r="K4984" s="455">
        <f t="shared" ca="1" si="178"/>
        <v>-1739705105571.5527</v>
      </c>
      <c r="L4984" s="455">
        <f t="shared" ca="1" si="179"/>
        <v>-419268930442744.25</v>
      </c>
      <c r="M4984" s="471">
        <f t="shared" si="181"/>
        <v>0.05</v>
      </c>
      <c r="N4984" s="475">
        <f t="shared" si="182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80"/>
        <v>-419268930442744.25</v>
      </c>
      <c r="J4985" s="455">
        <f t="array" ref="J4985">IFERROR(INDEX('Retirement Calculator'!K:K,MATCH('Lorri 401b'!N4985,'Retirement Calculator'!A:A,0),0),0)</f>
        <v>0</v>
      </c>
      <c r="K4985" s="455">
        <f t="shared" ca="1" si="178"/>
        <v>-1746953876844.7676</v>
      </c>
      <c r="L4985" s="455">
        <f t="shared" ca="1" si="179"/>
        <v>-421015884319589</v>
      </c>
      <c r="M4985" s="471">
        <f t="shared" si="181"/>
        <v>0.05</v>
      </c>
      <c r="N4985" s="475">
        <f t="shared" si="182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80"/>
        <v>-421015884319589</v>
      </c>
      <c r="J4986" s="455">
        <f t="array" ref="J4986">IFERROR(INDEX('Retirement Calculator'!K:K,MATCH('Lorri 401b'!N4986,'Retirement Calculator'!A:A,0),0),0)</f>
        <v>0</v>
      </c>
      <c r="K4986" s="455">
        <f t="shared" ca="1" si="178"/>
        <v>-1754232851331.6208</v>
      </c>
      <c r="L4986" s="455">
        <f t="shared" ca="1" si="179"/>
        <v>-422770117170920.63</v>
      </c>
      <c r="M4986" s="471">
        <f t="shared" si="181"/>
        <v>0.05</v>
      </c>
      <c r="N4986" s="475">
        <f t="shared" si="182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80"/>
        <v>-422770117170920.63</v>
      </c>
      <c r="J4987" s="455">
        <f t="array" ref="J4987">IFERROR(INDEX('Retirement Calculator'!K:K,MATCH('Lorri 401b'!N4987,'Retirement Calculator'!A:A,0),0),0)</f>
        <v>0</v>
      </c>
      <c r="K4987" s="455">
        <f t="shared" ca="1" si="178"/>
        <v>-1761542154878.8359</v>
      </c>
      <c r="L4987" s="455">
        <f t="shared" ca="1" si="179"/>
        <v>-424531659325799.44</v>
      </c>
      <c r="M4987" s="471">
        <f t="shared" si="181"/>
        <v>0.05</v>
      </c>
      <c r="N4987" s="475">
        <f t="shared" si="182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80"/>
        <v>-424531659325799.44</v>
      </c>
      <c r="J4988" s="455">
        <f t="array" ref="J4988">IFERROR(INDEX('Retirement Calculator'!K:K,MATCH('Lorri 401b'!N4988,'Retirement Calculator'!A:A,0),0),0)</f>
        <v>0</v>
      </c>
      <c r="K4988" s="455">
        <f t="shared" ca="1" si="178"/>
        <v>-1768881913857.4976</v>
      </c>
      <c r="L4988" s="455">
        <f t="shared" ca="1" si="179"/>
        <v>-426300541239656.94</v>
      </c>
      <c r="M4988" s="471">
        <f t="shared" si="181"/>
        <v>0.05</v>
      </c>
      <c r="N4988" s="475">
        <f t="shared" si="182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80"/>
        <v>-426300541239656.94</v>
      </c>
      <c r="J4989" s="455">
        <f t="array" ref="J4989">IFERROR(INDEX('Retirement Calculator'!K:K,MATCH('Lorri 401b'!N4989,'Retirement Calculator'!A:A,0),0),0)</f>
        <v>0</v>
      </c>
      <c r="K4989" s="455">
        <f t="shared" ca="1" si="178"/>
        <v>-1776252255165.2373</v>
      </c>
      <c r="L4989" s="455">
        <f t="shared" ca="1" si="179"/>
        <v>-428076793494822.19</v>
      </c>
      <c r="M4989" s="471">
        <f t="shared" si="181"/>
        <v>0.05</v>
      </c>
      <c r="N4989" s="475">
        <f t="shared" si="182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80"/>
        <v>-428076793494822.19</v>
      </c>
      <c r="J4990" s="455">
        <f t="array" ref="J4990">IFERROR(INDEX('Retirement Calculator'!K:K,MATCH('Lorri 401b'!N4990,'Retirement Calculator'!A:A,0),0),0)</f>
        <v>0</v>
      </c>
      <c r="K4990" s="455">
        <f t="shared" ca="1" si="178"/>
        <v>-1783653306228.4258</v>
      </c>
      <c r="L4990" s="455">
        <f t="shared" ca="1" si="179"/>
        <v>-429860446801050.63</v>
      </c>
      <c r="M4990" s="471">
        <f t="shared" si="181"/>
        <v>0.05</v>
      </c>
      <c r="N4990" s="475">
        <f t="shared" si="182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80"/>
        <v>-429860446801050.63</v>
      </c>
      <c r="J4991" s="455">
        <f t="array" ref="J4991">IFERROR(INDEX('Retirement Calculator'!K:K,MATCH('Lorri 401b'!N4991,'Retirement Calculator'!A:A,0),0),0)</f>
        <v>0</v>
      </c>
      <c r="K4991" s="455">
        <f t="shared" ca="1" si="178"/>
        <v>-1791085195004.3777</v>
      </c>
      <c r="L4991" s="455">
        <f t="shared" ca="1" si="179"/>
        <v>-431651531996055</v>
      </c>
      <c r="M4991" s="471">
        <f t="shared" si="181"/>
        <v>0.05</v>
      </c>
      <c r="N4991" s="475">
        <f t="shared" si="182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80"/>
        <v>-431651531996055</v>
      </c>
      <c r="J4992" s="455">
        <f t="array" ref="J4992">IFERROR(INDEX('Retirement Calculator'!K:K,MATCH('Lorri 401b'!N4992,'Retirement Calculator'!A:A,0),0),0)</f>
        <v>0</v>
      </c>
      <c r="K4992" s="455">
        <f t="shared" ca="1" si="178"/>
        <v>-1798548049983.5625</v>
      </c>
      <c r="L4992" s="455">
        <f t="shared" ca="1" si="179"/>
        <v>-433450080046038.56</v>
      </c>
      <c r="M4992" s="471">
        <f t="shared" si="181"/>
        <v>0.05</v>
      </c>
      <c r="N4992" s="475">
        <f t="shared" si="182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80"/>
        <v>-433450080046038.56</v>
      </c>
      <c r="J4993" s="455">
        <f t="array" ref="J4993">IFERROR(INDEX('Retirement Calculator'!K:K,MATCH('Lorri 401b'!N4993,'Retirement Calculator'!A:A,0),0),0)</f>
        <v>0</v>
      </c>
      <c r="K4993" s="455">
        <f t="shared" ca="1" si="178"/>
        <v>-1806042000191.8274</v>
      </c>
      <c r="L4993" s="455">
        <f t="shared" ca="1" si="179"/>
        <v>-435256122046230.38</v>
      </c>
      <c r="M4993" s="471">
        <f t="shared" si="181"/>
        <v>0.05</v>
      </c>
      <c r="N4993" s="475">
        <f t="shared" si="182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80"/>
        <v>-435256122046230.38</v>
      </c>
      <c r="J4994" s="455">
        <f t="array" ref="J4994">IFERROR(INDEX('Retirement Calculator'!K:K,MATCH('Lorri 401b'!N4994,'Retirement Calculator'!A:A,0),0),0)</f>
        <v>0</v>
      </c>
      <c r="K4994" s="455">
        <f t="shared" ca="1" si="178"/>
        <v>-1813567175192.6265</v>
      </c>
      <c r="L4994" s="455">
        <f t="shared" ca="1" si="179"/>
        <v>-437069689221423</v>
      </c>
      <c r="M4994" s="471">
        <f t="shared" si="181"/>
        <v>0.05</v>
      </c>
      <c r="N4994" s="475">
        <f t="shared" si="182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80"/>
        <v>-437069689221423</v>
      </c>
      <c r="J4995" s="455">
        <f t="array" ref="J4995">IFERROR(INDEX('Retirement Calculator'!K:K,MATCH('Lorri 401b'!N4995,'Retirement Calculator'!A:A,0),0),0)</f>
        <v>0</v>
      </c>
      <c r="K4995" s="455">
        <f t="shared" ca="1" si="178"/>
        <v>-1821123705089.2625</v>
      </c>
      <c r="L4995" s="455">
        <f t="shared" ca="1" si="179"/>
        <v>-438890812926512.25</v>
      </c>
      <c r="M4995" s="471">
        <f t="shared" si="181"/>
        <v>0.05</v>
      </c>
      <c r="N4995" s="475">
        <f t="shared" si="182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80"/>
        <v>-438890812926512.25</v>
      </c>
      <c r="J4996" s="455">
        <f t="array" ref="J4996">IFERROR(INDEX('Retirement Calculator'!K:K,MATCH('Lorri 401b'!N4996,'Retirement Calculator'!A:A,0),0),0)</f>
        <v>0</v>
      </c>
      <c r="K4996" s="455">
        <f t="shared" ca="1" si="178"/>
        <v>-1828711720527.1343</v>
      </c>
      <c r="L4996" s="455">
        <f t="shared" ca="1" si="179"/>
        <v>-440719524647039.38</v>
      </c>
      <c r="M4996" s="471">
        <f t="shared" si="181"/>
        <v>0.05</v>
      </c>
      <c r="N4996" s="475">
        <f t="shared" si="182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80"/>
        <v>-440719524647039.38</v>
      </c>
      <c r="J4997" s="455">
        <f t="array" ref="J4997">IFERROR(INDEX('Retirement Calculator'!K:K,MATCH('Lorri 401b'!N4997,'Retirement Calculator'!A:A,0),0),0)</f>
        <v>0</v>
      </c>
      <c r="K4997" s="455">
        <f t="shared" ca="1" si="178"/>
        <v>-1836331352695.9976</v>
      </c>
      <c r="L4997" s="455">
        <f t="shared" ca="1" si="179"/>
        <v>-442555855999735.38</v>
      </c>
      <c r="M4997" s="471">
        <f t="shared" si="181"/>
        <v>0.05</v>
      </c>
      <c r="N4997" s="475">
        <f t="shared" si="182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80"/>
        <v>-442555855999735.38</v>
      </c>
      <c r="J4998" s="455">
        <f t="array" ref="J4998">IFERROR(INDEX('Retirement Calculator'!K:K,MATCH('Lorri 401b'!N4998,'Retirement Calculator'!A:A,0),0),0)</f>
        <v>0</v>
      </c>
      <c r="K4998" s="455">
        <f t="shared" ca="1" si="178"/>
        <v>-1843982733332.2307</v>
      </c>
      <c r="L4998" s="455">
        <f t="shared" ca="1" si="179"/>
        <v>-444399838733067.63</v>
      </c>
      <c r="M4998" s="471">
        <f t="shared" si="181"/>
        <v>0.05</v>
      </c>
      <c r="N4998" s="475">
        <f t="shared" si="182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80"/>
        <v>-444399838733067.63</v>
      </c>
      <c r="J4999" s="455">
        <f t="array" ref="J4999">IFERROR(INDEX('Retirement Calculator'!K:K,MATCH('Lorri 401b'!N4999,'Retirement Calculator'!A:A,0),0),0)</f>
        <v>0</v>
      </c>
      <c r="K4999" s="455">
        <f t="shared" ca="1" si="178"/>
        <v>-1851665994721.115</v>
      </c>
      <c r="L4999" s="455">
        <f t="shared" ca="1" si="179"/>
        <v>-446251504727788.75</v>
      </c>
      <c r="M4999" s="471">
        <f t="shared" si="181"/>
        <v>0.05</v>
      </c>
      <c r="N4999" s="475">
        <f t="shared" si="182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80"/>
        <v>-446251504727788.75</v>
      </c>
      <c r="J5000" s="455">
        <f t="array" ref="J5000">IFERROR(INDEX('Retirement Calculator'!K:K,MATCH('Lorri 401b'!N5000,'Retirement Calculator'!A:A,0),0),0)</f>
        <v>0</v>
      </c>
      <c r="K5000" s="455">
        <f t="shared" ca="1" si="178"/>
        <v>-1859381269699.1194</v>
      </c>
      <c r="L5000" s="455">
        <f t="shared" ca="1" si="179"/>
        <v>-448110885997487.88</v>
      </c>
      <c r="M5000" s="471">
        <f t="shared" si="181"/>
        <v>0.05</v>
      </c>
      <c r="N5000" s="475">
        <f t="shared" si="182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80"/>
        <v>-448110885997487.88</v>
      </c>
      <c r="J5001" s="455">
        <f t="array" ref="J5001">IFERROR(INDEX('Retirement Calculator'!K:K,MATCH('Lorri 401b'!N5001,'Retirement Calculator'!A:A,0),0),0)</f>
        <v>0</v>
      </c>
      <c r="K5001" s="455">
        <f t="shared" ca="1" si="178"/>
        <v>-1867128691656.1997</v>
      </c>
      <c r="L5001" s="455">
        <f t="shared" ca="1" si="179"/>
        <v>-449978014689144.06</v>
      </c>
      <c r="M5001" s="471">
        <f t="shared" si="181"/>
        <v>0.05</v>
      </c>
      <c r="N5001" s="475">
        <f t="shared" si="182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80"/>
        <v>-449978014689144.06</v>
      </c>
      <c r="J5002" s="455">
        <f t="array" ref="J5002">IFERROR(INDEX('Retirement Calculator'!K:K,MATCH('Lorri 401b'!N5002,'Retirement Calculator'!A:A,0),0),0)</f>
        <v>0</v>
      </c>
      <c r="K5002" s="455">
        <f t="shared" ca="1" si="178"/>
        <v>-1874908394538.0999</v>
      </c>
      <c r="L5002" s="455">
        <f t="shared" ca="1" si="179"/>
        <v>-451852923083682.19</v>
      </c>
      <c r="M5002" s="471">
        <f t="shared" si="181"/>
        <v>0.05</v>
      </c>
      <c r="N5002" s="475">
        <f t="shared" si="182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80"/>
        <v>-451852923083682.19</v>
      </c>
      <c r="J5003" s="455">
        <f t="array" ref="J5003">IFERROR(INDEX('Retirement Calculator'!K:K,MATCH('Lorri 401b'!N5003,'Retirement Calculator'!A:A,0),0),0)</f>
        <v>0</v>
      </c>
      <c r="K5003" s="455">
        <f t="shared" ca="1" si="178"/>
        <v>-1882720512848.6755</v>
      </c>
      <c r="L5003" s="455">
        <f t="shared" ca="1" si="179"/>
        <v>-453735643596530.88</v>
      </c>
      <c r="M5003" s="471">
        <f t="shared" si="181"/>
        <v>0.05</v>
      </c>
      <c r="N5003" s="475">
        <f t="shared" si="182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80"/>
        <v>-453735643596530.88</v>
      </c>
      <c r="J5004" s="455">
        <f t="array" ref="J5004">IFERROR(INDEX('Retirement Calculator'!K:K,MATCH('Lorri 401b'!N5004,'Retirement Calculator'!A:A,0),0),0)</f>
        <v>0</v>
      </c>
      <c r="K5004" s="455">
        <f t="shared" ca="1" si="178"/>
        <v>-1890565181652.2117</v>
      </c>
      <c r="L5004" s="455">
        <f t="shared" ca="1" si="179"/>
        <v>-455626208778183.06</v>
      </c>
      <c r="M5004" s="471">
        <f t="shared" si="181"/>
        <v>0.05</v>
      </c>
      <c r="N5004" s="475">
        <f t="shared" si="182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80"/>
        <v>-455626208778183.06</v>
      </c>
      <c r="J5005" s="455">
        <f t="array" ref="J5005">IFERROR(INDEX('Retirement Calculator'!K:K,MATCH('Lorri 401b'!N5005,'Retirement Calculator'!A:A,0),0),0)</f>
        <v>0</v>
      </c>
      <c r="K5005" s="455">
        <f t="shared" ca="1" si="178"/>
        <v>-1898442536575.7625</v>
      </c>
      <c r="L5005" s="455">
        <f t="shared" ca="1" si="179"/>
        <v>-457524651314758.81</v>
      </c>
      <c r="M5005" s="471">
        <f t="shared" si="181"/>
        <v>0.05</v>
      </c>
      <c r="N5005" s="475">
        <f t="shared" si="182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80"/>
        <v>-457524651314758.81</v>
      </c>
      <c r="J5006" s="455">
        <f t="array" ref="J5006">IFERROR(INDEX('Retirement Calculator'!K:K,MATCH('Lorri 401b'!N5006,'Retirement Calculator'!A:A,0),0),0)</f>
        <v>0</v>
      </c>
      <c r="K5006" s="455">
        <f t="shared" ca="1" si="178"/>
        <v>-1906352713811.4954</v>
      </c>
      <c r="L5006" s="455">
        <f t="shared" ca="1" si="179"/>
        <v>-459431004028570.31</v>
      </c>
      <c r="M5006" s="471">
        <f t="shared" si="181"/>
        <v>0.05</v>
      </c>
      <c r="N5006" s="475">
        <f t="shared" si="182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80"/>
        <v>-459431004028570.31</v>
      </c>
      <c r="J5007" s="455">
        <f t="array" ref="J5007">IFERROR(INDEX('Retirement Calculator'!K:K,MATCH('Lorri 401b'!N5007,'Retirement Calculator'!A:A,0),0),0)</f>
        <v>0</v>
      </c>
      <c r="K5007" s="455">
        <f t="shared" ca="1" si="178"/>
        <v>-1914295850119.043</v>
      </c>
      <c r="L5007" s="455">
        <f t="shared" ca="1" si="179"/>
        <v>-461345299878689.38</v>
      </c>
      <c r="M5007" s="471">
        <f t="shared" si="181"/>
        <v>0.05</v>
      </c>
      <c r="N5007" s="475">
        <f t="shared" si="182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80"/>
        <v>-461345299878689.38</v>
      </c>
      <c r="J5008" s="455">
        <f t="array" ref="J5008">IFERROR(INDEX('Retirement Calculator'!K:K,MATCH('Lorri 401b'!N5008,'Retirement Calculator'!A:A,0),0),0)</f>
        <v>0</v>
      </c>
      <c r="K5008" s="455">
        <f t="shared" ca="1" si="178"/>
        <v>-1922272082827.8723</v>
      </c>
      <c r="L5008" s="455">
        <f t="shared" ca="1" si="179"/>
        <v>-463267571961517.25</v>
      </c>
      <c r="M5008" s="471">
        <f t="shared" si="181"/>
        <v>0.05</v>
      </c>
      <c r="N5008" s="475">
        <f t="shared" si="182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80"/>
        <v>-463267571961517.25</v>
      </c>
      <c r="J5009" s="455">
        <f t="array" ref="J5009">IFERROR(INDEX('Retirement Calculator'!K:K,MATCH('Lorri 401b'!N5009,'Retirement Calculator'!A:A,0),0),0)</f>
        <v>0</v>
      </c>
      <c r="K5009" s="455">
        <f t="shared" ca="1" si="178"/>
        <v>-1930281549839.6553</v>
      </c>
      <c r="L5009" s="455">
        <f t="shared" ca="1" si="179"/>
        <v>-465197853511356.88</v>
      </c>
      <c r="M5009" s="471">
        <f t="shared" si="181"/>
        <v>0.05</v>
      </c>
      <c r="N5009" s="475">
        <f t="shared" si="182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80"/>
        <v>-465197853511356.88</v>
      </c>
      <c r="J5010" s="455">
        <f t="array" ref="J5010">IFERROR(INDEX('Retirement Calculator'!K:K,MATCH('Lorri 401b'!N5010,'Retirement Calculator'!A:A,0),0),0)</f>
        <v>0</v>
      </c>
      <c r="K5010" s="455">
        <f t="shared" ca="1" si="178"/>
        <v>-1938324389630.6536</v>
      </c>
      <c r="L5010" s="455">
        <f t="shared" ca="1" si="179"/>
        <v>-467136177900987.5</v>
      </c>
      <c r="M5010" s="471">
        <f t="shared" si="181"/>
        <v>0.05</v>
      </c>
      <c r="N5010" s="475">
        <f t="shared" si="182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80"/>
        <v>-467136177900987.5</v>
      </c>
      <c r="J5011" s="455">
        <f t="array" ref="J5011">IFERROR(INDEX('Retirement Calculator'!K:K,MATCH('Lorri 401b'!N5011,'Retirement Calculator'!A:A,0),0),0)</f>
        <v>0</v>
      </c>
      <c r="K5011" s="455">
        <f t="shared" ca="1" si="178"/>
        <v>-1946400741254.1143</v>
      </c>
      <c r="L5011" s="455">
        <f t="shared" ca="1" si="179"/>
        <v>-469082578642241.63</v>
      </c>
      <c r="M5011" s="471">
        <f t="shared" si="181"/>
        <v>0.05</v>
      </c>
      <c r="N5011" s="475">
        <f t="shared" si="182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80"/>
        <v>-469082578642241.63</v>
      </c>
      <c r="J5012" s="455">
        <f t="array" ref="J5012">IFERROR(INDEX('Retirement Calculator'!K:K,MATCH('Lorri 401b'!N5012,'Retirement Calculator'!A:A,0),0),0)</f>
        <v>0</v>
      </c>
      <c r="K5012" s="455">
        <f t="shared" ca="1" si="178"/>
        <v>-1954510744342.6733</v>
      </c>
      <c r="L5012" s="455">
        <f t="shared" ca="1" si="179"/>
        <v>-471037089386584.31</v>
      </c>
      <c r="M5012" s="471">
        <f t="shared" si="181"/>
        <v>0.05</v>
      </c>
      <c r="N5012" s="475">
        <f t="shared" si="182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80"/>
        <v>-471037089386584.31</v>
      </c>
      <c r="J5013" s="455">
        <f t="array" ref="J5013">IFERROR(INDEX('Retirement Calculator'!K:K,MATCH('Lorri 401b'!N5013,'Retirement Calculator'!A:A,0),0),0)</f>
        <v>0</v>
      </c>
      <c r="K5013" s="455">
        <f t="shared" ca="1" si="178"/>
        <v>-1962654539110.7683</v>
      </c>
      <c r="L5013" s="455">
        <f t="shared" ca="1" si="179"/>
        <v>-472999743925695.06</v>
      </c>
      <c r="M5013" s="471">
        <f t="shared" si="181"/>
        <v>0.05</v>
      </c>
      <c r="N5013" s="475">
        <f t="shared" si="182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80"/>
        <v>-472999743925695.06</v>
      </c>
      <c r="J5014" s="455">
        <f t="array" ref="J5014">IFERROR(INDEX('Retirement Calculator'!K:K,MATCH('Lorri 401b'!N5014,'Retirement Calculator'!A:A,0),0),0)</f>
        <v>0</v>
      </c>
      <c r="K5014" s="455">
        <f t="shared" ca="1" si="178"/>
        <v>-1970832266357.0627</v>
      </c>
      <c r="L5014" s="455">
        <f t="shared" ca="1" si="179"/>
        <v>-474970576192052.13</v>
      </c>
      <c r="M5014" s="471">
        <f t="shared" si="181"/>
        <v>0.05</v>
      </c>
      <c r="N5014" s="475">
        <f t="shared" si="182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80"/>
        <v>-474970576192052.13</v>
      </c>
      <c r="J5015" s="455">
        <f t="array" ref="J5015">IFERROR(INDEX('Retirement Calculator'!K:K,MATCH('Lorri 401b'!N5015,'Retirement Calculator'!A:A,0),0),0)</f>
        <v>0</v>
      </c>
      <c r="K5015" s="455">
        <f t="shared" ca="1" si="178"/>
        <v>-1979044067466.8838</v>
      </c>
      <c r="L5015" s="455">
        <f t="shared" ca="1" si="179"/>
        <v>-476949620259519</v>
      </c>
      <c r="M5015" s="471">
        <f t="shared" si="181"/>
        <v>0.05</v>
      </c>
      <c r="N5015" s="475">
        <f t="shared" si="182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80"/>
        <v>-476949620259519</v>
      </c>
      <c r="J5016" s="455">
        <f t="array" ref="J5016">IFERROR(INDEX('Retirement Calculator'!K:K,MATCH('Lorri 401b'!N5016,'Retirement Calculator'!A:A,0),0),0)</f>
        <v>0</v>
      </c>
      <c r="K5016" s="455">
        <f t="shared" ca="1" si="178"/>
        <v>-1987290084414.6624</v>
      </c>
      <c r="L5016" s="455">
        <f t="shared" ca="1" si="179"/>
        <v>-478936910343933.69</v>
      </c>
      <c r="M5016" s="471">
        <f t="shared" si="181"/>
        <v>0.05</v>
      </c>
      <c r="N5016" s="475">
        <f t="shared" si="182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80"/>
        <v>-478936910343933.69</v>
      </c>
      <c r="J5017" s="455">
        <f t="array" ref="J5017">IFERROR(INDEX('Retirement Calculator'!K:K,MATCH('Lorri 401b'!N5017,'Retirement Calculator'!A:A,0),0),0)</f>
        <v>0</v>
      </c>
      <c r="K5017" s="455">
        <f t="shared" ca="1" si="178"/>
        <v>-1995570459766.3904</v>
      </c>
      <c r="L5017" s="455">
        <f t="shared" ca="1" si="179"/>
        <v>-480932480803700.06</v>
      </c>
      <c r="M5017" s="471">
        <f t="shared" si="181"/>
        <v>0.05</v>
      </c>
      <c r="N5017" s="475">
        <f t="shared" si="182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80"/>
        <v>-480932480803700.06</v>
      </c>
      <c r="J5018" s="455">
        <f t="array" ref="J5018">IFERROR(INDEX('Retirement Calculator'!K:K,MATCH('Lorri 401b'!N5018,'Retirement Calculator'!A:A,0),0),0)</f>
        <v>0</v>
      </c>
      <c r="K5018" s="455">
        <f t="shared" ca="1" si="178"/>
        <v>-2003885336682.0833</v>
      </c>
      <c r="L5018" s="455">
        <f t="shared" ca="1" si="179"/>
        <v>-482936366140382.13</v>
      </c>
      <c r="M5018" s="471">
        <f t="shared" si="181"/>
        <v>0.05</v>
      </c>
      <c r="N5018" s="475">
        <f t="shared" si="182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80"/>
        <v>-482936366140382.13</v>
      </c>
      <c r="J5019" s="455">
        <f t="array" ref="J5019">IFERROR(INDEX('Retirement Calculator'!K:K,MATCH('Lorri 401b'!N5019,'Retirement Calculator'!A:A,0),0),0)</f>
        <v>0</v>
      </c>
      <c r="K5019" s="455">
        <f t="shared" ca="1" si="178"/>
        <v>-2012234858918.2588</v>
      </c>
      <c r="L5019" s="455">
        <f t="shared" ca="1" si="179"/>
        <v>-484948600999300.38</v>
      </c>
      <c r="M5019" s="471">
        <f t="shared" si="181"/>
        <v>0.05</v>
      </c>
      <c r="N5019" s="475">
        <f t="shared" si="182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80"/>
        <v>-484948600999300.38</v>
      </c>
      <c r="J5020" s="455">
        <f t="array" ref="J5020">IFERROR(INDEX('Retirement Calculator'!K:K,MATCH('Lorri 401b'!N5020,'Retirement Calculator'!A:A,0),0),0)</f>
        <v>0</v>
      </c>
      <c r="K5020" s="455">
        <f t="shared" ca="1" si="178"/>
        <v>-2020619170830.4182</v>
      </c>
      <c r="L5020" s="455">
        <f t="shared" ca="1" si="179"/>
        <v>-486969220170130.81</v>
      </c>
      <c r="M5020" s="471">
        <f t="shared" si="181"/>
        <v>0.05</v>
      </c>
      <c r="N5020" s="475">
        <f t="shared" si="182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80"/>
        <v>-486969220170130.81</v>
      </c>
      <c r="J5021" s="455">
        <f t="array" ref="J5021">IFERROR(INDEX('Retirement Calculator'!K:K,MATCH('Lorri 401b'!N5021,'Retirement Calculator'!A:A,0),0),0)</f>
        <v>0</v>
      </c>
      <c r="K5021" s="455">
        <f t="shared" ca="1" si="178"/>
        <v>-2029038417375.5452</v>
      </c>
      <c r="L5021" s="455">
        <f t="shared" ca="1" si="179"/>
        <v>-488998258587506.38</v>
      </c>
      <c r="M5021" s="471">
        <f t="shared" si="181"/>
        <v>0.05</v>
      </c>
      <c r="N5021" s="475">
        <f t="shared" si="182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80"/>
        <v>-488998258587506.38</v>
      </c>
      <c r="J5022" s="455">
        <f t="array" ref="J5022">IFERROR(INDEX('Retirement Calculator'!K:K,MATCH('Lorri 401b'!N5022,'Retirement Calculator'!A:A,0),0),0)</f>
        <v>0</v>
      </c>
      <c r="K5022" s="455">
        <f t="shared" ca="1" si="178"/>
        <v>-2037492744114.6099</v>
      </c>
      <c r="L5022" s="455">
        <f t="shared" ca="1" si="179"/>
        <v>-491035751331621</v>
      </c>
      <c r="M5022" s="471">
        <f t="shared" si="181"/>
        <v>0.05</v>
      </c>
      <c r="N5022" s="475">
        <f t="shared" si="182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80"/>
        <v>-491035751331621</v>
      </c>
      <c r="J5023" s="455">
        <f t="array" ref="J5023">IFERROR(INDEX('Retirement Calculator'!K:K,MATCH('Lorri 401b'!N5023,'Retirement Calculator'!A:A,0),0),0)</f>
        <v>0</v>
      </c>
      <c r="K5023" s="455">
        <f t="shared" ca="1" si="178"/>
        <v>-2045982297215.0874</v>
      </c>
      <c r="L5023" s="455">
        <f t="shared" ca="1" si="179"/>
        <v>-493081733628836.06</v>
      </c>
      <c r="M5023" s="471">
        <f t="shared" si="181"/>
        <v>0.05</v>
      </c>
      <c r="N5023" s="475">
        <f t="shared" si="182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80"/>
        <v>-493081733628836.06</v>
      </c>
      <c r="J5024" s="455">
        <f t="array" ref="J5024">IFERROR(INDEX('Retirement Calculator'!K:K,MATCH('Lorri 401b'!N5024,'Retirement Calculator'!A:A,0),0),0)</f>
        <v>0</v>
      </c>
      <c r="K5024" s="455">
        <f t="shared" ca="1" si="178"/>
        <v>-2054507223453.4836</v>
      </c>
      <c r="L5024" s="455">
        <f t="shared" ca="1" si="179"/>
        <v>-495136240852289.56</v>
      </c>
      <c r="M5024" s="471">
        <f t="shared" si="181"/>
        <v>0.05</v>
      </c>
      <c r="N5024" s="475">
        <f t="shared" si="182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80"/>
        <v>-495136240852289.56</v>
      </c>
      <c r="J5025" s="455">
        <f t="array" ref="J5025">IFERROR(INDEX('Retirement Calculator'!K:K,MATCH('Lorri 401b'!N5025,'Retirement Calculator'!A:A,0),0),0)</f>
        <v>0</v>
      </c>
      <c r="K5025" s="455">
        <f t="shared" ca="1" si="178"/>
        <v>-2063067670217.8728</v>
      </c>
      <c r="L5025" s="455">
        <f t="shared" ca="1" si="179"/>
        <v>-497199308522507.44</v>
      </c>
      <c r="M5025" s="471">
        <f t="shared" si="181"/>
        <v>0.05</v>
      </c>
      <c r="N5025" s="475">
        <f t="shared" si="182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80"/>
        <v>-497199308522507.44</v>
      </c>
      <c r="J5026" s="455">
        <f t="array" ref="J5026">IFERROR(INDEX('Retirement Calculator'!K:K,MATCH('Lorri 401b'!N5026,'Retirement Calculator'!A:A,0),0),0)</f>
        <v>0</v>
      </c>
      <c r="K5026" s="455">
        <f t="shared" ca="1" si="178"/>
        <v>-2071663785510.448</v>
      </c>
      <c r="L5026" s="455">
        <f t="shared" ca="1" si="179"/>
        <v>-499270972308017.88</v>
      </c>
      <c r="M5026" s="471">
        <f t="shared" si="181"/>
        <v>0.05</v>
      </c>
      <c r="N5026" s="475">
        <f t="shared" si="182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80"/>
        <v>-499270972308017.88</v>
      </c>
      <c r="J5027" s="455">
        <f t="array" ref="J5027">IFERROR(INDEX('Retirement Calculator'!K:K,MATCH('Lorri 401b'!N5027,'Retirement Calculator'!A:A,0),0),0)</f>
        <v>0</v>
      </c>
      <c r="K5027" s="455">
        <f t="shared" ca="1" si="178"/>
        <v>-2080295717950.0745</v>
      </c>
      <c r="L5027" s="455">
        <f t="shared" ca="1" si="179"/>
        <v>-501351268025967.94</v>
      </c>
      <c r="M5027" s="471">
        <f t="shared" si="181"/>
        <v>0.05</v>
      </c>
      <c r="N5027" s="475">
        <f t="shared" si="182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80"/>
        <v>-501351268025967.94</v>
      </c>
      <c r="J5028" s="455">
        <f t="array" ref="J5028">IFERROR(INDEX('Retirement Calculator'!K:K,MATCH('Lorri 401b'!N5028,'Retirement Calculator'!A:A,0),0),0)</f>
        <v>0</v>
      </c>
      <c r="K5028" s="455">
        <f t="shared" ca="1" si="178"/>
        <v>-2088963616774.8662</v>
      </c>
      <c r="L5028" s="455">
        <f t="shared" ca="1" si="179"/>
        <v>-503440231642742.81</v>
      </c>
      <c r="M5028" s="471">
        <f t="shared" si="181"/>
        <v>0.05</v>
      </c>
      <c r="N5028" s="475">
        <f t="shared" si="182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80"/>
        <v>-503440231642742.81</v>
      </c>
      <c r="J5029" s="455">
        <f t="array" ref="J5029">IFERROR(INDEX('Retirement Calculator'!K:K,MATCH('Lorri 401b'!N5029,'Retirement Calculator'!A:A,0),0),0)</f>
        <v>0</v>
      </c>
      <c r="K5029" s="455">
        <f t="shared" ca="1" si="178"/>
        <v>-2097667631844.7615</v>
      </c>
      <c r="L5029" s="455">
        <f t="shared" ca="1" si="179"/>
        <v>-505537899274587.56</v>
      </c>
      <c r="M5029" s="471">
        <f t="shared" si="181"/>
        <v>0.05</v>
      </c>
      <c r="N5029" s="475">
        <f t="shared" si="182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80"/>
        <v>-505537899274587.56</v>
      </c>
      <c r="J5030" s="455">
        <f t="array" ref="J5030">IFERROR(INDEX('Retirement Calculator'!K:K,MATCH('Lorri 401b'!N5030,'Retirement Calculator'!A:A,0),0),0)</f>
        <v>0</v>
      </c>
      <c r="K5030" s="455">
        <f t="shared" ca="1" si="178"/>
        <v>-2106407913644.1147</v>
      </c>
      <c r="L5030" s="455">
        <f t="shared" ca="1" si="179"/>
        <v>-507644307188231.69</v>
      </c>
      <c r="M5030" s="471">
        <f t="shared" si="181"/>
        <v>0.05</v>
      </c>
      <c r="N5030" s="475">
        <f t="shared" si="182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80"/>
        <v>-507644307188231.69</v>
      </c>
      <c r="J5031" s="455">
        <f t="array" ref="J5031">IFERROR(INDEX('Retirement Calculator'!K:K,MATCH('Lorri 401b'!N5031,'Retirement Calculator'!A:A,0),0),0)</f>
        <v>0</v>
      </c>
      <c r="K5031" s="455">
        <f t="shared" ca="1" si="178"/>
        <v>-2115184613284.2986</v>
      </c>
      <c r="L5031" s="455">
        <f t="shared" ca="1" si="179"/>
        <v>-509759491801516</v>
      </c>
      <c r="M5031" s="471">
        <f t="shared" si="181"/>
        <v>0.05</v>
      </c>
      <c r="N5031" s="475">
        <f t="shared" si="182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80"/>
        <v>-509759491801516</v>
      </c>
      <c r="J5032" s="455">
        <f t="array" ref="J5032">IFERROR(INDEX('Retirement Calculator'!K:K,MATCH('Lorri 401b'!N5032,'Retirement Calculator'!A:A,0),0),0)</f>
        <v>0</v>
      </c>
      <c r="K5032" s="455">
        <f t="shared" ca="1" si="178"/>
        <v>-2123997882506.3167</v>
      </c>
      <c r="L5032" s="455">
        <f t="shared" ca="1" si="179"/>
        <v>-511883489684022.31</v>
      </c>
      <c r="M5032" s="471">
        <f t="shared" si="181"/>
        <v>0.05</v>
      </c>
      <c r="N5032" s="475">
        <f t="shared" si="182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80"/>
        <v>-511883489684022.31</v>
      </c>
      <c r="J5033" s="455">
        <f t="array" ref="J5033">IFERROR(INDEX('Retirement Calculator'!K:K,MATCH('Lorri 401b'!N5033,'Retirement Calculator'!A:A,0),0),0)</f>
        <v>0</v>
      </c>
      <c r="K5033" s="455">
        <f t="shared" ca="1" si="178"/>
        <v>-2132847873683.4263</v>
      </c>
      <c r="L5033" s="455">
        <f t="shared" ca="1" si="179"/>
        <v>-514016337557705.75</v>
      </c>
      <c r="M5033" s="471">
        <f t="shared" si="181"/>
        <v>0.05</v>
      </c>
      <c r="N5033" s="475">
        <f t="shared" si="182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80"/>
        <v>-514016337557705.75</v>
      </c>
      <c r="J5034" s="455">
        <f t="array" ref="J5034">IFERROR(INDEX('Retirement Calculator'!K:K,MATCH('Lorri 401b'!N5034,'Retirement Calculator'!A:A,0),0),0)</f>
        <v>0</v>
      </c>
      <c r="K5034" s="455">
        <f t="shared" ca="1" si="178"/>
        <v>-2141734739823.7739</v>
      </c>
      <c r="L5034" s="455">
        <f t="shared" ca="1" si="179"/>
        <v>-516158072297529.5</v>
      </c>
      <c r="M5034" s="471">
        <f t="shared" si="181"/>
        <v>0.05</v>
      </c>
      <c r="N5034" s="475">
        <f t="shared" si="182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80"/>
        <v>-516158072297529.5</v>
      </c>
      <c r="J5035" s="455">
        <f t="array" ref="J5035">IFERROR(INDEX('Retirement Calculator'!K:K,MATCH('Lorri 401b'!N5035,'Retirement Calculator'!A:A,0),0),0)</f>
        <v>0</v>
      </c>
      <c r="K5035" s="455">
        <f t="shared" ca="1" si="178"/>
        <v>-2150658634573.0396</v>
      </c>
      <c r="L5035" s="455">
        <f t="shared" ca="1" si="179"/>
        <v>-518308730932102.56</v>
      </c>
      <c r="M5035" s="471">
        <f t="shared" si="181"/>
        <v>0.05</v>
      </c>
      <c r="N5035" s="475">
        <f t="shared" si="182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80"/>
        <v>-518308730932102.56</v>
      </c>
      <c r="J5036" s="455">
        <f t="array" ref="J5036">IFERROR(INDEX('Retirement Calculator'!K:K,MATCH('Lorri 401b'!N5036,'Retirement Calculator'!A:A,0),0),0)</f>
        <v>0</v>
      </c>
      <c r="K5036" s="455">
        <f t="shared" ca="1" si="178"/>
        <v>-2159619712217.0942</v>
      </c>
      <c r="L5036" s="455">
        <f t="shared" ca="1" si="179"/>
        <v>-520468350644319.69</v>
      </c>
      <c r="M5036" s="471">
        <f t="shared" si="181"/>
        <v>0.05</v>
      </c>
      <c r="N5036" s="475">
        <f t="shared" si="182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80"/>
        <v>-520468350644319.69</v>
      </c>
      <c r="J5037" s="455">
        <f t="array" ref="J5037">IFERROR(INDEX('Retirement Calculator'!K:K,MATCH('Lorri 401b'!N5037,'Retirement Calculator'!A:A,0),0),0)</f>
        <v>0</v>
      </c>
      <c r="K5037" s="455">
        <f t="shared" ca="1" si="178"/>
        <v>-2168618127684.6655</v>
      </c>
      <c r="L5037" s="455">
        <f t="shared" ca="1" si="179"/>
        <v>-522636968772004.38</v>
      </c>
      <c r="M5037" s="471">
        <f t="shared" si="181"/>
        <v>0.05</v>
      </c>
      <c r="N5037" s="475">
        <f t="shared" si="182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80"/>
        <v>-522636968772004.38</v>
      </c>
      <c r="J5038" s="455">
        <f t="array" ref="J5038">IFERROR(INDEX('Retirement Calculator'!K:K,MATCH('Lorri 401b'!N5038,'Retirement Calculator'!A:A,0),0),0)</f>
        <v>0</v>
      </c>
      <c r="K5038" s="455">
        <f t="shared" ca="1" si="178"/>
        <v>-2177654036550.0178</v>
      </c>
      <c r="L5038" s="455">
        <f t="shared" ca="1" si="179"/>
        <v>-524814622808554.38</v>
      </c>
      <c r="M5038" s="471">
        <f t="shared" si="181"/>
        <v>0.05</v>
      </c>
      <c r="N5038" s="475">
        <f t="shared" si="182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80"/>
        <v>-524814622808554.38</v>
      </c>
      <c r="J5039" s="455">
        <f t="array" ref="J5039">IFERROR(INDEX('Retirement Calculator'!K:K,MATCH('Lorri 401b'!N5039,'Retirement Calculator'!A:A,0),0),0)</f>
        <v>0</v>
      </c>
      <c r="K5039" s="455">
        <f t="shared" ca="1" si="178"/>
        <v>-2186727595035.6433</v>
      </c>
      <c r="L5039" s="455">
        <f t="shared" ca="1" si="179"/>
        <v>-527001350403590</v>
      </c>
      <c r="M5039" s="471">
        <f t="shared" si="181"/>
        <v>0.05</v>
      </c>
      <c r="N5039" s="475">
        <f t="shared" si="182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80"/>
        <v>-527001350403590</v>
      </c>
      <c r="J5040" s="455">
        <f t="array" ref="J5040">IFERROR(INDEX('Retirement Calculator'!K:K,MATCH('Lorri 401b'!N5040,'Retirement Calculator'!A:A,0),0),0)</f>
        <v>0</v>
      </c>
      <c r="K5040" s="455">
        <f t="shared" ca="1" si="178"/>
        <v>-2195838960014.9583</v>
      </c>
      <c r="L5040" s="455">
        <f t="shared" ca="1" si="179"/>
        <v>-529197189363604.94</v>
      </c>
      <c r="M5040" s="471">
        <f t="shared" si="181"/>
        <v>0.05</v>
      </c>
      <c r="N5040" s="475">
        <f t="shared" si="182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80"/>
        <v>-529197189363604.94</v>
      </c>
      <c r="J5041" s="455">
        <f t="array" ref="J5041">IFERROR(INDEX('Retirement Calculator'!K:K,MATCH('Lorri 401b'!N5041,'Retirement Calculator'!A:A,0),0),0)</f>
        <v>0</v>
      </c>
      <c r="K5041" s="455">
        <f t="shared" ca="1" si="178"/>
        <v>-2204988289015.0205</v>
      </c>
      <c r="L5041" s="455">
        <f t="shared" ca="1" si="179"/>
        <v>-531402177652619.94</v>
      </c>
      <c r="M5041" s="471">
        <f t="shared" si="181"/>
        <v>0.05</v>
      </c>
      <c r="N5041" s="475">
        <f t="shared" si="182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80"/>
        <v>-531402177652619.94</v>
      </c>
      <c r="J5042" s="455">
        <f t="array" ref="J5042">IFERROR(INDEX('Retirement Calculator'!K:K,MATCH('Lorri 401b'!N5042,'Retirement Calculator'!A:A,0),0),0)</f>
        <v>0</v>
      </c>
      <c r="K5042" s="455">
        <f t="shared" ca="1" si="178"/>
        <v>-2214175740219.2495</v>
      </c>
      <c r="L5042" s="455">
        <f t="shared" ca="1" si="179"/>
        <v>-533616353392839.19</v>
      </c>
      <c r="M5042" s="471">
        <f t="shared" si="181"/>
        <v>0.05</v>
      </c>
      <c r="N5042" s="475">
        <f t="shared" si="182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80"/>
        <v>-533616353392839.19</v>
      </c>
      <c r="J5043" s="455">
        <f t="array" ref="J5043">IFERROR(INDEX('Retirement Calculator'!K:K,MATCH('Lorri 401b'!N5043,'Retirement Calculator'!A:A,0),0),0)</f>
        <v>0</v>
      </c>
      <c r="K5043" s="455">
        <f t="shared" ca="1" si="178"/>
        <v>-2223401472470.1631</v>
      </c>
      <c r="L5043" s="455">
        <f t="shared" ca="1" si="179"/>
        <v>-535839754865309.38</v>
      </c>
      <c r="M5043" s="471">
        <f t="shared" si="181"/>
        <v>0.05</v>
      </c>
      <c r="N5043" s="475">
        <f t="shared" si="182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80"/>
        <v>-535839754865309.38</v>
      </c>
      <c r="J5044" s="455">
        <f t="array" ref="J5044">IFERROR(INDEX('Retirement Calculator'!K:K,MATCH('Lorri 401b'!N5044,'Retirement Calculator'!A:A,0),0),0)</f>
        <v>0</v>
      </c>
      <c r="K5044" s="455">
        <f t="shared" ca="1" si="178"/>
        <v>-2232665645272.1226</v>
      </c>
      <c r="L5044" s="455">
        <f t="shared" ca="1" si="179"/>
        <v>-538072420510581.5</v>
      </c>
      <c r="M5044" s="471">
        <f t="shared" si="181"/>
        <v>0.05</v>
      </c>
      <c r="N5044" s="475">
        <f t="shared" si="182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80"/>
        <v>-538072420510581.5</v>
      </c>
      <c r="J5045" s="455">
        <f t="array" ref="J5045">IFERROR(INDEX('Retirement Calculator'!K:K,MATCH('Lorri 401b'!N5045,'Retirement Calculator'!A:A,0),0),0)</f>
        <v>0</v>
      </c>
      <c r="K5045" s="455">
        <f t="shared" ca="1" si="178"/>
        <v>-2241968418794.0894</v>
      </c>
      <c r="L5045" s="455">
        <f t="shared" ca="1" si="179"/>
        <v>-540314388929375.56</v>
      </c>
      <c r="M5045" s="471">
        <f t="shared" si="181"/>
        <v>0.05</v>
      </c>
      <c r="N5045" s="475">
        <f t="shared" si="182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80"/>
        <v>-540314388929375.56</v>
      </c>
      <c r="J5046" s="455">
        <f t="array" ref="J5046">IFERROR(INDEX('Retirement Calculator'!K:K,MATCH('Lorri 401b'!N5046,'Retirement Calculator'!A:A,0),0),0)</f>
        <v>0</v>
      </c>
      <c r="K5046" s="455">
        <f t="shared" ca="1" si="178"/>
        <v>-2251309953872.3979</v>
      </c>
      <c r="L5046" s="455">
        <f t="shared" ca="1" si="179"/>
        <v>-542565698883247.94</v>
      </c>
      <c r="M5046" s="471">
        <f t="shared" si="181"/>
        <v>0.05</v>
      </c>
      <c r="N5046" s="475">
        <f t="shared" si="182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80"/>
        <v>-542565698883247.94</v>
      </c>
      <c r="J5047" s="455">
        <f t="array" ref="J5047">IFERROR(INDEX('Retirement Calculator'!K:K,MATCH('Lorri 401b'!N5047,'Retirement Calculator'!A:A,0),0),0)</f>
        <v>0</v>
      </c>
      <c r="K5047" s="455">
        <f t="shared" ca="1" si="178"/>
        <v>-2260690412013.5332</v>
      </c>
      <c r="L5047" s="455">
        <f t="shared" ca="1" si="179"/>
        <v>-544826389295261.5</v>
      </c>
      <c r="M5047" s="471">
        <f t="shared" si="181"/>
        <v>0.05</v>
      </c>
      <c r="N5047" s="475">
        <f t="shared" si="182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80"/>
        <v>-544826389295261.5</v>
      </c>
      <c r="J5048" s="455">
        <f t="array" ref="J5048">IFERROR(INDEX('Retirement Calculator'!K:K,MATCH('Lorri 401b'!N5048,'Retirement Calculator'!A:A,0),0),0)</f>
        <v>0</v>
      </c>
      <c r="K5048" s="455">
        <f t="shared" ca="1" si="178"/>
        <v>-2270109955396.9229</v>
      </c>
      <c r="L5048" s="455">
        <f t="shared" ca="1" si="179"/>
        <v>-547096499250658.44</v>
      </c>
      <c r="M5048" s="471">
        <f t="shared" si="181"/>
        <v>0.05</v>
      </c>
      <c r="N5048" s="475">
        <f t="shared" si="182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80"/>
        <v>-547096499250658.44</v>
      </c>
      <c r="J5049" s="455">
        <f t="array" ref="J5049">IFERROR(INDEX('Retirement Calculator'!K:K,MATCH('Lorri 401b'!N5049,'Retirement Calculator'!A:A,0),0),0)</f>
        <v>0</v>
      </c>
      <c r="K5049" s="455">
        <f t="shared" ca="1" si="178"/>
        <v>-2279568746877.7437</v>
      </c>
      <c r="L5049" s="455">
        <f t="shared" ca="1" si="179"/>
        <v>-549376067997536.19</v>
      </c>
      <c r="M5049" s="471">
        <f t="shared" si="181"/>
        <v>0.05</v>
      </c>
      <c r="N5049" s="475">
        <f t="shared" si="182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80"/>
        <v>-549376067997536.19</v>
      </c>
      <c r="J5050" s="455">
        <f t="array" ref="J5050">IFERROR(INDEX('Retirement Calculator'!K:K,MATCH('Lorri 401b'!N5050,'Retirement Calculator'!A:A,0),0),0)</f>
        <v>0</v>
      </c>
      <c r="K5050" s="455">
        <f t="shared" ca="1" si="178"/>
        <v>-2289066949989.7339</v>
      </c>
      <c r="L5050" s="455">
        <f t="shared" ca="1" si="179"/>
        <v>-551665134947525.94</v>
      </c>
      <c r="M5050" s="471">
        <f t="shared" si="181"/>
        <v>0.05</v>
      </c>
      <c r="N5050" s="475">
        <f t="shared" si="182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80"/>
        <v>-551665134947525.94</v>
      </c>
      <c r="J5051" s="455">
        <f t="array" ref="J5051">IFERROR(INDEX('Retirement Calculator'!K:K,MATCH('Lorri 401b'!N5051,'Retirement Calculator'!A:A,0),0),0)</f>
        <v>0</v>
      </c>
      <c r="K5051" s="455">
        <f t="shared" ca="1" si="178"/>
        <v>-2298604728948.0249</v>
      </c>
      <c r="L5051" s="455">
        <f t="shared" ca="1" si="179"/>
        <v>-553963739676473.94</v>
      </c>
      <c r="M5051" s="471">
        <f t="shared" si="181"/>
        <v>0.05</v>
      </c>
      <c r="N5051" s="475">
        <f t="shared" si="182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80"/>
        <v>-553963739676473.94</v>
      </c>
      <c r="J5052" s="455">
        <f t="array" ref="J5052">IFERROR(INDEX('Retirement Calculator'!K:K,MATCH('Lorri 401b'!N5052,'Retirement Calculator'!A:A,0),0),0)</f>
        <v>0</v>
      </c>
      <c r="K5052" s="455">
        <f t="shared" ca="1" si="178"/>
        <v>-2308182248651.9751</v>
      </c>
      <c r="L5052" s="455">
        <f t="shared" ca="1" si="179"/>
        <v>-556271921925125.94</v>
      </c>
      <c r="M5052" s="471">
        <f t="shared" si="181"/>
        <v>0.05</v>
      </c>
      <c r="N5052" s="475">
        <f t="shared" si="182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80"/>
        <v>-556271921925125.94</v>
      </c>
      <c r="J5053" s="455">
        <f t="array" ref="J5053">IFERROR(INDEX('Retirement Calculator'!K:K,MATCH('Lorri 401b'!N5053,'Retirement Calculator'!A:A,0),0),0)</f>
        <v>0</v>
      </c>
      <c r="K5053" s="455">
        <f t="shared" ca="1" si="178"/>
        <v>-2317799674688.0249</v>
      </c>
      <c r="L5053" s="455">
        <f t="shared" ca="1" si="179"/>
        <v>-558589721599813.94</v>
      </c>
      <c r="M5053" s="471">
        <f t="shared" si="181"/>
        <v>0.05</v>
      </c>
      <c r="N5053" s="475">
        <f t="shared" si="182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80"/>
        <v>-558589721599813.94</v>
      </c>
      <c r="J5054" s="455">
        <f t="array" ref="J5054">IFERROR(INDEX('Retirement Calculator'!K:K,MATCH('Lorri 401b'!N5054,'Retirement Calculator'!A:A,0),0),0)</f>
        <v>0</v>
      </c>
      <c r="K5054" s="455">
        <f t="shared" ca="1" si="178"/>
        <v>-2327457173332.5576</v>
      </c>
      <c r="L5054" s="455">
        <f t="shared" ca="1" si="179"/>
        <v>-560917178773146.5</v>
      </c>
      <c r="M5054" s="471">
        <f t="shared" si="181"/>
        <v>0.05</v>
      </c>
      <c r="N5054" s="475">
        <f t="shared" si="182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80"/>
        <v>-560917178773146.5</v>
      </c>
      <c r="J5055" s="455">
        <f t="array" ref="J5055">IFERROR(INDEX('Retirement Calculator'!K:K,MATCH('Lorri 401b'!N5055,'Retirement Calculator'!A:A,0),0),0)</f>
        <v>0</v>
      </c>
      <c r="K5055" s="455">
        <f t="shared" ca="1" si="178"/>
        <v>-2337154911554.7769</v>
      </c>
      <c r="L5055" s="455">
        <f t="shared" ca="1" si="179"/>
        <v>-563254333684701.25</v>
      </c>
      <c r="M5055" s="471">
        <f t="shared" si="181"/>
        <v>0.05</v>
      </c>
      <c r="N5055" s="475">
        <f t="shared" si="182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80"/>
        <v>-563254333684701.25</v>
      </c>
      <c r="J5056" s="455">
        <f t="array" ref="J5056">IFERROR(INDEX('Retirement Calculator'!K:K,MATCH('Lorri 401b'!N5056,'Retirement Calculator'!A:A,0),0),0)</f>
        <v>0</v>
      </c>
      <c r="K5056" s="455">
        <f t="shared" ca="1" si="178"/>
        <v>-2346893057019.5884</v>
      </c>
      <c r="L5056" s="455">
        <f t="shared" ca="1" si="179"/>
        <v>-565601226741720.88</v>
      </c>
      <c r="M5056" s="471">
        <f t="shared" si="181"/>
        <v>0.05</v>
      </c>
      <c r="N5056" s="475">
        <f t="shared" si="182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80"/>
        <v>-565601226741720.88</v>
      </c>
      <c r="J5057" s="455">
        <f t="array" ref="J5057">IFERROR(INDEX('Retirement Calculator'!K:K,MATCH('Lorri 401b'!N5057,'Retirement Calculator'!A:A,0),0),0)</f>
        <v>0</v>
      </c>
      <c r="K5057" s="455">
        <f t="shared" ca="1" si="178"/>
        <v>-2356671778090.5034</v>
      </c>
      <c r="L5057" s="455">
        <f t="shared" ca="1" si="179"/>
        <v>-567957898519811.38</v>
      </c>
      <c r="M5057" s="471">
        <f t="shared" si="181"/>
        <v>0.05</v>
      </c>
      <c r="N5057" s="475">
        <f t="shared" si="182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80"/>
        <v>-567957898519811.38</v>
      </c>
      <c r="J5058" s="455">
        <f t="array" ref="J5058">IFERROR(INDEX('Retirement Calculator'!K:K,MATCH('Lorri 401b'!N5058,'Retirement Calculator'!A:A,0),0),0)</f>
        <v>0</v>
      </c>
      <c r="K5058" s="455">
        <f t="shared" ca="1" si="178"/>
        <v>-2366491243832.5474</v>
      </c>
      <c r="L5058" s="455">
        <f t="shared" ca="1" si="179"/>
        <v>-570324389763643.88</v>
      </c>
      <c r="M5058" s="471">
        <f t="shared" si="181"/>
        <v>0.05</v>
      </c>
      <c r="N5058" s="475">
        <f t="shared" si="182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80"/>
        <v>-570324389763643.88</v>
      </c>
      <c r="J5059" s="455">
        <f t="array" ref="J5059">IFERROR(INDEX('Retirement Calculator'!K:K,MATCH('Lorri 401b'!N5059,'Retirement Calculator'!A:A,0),0),0)</f>
        <v>0</v>
      </c>
      <c r="K5059" s="455">
        <f t="shared" ca="1" si="178"/>
        <v>-2376351624015.1826</v>
      </c>
      <c r="L5059" s="455">
        <f t="shared" ca="1" si="179"/>
        <v>-572700741387659</v>
      </c>
      <c r="M5059" s="471">
        <f t="shared" si="181"/>
        <v>0.05</v>
      </c>
      <c r="N5059" s="475">
        <f t="shared" si="182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80"/>
        <v>-572700741387659</v>
      </c>
      <c r="J5060" s="455">
        <f t="array" ref="J5060">IFERROR(INDEX('Retirement Calculator'!K:K,MATCH('Lorri 401b'!N5060,'Retirement Calculator'!A:A,0),0),0)</f>
        <v>0</v>
      </c>
      <c r="K5060" s="455">
        <f t="shared" ca="1" si="178"/>
        <v>-2386253089115.2456</v>
      </c>
      <c r="L5060" s="455">
        <f t="shared" ca="1" si="179"/>
        <v>-575086994476774.25</v>
      </c>
      <c r="M5060" s="471">
        <f t="shared" si="181"/>
        <v>0.05</v>
      </c>
      <c r="N5060" s="475">
        <f t="shared" si="182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80"/>
        <v>-575086994476774.25</v>
      </c>
      <c r="J5061" s="455">
        <f t="array" ref="J5061">IFERROR(INDEX('Retirement Calculator'!K:K,MATCH('Lorri 401b'!N5061,'Retirement Calculator'!A:A,0),0),0)</f>
        <v>0</v>
      </c>
      <c r="K5061" s="455">
        <f t="shared" ca="1" si="178"/>
        <v>-2396195810319.8926</v>
      </c>
      <c r="L5061" s="455">
        <f t="shared" ca="1" si="179"/>
        <v>-577483190287094.13</v>
      </c>
      <c r="M5061" s="471">
        <f t="shared" si="181"/>
        <v>0.05</v>
      </c>
      <c r="N5061" s="475">
        <f t="shared" si="182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80"/>
        <v>-577483190287094.13</v>
      </c>
      <c r="J5062" s="455">
        <f t="array" ref="J5062">IFERROR(INDEX('Retirement Calculator'!K:K,MATCH('Lorri 401b'!N5062,'Retirement Calculator'!A:A,0),0),0)</f>
        <v>0</v>
      </c>
      <c r="K5062" s="455">
        <f t="shared" ca="1" si="178"/>
        <v>-2406179959529.5586</v>
      </c>
      <c r="L5062" s="455">
        <f t="shared" ca="1" si="179"/>
        <v>-579889370246623.63</v>
      </c>
      <c r="M5062" s="471">
        <f t="shared" si="181"/>
        <v>0.05</v>
      </c>
      <c r="N5062" s="475">
        <f t="shared" si="182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80"/>
        <v>-579889370246623.63</v>
      </c>
      <c r="J5063" s="455">
        <f t="array" ref="J5063">IFERROR(INDEX('Retirement Calculator'!K:K,MATCH('Lorri 401b'!N5063,'Retirement Calculator'!A:A,0),0),0)</f>
        <v>0</v>
      </c>
      <c r="K5063" s="455">
        <f t="shared" ca="1" si="178"/>
        <v>-2416205709360.9316</v>
      </c>
      <c r="L5063" s="455">
        <f t="shared" ca="1" si="179"/>
        <v>-582305575955984.5</v>
      </c>
      <c r="M5063" s="471">
        <f t="shared" si="181"/>
        <v>0.05</v>
      </c>
      <c r="N5063" s="475">
        <f t="shared" si="182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80"/>
        <v>-582305575955984.5</v>
      </c>
      <c r="J5064" s="455">
        <f t="array" ref="J5064">IFERROR(INDEX('Retirement Calculator'!K:K,MATCH('Lorri 401b'!N5064,'Retirement Calculator'!A:A,0),0),0)</f>
        <v>0</v>
      </c>
      <c r="K5064" s="455">
        <f t="shared" ca="1" si="178"/>
        <v>-2426273233149.9355</v>
      </c>
      <c r="L5064" s="455">
        <f t="shared" ca="1" si="179"/>
        <v>-584731849189134.38</v>
      </c>
      <c r="M5064" s="471">
        <f t="shared" si="181"/>
        <v>0.05</v>
      </c>
      <c r="N5064" s="475">
        <f t="shared" si="182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80"/>
        <v>-584731849189134.38</v>
      </c>
      <c r="J5065" s="455">
        <f t="array" ref="J5065">IFERROR(INDEX('Retirement Calculator'!K:K,MATCH('Lorri 401b'!N5065,'Retirement Calculator'!A:A,0),0),0)</f>
        <v>0</v>
      </c>
      <c r="K5065" s="455">
        <f t="shared" ca="1" si="178"/>
        <v>-2436382704954.7266</v>
      </c>
      <c r="L5065" s="455">
        <f t="shared" ca="1" si="179"/>
        <v>-587168231894089.13</v>
      </c>
      <c r="M5065" s="471">
        <f t="shared" si="181"/>
        <v>0.05</v>
      </c>
      <c r="N5065" s="475">
        <f t="shared" si="182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80"/>
        <v>-587168231894089.13</v>
      </c>
      <c r="J5066" s="455">
        <f t="array" ref="J5066">IFERROR(INDEX('Retirement Calculator'!K:K,MATCH('Lorri 401b'!N5066,'Retirement Calculator'!A:A,0),0),0)</f>
        <v>0</v>
      </c>
      <c r="K5066" s="455">
        <f t="shared" ca="1" si="178"/>
        <v>-2446534299558.7046</v>
      </c>
      <c r="L5066" s="455">
        <f t="shared" ca="1" si="179"/>
        <v>-589614766193647.88</v>
      </c>
      <c r="M5066" s="471">
        <f t="shared" si="181"/>
        <v>0.05</v>
      </c>
      <c r="N5066" s="475">
        <f t="shared" si="182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80"/>
        <v>-589614766193647.88</v>
      </c>
      <c r="J5067" s="455">
        <f t="array" ref="J5067">IFERROR(INDEX('Retirement Calculator'!K:K,MATCH('Lorri 401b'!N5067,'Retirement Calculator'!A:A,0),0),0)</f>
        <v>0</v>
      </c>
      <c r="K5067" s="455">
        <f t="shared" ca="1" si="178"/>
        <v>-2456728192473.5327</v>
      </c>
      <c r="L5067" s="455">
        <f t="shared" ca="1" si="179"/>
        <v>-592071494386121.38</v>
      </c>
      <c r="M5067" s="471">
        <f t="shared" si="181"/>
        <v>0.05</v>
      </c>
      <c r="N5067" s="475">
        <f t="shared" si="182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80"/>
        <v>-592071494386121.38</v>
      </c>
      <c r="J5068" s="455">
        <f t="array" ref="J5068">IFERROR(INDEX('Retirement Calculator'!K:K,MATCH('Lorri 401b'!N5068,'Retirement Calculator'!A:A,0),0),0)</f>
        <v>0</v>
      </c>
      <c r="K5068" s="455">
        <f t="shared" ca="1" si="178"/>
        <v>-2466964559942.1724</v>
      </c>
      <c r="L5068" s="455">
        <f t="shared" ca="1" si="179"/>
        <v>-594538458946063.5</v>
      </c>
      <c r="M5068" s="471">
        <f t="shared" si="181"/>
        <v>0.05</v>
      </c>
      <c r="N5068" s="475">
        <f t="shared" si="182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80"/>
        <v>-594538458946063.5</v>
      </c>
      <c r="J5069" s="455">
        <f t="array" ref="J5069">IFERROR(INDEX('Retirement Calculator'!K:K,MATCH('Lorri 401b'!N5069,'Retirement Calculator'!A:A,0),0),0)</f>
        <v>0</v>
      </c>
      <c r="K5069" s="455">
        <f t="shared" ca="1" si="178"/>
        <v>-2477243578941.9312</v>
      </c>
      <c r="L5069" s="455">
        <f t="shared" ca="1" si="179"/>
        <v>-597015702525005.38</v>
      </c>
      <c r="M5069" s="471">
        <f t="shared" si="181"/>
        <v>0.05</v>
      </c>
      <c r="N5069" s="475">
        <f t="shared" si="182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80"/>
        <v>-597015702525005.38</v>
      </c>
      <c r="J5070" s="455">
        <f t="array" ref="J5070">IFERROR(INDEX('Retirement Calculator'!K:K,MATCH('Lorri 401b'!N5070,'Retirement Calculator'!A:A,0),0),0)</f>
        <v>0</v>
      </c>
      <c r="K5070" s="455">
        <f t="shared" ca="1" si="178"/>
        <v>-2487565427187.5225</v>
      </c>
      <c r="L5070" s="455">
        <f t="shared" ca="1" si="179"/>
        <v>-599503267952192.88</v>
      </c>
      <c r="M5070" s="471">
        <f t="shared" si="181"/>
        <v>0.05</v>
      </c>
      <c r="N5070" s="475">
        <f t="shared" si="182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80"/>
        <v>-599503267952192.88</v>
      </c>
      <c r="J5071" s="455">
        <f t="array" ref="J5071">IFERROR(INDEX('Retirement Calculator'!K:K,MATCH('Lorri 401b'!N5071,'Retirement Calculator'!A:A,0),0),0)</f>
        <v>0</v>
      </c>
      <c r="K5071" s="455">
        <f t="shared" ca="1" si="178"/>
        <v>-2497930283134.1367</v>
      </c>
      <c r="L5071" s="455">
        <f t="shared" ca="1" si="179"/>
        <v>-602001198235327</v>
      </c>
      <c r="M5071" s="471">
        <f t="shared" si="181"/>
        <v>0.05</v>
      </c>
      <c r="N5071" s="475">
        <f t="shared" si="182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80"/>
        <v>-602001198235327</v>
      </c>
      <c r="J5072" s="455">
        <f t="array" ref="J5072">IFERROR(INDEX('Retirement Calculator'!K:K,MATCH('Lorri 401b'!N5072,'Retirement Calculator'!A:A,0),0),0)</f>
        <v>0</v>
      </c>
      <c r="K5072" s="455">
        <f t="shared" ca="1" si="178"/>
        <v>-2508338325980.5293</v>
      </c>
      <c r="L5072" s="455">
        <f t="shared" ca="1" si="179"/>
        <v>-604509536561307.5</v>
      </c>
      <c r="M5072" s="471">
        <f t="shared" si="181"/>
        <v>0.05</v>
      </c>
      <c r="N5072" s="475">
        <f t="shared" si="182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80"/>
        <v>-604509536561307.5</v>
      </c>
      <c r="J5073" s="455">
        <f t="array" ref="J5073">IFERROR(INDEX('Retirement Calculator'!K:K,MATCH('Lorri 401b'!N5073,'Retirement Calculator'!A:A,0),0),0)</f>
        <v>0</v>
      </c>
      <c r="K5073" s="455">
        <f t="shared" ca="1" si="178"/>
        <v>-2518789735672.1147</v>
      </c>
      <c r="L5073" s="455">
        <f t="shared" ca="1" si="179"/>
        <v>-607028326296979.63</v>
      </c>
      <c r="M5073" s="471">
        <f t="shared" si="181"/>
        <v>0.05</v>
      </c>
      <c r="N5073" s="475">
        <f t="shared" si="182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80"/>
        <v>-607028326296979.63</v>
      </c>
      <c r="J5074" s="455">
        <f t="array" ref="J5074">IFERROR(INDEX('Retirement Calculator'!K:K,MATCH('Lorri 401b'!N5074,'Retirement Calculator'!A:A,0),0),0)</f>
        <v>0</v>
      </c>
      <c r="K5074" s="455">
        <f t="shared" ca="1" si="178"/>
        <v>-2529284692904.0815</v>
      </c>
      <c r="L5074" s="455">
        <f t="shared" ca="1" si="179"/>
        <v>-609557610989883.75</v>
      </c>
      <c r="M5074" s="471">
        <f t="shared" si="181"/>
        <v>0.05</v>
      </c>
      <c r="N5074" s="475">
        <f t="shared" si="182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80"/>
        <v>-609557610989883.75</v>
      </c>
      <c r="J5075" s="455">
        <f t="array" ref="J5075">IFERROR(INDEX('Retirement Calculator'!K:K,MATCH('Lorri 401b'!N5075,'Retirement Calculator'!A:A,0),0),0)</f>
        <v>0</v>
      </c>
      <c r="K5075" s="455">
        <f t="shared" ca="1" si="178"/>
        <v>-2539823379124.5156</v>
      </c>
      <c r="L5075" s="455">
        <f t="shared" ca="1" si="179"/>
        <v>-612097434369008.25</v>
      </c>
      <c r="M5075" s="471">
        <f t="shared" si="181"/>
        <v>0.05</v>
      </c>
      <c r="N5075" s="475">
        <f t="shared" si="182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80"/>
        <v>-612097434369008.25</v>
      </c>
      <c r="J5076" s="455">
        <f t="array" ref="J5076">IFERROR(INDEX('Retirement Calculator'!K:K,MATCH('Lorri 401b'!N5076,'Retirement Calculator'!A:A,0),0),0)</f>
        <v>0</v>
      </c>
      <c r="K5076" s="455">
        <f t="shared" ca="1" si="178"/>
        <v>-2550405976537.5342</v>
      </c>
      <c r="L5076" s="455">
        <f t="shared" ca="1" si="179"/>
        <v>-614647840345545.75</v>
      </c>
      <c r="M5076" s="471">
        <f t="shared" si="181"/>
        <v>0.05</v>
      </c>
      <c r="N5076" s="475">
        <f t="shared" si="182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80"/>
        <v>-614647840345545.75</v>
      </c>
      <c r="J5077" s="455">
        <f t="array" ref="J5077">IFERROR(INDEX('Retirement Calculator'!K:K,MATCH('Lorri 401b'!N5077,'Retirement Calculator'!A:A,0),0),0)</f>
        <v>0</v>
      </c>
      <c r="K5077" s="455">
        <f t="shared" ca="1" si="178"/>
        <v>-2561032668106.4404</v>
      </c>
      <c r="L5077" s="455">
        <f t="shared" ca="1" si="179"/>
        <v>-617208873013652.25</v>
      </c>
      <c r="M5077" s="471">
        <f t="shared" si="181"/>
        <v>0.05</v>
      </c>
      <c r="N5077" s="475">
        <f t="shared" si="182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80"/>
        <v>-617208873013652.25</v>
      </c>
      <c r="J5078" s="455">
        <f t="array" ref="J5078">IFERROR(INDEX('Retirement Calculator'!K:K,MATCH('Lorri 401b'!N5078,'Retirement Calculator'!A:A,0),0),0)</f>
        <v>0</v>
      </c>
      <c r="K5078" s="455">
        <f t="shared" ca="1" si="178"/>
        <v>-2571703637556.8843</v>
      </c>
      <c r="L5078" s="455">
        <f t="shared" ca="1" si="179"/>
        <v>-619780576651209.13</v>
      </c>
      <c r="M5078" s="471">
        <f t="shared" si="181"/>
        <v>0.05</v>
      </c>
      <c r="N5078" s="475">
        <f t="shared" si="182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80"/>
        <v>-619780576651209.13</v>
      </c>
      <c r="J5079" s="455">
        <f t="array" ref="J5079">IFERROR(INDEX('Retirement Calculator'!K:K,MATCH('Lorri 401b'!N5079,'Retirement Calculator'!A:A,0),0),0)</f>
        <v>0</v>
      </c>
      <c r="K5079" s="455">
        <f t="shared" ca="1" si="178"/>
        <v>-2582419069380.0381</v>
      </c>
      <c r="L5079" s="455">
        <f t="shared" ca="1" si="179"/>
        <v>-622362995720589.13</v>
      </c>
      <c r="M5079" s="471">
        <f t="shared" si="181"/>
        <v>0.05</v>
      </c>
      <c r="N5079" s="475">
        <f t="shared" si="182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80"/>
        <v>-622362995720589.13</v>
      </c>
      <c r="J5080" s="455">
        <f t="array" ref="J5080">IFERROR(INDEX('Retirement Calculator'!K:K,MATCH('Lorri 401b'!N5080,'Retirement Calculator'!A:A,0),0),0)</f>
        <v>0</v>
      </c>
      <c r="K5080" s="455">
        <f t="shared" ca="1" si="178"/>
        <v>-2593179148835.7881</v>
      </c>
      <c r="L5080" s="455">
        <f t="shared" ca="1" si="179"/>
        <v>-624956174869424.88</v>
      </c>
      <c r="M5080" s="471">
        <f t="shared" si="181"/>
        <v>0.05</v>
      </c>
      <c r="N5080" s="475">
        <f t="shared" si="182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80"/>
        <v>-624956174869424.88</v>
      </c>
      <c r="J5081" s="455">
        <f t="array" ref="J5081">IFERROR(INDEX('Retirement Calculator'!K:K,MATCH('Lorri 401b'!N5081,'Retirement Calculator'!A:A,0),0),0)</f>
        <v>0</v>
      </c>
      <c r="K5081" s="455">
        <f t="shared" ca="1" si="178"/>
        <v>-2603984061955.937</v>
      </c>
      <c r="L5081" s="455">
        <f t="shared" ca="1" si="179"/>
        <v>-627560158931380.75</v>
      </c>
      <c r="M5081" s="471">
        <f t="shared" si="181"/>
        <v>0.05</v>
      </c>
      <c r="N5081" s="475">
        <f t="shared" si="182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80"/>
        <v>-627560158931380.75</v>
      </c>
      <c r="J5082" s="455">
        <f t="array" ref="J5082">IFERROR(INDEX('Retirement Calculator'!K:K,MATCH('Lorri 401b'!N5082,'Retirement Calculator'!A:A,0),0),0)</f>
        <v>0</v>
      </c>
      <c r="K5082" s="455">
        <f t="shared" ca="1" si="178"/>
        <v>-2614833995547.4199</v>
      </c>
      <c r="L5082" s="455">
        <f t="shared" ca="1" si="179"/>
        <v>-630174992926928.13</v>
      </c>
      <c r="M5082" s="471">
        <f t="shared" si="181"/>
        <v>0.05</v>
      </c>
      <c r="N5082" s="475">
        <f t="shared" si="182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80"/>
        <v>-630174992926928.13</v>
      </c>
      <c r="J5083" s="455">
        <f t="array" ref="J5083">IFERROR(INDEX('Retirement Calculator'!K:K,MATCH('Lorri 401b'!N5083,'Retirement Calculator'!A:A,0),0),0)</f>
        <v>0</v>
      </c>
      <c r="K5083" s="455">
        <f t="shared" ca="1" si="178"/>
        <v>-2625729137195.5337</v>
      </c>
      <c r="L5083" s="455">
        <f t="shared" ca="1" si="179"/>
        <v>-632800722064123.63</v>
      </c>
      <c r="M5083" s="471">
        <f t="shared" si="181"/>
        <v>0.05</v>
      </c>
      <c r="N5083" s="475">
        <f t="shared" si="182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80"/>
        <v>-632800722064123.63</v>
      </c>
      <c r="J5084" s="455">
        <f t="array" ref="J5084">IFERROR(INDEX('Retirement Calculator'!K:K,MATCH('Lorri 401b'!N5084,'Retirement Calculator'!A:A,0),0),0)</f>
        <v>0</v>
      </c>
      <c r="K5084" s="455">
        <f t="shared" ca="1" si="178"/>
        <v>-2636669675267.1816</v>
      </c>
      <c r="L5084" s="455">
        <f t="shared" ca="1" si="179"/>
        <v>-635437391739390.75</v>
      </c>
      <c r="M5084" s="471">
        <f t="shared" si="181"/>
        <v>0.05</v>
      </c>
      <c r="N5084" s="475">
        <f t="shared" si="182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80"/>
        <v>-635437391739390.75</v>
      </c>
      <c r="J5085" s="455">
        <f t="array" ref="J5085">IFERROR(INDEX('Retirement Calculator'!K:K,MATCH('Lorri 401b'!N5085,'Retirement Calculator'!A:A,0),0),0)</f>
        <v>0</v>
      </c>
      <c r="K5085" s="455">
        <f t="shared" ca="1" si="178"/>
        <v>-2647655798914.1279</v>
      </c>
      <c r="L5085" s="455">
        <f t="shared" ca="1" si="179"/>
        <v>-638085047538304.88</v>
      </c>
      <c r="M5085" s="471">
        <f t="shared" si="181"/>
        <v>0.05</v>
      </c>
      <c r="N5085" s="475">
        <f t="shared" si="182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80"/>
        <v>-638085047538304.88</v>
      </c>
      <c r="J5086" s="455">
        <f t="array" ref="J5086">IFERROR(INDEX('Retirement Calculator'!K:K,MATCH('Lorri 401b'!N5086,'Retirement Calculator'!A:A,0),0),0)</f>
        <v>0</v>
      </c>
      <c r="K5086" s="455">
        <f t="shared" ca="1" si="178"/>
        <v>-2658687698076.2705</v>
      </c>
      <c r="L5086" s="455">
        <f t="shared" ca="1" si="179"/>
        <v>-640743735236381.13</v>
      </c>
      <c r="M5086" s="471">
        <f t="shared" si="181"/>
        <v>0.05</v>
      </c>
      <c r="N5086" s="475">
        <f t="shared" si="182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80"/>
        <v>-640743735236381.13</v>
      </c>
      <c r="J5087" s="455">
        <f t="array" ref="J5087">IFERROR(INDEX('Retirement Calculator'!K:K,MATCH('Lorri 401b'!N5087,'Retirement Calculator'!A:A,0),0),0)</f>
        <v>0</v>
      </c>
      <c r="K5087" s="455">
        <f t="shared" ca="1" si="178"/>
        <v>-2669765563484.9214</v>
      </c>
      <c r="L5087" s="455">
        <f t="shared" ca="1" si="179"/>
        <v>-643413500799866</v>
      </c>
      <c r="M5087" s="471">
        <f t="shared" si="181"/>
        <v>0.05</v>
      </c>
      <c r="N5087" s="475">
        <f t="shared" si="182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80"/>
        <v>-643413500799866</v>
      </c>
      <c r="J5088" s="455">
        <f t="array" ref="J5088">IFERROR(INDEX('Retirement Calculator'!K:K,MATCH('Lorri 401b'!N5088,'Retirement Calculator'!A:A,0),0),0)</f>
        <v>0</v>
      </c>
      <c r="K5088" s="455">
        <f t="shared" ca="1" si="178"/>
        <v>-2680889586666.1084</v>
      </c>
      <c r="L5088" s="455">
        <f t="shared" ca="1" si="179"/>
        <v>-646094390386532.13</v>
      </c>
      <c r="M5088" s="471">
        <f t="shared" si="181"/>
        <v>0.05</v>
      </c>
      <c r="N5088" s="475">
        <f t="shared" si="182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80"/>
        <v>-646094390386532.13</v>
      </c>
      <c r="J5089" s="455">
        <f t="array" ref="J5089">IFERROR(INDEX('Retirement Calculator'!K:K,MATCH('Lorri 401b'!N5089,'Retirement Calculator'!A:A,0),0),0)</f>
        <v>0</v>
      </c>
      <c r="K5089" s="455">
        <f t="shared" ca="1" si="178"/>
        <v>-2692059959943.8838</v>
      </c>
      <c r="L5089" s="455">
        <f t="shared" ca="1" si="179"/>
        <v>-648786450346476</v>
      </c>
      <c r="M5089" s="471">
        <f t="shared" si="181"/>
        <v>0.05</v>
      </c>
      <c r="N5089" s="475">
        <f t="shared" si="182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80"/>
        <v>-648786450346476</v>
      </c>
      <c r="J5090" s="455">
        <f t="array" ref="J5090">IFERROR(INDEX('Retirement Calculator'!K:K,MATCH('Lorri 401b'!N5090,'Retirement Calculator'!A:A,0),0),0)</f>
        <v>0</v>
      </c>
      <c r="K5090" s="455">
        <f t="shared" ca="1" si="178"/>
        <v>-2703276876443.6499</v>
      </c>
      <c r="L5090" s="455">
        <f t="shared" ca="1" si="179"/>
        <v>-651489727222919.63</v>
      </c>
      <c r="M5090" s="471">
        <f t="shared" si="181"/>
        <v>0.05</v>
      </c>
      <c r="N5090" s="475">
        <f t="shared" si="182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80"/>
        <v>-651489727222919.63</v>
      </c>
      <c r="J5091" s="455">
        <f t="array" ref="J5091">IFERROR(INDEX('Retirement Calculator'!K:K,MATCH('Lorri 401b'!N5091,'Retirement Calculator'!A:A,0),0),0)</f>
        <v>0</v>
      </c>
      <c r="K5091" s="455">
        <f t="shared" ca="1" si="178"/>
        <v>-2714540530095.4985</v>
      </c>
      <c r="L5091" s="455">
        <f t="shared" ca="1" si="179"/>
        <v>-654204267753015.13</v>
      </c>
      <c r="M5091" s="471">
        <f t="shared" si="181"/>
        <v>0.05</v>
      </c>
      <c r="N5091" s="475">
        <f t="shared" si="182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80"/>
        <v>-654204267753015.13</v>
      </c>
      <c r="J5092" s="455">
        <f t="array" ref="J5092">IFERROR(INDEX('Retirement Calculator'!K:K,MATCH('Lorri 401b'!N5092,'Retirement Calculator'!A:A,0),0),0)</f>
        <v>0</v>
      </c>
      <c r="K5092" s="455">
        <f t="shared" ca="1" si="178"/>
        <v>-2725851115637.563</v>
      </c>
      <c r="L5092" s="455">
        <f t="shared" ca="1" si="179"/>
        <v>-656930118868652.75</v>
      </c>
      <c r="M5092" s="471">
        <f t="shared" si="181"/>
        <v>0.05</v>
      </c>
      <c r="N5092" s="475">
        <f t="shared" si="182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80"/>
        <v>-656930118868652.75</v>
      </c>
      <c r="J5093" s="455">
        <f t="array" ref="J5093">IFERROR(INDEX('Retirement Calculator'!K:K,MATCH('Lorri 401b'!N5093,'Retirement Calculator'!A:A,0),0),0)</f>
        <v>0</v>
      </c>
      <c r="K5093" s="455">
        <f t="shared" ca="1" si="178"/>
        <v>-2737208828619.3862</v>
      </c>
      <c r="L5093" s="455">
        <f t="shared" ca="1" si="179"/>
        <v>-659667327697272.13</v>
      </c>
      <c r="M5093" s="471">
        <f t="shared" si="181"/>
        <v>0.05</v>
      </c>
      <c r="N5093" s="475">
        <f t="shared" si="182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80"/>
        <v>-659667327697272.13</v>
      </c>
      <c r="J5094" s="455">
        <f t="array" ref="J5094">IFERROR(INDEX('Retirement Calculator'!K:K,MATCH('Lorri 401b'!N5094,'Retirement Calculator'!A:A,0),0),0)</f>
        <v>0</v>
      </c>
      <c r="K5094" s="455">
        <f t="shared" ca="1" si="178"/>
        <v>-2748613865405.3003</v>
      </c>
      <c r="L5094" s="455">
        <f t="shared" ca="1" si="179"/>
        <v>-662415941562677.38</v>
      </c>
      <c r="M5094" s="471">
        <f t="shared" si="181"/>
        <v>0.05</v>
      </c>
      <c r="N5094" s="475">
        <f t="shared" si="182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80"/>
        <v>-662415941562677.38</v>
      </c>
      <c r="J5095" s="455">
        <f t="array" ref="J5095">IFERROR(INDEX('Retirement Calculator'!K:K,MATCH('Lorri 401b'!N5095,'Retirement Calculator'!A:A,0),0),0)</f>
        <v>0</v>
      </c>
      <c r="K5095" s="455">
        <f t="shared" ca="1" si="178"/>
        <v>-2760066423177.8223</v>
      </c>
      <c r="L5095" s="455">
        <f t="shared" ca="1" si="179"/>
        <v>-665176007985855.25</v>
      </c>
      <c r="M5095" s="471">
        <f t="shared" si="181"/>
        <v>0.05</v>
      </c>
      <c r="N5095" s="475">
        <f t="shared" si="182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80"/>
        <v>-665176007985855.25</v>
      </c>
      <c r="J5096" s="455">
        <f t="array" ref="J5096">IFERROR(INDEX('Retirement Calculator'!K:K,MATCH('Lorri 401b'!N5096,'Retirement Calculator'!A:A,0),0),0)</f>
        <v>0</v>
      </c>
      <c r="K5096" s="455">
        <f t="shared" ca="1" si="178"/>
        <v>-2771566699941.0635</v>
      </c>
      <c r="L5096" s="455">
        <f t="shared" ca="1" si="179"/>
        <v>-667947574685796.38</v>
      </c>
      <c r="M5096" s="471">
        <f t="shared" si="181"/>
        <v>0.05</v>
      </c>
      <c r="N5096" s="475">
        <f t="shared" si="182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80"/>
        <v>-667947574685796.38</v>
      </c>
      <c r="J5097" s="455">
        <f t="array" ref="J5097">IFERROR(INDEX('Retirement Calculator'!K:K,MATCH('Lorri 401b'!N5097,'Retirement Calculator'!A:A,0),0),0)</f>
        <v>0</v>
      </c>
      <c r="K5097" s="455">
        <f t="shared" ca="1" si="178"/>
        <v>-2783114894524.1514</v>
      </c>
      <c r="L5097" s="455">
        <f t="shared" ca="1" si="179"/>
        <v>-670730689580320.5</v>
      </c>
      <c r="M5097" s="471">
        <f t="shared" si="181"/>
        <v>0.05</v>
      </c>
      <c r="N5097" s="475">
        <f t="shared" si="182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80"/>
        <v>-670730689580320.5</v>
      </c>
      <c r="J5098" s="455">
        <f t="array" ref="J5098">IFERROR(INDEX('Retirement Calculator'!K:K,MATCH('Lorri 401b'!N5098,'Retirement Calculator'!A:A,0),0),0)</f>
        <v>0</v>
      </c>
      <c r="K5098" s="455">
        <f t="shared" ca="1" si="178"/>
        <v>-2794711206584.6689</v>
      </c>
      <c r="L5098" s="455">
        <f t="shared" ca="1" si="179"/>
        <v>-673525400786905.13</v>
      </c>
      <c r="M5098" s="471">
        <f t="shared" si="181"/>
        <v>0.05</v>
      </c>
      <c r="N5098" s="475">
        <f t="shared" si="182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80"/>
        <v>-673525400786905.13</v>
      </c>
      <c r="J5099" s="455">
        <f t="array" ref="J5099">IFERROR(INDEX('Retirement Calculator'!K:K,MATCH('Lorri 401b'!N5099,'Retirement Calculator'!A:A,0),0),0)</f>
        <v>0</v>
      </c>
      <c r="K5099" s="455">
        <f t="shared" ca="1" si="178"/>
        <v>-2806355836612.1045</v>
      </c>
      <c r="L5099" s="455">
        <f t="shared" ca="1" si="179"/>
        <v>-676331756623517.25</v>
      </c>
      <c r="M5099" s="471">
        <f t="shared" si="181"/>
        <v>0.05</v>
      </c>
      <c r="N5099" s="475">
        <f t="shared" si="182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80"/>
        <v>-676331756623517.25</v>
      </c>
      <c r="J5100" s="455">
        <f t="array" ref="J5100">IFERROR(INDEX('Retirement Calculator'!K:K,MATCH('Lorri 401b'!N5100,'Retirement Calculator'!A:A,0),0),0)</f>
        <v>0</v>
      </c>
      <c r="K5100" s="455">
        <f t="shared" ca="1" si="178"/>
        <v>-2818048985931.3218</v>
      </c>
      <c r="L5100" s="455">
        <f t="shared" ca="1" si="179"/>
        <v>-679149805609448.63</v>
      </c>
      <c r="M5100" s="471">
        <f t="shared" si="181"/>
        <v>0.05</v>
      </c>
      <c r="N5100" s="475">
        <f t="shared" si="182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80"/>
        <v>-679149805609448.63</v>
      </c>
      <c r="J5101" s="455">
        <f t="array" ref="J5101">IFERROR(INDEX('Retirement Calculator'!K:K,MATCH('Lorri 401b'!N5101,'Retirement Calculator'!A:A,0),0),0)</f>
        <v>0</v>
      </c>
      <c r="K5101" s="455">
        <f t="shared" ca="1" si="178"/>
        <v>-2829790856706.0361</v>
      </c>
      <c r="L5101" s="455">
        <f t="shared" ca="1" si="179"/>
        <v>-681979596466154.63</v>
      </c>
      <c r="M5101" s="471">
        <f t="shared" si="181"/>
        <v>0.05</v>
      </c>
      <c r="N5101" s="475">
        <f t="shared" si="182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80"/>
        <v>-681979596466154.63</v>
      </c>
      <c r="J5102" s="455">
        <f t="array" ref="J5102">IFERROR(INDEX('Retirement Calculator'!K:K,MATCH('Lorri 401b'!N5102,'Retirement Calculator'!A:A,0),0),0)</f>
        <v>0</v>
      </c>
      <c r="K5102" s="455">
        <f t="shared" ca="1" si="178"/>
        <v>-2841581651942.311</v>
      </c>
      <c r="L5102" s="455">
        <f t="shared" ca="1" si="179"/>
        <v>-684821178118096.88</v>
      </c>
      <c r="M5102" s="471">
        <f t="shared" si="181"/>
        <v>0.05</v>
      </c>
      <c r="N5102" s="475">
        <f t="shared" si="182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80"/>
        <v>-684821178118096.88</v>
      </c>
      <c r="J5103" s="455">
        <f t="array" ref="J5103">IFERROR(INDEX('Retirement Calculator'!K:K,MATCH('Lorri 401b'!N5103,'Retirement Calculator'!A:A,0),0),0)</f>
        <v>0</v>
      </c>
      <c r="K5103" s="455">
        <f t="shared" ca="1" si="178"/>
        <v>-2853421575492.0703</v>
      </c>
      <c r="L5103" s="455">
        <f t="shared" ca="1" si="179"/>
        <v>-687674599693589</v>
      </c>
      <c r="M5103" s="471">
        <f t="shared" si="181"/>
        <v>0.05</v>
      </c>
      <c r="N5103" s="475">
        <f t="shared" si="182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80"/>
        <v>-687674599693589</v>
      </c>
      <c r="J5104" s="455">
        <f t="array" ref="J5104">IFERROR(INDEX('Retirement Calculator'!K:K,MATCH('Lorri 401b'!N5104,'Retirement Calculator'!A:A,0),0),0)</f>
        <v>0</v>
      </c>
      <c r="K5104" s="455">
        <f t="shared" ca="1" si="178"/>
        <v>-2865310832056.6206</v>
      </c>
      <c r="L5104" s="455">
        <f t="shared" ca="1" si="179"/>
        <v>-690539910525645.63</v>
      </c>
      <c r="M5104" s="471">
        <f t="shared" si="181"/>
        <v>0.05</v>
      </c>
      <c r="N5104" s="475">
        <f t="shared" si="182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80"/>
        <v>-690539910525645.63</v>
      </c>
      <c r="J5105" s="455">
        <f t="array" ref="J5105">IFERROR(INDEX('Retirement Calculator'!K:K,MATCH('Lorri 401b'!N5105,'Retirement Calculator'!A:A,0),0),0)</f>
        <v>0</v>
      </c>
      <c r="K5105" s="455">
        <f t="shared" ca="1" si="178"/>
        <v>-2877249627190.1899</v>
      </c>
      <c r="L5105" s="455">
        <f t="shared" ca="1" si="179"/>
        <v>-693417160152835.88</v>
      </c>
      <c r="M5105" s="471">
        <f t="shared" si="181"/>
        <v>0.05</v>
      </c>
      <c r="N5105" s="475">
        <f t="shared" si="182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80"/>
        <v>-693417160152835.88</v>
      </c>
      <c r="J5106" s="455">
        <f t="array" ref="J5106">IFERROR(INDEX('Retirement Calculator'!K:K,MATCH('Lorri 401b'!N5106,'Retirement Calculator'!A:A,0),0),0)</f>
        <v>0</v>
      </c>
      <c r="K5106" s="455">
        <f t="shared" ca="1" si="178"/>
        <v>-2889238167303.4829</v>
      </c>
      <c r="L5106" s="455">
        <f t="shared" ca="1" si="179"/>
        <v>-696306398320139.38</v>
      </c>
      <c r="M5106" s="471">
        <f t="shared" si="181"/>
        <v>0.05</v>
      </c>
      <c r="N5106" s="475">
        <f t="shared" si="182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80"/>
        <v>-696306398320139.38</v>
      </c>
      <c r="J5107" s="455">
        <f t="array" ref="J5107">IFERROR(INDEX('Retirement Calculator'!K:K,MATCH('Lorri 401b'!N5107,'Retirement Calculator'!A:A,0),0),0)</f>
        <v>0</v>
      </c>
      <c r="K5107" s="455">
        <f t="shared" ca="1" si="178"/>
        <v>-2901276659667.2476</v>
      </c>
      <c r="L5107" s="455">
        <f t="shared" ca="1" si="179"/>
        <v>-699207674979806.63</v>
      </c>
      <c r="M5107" s="471">
        <f t="shared" si="181"/>
        <v>0.05</v>
      </c>
      <c r="N5107" s="475">
        <f t="shared" si="182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80"/>
        <v>-699207674979806.63</v>
      </c>
      <c r="J5108" s="455">
        <f t="array" ref="J5108">IFERROR(INDEX('Retirement Calculator'!K:K,MATCH('Lorri 401b'!N5108,'Retirement Calculator'!A:A,0),0),0)</f>
        <v>0</v>
      </c>
      <c r="K5108" s="455">
        <f t="shared" ref="K5108:K5362" ca="1" si="183">IPMT(M5108/12,1,12,-I5108+J5108,,0)</f>
        <v>-2913365312415.8608</v>
      </c>
      <c r="L5108" s="455">
        <f t="shared" ref="L5108:L5362" ca="1" si="184">I5108-J5108+K5108</f>
        <v>-702121040292222.5</v>
      </c>
      <c r="M5108" s="471">
        <f t="shared" si="181"/>
        <v>0.05</v>
      </c>
      <c r="N5108" s="475">
        <f t="shared" si="182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185">L5108</f>
        <v>-702121040292222.5</v>
      </c>
      <c r="J5109" s="455">
        <f t="array" ref="J5109">IFERROR(INDEX('Retirement Calculator'!K:K,MATCH('Lorri 401b'!N5109,'Retirement Calculator'!A:A,0),0),0)</f>
        <v>0</v>
      </c>
      <c r="K5109" s="455">
        <f t="shared" ca="1" si="183"/>
        <v>-2925504334550.9272</v>
      </c>
      <c r="L5109" s="455">
        <f t="shared" ca="1" si="184"/>
        <v>-705046544626773.38</v>
      </c>
      <c r="M5109" s="471">
        <f t="shared" ref="M5109:M5363" si="186">M5108</f>
        <v>0.05</v>
      </c>
      <c r="N5109" s="475">
        <f t="shared" ref="N5109:N5363" si="187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185"/>
        <v>-705046544626773.38</v>
      </c>
      <c r="J5110" s="455">
        <f t="array" ref="J5110">IFERROR(INDEX('Retirement Calculator'!K:K,MATCH('Lorri 401b'!N5110,'Retirement Calculator'!A:A,0),0),0)</f>
        <v>0</v>
      </c>
      <c r="K5110" s="455">
        <f t="shared" ca="1" si="183"/>
        <v>-2937693935944.8892</v>
      </c>
      <c r="L5110" s="455">
        <f t="shared" ca="1" si="184"/>
        <v>-707984238562718.25</v>
      </c>
      <c r="M5110" s="471">
        <f t="shared" si="186"/>
        <v>0.05</v>
      </c>
      <c r="N5110" s="475">
        <f t="shared" si="187"/>
        <v>206577</v>
      </c>
    </row>
    <row r="5111" spans="7:14" ht="11.25" customHeight="1" x14ac:dyDescent="0.3">
      <c r="G5111" s="470"/>
      <c r="H5111" s="470">
        <v>5104</v>
      </c>
      <c r="I5111" s="455">
        <f t="shared" ca="1" si="185"/>
        <v>-707984238562718.25</v>
      </c>
      <c r="J5111" s="455">
        <f t="array" ref="J5111">IFERROR(INDEX('Retirement Calculator'!K:K,MATCH('Lorri 401b'!N5111,'Retirement Calculator'!A:A,0),0),0)</f>
        <v>0</v>
      </c>
      <c r="K5111" s="455">
        <f t="shared" ca="1" si="183"/>
        <v>-2949934327344.6592</v>
      </c>
      <c r="L5111" s="455">
        <f t="shared" ca="1" si="184"/>
        <v>-710934172890062.88</v>
      </c>
      <c r="M5111" s="471">
        <f t="shared" si="186"/>
        <v>0.05</v>
      </c>
      <c r="N5111" s="475">
        <f t="shared" si="187"/>
        <v>206608</v>
      </c>
    </row>
    <row r="5112" spans="7:14" ht="11.25" customHeight="1" x14ac:dyDescent="0.3">
      <c r="G5112" s="470"/>
      <c r="H5112" s="470">
        <v>5105</v>
      </c>
      <c r="I5112" s="455">
        <f t="shared" ca="1" si="185"/>
        <v>-710934172890062.88</v>
      </c>
      <c r="J5112" s="455">
        <f t="array" ref="J5112">IFERROR(INDEX('Retirement Calculator'!K:K,MATCH('Lorri 401b'!N5112,'Retirement Calculator'!A:A,0),0),0)</f>
        <v>0</v>
      </c>
      <c r="K5112" s="455">
        <f t="shared" ca="1" si="183"/>
        <v>-2962225720375.2617</v>
      </c>
      <c r="L5112" s="455">
        <f t="shared" ca="1" si="184"/>
        <v>-713896398610438.13</v>
      </c>
      <c r="M5112" s="471">
        <f t="shared" si="186"/>
        <v>0.05</v>
      </c>
      <c r="N5112" s="475">
        <f t="shared" si="187"/>
        <v>206638</v>
      </c>
    </row>
    <row r="5113" spans="7:14" ht="11.25" customHeight="1" x14ac:dyDescent="0.3">
      <c r="G5113" s="470"/>
      <c r="H5113" s="470">
        <v>5106</v>
      </c>
      <c r="I5113" s="455">
        <f t="shared" ca="1" si="185"/>
        <v>-713896398610438.13</v>
      </c>
      <c r="J5113" s="455">
        <f t="array" ref="J5113">IFERROR(INDEX('Retirement Calculator'!K:K,MATCH('Lorri 401b'!N5113,'Retirement Calculator'!A:A,0),0),0)</f>
        <v>0</v>
      </c>
      <c r="K5113" s="455">
        <f t="shared" ca="1" si="183"/>
        <v>-2974568327543.4922</v>
      </c>
      <c r="L5113" s="455">
        <f t="shared" ca="1" si="184"/>
        <v>-716870966937981.63</v>
      </c>
      <c r="M5113" s="471">
        <f t="shared" si="186"/>
        <v>0.05</v>
      </c>
      <c r="N5113" s="475">
        <f t="shared" si="187"/>
        <v>206669</v>
      </c>
    </row>
    <row r="5114" spans="7:14" ht="11.25" customHeight="1" x14ac:dyDescent="0.3">
      <c r="G5114" s="470"/>
      <c r="H5114" s="470">
        <v>5107</v>
      </c>
      <c r="I5114" s="455">
        <f t="shared" ca="1" si="185"/>
        <v>-716870966937981.63</v>
      </c>
      <c r="J5114" s="455">
        <f t="array" ref="J5114">IFERROR(INDEX('Retirement Calculator'!K:K,MATCH('Lorri 401b'!N5114,'Retirement Calculator'!A:A,0),0),0)</f>
        <v>0</v>
      </c>
      <c r="K5114" s="455">
        <f t="shared" ca="1" si="183"/>
        <v>-2986962362241.5898</v>
      </c>
      <c r="L5114" s="455">
        <f t="shared" ca="1" si="184"/>
        <v>-719857929300223.25</v>
      </c>
      <c r="M5114" s="471">
        <f t="shared" si="186"/>
        <v>0.05</v>
      </c>
      <c r="N5114" s="475">
        <f t="shared" si="187"/>
        <v>206699</v>
      </c>
    </row>
    <row r="5115" spans="7:14" ht="11.25" customHeight="1" x14ac:dyDescent="0.3">
      <c r="G5115" s="470"/>
      <c r="H5115" s="470">
        <v>5108</v>
      </c>
      <c r="I5115" s="455">
        <f t="shared" ca="1" si="185"/>
        <v>-719857929300223.25</v>
      </c>
      <c r="J5115" s="455">
        <f t="array" ref="J5115">IFERROR(INDEX('Retirement Calculator'!K:K,MATCH('Lorri 401b'!N5115,'Retirement Calculator'!A:A,0),0),0)</f>
        <v>0</v>
      </c>
      <c r="K5115" s="455">
        <f t="shared" ca="1" si="183"/>
        <v>-2999408038750.9302</v>
      </c>
      <c r="L5115" s="455">
        <f t="shared" ca="1" si="184"/>
        <v>-722857337338974.13</v>
      </c>
      <c r="M5115" s="471">
        <f t="shared" si="186"/>
        <v>0.05</v>
      </c>
      <c r="N5115" s="475">
        <f t="shared" si="187"/>
        <v>206730</v>
      </c>
    </row>
    <row r="5116" spans="7:14" ht="11.25" customHeight="1" x14ac:dyDescent="0.3">
      <c r="G5116" s="470"/>
      <c r="H5116" s="470">
        <v>5109</v>
      </c>
      <c r="I5116" s="455">
        <f t="shared" ca="1" si="185"/>
        <v>-722857337338974.13</v>
      </c>
      <c r="J5116" s="455">
        <f t="array" ref="J5116">IFERROR(INDEX('Retirement Calculator'!K:K,MATCH('Lorri 401b'!N5116,'Retirement Calculator'!A:A,0),0),0)</f>
        <v>0</v>
      </c>
      <c r="K5116" s="455">
        <f t="shared" ca="1" si="183"/>
        <v>-3011905572245.7256</v>
      </c>
      <c r="L5116" s="455">
        <f t="shared" ca="1" si="184"/>
        <v>-725869242911219.88</v>
      </c>
      <c r="M5116" s="471">
        <f t="shared" si="186"/>
        <v>0.05</v>
      </c>
      <c r="N5116" s="475">
        <f t="shared" si="187"/>
        <v>206761</v>
      </c>
    </row>
    <row r="5117" spans="7:14" ht="11.25" customHeight="1" x14ac:dyDescent="0.3">
      <c r="G5117" s="470"/>
      <c r="H5117" s="470">
        <v>5110</v>
      </c>
      <c r="I5117" s="455">
        <f t="shared" ca="1" si="185"/>
        <v>-725869242911219.88</v>
      </c>
      <c r="J5117" s="455">
        <f t="array" ref="J5117">IFERROR(INDEX('Retirement Calculator'!K:K,MATCH('Lorri 401b'!N5117,'Retirement Calculator'!A:A,0),0),0)</f>
        <v>0</v>
      </c>
      <c r="K5117" s="455">
        <f t="shared" ca="1" si="183"/>
        <v>-3024455178796.7495</v>
      </c>
      <c r="L5117" s="455">
        <f t="shared" ca="1" si="184"/>
        <v>-728893698090016.63</v>
      </c>
      <c r="M5117" s="471">
        <f t="shared" si="186"/>
        <v>0.05</v>
      </c>
      <c r="N5117" s="475">
        <f t="shared" si="187"/>
        <v>206789</v>
      </c>
    </row>
    <row r="5118" spans="7:14" ht="11.25" customHeight="1" x14ac:dyDescent="0.3">
      <c r="G5118" s="470"/>
      <c r="H5118" s="470">
        <v>5111</v>
      </c>
      <c r="I5118" s="455">
        <f t="shared" ca="1" si="185"/>
        <v>-728893698090016.63</v>
      </c>
      <c r="J5118" s="455">
        <f t="array" ref="J5118">IFERROR(INDEX('Retirement Calculator'!K:K,MATCH('Lorri 401b'!N5118,'Retirement Calculator'!A:A,0),0),0)</f>
        <v>0</v>
      </c>
      <c r="K5118" s="455">
        <f t="shared" ca="1" si="183"/>
        <v>-3037057075375.0693</v>
      </c>
      <c r="L5118" s="455">
        <f t="shared" ca="1" si="184"/>
        <v>-731930755165391.75</v>
      </c>
      <c r="M5118" s="471">
        <f t="shared" si="186"/>
        <v>0.05</v>
      </c>
      <c r="N5118" s="475">
        <f t="shared" si="187"/>
        <v>206820</v>
      </c>
    </row>
    <row r="5119" spans="7:14" ht="11.25" customHeight="1" x14ac:dyDescent="0.3">
      <c r="G5119" s="470"/>
      <c r="H5119" s="470">
        <v>5112</v>
      </c>
      <c r="I5119" s="455">
        <f t="shared" ca="1" si="185"/>
        <v>-731930755165391.75</v>
      </c>
      <c r="J5119" s="455">
        <f t="array" ref="J5119">IFERROR(INDEX('Retirement Calculator'!K:K,MATCH('Lorri 401b'!N5119,'Retirement Calculator'!A:A,0),0),0)</f>
        <v>0</v>
      </c>
      <c r="K5119" s="455">
        <f t="shared" ca="1" si="183"/>
        <v>-3049711479855.7988</v>
      </c>
      <c r="L5119" s="455">
        <f t="shared" ca="1" si="184"/>
        <v>-734980466645247.5</v>
      </c>
      <c r="M5119" s="471">
        <f t="shared" si="186"/>
        <v>0.05</v>
      </c>
      <c r="N5119" s="475">
        <f t="shared" si="187"/>
        <v>206850</v>
      </c>
    </row>
    <row r="5120" spans="7:14" ht="11.25" customHeight="1" x14ac:dyDescent="0.3">
      <c r="G5120" s="470"/>
      <c r="H5120" s="470">
        <v>5113</v>
      </c>
      <c r="I5120" s="455">
        <f t="shared" ca="1" si="185"/>
        <v>-734980466645247.5</v>
      </c>
      <c r="J5120" s="455">
        <f t="array" ref="J5120">IFERROR(INDEX('Retirement Calculator'!K:K,MATCH('Lorri 401b'!N5120,'Retirement Calculator'!A:A,0),0),0)</f>
        <v>0</v>
      </c>
      <c r="K5120" s="455">
        <f t="shared" ca="1" si="183"/>
        <v>-3062418611021.8647</v>
      </c>
      <c r="L5120" s="455">
        <f t="shared" ca="1" si="184"/>
        <v>-738042885256269.38</v>
      </c>
      <c r="M5120" s="471">
        <f t="shared" si="186"/>
        <v>0.05</v>
      </c>
      <c r="N5120" s="475">
        <f t="shared" si="187"/>
        <v>206881</v>
      </c>
    </row>
    <row r="5121" spans="7:14" ht="11.25" customHeight="1" x14ac:dyDescent="0.3">
      <c r="G5121" s="470"/>
      <c r="H5121" s="470">
        <v>5114</v>
      </c>
      <c r="I5121" s="455">
        <f t="shared" ca="1" si="185"/>
        <v>-738042885256269.38</v>
      </c>
      <c r="J5121" s="455">
        <f t="array" ref="J5121">IFERROR(INDEX('Retirement Calculator'!K:K,MATCH('Lorri 401b'!N5121,'Retirement Calculator'!A:A,0),0),0)</f>
        <v>0</v>
      </c>
      <c r="K5121" s="455">
        <f t="shared" ca="1" si="183"/>
        <v>-3075178688567.7891</v>
      </c>
      <c r="L5121" s="455">
        <f t="shared" ca="1" si="184"/>
        <v>-741118063944837.13</v>
      </c>
      <c r="M5121" s="471">
        <f t="shared" si="186"/>
        <v>0.05</v>
      </c>
      <c r="N5121" s="475">
        <f t="shared" si="187"/>
        <v>206911</v>
      </c>
    </row>
    <row r="5122" spans="7:14" ht="11.25" customHeight="1" x14ac:dyDescent="0.3">
      <c r="G5122" s="470"/>
      <c r="H5122" s="470">
        <v>5115</v>
      </c>
      <c r="I5122" s="455">
        <f t="shared" ca="1" si="185"/>
        <v>-741118063944837.13</v>
      </c>
      <c r="J5122" s="455">
        <f t="array" ref="J5122">IFERROR(INDEX('Retirement Calculator'!K:K,MATCH('Lorri 401b'!N5122,'Retirement Calculator'!A:A,0),0),0)</f>
        <v>0</v>
      </c>
      <c r="K5122" s="455">
        <f t="shared" ca="1" si="183"/>
        <v>-3087991933103.4878</v>
      </c>
      <c r="L5122" s="455">
        <f t="shared" ca="1" si="184"/>
        <v>-744206055877940.63</v>
      </c>
      <c r="M5122" s="471">
        <f t="shared" si="186"/>
        <v>0.05</v>
      </c>
      <c r="N5122" s="475">
        <f t="shared" si="187"/>
        <v>206942</v>
      </c>
    </row>
    <row r="5123" spans="7:14" ht="11.25" customHeight="1" x14ac:dyDescent="0.3">
      <c r="G5123" s="470"/>
      <c r="H5123" s="470">
        <v>5116</v>
      </c>
      <c r="I5123" s="455">
        <f t="shared" ca="1" si="185"/>
        <v>-744206055877940.63</v>
      </c>
      <c r="J5123" s="455">
        <f t="array" ref="J5123">IFERROR(INDEX('Retirement Calculator'!K:K,MATCH('Lorri 401b'!N5123,'Retirement Calculator'!A:A,0),0),0)</f>
        <v>0</v>
      </c>
      <c r="K5123" s="455">
        <f t="shared" ca="1" si="183"/>
        <v>-3100858566158.0859</v>
      </c>
      <c r="L5123" s="455">
        <f t="shared" ca="1" si="184"/>
        <v>-747306914444098.75</v>
      </c>
      <c r="M5123" s="471">
        <f t="shared" si="186"/>
        <v>0.05</v>
      </c>
      <c r="N5123" s="475">
        <f t="shared" si="187"/>
        <v>206973</v>
      </c>
    </row>
    <row r="5124" spans="7:14" ht="11.25" customHeight="1" x14ac:dyDescent="0.3">
      <c r="G5124" s="470"/>
      <c r="H5124" s="470">
        <v>5117</v>
      </c>
      <c r="I5124" s="455">
        <f t="shared" ca="1" si="185"/>
        <v>-747306914444098.75</v>
      </c>
      <c r="J5124" s="455">
        <f t="array" ref="J5124">IFERROR(INDEX('Retirement Calculator'!K:K,MATCH('Lorri 401b'!N5124,'Retirement Calculator'!A:A,0),0),0)</f>
        <v>0</v>
      </c>
      <c r="K5124" s="455">
        <f t="shared" ca="1" si="183"/>
        <v>-3113778810183.7446</v>
      </c>
      <c r="L5124" s="455">
        <f t="shared" ca="1" si="184"/>
        <v>-750420693254282.5</v>
      </c>
      <c r="M5124" s="471">
        <f t="shared" si="186"/>
        <v>0.05</v>
      </c>
      <c r="N5124" s="475">
        <f t="shared" si="187"/>
        <v>207003</v>
      </c>
    </row>
    <row r="5125" spans="7:14" ht="11.25" customHeight="1" x14ac:dyDescent="0.3">
      <c r="G5125" s="470"/>
      <c r="H5125" s="470">
        <v>5118</v>
      </c>
      <c r="I5125" s="455">
        <f t="shared" ca="1" si="185"/>
        <v>-750420693254282.5</v>
      </c>
      <c r="J5125" s="455">
        <f t="array" ref="J5125">IFERROR(INDEX('Retirement Calculator'!K:K,MATCH('Lorri 401b'!N5125,'Retirement Calculator'!A:A,0),0),0)</f>
        <v>0</v>
      </c>
      <c r="K5125" s="455">
        <f t="shared" ca="1" si="183"/>
        <v>-3126752888559.5103</v>
      </c>
      <c r="L5125" s="455">
        <f t="shared" ca="1" si="184"/>
        <v>-753547446142842</v>
      </c>
      <c r="M5125" s="471">
        <f t="shared" si="186"/>
        <v>0.05</v>
      </c>
      <c r="N5125" s="475">
        <f t="shared" si="187"/>
        <v>207034</v>
      </c>
    </row>
    <row r="5126" spans="7:14" ht="11.25" customHeight="1" x14ac:dyDescent="0.3">
      <c r="G5126" s="470"/>
      <c r="H5126" s="470">
        <v>5119</v>
      </c>
      <c r="I5126" s="455">
        <f t="shared" ca="1" si="185"/>
        <v>-753547446142842</v>
      </c>
      <c r="J5126" s="455">
        <f t="array" ref="J5126">IFERROR(INDEX('Retirement Calculator'!K:K,MATCH('Lorri 401b'!N5126,'Retirement Calculator'!A:A,0),0),0)</f>
        <v>0</v>
      </c>
      <c r="K5126" s="455">
        <f t="shared" ca="1" si="183"/>
        <v>-3139781025595.1748</v>
      </c>
      <c r="L5126" s="455">
        <f t="shared" ca="1" si="184"/>
        <v>-756687227168437.13</v>
      </c>
      <c r="M5126" s="471">
        <f t="shared" si="186"/>
        <v>0.05</v>
      </c>
      <c r="N5126" s="475">
        <f t="shared" si="187"/>
        <v>207064</v>
      </c>
    </row>
    <row r="5127" spans="7:14" ht="11.25" customHeight="1" x14ac:dyDescent="0.3">
      <c r="G5127" s="470"/>
      <c r="H5127" s="470">
        <v>5120</v>
      </c>
      <c r="I5127" s="455">
        <f t="shared" ca="1" si="185"/>
        <v>-756687227168437.13</v>
      </c>
      <c r="J5127" s="455">
        <f t="array" ref="J5127">IFERROR(INDEX('Retirement Calculator'!K:K,MATCH('Lorri 401b'!N5127,'Retirement Calculator'!A:A,0),0),0)</f>
        <v>0</v>
      </c>
      <c r="K5127" s="455">
        <f t="shared" ca="1" si="183"/>
        <v>-3152863446535.1548</v>
      </c>
      <c r="L5127" s="455">
        <f t="shared" ca="1" si="184"/>
        <v>-759840090614972.25</v>
      </c>
      <c r="M5127" s="471">
        <f t="shared" si="186"/>
        <v>0.05</v>
      </c>
      <c r="N5127" s="475">
        <f t="shared" si="187"/>
        <v>207095</v>
      </c>
    </row>
    <row r="5128" spans="7:14" ht="11.25" customHeight="1" x14ac:dyDescent="0.3">
      <c r="G5128" s="470"/>
      <c r="H5128" s="470">
        <v>5121</v>
      </c>
      <c r="I5128" s="455">
        <f t="shared" ca="1" si="185"/>
        <v>-759840090614972.25</v>
      </c>
      <c r="J5128" s="455">
        <f t="array" ref="J5128">IFERROR(INDEX('Retirement Calculator'!K:K,MATCH('Lorri 401b'!N5128,'Retirement Calculator'!A:A,0),0),0)</f>
        <v>0</v>
      </c>
      <c r="K5128" s="455">
        <f t="shared" ca="1" si="183"/>
        <v>-3166000377562.3843</v>
      </c>
      <c r="L5128" s="455">
        <f t="shared" ca="1" si="184"/>
        <v>-763006090992534.63</v>
      </c>
      <c r="M5128" s="471">
        <f t="shared" si="186"/>
        <v>0.05</v>
      </c>
      <c r="N5128" s="475">
        <f t="shared" si="187"/>
        <v>207126</v>
      </c>
    </row>
    <row r="5129" spans="7:14" ht="11.25" customHeight="1" x14ac:dyDescent="0.3">
      <c r="G5129" s="470"/>
      <c r="H5129" s="470">
        <v>5122</v>
      </c>
      <c r="I5129" s="455">
        <f t="shared" ca="1" si="185"/>
        <v>-763006090992534.63</v>
      </c>
      <c r="J5129" s="455">
        <f t="array" ref="J5129">IFERROR(INDEX('Retirement Calculator'!K:K,MATCH('Lorri 401b'!N5129,'Retirement Calculator'!A:A,0),0),0)</f>
        <v>0</v>
      </c>
      <c r="K5129" s="455">
        <f t="shared" ca="1" si="183"/>
        <v>-3179192045802.2275</v>
      </c>
      <c r="L5129" s="455">
        <f t="shared" ca="1" si="184"/>
        <v>-766185283038336.88</v>
      </c>
      <c r="M5129" s="471">
        <f t="shared" si="186"/>
        <v>0.05</v>
      </c>
      <c r="N5129" s="475">
        <f t="shared" si="187"/>
        <v>207154</v>
      </c>
    </row>
    <row r="5130" spans="7:14" ht="11.25" customHeight="1" x14ac:dyDescent="0.3">
      <c r="G5130" s="470"/>
      <c r="H5130" s="470">
        <v>5123</v>
      </c>
      <c r="I5130" s="455">
        <f t="shared" ca="1" si="185"/>
        <v>-766185283038336.88</v>
      </c>
      <c r="J5130" s="455">
        <f t="array" ref="J5130">IFERROR(INDEX('Retirement Calculator'!K:K,MATCH('Lorri 401b'!N5130,'Retirement Calculator'!A:A,0),0),0)</f>
        <v>0</v>
      </c>
      <c r="K5130" s="455">
        <f t="shared" ca="1" si="183"/>
        <v>-3192438679326.4038</v>
      </c>
      <c r="L5130" s="455">
        <f t="shared" ca="1" si="184"/>
        <v>-769377721717663.25</v>
      </c>
      <c r="M5130" s="471">
        <f t="shared" si="186"/>
        <v>0.05</v>
      </c>
      <c r="N5130" s="475">
        <f t="shared" si="187"/>
        <v>207185</v>
      </c>
    </row>
    <row r="5131" spans="7:14" ht="11.25" customHeight="1" x14ac:dyDescent="0.3">
      <c r="G5131" s="470"/>
      <c r="H5131" s="470">
        <v>5124</v>
      </c>
      <c r="I5131" s="455">
        <f t="shared" ca="1" si="185"/>
        <v>-769377721717663.25</v>
      </c>
      <c r="J5131" s="455">
        <f t="array" ref="J5131">IFERROR(INDEX('Retirement Calculator'!K:K,MATCH('Lorri 401b'!N5131,'Retirement Calculator'!A:A,0),0),0)</f>
        <v>0</v>
      </c>
      <c r="K5131" s="455">
        <f t="shared" ca="1" si="183"/>
        <v>-3205740507156.9302</v>
      </c>
      <c r="L5131" s="455">
        <f t="shared" ca="1" si="184"/>
        <v>-772583462224820.13</v>
      </c>
      <c r="M5131" s="471">
        <f t="shared" si="186"/>
        <v>0.05</v>
      </c>
      <c r="N5131" s="475">
        <f t="shared" si="187"/>
        <v>207215</v>
      </c>
    </row>
    <row r="5132" spans="7:14" ht="11.25" customHeight="1" x14ac:dyDescent="0.3">
      <c r="G5132" s="470"/>
      <c r="H5132" s="470">
        <v>5125</v>
      </c>
      <c r="I5132" s="455">
        <f t="shared" ca="1" si="185"/>
        <v>-772583462224820.13</v>
      </c>
      <c r="J5132" s="455">
        <f t="array" ref="J5132">IFERROR(INDEX('Retirement Calculator'!K:K,MATCH('Lorri 401b'!N5132,'Retirement Calculator'!A:A,0),0),0)</f>
        <v>0</v>
      </c>
      <c r="K5132" s="455">
        <f t="shared" ca="1" si="183"/>
        <v>-3219097759270.084</v>
      </c>
      <c r="L5132" s="455">
        <f t="shared" ca="1" si="184"/>
        <v>-775802559984090.25</v>
      </c>
      <c r="M5132" s="471">
        <f t="shared" si="186"/>
        <v>0.05</v>
      </c>
      <c r="N5132" s="475">
        <f t="shared" si="187"/>
        <v>207246</v>
      </c>
    </row>
    <row r="5133" spans="7:14" ht="11.25" customHeight="1" x14ac:dyDescent="0.3">
      <c r="G5133" s="470"/>
      <c r="H5133" s="470">
        <v>5126</v>
      </c>
      <c r="I5133" s="455">
        <f t="shared" ca="1" si="185"/>
        <v>-775802559984090.25</v>
      </c>
      <c r="J5133" s="455">
        <f t="array" ref="J5133">IFERROR(INDEX('Retirement Calculator'!K:K,MATCH('Lorri 401b'!N5133,'Retirement Calculator'!A:A,0),0),0)</f>
        <v>0</v>
      </c>
      <c r="K5133" s="455">
        <f t="shared" ca="1" si="183"/>
        <v>-3232510666600.376</v>
      </c>
      <c r="L5133" s="455">
        <f t="shared" ca="1" si="184"/>
        <v>-779035070650690.63</v>
      </c>
      <c r="M5133" s="471">
        <f t="shared" si="186"/>
        <v>0.05</v>
      </c>
      <c r="N5133" s="475">
        <f t="shared" si="187"/>
        <v>207276</v>
      </c>
    </row>
    <row r="5134" spans="7:14" ht="11.25" customHeight="1" x14ac:dyDescent="0.3">
      <c r="G5134" s="470"/>
      <c r="H5134" s="470">
        <v>5127</v>
      </c>
      <c r="I5134" s="455">
        <f t="shared" ca="1" si="185"/>
        <v>-779035070650690.63</v>
      </c>
      <c r="J5134" s="455">
        <f t="array" ref="J5134">IFERROR(INDEX('Retirement Calculator'!K:K,MATCH('Lorri 401b'!N5134,'Retirement Calculator'!A:A,0),0),0)</f>
        <v>0</v>
      </c>
      <c r="K5134" s="455">
        <f t="shared" ca="1" si="183"/>
        <v>-3245979461044.5444</v>
      </c>
      <c r="L5134" s="455">
        <f t="shared" ca="1" si="184"/>
        <v>-782281050111735.13</v>
      </c>
      <c r="M5134" s="471">
        <f t="shared" si="186"/>
        <v>0.05</v>
      </c>
      <c r="N5134" s="475">
        <f t="shared" si="187"/>
        <v>207307</v>
      </c>
    </row>
    <row r="5135" spans="7:14" ht="11.25" customHeight="1" x14ac:dyDescent="0.3">
      <c r="G5135" s="470"/>
      <c r="H5135" s="470">
        <v>5128</v>
      </c>
      <c r="I5135" s="455">
        <f t="shared" ca="1" si="185"/>
        <v>-782281050111735.13</v>
      </c>
      <c r="J5135" s="455">
        <f t="array" ref="J5135">IFERROR(INDEX('Retirement Calculator'!K:K,MATCH('Lorri 401b'!N5135,'Retirement Calculator'!A:A,0),0),0)</f>
        <v>0</v>
      </c>
      <c r="K5135" s="455">
        <f t="shared" ca="1" si="183"/>
        <v>-3259504375465.563</v>
      </c>
      <c r="L5135" s="455">
        <f t="shared" ca="1" si="184"/>
        <v>-785540554487200.75</v>
      </c>
      <c r="M5135" s="471">
        <f t="shared" si="186"/>
        <v>0.05</v>
      </c>
      <c r="N5135" s="475">
        <f t="shared" si="187"/>
        <v>207338</v>
      </c>
    </row>
    <row r="5136" spans="7:14" ht="11.25" customHeight="1" x14ac:dyDescent="0.3">
      <c r="G5136" s="470"/>
      <c r="H5136" s="470">
        <v>5129</v>
      </c>
      <c r="I5136" s="455">
        <f t="shared" ca="1" si="185"/>
        <v>-785540554487200.75</v>
      </c>
      <c r="J5136" s="455">
        <f t="array" ref="J5136">IFERROR(INDEX('Retirement Calculator'!K:K,MATCH('Lorri 401b'!N5136,'Retirement Calculator'!A:A,0),0),0)</f>
        <v>0</v>
      </c>
      <c r="K5136" s="455">
        <f t="shared" ca="1" si="183"/>
        <v>-3273085643696.6699</v>
      </c>
      <c r="L5136" s="455">
        <f t="shared" ca="1" si="184"/>
        <v>-788813640130897.38</v>
      </c>
      <c r="M5136" s="471">
        <f t="shared" si="186"/>
        <v>0.05</v>
      </c>
      <c r="N5136" s="475">
        <f t="shared" si="187"/>
        <v>207368</v>
      </c>
    </row>
    <row r="5137" spans="7:14" ht="11.25" customHeight="1" x14ac:dyDescent="0.3">
      <c r="G5137" s="470"/>
      <c r="H5137" s="470">
        <v>5130</v>
      </c>
      <c r="I5137" s="455">
        <f t="shared" ca="1" si="185"/>
        <v>-788813640130897.38</v>
      </c>
      <c r="J5137" s="455">
        <f t="array" ref="J5137">IFERROR(INDEX('Retirement Calculator'!K:K,MATCH('Lorri 401b'!N5137,'Retirement Calculator'!A:A,0),0),0)</f>
        <v>0</v>
      </c>
      <c r="K5137" s="455">
        <f t="shared" ca="1" si="183"/>
        <v>-3286723500545.4058</v>
      </c>
      <c r="L5137" s="455">
        <f t="shared" ca="1" si="184"/>
        <v>-792100363631442.75</v>
      </c>
      <c r="M5137" s="471">
        <f t="shared" si="186"/>
        <v>0.05</v>
      </c>
      <c r="N5137" s="475">
        <f t="shared" si="187"/>
        <v>207399</v>
      </c>
    </row>
    <row r="5138" spans="7:14" ht="11.25" customHeight="1" x14ac:dyDescent="0.3">
      <c r="G5138" s="470"/>
      <c r="H5138" s="470">
        <v>5131</v>
      </c>
      <c r="I5138" s="455">
        <f t="shared" ca="1" si="185"/>
        <v>-792100363631442.75</v>
      </c>
      <c r="J5138" s="455">
        <f t="array" ref="J5138">IFERROR(INDEX('Retirement Calculator'!K:K,MATCH('Lorri 401b'!N5138,'Retirement Calculator'!A:A,0),0),0)</f>
        <v>0</v>
      </c>
      <c r="K5138" s="455">
        <f t="shared" ca="1" si="183"/>
        <v>-3300418181797.6782</v>
      </c>
      <c r="L5138" s="455">
        <f t="shared" ca="1" si="184"/>
        <v>-795400781813240.38</v>
      </c>
      <c r="M5138" s="471">
        <f t="shared" si="186"/>
        <v>0.05</v>
      </c>
      <c r="N5138" s="475">
        <f t="shared" si="187"/>
        <v>207429</v>
      </c>
    </row>
    <row r="5139" spans="7:14" ht="11.25" customHeight="1" x14ac:dyDescent="0.3">
      <c r="G5139" s="470"/>
      <c r="H5139" s="470">
        <v>5132</v>
      </c>
      <c r="I5139" s="455">
        <f t="shared" ca="1" si="185"/>
        <v>-795400781813240.38</v>
      </c>
      <c r="J5139" s="455">
        <f t="array" ref="J5139">IFERROR(INDEX('Retirement Calculator'!K:K,MATCH('Lorri 401b'!N5139,'Retirement Calculator'!A:A,0),0),0)</f>
        <v>0</v>
      </c>
      <c r="K5139" s="455">
        <f t="shared" ca="1" si="183"/>
        <v>-3314169924221.835</v>
      </c>
      <c r="L5139" s="455">
        <f t="shared" ca="1" si="184"/>
        <v>-798714951737462.25</v>
      </c>
      <c r="M5139" s="471">
        <f t="shared" si="186"/>
        <v>0.05</v>
      </c>
      <c r="N5139" s="475">
        <f t="shared" si="187"/>
        <v>207460</v>
      </c>
    </row>
    <row r="5140" spans="7:14" ht="11.25" customHeight="1" x14ac:dyDescent="0.3">
      <c r="G5140" s="470"/>
      <c r="H5140" s="470">
        <v>5133</v>
      </c>
      <c r="I5140" s="455">
        <f t="shared" ca="1" si="185"/>
        <v>-798714951737462.25</v>
      </c>
      <c r="J5140" s="455">
        <f t="array" ref="J5140">IFERROR(INDEX('Retirement Calculator'!K:K,MATCH('Lorri 401b'!N5140,'Retirement Calculator'!A:A,0),0),0)</f>
        <v>0</v>
      </c>
      <c r="K5140" s="455">
        <f t="shared" ca="1" si="183"/>
        <v>-3327978965572.7593</v>
      </c>
      <c r="L5140" s="455">
        <f t="shared" ca="1" si="184"/>
        <v>-802042930703035</v>
      </c>
      <c r="M5140" s="471">
        <f t="shared" si="186"/>
        <v>0.05</v>
      </c>
      <c r="N5140" s="475">
        <f t="shared" si="187"/>
        <v>207491</v>
      </c>
    </row>
    <row r="5141" spans="7:14" ht="11.25" customHeight="1" x14ac:dyDescent="0.3">
      <c r="G5141" s="470"/>
      <c r="H5141" s="470">
        <v>5134</v>
      </c>
      <c r="I5141" s="455">
        <f t="shared" ca="1" si="185"/>
        <v>-802042930703035</v>
      </c>
      <c r="J5141" s="455">
        <f t="array" ref="J5141">IFERROR(INDEX('Retirement Calculator'!K:K,MATCH('Lorri 401b'!N5141,'Retirement Calculator'!A:A,0),0),0)</f>
        <v>0</v>
      </c>
      <c r="K5141" s="455">
        <f t="shared" ca="1" si="183"/>
        <v>-3341845544595.979</v>
      </c>
      <c r="L5141" s="455">
        <f t="shared" ca="1" si="184"/>
        <v>-805384776247631</v>
      </c>
      <c r="M5141" s="471">
        <f t="shared" si="186"/>
        <v>0.05</v>
      </c>
      <c r="N5141" s="475">
        <f t="shared" si="187"/>
        <v>207520</v>
      </c>
    </row>
    <row r="5142" spans="7:14" ht="11.25" customHeight="1" x14ac:dyDescent="0.3">
      <c r="G5142" s="470"/>
      <c r="H5142" s="470">
        <v>5135</v>
      </c>
      <c r="I5142" s="455">
        <f t="shared" ca="1" si="185"/>
        <v>-805384776247631</v>
      </c>
      <c r="J5142" s="455">
        <f t="array" ref="J5142">IFERROR(INDEX('Retirement Calculator'!K:K,MATCH('Lorri 401b'!N5142,'Retirement Calculator'!A:A,0),0),0)</f>
        <v>0</v>
      </c>
      <c r="K5142" s="455">
        <f t="shared" ca="1" si="183"/>
        <v>-3355769901031.7959</v>
      </c>
      <c r="L5142" s="455">
        <f t="shared" ca="1" si="184"/>
        <v>-808740546148662.75</v>
      </c>
      <c r="M5142" s="471">
        <f t="shared" si="186"/>
        <v>0.05</v>
      </c>
      <c r="N5142" s="475">
        <f t="shared" si="187"/>
        <v>207551</v>
      </c>
    </row>
    <row r="5143" spans="7:14" ht="11.25" customHeight="1" x14ac:dyDescent="0.3">
      <c r="G5143" s="470"/>
      <c r="H5143" s="470">
        <v>5136</v>
      </c>
      <c r="I5143" s="455">
        <f t="shared" ca="1" si="185"/>
        <v>-808740546148662.75</v>
      </c>
      <c r="J5143" s="455">
        <f t="array" ref="J5143">IFERROR(INDEX('Retirement Calculator'!K:K,MATCH('Lorri 401b'!N5143,'Retirement Calculator'!A:A,0),0),0)</f>
        <v>0</v>
      </c>
      <c r="K5143" s="455">
        <f t="shared" ca="1" si="183"/>
        <v>-3369752275619.4282</v>
      </c>
      <c r="L5143" s="455">
        <f t="shared" ca="1" si="184"/>
        <v>-812110298424282.13</v>
      </c>
      <c r="M5143" s="471">
        <f t="shared" si="186"/>
        <v>0.05</v>
      </c>
      <c r="N5143" s="475">
        <f t="shared" si="187"/>
        <v>207581</v>
      </c>
    </row>
    <row r="5144" spans="7:14" ht="11.25" customHeight="1" x14ac:dyDescent="0.3">
      <c r="G5144" s="470"/>
      <c r="H5144" s="470">
        <v>5137</v>
      </c>
      <c r="I5144" s="455">
        <f t="shared" ca="1" si="185"/>
        <v>-812110298424282.13</v>
      </c>
      <c r="J5144" s="455">
        <f t="array" ref="J5144">IFERROR(INDEX('Retirement Calculator'!K:K,MATCH('Lorri 401b'!N5144,'Retirement Calculator'!A:A,0),0),0)</f>
        <v>0</v>
      </c>
      <c r="K5144" s="455">
        <f t="shared" ca="1" si="183"/>
        <v>-3383792910101.1753</v>
      </c>
      <c r="L5144" s="455">
        <f t="shared" ca="1" si="184"/>
        <v>-815494091334383.25</v>
      </c>
      <c r="M5144" s="471">
        <f t="shared" si="186"/>
        <v>0.05</v>
      </c>
      <c r="N5144" s="475">
        <f t="shared" si="187"/>
        <v>207612</v>
      </c>
    </row>
    <row r="5145" spans="7:14" ht="11.25" customHeight="1" x14ac:dyDescent="0.3">
      <c r="G5145" s="470"/>
      <c r="H5145" s="470">
        <v>5138</v>
      </c>
      <c r="I5145" s="455">
        <f t="shared" ca="1" si="185"/>
        <v>-815494091334383.25</v>
      </c>
      <c r="J5145" s="455">
        <f t="array" ref="J5145">IFERROR(INDEX('Retirement Calculator'!K:K,MATCH('Lorri 401b'!N5145,'Retirement Calculator'!A:A,0),0),0)</f>
        <v>0</v>
      </c>
      <c r="K5145" s="455">
        <f t="shared" ca="1" si="183"/>
        <v>-3397892047226.5967</v>
      </c>
      <c r="L5145" s="455">
        <f t="shared" ca="1" si="184"/>
        <v>-818891983381609.88</v>
      </c>
      <c r="M5145" s="471">
        <f t="shared" si="186"/>
        <v>0.05</v>
      </c>
      <c r="N5145" s="475">
        <f t="shared" si="187"/>
        <v>207642</v>
      </c>
    </row>
    <row r="5146" spans="7:14" ht="11.25" customHeight="1" x14ac:dyDescent="0.3">
      <c r="G5146" s="470"/>
      <c r="H5146" s="470">
        <v>5139</v>
      </c>
      <c r="I5146" s="455">
        <f t="shared" ca="1" si="185"/>
        <v>-818891983381609.88</v>
      </c>
      <c r="J5146" s="455">
        <f t="array" ref="J5146">IFERROR(INDEX('Retirement Calculator'!K:K,MATCH('Lorri 401b'!N5146,'Retirement Calculator'!A:A,0),0),0)</f>
        <v>0</v>
      </c>
      <c r="K5146" s="455">
        <f t="shared" ca="1" si="183"/>
        <v>-3412049930756.708</v>
      </c>
      <c r="L5146" s="455">
        <f t="shared" ca="1" si="184"/>
        <v>-822304033312366.63</v>
      </c>
      <c r="M5146" s="471">
        <f t="shared" si="186"/>
        <v>0.05</v>
      </c>
      <c r="N5146" s="475">
        <f t="shared" si="187"/>
        <v>207673</v>
      </c>
    </row>
    <row r="5147" spans="7:14" ht="11.25" customHeight="1" x14ac:dyDescent="0.3">
      <c r="G5147" s="470"/>
      <c r="H5147" s="470">
        <v>5140</v>
      </c>
      <c r="I5147" s="455">
        <f t="shared" ca="1" si="185"/>
        <v>-822304033312366.63</v>
      </c>
      <c r="J5147" s="455">
        <f t="array" ref="J5147">IFERROR(INDEX('Retirement Calculator'!K:K,MATCH('Lorri 401b'!N5147,'Retirement Calculator'!A:A,0),0),0)</f>
        <v>0</v>
      </c>
      <c r="K5147" s="455">
        <f t="shared" ca="1" si="183"/>
        <v>-3426266805468.1943</v>
      </c>
      <c r="L5147" s="455">
        <f t="shared" ca="1" si="184"/>
        <v>-825730300117834.88</v>
      </c>
      <c r="M5147" s="471">
        <f t="shared" si="186"/>
        <v>0.05</v>
      </c>
      <c r="N5147" s="475">
        <f t="shared" si="187"/>
        <v>207704</v>
      </c>
    </row>
    <row r="5148" spans="7:14" ht="11.25" customHeight="1" x14ac:dyDescent="0.3">
      <c r="G5148" s="470"/>
      <c r="H5148" s="470">
        <v>5141</v>
      </c>
      <c r="I5148" s="455">
        <f t="shared" ca="1" si="185"/>
        <v>-825730300117834.88</v>
      </c>
      <c r="J5148" s="455">
        <f t="array" ref="J5148">IFERROR(INDEX('Retirement Calculator'!K:K,MATCH('Lorri 401b'!N5148,'Retirement Calculator'!A:A,0),0),0)</f>
        <v>0</v>
      </c>
      <c r="K5148" s="455">
        <f t="shared" ca="1" si="183"/>
        <v>-3440542917157.6455</v>
      </c>
      <c r="L5148" s="455">
        <f t="shared" ca="1" si="184"/>
        <v>-829170843034992.5</v>
      </c>
      <c r="M5148" s="471">
        <f t="shared" si="186"/>
        <v>0.05</v>
      </c>
      <c r="N5148" s="475">
        <f t="shared" si="187"/>
        <v>207734</v>
      </c>
    </row>
    <row r="5149" spans="7:14" ht="11.25" customHeight="1" x14ac:dyDescent="0.3">
      <c r="G5149" s="470"/>
      <c r="H5149" s="470">
        <v>5142</v>
      </c>
      <c r="I5149" s="455">
        <f t="shared" ca="1" si="185"/>
        <v>-829170843034992.5</v>
      </c>
      <c r="J5149" s="455">
        <f t="array" ref="J5149">IFERROR(INDEX('Retirement Calculator'!K:K,MATCH('Lorri 401b'!N5149,'Retirement Calculator'!A:A,0),0),0)</f>
        <v>0</v>
      </c>
      <c r="K5149" s="455">
        <f t="shared" ca="1" si="183"/>
        <v>-3454878512645.8022</v>
      </c>
      <c r="L5149" s="455">
        <f t="shared" ca="1" si="184"/>
        <v>-832625721547638.25</v>
      </c>
      <c r="M5149" s="471">
        <f t="shared" si="186"/>
        <v>0.05</v>
      </c>
      <c r="N5149" s="475">
        <f t="shared" si="187"/>
        <v>207765</v>
      </c>
    </row>
    <row r="5150" spans="7:14" ht="11.25" customHeight="1" x14ac:dyDescent="0.3">
      <c r="G5150" s="470"/>
      <c r="H5150" s="470">
        <v>5143</v>
      </c>
      <c r="I5150" s="455">
        <f t="shared" ca="1" si="185"/>
        <v>-832625721547638.25</v>
      </c>
      <c r="J5150" s="455">
        <f t="array" ref="J5150">IFERROR(INDEX('Retirement Calculator'!K:K,MATCH('Lorri 401b'!N5150,'Retirement Calculator'!A:A,0),0),0)</f>
        <v>0</v>
      </c>
      <c r="K5150" s="455">
        <f t="shared" ca="1" si="183"/>
        <v>-3469273839781.8262</v>
      </c>
      <c r="L5150" s="455">
        <f t="shared" ca="1" si="184"/>
        <v>-836094995387420.13</v>
      </c>
      <c r="M5150" s="471">
        <f t="shared" si="186"/>
        <v>0.05</v>
      </c>
      <c r="N5150" s="475">
        <f t="shared" si="187"/>
        <v>207795</v>
      </c>
    </row>
    <row r="5151" spans="7:14" ht="11.25" customHeight="1" x14ac:dyDescent="0.3">
      <c r="G5151" s="470"/>
      <c r="H5151" s="470">
        <v>5144</v>
      </c>
      <c r="I5151" s="455">
        <f t="shared" ca="1" si="185"/>
        <v>-836094995387420.13</v>
      </c>
      <c r="J5151" s="455">
        <f t="array" ref="J5151">IFERROR(INDEX('Retirement Calculator'!K:K,MATCH('Lorri 401b'!N5151,'Retirement Calculator'!A:A,0),0),0)</f>
        <v>0</v>
      </c>
      <c r="K5151" s="455">
        <f t="shared" ca="1" si="183"/>
        <v>-3483729147447.584</v>
      </c>
      <c r="L5151" s="455">
        <f t="shared" ca="1" si="184"/>
        <v>-839578724534867.75</v>
      </c>
      <c r="M5151" s="471">
        <f t="shared" si="186"/>
        <v>0.05</v>
      </c>
      <c r="N5151" s="475">
        <f t="shared" si="187"/>
        <v>207826</v>
      </c>
    </row>
    <row r="5152" spans="7:14" ht="11.25" customHeight="1" x14ac:dyDescent="0.3">
      <c r="G5152" s="470"/>
      <c r="H5152" s="470">
        <v>5145</v>
      </c>
      <c r="I5152" s="455">
        <f t="shared" ca="1" si="185"/>
        <v>-839578724534867.75</v>
      </c>
      <c r="J5152" s="455">
        <f t="array" ref="J5152">IFERROR(INDEX('Retirement Calculator'!K:K,MATCH('Lorri 401b'!N5152,'Retirement Calculator'!A:A,0),0),0)</f>
        <v>0</v>
      </c>
      <c r="K5152" s="455">
        <f t="shared" ca="1" si="183"/>
        <v>-3498244685561.9487</v>
      </c>
      <c r="L5152" s="455">
        <f t="shared" ca="1" si="184"/>
        <v>-843076969220429.75</v>
      </c>
      <c r="M5152" s="471">
        <f t="shared" si="186"/>
        <v>0.05</v>
      </c>
      <c r="N5152" s="475">
        <f t="shared" si="187"/>
        <v>207857</v>
      </c>
    </row>
    <row r="5153" spans="7:14" ht="11.25" customHeight="1" x14ac:dyDescent="0.3">
      <c r="G5153" s="470"/>
      <c r="H5153" s="470">
        <v>5146</v>
      </c>
      <c r="I5153" s="455">
        <f t="shared" ca="1" si="185"/>
        <v>-843076969220429.75</v>
      </c>
      <c r="J5153" s="455">
        <f t="array" ref="J5153">IFERROR(INDEX('Retirement Calculator'!K:K,MATCH('Lorri 401b'!N5153,'Retirement Calculator'!A:A,0),0),0)</f>
        <v>0</v>
      </c>
      <c r="K5153" s="455">
        <f t="shared" ca="1" si="183"/>
        <v>-3512820705085.124</v>
      </c>
      <c r="L5153" s="455">
        <f t="shared" ca="1" si="184"/>
        <v>-846589789925514.88</v>
      </c>
      <c r="M5153" s="471">
        <f t="shared" si="186"/>
        <v>0.05</v>
      </c>
      <c r="N5153" s="475">
        <f t="shared" si="187"/>
        <v>207885</v>
      </c>
    </row>
    <row r="5154" spans="7:14" ht="11.25" customHeight="1" x14ac:dyDescent="0.3">
      <c r="G5154" s="470"/>
      <c r="H5154" s="470">
        <v>5147</v>
      </c>
      <c r="I5154" s="455">
        <f t="shared" ca="1" si="185"/>
        <v>-846589789925514.88</v>
      </c>
      <c r="J5154" s="455">
        <f t="array" ref="J5154">IFERROR(INDEX('Retirement Calculator'!K:K,MATCH('Lorri 401b'!N5154,'Retirement Calculator'!A:A,0),0),0)</f>
        <v>0</v>
      </c>
      <c r="K5154" s="455">
        <f t="shared" ca="1" si="183"/>
        <v>-3527457458022.9785</v>
      </c>
      <c r="L5154" s="455">
        <f t="shared" ca="1" si="184"/>
        <v>-850117247383537.88</v>
      </c>
      <c r="M5154" s="471">
        <f t="shared" si="186"/>
        <v>0.05</v>
      </c>
      <c r="N5154" s="475">
        <f t="shared" si="187"/>
        <v>207916</v>
      </c>
    </row>
    <row r="5155" spans="7:14" ht="11.25" customHeight="1" x14ac:dyDescent="0.3">
      <c r="G5155" s="470"/>
      <c r="H5155" s="470">
        <v>5148</v>
      </c>
      <c r="I5155" s="455">
        <f t="shared" ca="1" si="185"/>
        <v>-850117247383537.88</v>
      </c>
      <c r="J5155" s="455">
        <f t="array" ref="J5155">IFERROR(INDEX('Retirement Calculator'!K:K,MATCH('Lorri 401b'!N5155,'Retirement Calculator'!A:A,0),0),0)</f>
        <v>0</v>
      </c>
      <c r="K5155" s="455">
        <f t="shared" ca="1" si="183"/>
        <v>-3542155197431.4077</v>
      </c>
      <c r="L5155" s="455">
        <f t="shared" ca="1" si="184"/>
        <v>-853659402580969.25</v>
      </c>
      <c r="M5155" s="471">
        <f t="shared" si="186"/>
        <v>0.05</v>
      </c>
      <c r="N5155" s="475">
        <f t="shared" si="187"/>
        <v>207946</v>
      </c>
    </row>
    <row r="5156" spans="7:14" ht="11.25" customHeight="1" x14ac:dyDescent="0.3">
      <c r="G5156" s="470"/>
      <c r="H5156" s="470">
        <v>5149</v>
      </c>
      <c r="I5156" s="455">
        <f t="shared" ca="1" si="185"/>
        <v>-853659402580969.25</v>
      </c>
      <c r="J5156" s="455">
        <f t="array" ref="J5156">IFERROR(INDEX('Retirement Calculator'!K:K,MATCH('Lorri 401b'!N5156,'Retirement Calculator'!A:A,0),0),0)</f>
        <v>0</v>
      </c>
      <c r="K5156" s="455">
        <f t="shared" ca="1" si="183"/>
        <v>-3556914177420.7051</v>
      </c>
      <c r="L5156" s="455">
        <f t="shared" ca="1" si="184"/>
        <v>-857216316758390</v>
      </c>
      <c r="M5156" s="471">
        <f t="shared" si="186"/>
        <v>0.05</v>
      </c>
      <c r="N5156" s="475">
        <f t="shared" si="187"/>
        <v>207977</v>
      </c>
    </row>
    <row r="5157" spans="7:14" ht="11.25" customHeight="1" x14ac:dyDescent="0.3">
      <c r="G5157" s="470"/>
      <c r="H5157" s="470">
        <v>5150</v>
      </c>
      <c r="I5157" s="455">
        <f t="shared" ca="1" si="185"/>
        <v>-857216316758390</v>
      </c>
      <c r="J5157" s="455">
        <f t="array" ref="J5157">IFERROR(INDEX('Retirement Calculator'!K:K,MATCH('Lorri 401b'!N5157,'Retirement Calculator'!A:A,0),0),0)</f>
        <v>0</v>
      </c>
      <c r="K5157" s="455">
        <f t="shared" ca="1" si="183"/>
        <v>-3571734653159.9585</v>
      </c>
      <c r="L5157" s="455">
        <f t="shared" ca="1" si="184"/>
        <v>-860788051411550</v>
      </c>
      <c r="M5157" s="471">
        <f t="shared" si="186"/>
        <v>0.05</v>
      </c>
      <c r="N5157" s="475">
        <f t="shared" si="187"/>
        <v>208007</v>
      </c>
    </row>
    <row r="5158" spans="7:14" ht="11.25" customHeight="1" x14ac:dyDescent="0.3">
      <c r="G5158" s="470"/>
      <c r="H5158" s="470">
        <v>5151</v>
      </c>
      <c r="I5158" s="455">
        <f t="shared" ca="1" si="185"/>
        <v>-860788051411550</v>
      </c>
      <c r="J5158" s="455">
        <f t="array" ref="J5158">IFERROR(INDEX('Retirement Calculator'!K:K,MATCH('Lorri 401b'!N5158,'Retirement Calculator'!A:A,0),0),0)</f>
        <v>0</v>
      </c>
      <c r="K5158" s="455">
        <f t="shared" ca="1" si="183"/>
        <v>-3586616880881.4585</v>
      </c>
      <c r="L5158" s="455">
        <f t="shared" ca="1" si="184"/>
        <v>-864374668292431.5</v>
      </c>
      <c r="M5158" s="471">
        <f t="shared" si="186"/>
        <v>0.05</v>
      </c>
      <c r="N5158" s="475">
        <f t="shared" si="187"/>
        <v>208038</v>
      </c>
    </row>
    <row r="5159" spans="7:14" ht="11.25" customHeight="1" x14ac:dyDescent="0.3">
      <c r="G5159" s="470"/>
      <c r="H5159" s="470">
        <v>5152</v>
      </c>
      <c r="I5159" s="455">
        <f t="shared" ca="1" si="185"/>
        <v>-864374668292431.5</v>
      </c>
      <c r="J5159" s="455">
        <f t="array" ref="J5159">IFERROR(INDEX('Retirement Calculator'!K:K,MATCH('Lorri 401b'!N5159,'Retirement Calculator'!A:A,0),0),0)</f>
        <v>0</v>
      </c>
      <c r="K5159" s="455">
        <f t="shared" ca="1" si="183"/>
        <v>-3601561117885.1313</v>
      </c>
      <c r="L5159" s="455">
        <f t="shared" ca="1" si="184"/>
        <v>-867976229410316.63</v>
      </c>
      <c r="M5159" s="471">
        <f t="shared" si="186"/>
        <v>0.05</v>
      </c>
      <c r="N5159" s="475">
        <f t="shared" si="187"/>
        <v>208069</v>
      </c>
    </row>
    <row r="5160" spans="7:14" ht="11.25" customHeight="1" x14ac:dyDescent="0.3">
      <c r="G5160" s="470"/>
      <c r="H5160" s="470">
        <v>5153</v>
      </c>
      <c r="I5160" s="455">
        <f t="shared" ca="1" si="185"/>
        <v>-867976229410316.63</v>
      </c>
      <c r="J5160" s="455">
        <f t="array" ref="J5160">IFERROR(INDEX('Retirement Calculator'!K:K,MATCH('Lorri 401b'!N5160,'Retirement Calculator'!A:A,0),0),0)</f>
        <v>0</v>
      </c>
      <c r="K5160" s="455">
        <f t="shared" ca="1" si="183"/>
        <v>-3616567622542.9858</v>
      </c>
      <c r="L5160" s="455">
        <f t="shared" ca="1" si="184"/>
        <v>-871592797032859.63</v>
      </c>
      <c r="M5160" s="471">
        <f t="shared" si="186"/>
        <v>0.05</v>
      </c>
      <c r="N5160" s="475">
        <f t="shared" si="187"/>
        <v>208099</v>
      </c>
    </row>
    <row r="5161" spans="7:14" ht="11.25" customHeight="1" x14ac:dyDescent="0.3">
      <c r="G5161" s="470"/>
      <c r="H5161" s="470">
        <v>5154</v>
      </c>
      <c r="I5161" s="455">
        <f t="shared" ca="1" si="185"/>
        <v>-871592797032859.63</v>
      </c>
      <c r="J5161" s="455">
        <f t="array" ref="J5161">IFERROR(INDEX('Retirement Calculator'!K:K,MATCH('Lorri 401b'!N5161,'Retirement Calculator'!A:A,0),0),0)</f>
        <v>0</v>
      </c>
      <c r="K5161" s="455">
        <f t="shared" ca="1" si="183"/>
        <v>-3631636654303.5815</v>
      </c>
      <c r="L5161" s="455">
        <f t="shared" ca="1" si="184"/>
        <v>-875224433687163.25</v>
      </c>
      <c r="M5161" s="471">
        <f t="shared" si="186"/>
        <v>0.05</v>
      </c>
      <c r="N5161" s="475">
        <f t="shared" si="187"/>
        <v>208130</v>
      </c>
    </row>
    <row r="5162" spans="7:14" ht="11.25" customHeight="1" x14ac:dyDescent="0.3">
      <c r="G5162" s="470"/>
      <c r="H5162" s="470">
        <v>5155</v>
      </c>
      <c r="I5162" s="455">
        <f t="shared" ca="1" si="185"/>
        <v>-875224433687163.25</v>
      </c>
      <c r="J5162" s="455">
        <f t="array" ref="J5162">IFERROR(INDEX('Retirement Calculator'!K:K,MATCH('Lorri 401b'!N5162,'Retirement Calculator'!A:A,0),0),0)</f>
        <v>0</v>
      </c>
      <c r="K5162" s="455">
        <f t="shared" ca="1" si="183"/>
        <v>-3646768473696.5137</v>
      </c>
      <c r="L5162" s="455">
        <f t="shared" ca="1" si="184"/>
        <v>-878871202160859.75</v>
      </c>
      <c r="M5162" s="471">
        <f t="shared" si="186"/>
        <v>0.05</v>
      </c>
      <c r="N5162" s="475">
        <f t="shared" si="187"/>
        <v>208160</v>
      </c>
    </row>
    <row r="5163" spans="7:14" ht="11.25" customHeight="1" x14ac:dyDescent="0.3">
      <c r="G5163" s="470"/>
      <c r="H5163" s="470">
        <v>5156</v>
      </c>
      <c r="I5163" s="455">
        <f t="shared" ca="1" si="185"/>
        <v>-878871202160859.75</v>
      </c>
      <c r="J5163" s="455">
        <f t="array" ref="J5163">IFERROR(INDEX('Retirement Calculator'!K:K,MATCH('Lorri 401b'!N5163,'Retirement Calculator'!A:A,0),0),0)</f>
        <v>0</v>
      </c>
      <c r="K5163" s="455">
        <f t="shared" ca="1" si="183"/>
        <v>-3661963342336.9155</v>
      </c>
      <c r="L5163" s="455">
        <f t="shared" ca="1" si="184"/>
        <v>-882533165503196.63</v>
      </c>
      <c r="M5163" s="471">
        <f t="shared" si="186"/>
        <v>0.05</v>
      </c>
      <c r="N5163" s="475">
        <f t="shared" si="187"/>
        <v>208191</v>
      </c>
    </row>
    <row r="5164" spans="7:14" ht="11.25" customHeight="1" x14ac:dyDescent="0.3">
      <c r="G5164" s="470"/>
      <c r="H5164" s="470">
        <v>5157</v>
      </c>
      <c r="I5164" s="455">
        <f t="shared" ca="1" si="185"/>
        <v>-882533165503196.63</v>
      </c>
      <c r="J5164" s="455">
        <f t="array" ref="J5164">IFERROR(INDEX('Retirement Calculator'!K:K,MATCH('Lorri 401b'!N5164,'Retirement Calculator'!A:A,0),0),0)</f>
        <v>0</v>
      </c>
      <c r="K5164" s="455">
        <f t="shared" ca="1" si="183"/>
        <v>-3677221522929.9858</v>
      </c>
      <c r="L5164" s="455">
        <f t="shared" ca="1" si="184"/>
        <v>-886210387026126.63</v>
      </c>
      <c r="M5164" s="471">
        <f t="shared" si="186"/>
        <v>0.05</v>
      </c>
      <c r="N5164" s="475">
        <f t="shared" si="187"/>
        <v>208222</v>
      </c>
    </row>
    <row r="5165" spans="7:14" ht="11.25" customHeight="1" x14ac:dyDescent="0.3">
      <c r="G5165" s="470"/>
      <c r="H5165" s="470">
        <v>5158</v>
      </c>
      <c r="I5165" s="455">
        <f t="shared" ca="1" si="185"/>
        <v>-886210387026126.63</v>
      </c>
      <c r="J5165" s="455">
        <f t="array" ref="J5165">IFERROR(INDEX('Retirement Calculator'!K:K,MATCH('Lorri 401b'!N5165,'Retirement Calculator'!A:A,0),0),0)</f>
        <v>0</v>
      </c>
      <c r="K5165" s="455">
        <f t="shared" ca="1" si="183"/>
        <v>-3692543279275.5269</v>
      </c>
      <c r="L5165" s="455">
        <f t="shared" ca="1" si="184"/>
        <v>-889902930305402.13</v>
      </c>
      <c r="M5165" s="471">
        <f t="shared" si="186"/>
        <v>0.05</v>
      </c>
      <c r="N5165" s="475">
        <f t="shared" si="187"/>
        <v>208250</v>
      </c>
    </row>
    <row r="5166" spans="7:14" ht="11.25" customHeight="1" x14ac:dyDescent="0.3">
      <c r="G5166" s="470"/>
      <c r="H5166" s="470">
        <v>5159</v>
      </c>
      <c r="I5166" s="455">
        <f t="shared" ca="1" si="185"/>
        <v>-889902930305402.13</v>
      </c>
      <c r="J5166" s="455">
        <f t="array" ref="J5166">IFERROR(INDEX('Retirement Calculator'!K:K,MATCH('Lorri 401b'!N5166,'Retirement Calculator'!A:A,0),0),0)</f>
        <v>0</v>
      </c>
      <c r="K5166" s="455">
        <f t="shared" ca="1" si="183"/>
        <v>-3707928876272.5088</v>
      </c>
      <c r="L5166" s="455">
        <f t="shared" ca="1" si="184"/>
        <v>-893610859181674.63</v>
      </c>
      <c r="M5166" s="471">
        <f t="shared" si="186"/>
        <v>0.05</v>
      </c>
      <c r="N5166" s="475">
        <f t="shared" si="187"/>
        <v>208281</v>
      </c>
    </row>
    <row r="5167" spans="7:14" ht="11.25" customHeight="1" x14ac:dyDescent="0.3">
      <c r="G5167" s="470"/>
      <c r="H5167" s="470">
        <v>5160</v>
      </c>
      <c r="I5167" s="455">
        <f t="shared" ca="1" si="185"/>
        <v>-893610859181674.63</v>
      </c>
      <c r="J5167" s="455">
        <f t="array" ref="J5167">IFERROR(INDEX('Retirement Calculator'!K:K,MATCH('Lorri 401b'!N5167,'Retirement Calculator'!A:A,0),0),0)</f>
        <v>0</v>
      </c>
      <c r="K5167" s="455">
        <f t="shared" ca="1" si="183"/>
        <v>-3723378579923.6436</v>
      </c>
      <c r="L5167" s="455">
        <f t="shared" ca="1" si="184"/>
        <v>-897334237761598.25</v>
      </c>
      <c r="M5167" s="471">
        <f t="shared" si="186"/>
        <v>0.05</v>
      </c>
      <c r="N5167" s="475">
        <f t="shared" si="187"/>
        <v>208311</v>
      </c>
    </row>
    <row r="5168" spans="7:14" ht="11.25" customHeight="1" x14ac:dyDescent="0.3">
      <c r="G5168" s="470"/>
      <c r="H5168" s="470">
        <v>5161</v>
      </c>
      <c r="I5168" s="455">
        <f t="shared" ca="1" si="185"/>
        <v>-897334237761598.25</v>
      </c>
      <c r="J5168" s="455">
        <f t="array" ref="J5168">IFERROR(INDEX('Retirement Calculator'!K:K,MATCH('Lorri 401b'!N5168,'Retirement Calculator'!A:A,0),0),0)</f>
        <v>0</v>
      </c>
      <c r="K5168" s="455">
        <f t="shared" ca="1" si="183"/>
        <v>-3738892657339.9927</v>
      </c>
      <c r="L5168" s="455">
        <f t="shared" ca="1" si="184"/>
        <v>-901073130418938.25</v>
      </c>
      <c r="M5168" s="471">
        <f t="shared" si="186"/>
        <v>0.05</v>
      </c>
      <c r="N5168" s="475">
        <f t="shared" si="187"/>
        <v>208342</v>
      </c>
    </row>
    <row r="5169" spans="7:14" ht="11.25" customHeight="1" x14ac:dyDescent="0.3">
      <c r="G5169" s="470"/>
      <c r="H5169" s="470">
        <v>5162</v>
      </c>
      <c r="I5169" s="455">
        <f t="shared" ca="1" si="185"/>
        <v>-901073130418938.25</v>
      </c>
      <c r="J5169" s="455">
        <f t="array" ref="J5169">IFERROR(INDEX('Retirement Calculator'!K:K,MATCH('Lorri 401b'!N5169,'Retirement Calculator'!A:A,0),0),0)</f>
        <v>0</v>
      </c>
      <c r="K5169" s="455">
        <f t="shared" ca="1" si="183"/>
        <v>-3754471376745.5757</v>
      </c>
      <c r="L5169" s="455">
        <f t="shared" ca="1" si="184"/>
        <v>-904827601795683.88</v>
      </c>
      <c r="M5169" s="471">
        <f t="shared" si="186"/>
        <v>0.05</v>
      </c>
      <c r="N5169" s="475">
        <f t="shared" si="187"/>
        <v>208372</v>
      </c>
    </row>
    <row r="5170" spans="7:14" ht="11.25" customHeight="1" x14ac:dyDescent="0.3">
      <c r="G5170" s="470"/>
      <c r="H5170" s="470">
        <v>5163</v>
      </c>
      <c r="I5170" s="455">
        <f t="shared" ca="1" si="185"/>
        <v>-904827601795683.88</v>
      </c>
      <c r="J5170" s="455">
        <f t="array" ref="J5170">IFERROR(INDEX('Retirement Calculator'!K:K,MATCH('Lorri 401b'!N5170,'Retirement Calculator'!A:A,0),0),0)</f>
        <v>0</v>
      </c>
      <c r="K5170" s="455">
        <f t="shared" ca="1" si="183"/>
        <v>-3770115007482.0161</v>
      </c>
      <c r="L5170" s="455">
        <f t="shared" ca="1" si="184"/>
        <v>-908597716803165.88</v>
      </c>
      <c r="M5170" s="471">
        <f t="shared" si="186"/>
        <v>0.05</v>
      </c>
      <c r="N5170" s="475">
        <f t="shared" si="187"/>
        <v>208403</v>
      </c>
    </row>
    <row r="5171" spans="7:14" ht="11.25" customHeight="1" x14ac:dyDescent="0.3">
      <c r="G5171" s="470"/>
      <c r="H5171" s="470">
        <v>5164</v>
      </c>
      <c r="I5171" s="455">
        <f t="shared" ca="1" si="185"/>
        <v>-908597716803165.88</v>
      </c>
      <c r="J5171" s="455">
        <f t="array" ref="J5171">IFERROR(INDEX('Retirement Calculator'!K:K,MATCH('Lorri 401b'!N5171,'Retirement Calculator'!A:A,0),0),0)</f>
        <v>0</v>
      </c>
      <c r="K5171" s="455">
        <f t="shared" ca="1" si="183"/>
        <v>-3785823820013.1909</v>
      </c>
      <c r="L5171" s="455">
        <f t="shared" ca="1" si="184"/>
        <v>-912383540623179.13</v>
      </c>
      <c r="M5171" s="471">
        <f t="shared" si="186"/>
        <v>0.05</v>
      </c>
      <c r="N5171" s="475">
        <f t="shared" si="187"/>
        <v>208434</v>
      </c>
    </row>
    <row r="5172" spans="7:14" ht="11.25" customHeight="1" x14ac:dyDescent="0.3">
      <c r="G5172" s="470"/>
      <c r="H5172" s="470">
        <v>5165</v>
      </c>
      <c r="I5172" s="455">
        <f t="shared" ca="1" si="185"/>
        <v>-912383540623179.13</v>
      </c>
      <c r="J5172" s="455">
        <f t="array" ref="J5172">IFERROR(INDEX('Retirement Calculator'!K:K,MATCH('Lorri 401b'!N5172,'Retirement Calculator'!A:A,0),0),0)</f>
        <v>0</v>
      </c>
      <c r="K5172" s="455">
        <f t="shared" ca="1" si="183"/>
        <v>-3801598085929.9131</v>
      </c>
      <c r="L5172" s="455">
        <f t="shared" ca="1" si="184"/>
        <v>-916185138709109</v>
      </c>
      <c r="M5172" s="471">
        <f t="shared" si="186"/>
        <v>0.05</v>
      </c>
      <c r="N5172" s="475">
        <f t="shared" si="187"/>
        <v>208464</v>
      </c>
    </row>
    <row r="5173" spans="7:14" ht="11.25" customHeight="1" x14ac:dyDescent="0.3">
      <c r="G5173" s="470"/>
      <c r="H5173" s="470">
        <v>5166</v>
      </c>
      <c r="I5173" s="455">
        <f t="shared" ca="1" si="185"/>
        <v>-916185138709109</v>
      </c>
      <c r="J5173" s="455">
        <f t="array" ref="J5173">IFERROR(INDEX('Retirement Calculator'!K:K,MATCH('Lorri 401b'!N5173,'Retirement Calculator'!A:A,0),0),0)</f>
        <v>0</v>
      </c>
      <c r="K5173" s="455">
        <f t="shared" ca="1" si="183"/>
        <v>-3817438077954.6206</v>
      </c>
      <c r="L5173" s="455">
        <f t="shared" ca="1" si="184"/>
        <v>-920002576787063.63</v>
      </c>
      <c r="M5173" s="471">
        <f t="shared" si="186"/>
        <v>0.05</v>
      </c>
      <c r="N5173" s="475">
        <f t="shared" si="187"/>
        <v>208495</v>
      </c>
    </row>
    <row r="5174" spans="7:14" ht="11.25" customHeight="1" x14ac:dyDescent="0.3">
      <c r="G5174" s="470"/>
      <c r="H5174" s="470">
        <v>5167</v>
      </c>
      <c r="I5174" s="455">
        <f t="shared" ca="1" si="185"/>
        <v>-920002576787063.63</v>
      </c>
      <c r="J5174" s="455">
        <f t="array" ref="J5174">IFERROR(INDEX('Retirement Calculator'!K:K,MATCH('Lorri 401b'!N5174,'Retirement Calculator'!A:A,0),0),0)</f>
        <v>0</v>
      </c>
      <c r="K5174" s="455">
        <f t="shared" ca="1" si="183"/>
        <v>-3833344069946.0981</v>
      </c>
      <c r="L5174" s="455">
        <f t="shared" ca="1" si="184"/>
        <v>-923835920857009.75</v>
      </c>
      <c r="M5174" s="471">
        <f t="shared" si="186"/>
        <v>0.05</v>
      </c>
      <c r="N5174" s="475">
        <f t="shared" si="187"/>
        <v>208525</v>
      </c>
    </row>
    <row r="5175" spans="7:14" ht="11.25" customHeight="1" x14ac:dyDescent="0.3">
      <c r="G5175" s="470"/>
      <c r="H5175" s="470">
        <v>5168</v>
      </c>
      <c r="I5175" s="455">
        <f t="shared" ca="1" si="185"/>
        <v>-923835920857009.75</v>
      </c>
      <c r="J5175" s="455">
        <f t="array" ref="J5175">IFERROR(INDEX('Retirement Calculator'!K:K,MATCH('Lorri 401b'!N5175,'Retirement Calculator'!A:A,0),0),0)</f>
        <v>0</v>
      </c>
      <c r="K5175" s="455">
        <f t="shared" ca="1" si="183"/>
        <v>-3849316336904.2065</v>
      </c>
      <c r="L5175" s="455">
        <f t="shared" ca="1" si="184"/>
        <v>-927685237193914</v>
      </c>
      <c r="M5175" s="471">
        <f t="shared" si="186"/>
        <v>0.05</v>
      </c>
      <c r="N5175" s="475">
        <f t="shared" si="187"/>
        <v>208556</v>
      </c>
    </row>
    <row r="5176" spans="7:14" ht="11.25" customHeight="1" x14ac:dyDescent="0.3">
      <c r="G5176" s="470"/>
      <c r="H5176" s="470">
        <v>5169</v>
      </c>
      <c r="I5176" s="455">
        <f t="shared" ca="1" si="185"/>
        <v>-927685237193914</v>
      </c>
      <c r="J5176" s="455">
        <f t="array" ref="J5176">IFERROR(INDEX('Retirement Calculator'!K:K,MATCH('Lorri 401b'!N5176,'Retirement Calculator'!A:A,0),0),0)</f>
        <v>0</v>
      </c>
      <c r="K5176" s="455">
        <f t="shared" ca="1" si="183"/>
        <v>-3865355154974.6416</v>
      </c>
      <c r="L5176" s="455">
        <f t="shared" ca="1" si="184"/>
        <v>-931550592348888.63</v>
      </c>
      <c r="M5176" s="471">
        <f t="shared" si="186"/>
        <v>0.05</v>
      </c>
      <c r="N5176" s="475">
        <f t="shared" si="187"/>
        <v>208587</v>
      </c>
    </row>
    <row r="5177" spans="7:14" ht="11.25" customHeight="1" x14ac:dyDescent="0.3">
      <c r="G5177" s="470"/>
      <c r="H5177" s="470">
        <v>5170</v>
      </c>
      <c r="I5177" s="455">
        <f t="shared" ca="1" si="185"/>
        <v>-931550592348888.63</v>
      </c>
      <c r="J5177" s="455">
        <f t="array" ref="J5177">IFERROR(INDEX('Retirement Calculator'!K:K,MATCH('Lorri 401b'!N5177,'Retirement Calculator'!A:A,0),0),0)</f>
        <v>0</v>
      </c>
      <c r="K5177" s="455">
        <f t="shared" ca="1" si="183"/>
        <v>-3881460801453.7026</v>
      </c>
      <c r="L5177" s="455">
        <f t="shared" ca="1" si="184"/>
        <v>-935432053150342.38</v>
      </c>
      <c r="M5177" s="471">
        <f t="shared" si="186"/>
        <v>0.05</v>
      </c>
      <c r="N5177" s="475">
        <f t="shared" si="187"/>
        <v>208615</v>
      </c>
    </row>
    <row r="5178" spans="7:14" ht="11.25" customHeight="1" x14ac:dyDescent="0.3">
      <c r="G5178" s="470"/>
      <c r="H5178" s="470">
        <v>5171</v>
      </c>
      <c r="I5178" s="455">
        <f t="shared" ca="1" si="185"/>
        <v>-935432053150342.38</v>
      </c>
      <c r="J5178" s="455">
        <f t="array" ref="J5178">IFERROR(INDEX('Retirement Calculator'!K:K,MATCH('Lorri 401b'!N5178,'Retirement Calculator'!A:A,0),0),0)</f>
        <v>0</v>
      </c>
      <c r="K5178" s="455">
        <f t="shared" ca="1" si="183"/>
        <v>-3897633554793.0933</v>
      </c>
      <c r="L5178" s="455">
        <f t="shared" ca="1" si="184"/>
        <v>-939329686705135.5</v>
      </c>
      <c r="M5178" s="471">
        <f t="shared" si="186"/>
        <v>0.05</v>
      </c>
      <c r="N5178" s="475">
        <f t="shared" si="187"/>
        <v>208646</v>
      </c>
    </row>
    <row r="5179" spans="7:14" ht="11.25" customHeight="1" x14ac:dyDescent="0.3">
      <c r="G5179" s="470"/>
      <c r="H5179" s="470">
        <v>5172</v>
      </c>
      <c r="I5179" s="455">
        <f t="shared" ca="1" si="185"/>
        <v>-939329686705135.5</v>
      </c>
      <c r="J5179" s="455">
        <f t="array" ref="J5179">IFERROR(INDEX('Retirement Calculator'!K:K,MATCH('Lorri 401b'!N5179,'Retirement Calculator'!A:A,0),0),0)</f>
        <v>0</v>
      </c>
      <c r="K5179" s="455">
        <f t="shared" ca="1" si="183"/>
        <v>-3913873694604.731</v>
      </c>
      <c r="L5179" s="455">
        <f t="shared" ca="1" si="184"/>
        <v>-943243560399740.25</v>
      </c>
      <c r="M5179" s="471">
        <f t="shared" si="186"/>
        <v>0.05</v>
      </c>
      <c r="N5179" s="475">
        <f t="shared" si="187"/>
        <v>208676</v>
      </c>
    </row>
    <row r="5180" spans="7:14" ht="11.25" customHeight="1" x14ac:dyDescent="0.3">
      <c r="G5180" s="470"/>
      <c r="H5180" s="470">
        <v>5173</v>
      </c>
      <c r="I5180" s="455">
        <f t="shared" ca="1" si="185"/>
        <v>-943243560399740.25</v>
      </c>
      <c r="J5180" s="455">
        <f t="array" ref="J5180">IFERROR(INDEX('Retirement Calculator'!K:K,MATCH('Lorri 401b'!N5180,'Retirement Calculator'!A:A,0),0),0)</f>
        <v>0</v>
      </c>
      <c r="K5180" s="455">
        <f t="shared" ca="1" si="183"/>
        <v>-3930181501665.584</v>
      </c>
      <c r="L5180" s="455">
        <f t="shared" ca="1" si="184"/>
        <v>-947173741901405.88</v>
      </c>
      <c r="M5180" s="471">
        <f t="shared" si="186"/>
        <v>0.05</v>
      </c>
      <c r="N5180" s="475">
        <f t="shared" si="187"/>
        <v>208707</v>
      </c>
    </row>
    <row r="5181" spans="7:14" ht="11.25" customHeight="1" x14ac:dyDescent="0.3">
      <c r="G5181" s="470"/>
      <c r="H5181" s="470">
        <v>5174</v>
      </c>
      <c r="I5181" s="455">
        <f t="shared" ca="1" si="185"/>
        <v>-947173741901405.88</v>
      </c>
      <c r="J5181" s="455">
        <f t="array" ref="J5181">IFERROR(INDEX('Retirement Calculator'!K:K,MATCH('Lorri 401b'!N5181,'Retirement Calculator'!A:A,0),0),0)</f>
        <v>0</v>
      </c>
      <c r="K5181" s="455">
        <f t="shared" ca="1" si="183"/>
        <v>-3946557257922.5244</v>
      </c>
      <c r="L5181" s="455">
        <f t="shared" ca="1" si="184"/>
        <v>-951120299159328.38</v>
      </c>
      <c r="M5181" s="471">
        <f t="shared" si="186"/>
        <v>0.05</v>
      </c>
      <c r="N5181" s="475">
        <f t="shared" si="187"/>
        <v>208737</v>
      </c>
    </row>
    <row r="5182" spans="7:14" ht="11.25" customHeight="1" x14ac:dyDescent="0.3">
      <c r="G5182" s="470"/>
      <c r="H5182" s="470">
        <v>5175</v>
      </c>
      <c r="I5182" s="455">
        <f t="shared" ca="1" si="185"/>
        <v>-951120299159328.38</v>
      </c>
      <c r="J5182" s="455">
        <f t="array" ref="J5182">IFERROR(INDEX('Retirement Calculator'!K:K,MATCH('Lorri 401b'!N5182,'Retirement Calculator'!A:A,0),0),0)</f>
        <v>0</v>
      </c>
      <c r="K5182" s="455">
        <f t="shared" ca="1" si="183"/>
        <v>-3963001246497.2017</v>
      </c>
      <c r="L5182" s="455">
        <f t="shared" ca="1" si="184"/>
        <v>-955083300405825.63</v>
      </c>
      <c r="M5182" s="471">
        <f t="shared" si="186"/>
        <v>0.05</v>
      </c>
      <c r="N5182" s="475">
        <f t="shared" si="187"/>
        <v>208768</v>
      </c>
    </row>
    <row r="5183" spans="7:14" ht="11.25" customHeight="1" x14ac:dyDescent="0.3">
      <c r="G5183" s="470"/>
      <c r="H5183" s="470">
        <v>5176</v>
      </c>
      <c r="I5183" s="455">
        <f t="shared" ca="1" si="185"/>
        <v>-955083300405825.63</v>
      </c>
      <c r="J5183" s="455">
        <f t="array" ref="J5183">IFERROR(INDEX('Retirement Calculator'!K:K,MATCH('Lorri 401b'!N5183,'Retirement Calculator'!A:A,0),0),0)</f>
        <v>0</v>
      </c>
      <c r="K5183" s="455">
        <f t="shared" ca="1" si="183"/>
        <v>-3979513751690.9399</v>
      </c>
      <c r="L5183" s="455">
        <f t="shared" ca="1" si="184"/>
        <v>-959062814157516.63</v>
      </c>
      <c r="M5183" s="471">
        <f t="shared" si="186"/>
        <v>0.05</v>
      </c>
      <c r="N5183" s="475">
        <f t="shared" si="187"/>
        <v>208799</v>
      </c>
    </row>
    <row r="5184" spans="7:14" ht="11.25" customHeight="1" x14ac:dyDescent="0.3">
      <c r="G5184" s="470"/>
      <c r="H5184" s="470">
        <v>5177</v>
      </c>
      <c r="I5184" s="455">
        <f t="shared" ca="1" si="185"/>
        <v>-959062814157516.63</v>
      </c>
      <c r="J5184" s="455">
        <f t="array" ref="J5184">IFERROR(INDEX('Retirement Calculator'!K:K,MATCH('Lorri 401b'!N5184,'Retirement Calculator'!A:A,0),0),0)</f>
        <v>0</v>
      </c>
      <c r="K5184" s="455">
        <f t="shared" ca="1" si="183"/>
        <v>-3996095058989.6519</v>
      </c>
      <c r="L5184" s="455">
        <f t="shared" ca="1" si="184"/>
        <v>-963058909216506.25</v>
      </c>
      <c r="M5184" s="471">
        <f t="shared" si="186"/>
        <v>0.05</v>
      </c>
      <c r="N5184" s="475">
        <f t="shared" si="187"/>
        <v>208829</v>
      </c>
    </row>
    <row r="5185" spans="7:14" ht="11.25" customHeight="1" x14ac:dyDescent="0.3">
      <c r="G5185" s="470"/>
      <c r="H5185" s="470">
        <v>5178</v>
      </c>
      <c r="I5185" s="455">
        <f t="shared" ca="1" si="185"/>
        <v>-963058909216506.25</v>
      </c>
      <c r="J5185" s="455">
        <f t="array" ref="J5185">IFERROR(INDEX('Retirement Calculator'!K:K,MATCH('Lorri 401b'!N5185,'Retirement Calculator'!A:A,0),0),0)</f>
        <v>0</v>
      </c>
      <c r="K5185" s="455">
        <f t="shared" ca="1" si="183"/>
        <v>-4012745455068.7764</v>
      </c>
      <c r="L5185" s="455">
        <f t="shared" ca="1" si="184"/>
        <v>-967071654671575</v>
      </c>
      <c r="M5185" s="471">
        <f t="shared" si="186"/>
        <v>0.05</v>
      </c>
      <c r="N5185" s="475">
        <f t="shared" si="187"/>
        <v>208860</v>
      </c>
    </row>
    <row r="5186" spans="7:14" ht="11.25" customHeight="1" x14ac:dyDescent="0.3">
      <c r="G5186" s="470"/>
      <c r="H5186" s="470">
        <v>5179</v>
      </c>
      <c r="I5186" s="455">
        <f t="shared" ca="1" si="185"/>
        <v>-967071654671575</v>
      </c>
      <c r="J5186" s="455">
        <f t="array" ref="J5186">IFERROR(INDEX('Retirement Calculator'!K:K,MATCH('Lorri 401b'!N5186,'Retirement Calculator'!A:A,0),0),0)</f>
        <v>0</v>
      </c>
      <c r="K5186" s="455">
        <f t="shared" ca="1" si="183"/>
        <v>-4029465227798.229</v>
      </c>
      <c r="L5186" s="455">
        <f t="shared" ca="1" si="184"/>
        <v>-971101119899373.25</v>
      </c>
      <c r="M5186" s="471">
        <f t="shared" si="186"/>
        <v>0.05</v>
      </c>
      <c r="N5186" s="475">
        <f t="shared" si="187"/>
        <v>208890</v>
      </c>
    </row>
    <row r="5187" spans="7:14" ht="11.25" customHeight="1" x14ac:dyDescent="0.3">
      <c r="G5187" s="470"/>
      <c r="H5187" s="470">
        <v>5180</v>
      </c>
      <c r="I5187" s="455">
        <f t="shared" ca="1" si="185"/>
        <v>-971101119899373.25</v>
      </c>
      <c r="J5187" s="455">
        <f t="array" ref="J5187">IFERROR(INDEX('Retirement Calculator'!K:K,MATCH('Lorri 401b'!N5187,'Retirement Calculator'!A:A,0),0),0)</f>
        <v>0</v>
      </c>
      <c r="K5187" s="455">
        <f t="shared" ca="1" si="183"/>
        <v>-4046254666247.3887</v>
      </c>
      <c r="L5187" s="455">
        <f t="shared" ca="1" si="184"/>
        <v>-975147374565620.63</v>
      </c>
      <c r="M5187" s="471">
        <f t="shared" si="186"/>
        <v>0.05</v>
      </c>
      <c r="N5187" s="475">
        <f t="shared" si="187"/>
        <v>208921</v>
      </c>
    </row>
    <row r="5188" spans="7:14" ht="11.25" customHeight="1" x14ac:dyDescent="0.3">
      <c r="G5188" s="470"/>
      <c r="H5188" s="470">
        <v>5181</v>
      </c>
      <c r="I5188" s="455">
        <f t="shared" ca="1" si="185"/>
        <v>-975147374565620.63</v>
      </c>
      <c r="J5188" s="455">
        <f t="array" ref="J5188">IFERROR(INDEX('Retirement Calculator'!K:K,MATCH('Lorri 401b'!N5188,'Retirement Calculator'!A:A,0),0),0)</f>
        <v>0</v>
      </c>
      <c r="K5188" s="455">
        <f t="shared" ca="1" si="183"/>
        <v>-4063114060690.0859</v>
      </c>
      <c r="L5188" s="455">
        <f t="shared" ca="1" si="184"/>
        <v>-979210488626310.75</v>
      </c>
      <c r="M5188" s="471">
        <f t="shared" si="186"/>
        <v>0.05</v>
      </c>
      <c r="N5188" s="475">
        <f t="shared" si="187"/>
        <v>208952</v>
      </c>
    </row>
    <row r="5189" spans="7:14" ht="11.25" customHeight="1" x14ac:dyDescent="0.3">
      <c r="G5189" s="470"/>
      <c r="H5189" s="470">
        <v>5182</v>
      </c>
      <c r="I5189" s="455">
        <f t="shared" ca="1" si="185"/>
        <v>-979210488626310.75</v>
      </c>
      <c r="J5189" s="455">
        <f t="array" ref="J5189">IFERROR(INDEX('Retirement Calculator'!K:K,MATCH('Lorri 401b'!N5189,'Retirement Calculator'!A:A,0),0),0)</f>
        <v>0</v>
      </c>
      <c r="K5189" s="455">
        <f t="shared" ca="1" si="183"/>
        <v>-4080043702609.6279</v>
      </c>
      <c r="L5189" s="455">
        <f t="shared" ca="1" si="184"/>
        <v>-983290532328920.38</v>
      </c>
      <c r="M5189" s="471">
        <f t="shared" si="186"/>
        <v>0.05</v>
      </c>
      <c r="N5189" s="475">
        <f t="shared" si="187"/>
        <v>208981</v>
      </c>
    </row>
    <row r="5190" spans="7:14" ht="11.25" customHeight="1" x14ac:dyDescent="0.3">
      <c r="G5190" s="470"/>
      <c r="H5190" s="470">
        <v>5183</v>
      </c>
      <c r="I5190" s="455">
        <f t="shared" ca="1" si="185"/>
        <v>-983290532328920.38</v>
      </c>
      <c r="J5190" s="455">
        <f t="array" ref="J5190">IFERROR(INDEX('Retirement Calculator'!K:K,MATCH('Lorri 401b'!N5190,'Retirement Calculator'!A:A,0),0),0)</f>
        <v>0</v>
      </c>
      <c r="K5190" s="455">
        <f t="shared" ca="1" si="183"/>
        <v>-4097043884703.835</v>
      </c>
      <c r="L5190" s="455">
        <f t="shared" ca="1" si="184"/>
        <v>-987387576213624.25</v>
      </c>
      <c r="M5190" s="471">
        <f t="shared" si="186"/>
        <v>0.05</v>
      </c>
      <c r="N5190" s="475">
        <f t="shared" si="187"/>
        <v>209012</v>
      </c>
    </row>
    <row r="5191" spans="7:14" ht="11.25" customHeight="1" x14ac:dyDescent="0.3">
      <c r="G5191" s="470"/>
      <c r="H5191" s="470">
        <v>5184</v>
      </c>
      <c r="I5191" s="455">
        <f t="shared" ca="1" si="185"/>
        <v>-987387576213624.25</v>
      </c>
      <c r="J5191" s="455">
        <f t="array" ref="J5191">IFERROR(INDEX('Retirement Calculator'!K:K,MATCH('Lorri 401b'!N5191,'Retirement Calculator'!A:A,0),0),0)</f>
        <v>0</v>
      </c>
      <c r="K5191" s="455">
        <f t="shared" ca="1" si="183"/>
        <v>-4114114900890.1011</v>
      </c>
      <c r="L5191" s="455">
        <f t="shared" ca="1" si="184"/>
        <v>-991501691114514.38</v>
      </c>
      <c r="M5191" s="471">
        <f t="shared" si="186"/>
        <v>0.05</v>
      </c>
      <c r="N5191" s="475">
        <f t="shared" si="187"/>
        <v>209042</v>
      </c>
    </row>
    <row r="5192" spans="7:14" ht="11.25" customHeight="1" x14ac:dyDescent="0.3">
      <c r="G5192" s="470"/>
      <c r="H5192" s="470">
        <v>5185</v>
      </c>
      <c r="I5192" s="455">
        <f t="shared" ca="1" si="185"/>
        <v>-991501691114514.38</v>
      </c>
      <c r="J5192" s="455">
        <f t="array" ref="J5192">IFERROR(INDEX('Retirement Calculator'!K:K,MATCH('Lorri 401b'!N5192,'Retirement Calculator'!A:A,0),0),0)</f>
        <v>0</v>
      </c>
      <c r="K5192" s="455">
        <f t="shared" ca="1" si="183"/>
        <v>-4131257046310.4766</v>
      </c>
      <c r="L5192" s="455">
        <f t="shared" ca="1" si="184"/>
        <v>-995632948160824.88</v>
      </c>
      <c r="M5192" s="471">
        <f t="shared" si="186"/>
        <v>0.05</v>
      </c>
      <c r="N5192" s="475">
        <f t="shared" si="187"/>
        <v>209073</v>
      </c>
    </row>
    <row r="5193" spans="7:14" ht="11.25" customHeight="1" x14ac:dyDescent="0.3">
      <c r="G5193" s="470"/>
      <c r="H5193" s="470">
        <v>5186</v>
      </c>
      <c r="I5193" s="455">
        <f t="shared" ca="1" si="185"/>
        <v>-995632948160824.88</v>
      </c>
      <c r="J5193" s="455">
        <f t="array" ref="J5193">IFERROR(INDEX('Retirement Calculator'!K:K,MATCH('Lorri 401b'!N5193,'Retirement Calculator'!A:A,0),0),0)</f>
        <v>0</v>
      </c>
      <c r="K5193" s="455">
        <f t="shared" ca="1" si="183"/>
        <v>-4148470617336.77</v>
      </c>
      <c r="L5193" s="455">
        <f t="shared" ca="1" si="184"/>
        <v>-999781418778161.63</v>
      </c>
      <c r="M5193" s="471">
        <f t="shared" si="186"/>
        <v>0.05</v>
      </c>
      <c r="N5193" s="475">
        <f t="shared" si="187"/>
        <v>209103</v>
      </c>
    </row>
    <row r="5194" spans="7:14" ht="11.25" customHeight="1" x14ac:dyDescent="0.3">
      <c r="G5194" s="470"/>
      <c r="H5194" s="470">
        <v>5187</v>
      </c>
      <c r="I5194" s="455">
        <f t="shared" ca="1" si="185"/>
        <v>-999781418778161.63</v>
      </c>
      <c r="J5194" s="455">
        <f t="array" ref="J5194">IFERROR(INDEX('Retirement Calculator'!K:K,MATCH('Lorri 401b'!N5194,'Retirement Calculator'!A:A,0),0),0)</f>
        <v>0</v>
      </c>
      <c r="K5194" s="455">
        <f t="shared" ca="1" si="183"/>
        <v>-4165755911575.6733</v>
      </c>
      <c r="L5194" s="455">
        <f t="shared" ca="1" si="184"/>
        <v>-1003947174689737.3</v>
      </c>
      <c r="M5194" s="471">
        <f t="shared" si="186"/>
        <v>0.05</v>
      </c>
      <c r="N5194" s="475">
        <f t="shared" si="187"/>
        <v>209134</v>
      </c>
    </row>
    <row r="5195" spans="7:14" ht="11.25" customHeight="1" x14ac:dyDescent="0.3">
      <c r="G5195" s="470"/>
      <c r="H5195" s="470">
        <v>5188</v>
      </c>
      <c r="I5195" s="455">
        <f t="shared" ca="1" si="185"/>
        <v>-1003947174689737.3</v>
      </c>
      <c r="J5195" s="455">
        <f t="array" ref="J5195">IFERROR(INDEX('Retirement Calculator'!K:K,MATCH('Lorri 401b'!N5195,'Retirement Calculator'!A:A,0),0),0)</f>
        <v>0</v>
      </c>
      <c r="K5195" s="455">
        <f t="shared" ca="1" si="183"/>
        <v>-4183113227873.9058</v>
      </c>
      <c r="L5195" s="455">
        <f t="shared" ca="1" si="184"/>
        <v>-1008130287917611.1</v>
      </c>
      <c r="M5195" s="471">
        <f t="shared" si="186"/>
        <v>0.05</v>
      </c>
      <c r="N5195" s="475">
        <f t="shared" si="187"/>
        <v>209165</v>
      </c>
    </row>
    <row r="5196" spans="7:14" ht="11.25" customHeight="1" x14ac:dyDescent="0.3">
      <c r="G5196" s="470"/>
      <c r="H5196" s="470">
        <v>5189</v>
      </c>
      <c r="I5196" s="455">
        <f t="shared" ca="1" si="185"/>
        <v>-1008130287917611.1</v>
      </c>
      <c r="J5196" s="455">
        <f t="array" ref="J5196">IFERROR(INDEX('Retirement Calculator'!K:K,MATCH('Lorri 401b'!N5196,'Retirement Calculator'!A:A,0),0),0)</f>
        <v>0</v>
      </c>
      <c r="K5196" s="455">
        <f t="shared" ca="1" si="183"/>
        <v>-4200542866323.3794</v>
      </c>
      <c r="L5196" s="455">
        <f t="shared" ca="1" si="184"/>
        <v>-1012330830783934.5</v>
      </c>
      <c r="M5196" s="471">
        <f t="shared" si="186"/>
        <v>0.05</v>
      </c>
      <c r="N5196" s="475">
        <f t="shared" si="187"/>
        <v>209195</v>
      </c>
    </row>
    <row r="5197" spans="7:14" ht="11.25" customHeight="1" x14ac:dyDescent="0.3">
      <c r="G5197" s="470"/>
      <c r="H5197" s="470">
        <v>5190</v>
      </c>
      <c r="I5197" s="455">
        <f t="shared" ca="1" si="185"/>
        <v>-1012330830783934.5</v>
      </c>
      <c r="J5197" s="455">
        <f t="array" ref="J5197">IFERROR(INDEX('Retirement Calculator'!K:K,MATCH('Lorri 401b'!N5197,'Retirement Calculator'!A:A,0),0),0)</f>
        <v>0</v>
      </c>
      <c r="K5197" s="455">
        <f t="shared" ca="1" si="183"/>
        <v>-4218045128266.3936</v>
      </c>
      <c r="L5197" s="455">
        <f t="shared" ca="1" si="184"/>
        <v>-1016548875912200.9</v>
      </c>
      <c r="M5197" s="471">
        <f t="shared" si="186"/>
        <v>0.05</v>
      </c>
      <c r="N5197" s="475">
        <f t="shared" si="187"/>
        <v>209226</v>
      </c>
    </row>
    <row r="5198" spans="7:14" ht="11.25" customHeight="1" x14ac:dyDescent="0.3">
      <c r="G5198" s="470"/>
      <c r="H5198" s="470">
        <v>5191</v>
      </c>
      <c r="I5198" s="455">
        <f t="shared" ca="1" si="185"/>
        <v>-1016548875912200.9</v>
      </c>
      <c r="J5198" s="455">
        <f t="array" ref="J5198">IFERROR(INDEX('Retirement Calculator'!K:K,MATCH('Lorri 401b'!N5198,'Retirement Calculator'!A:A,0),0),0)</f>
        <v>0</v>
      </c>
      <c r="K5198" s="455">
        <f t="shared" ca="1" si="183"/>
        <v>-4235620316300.8369</v>
      </c>
      <c r="L5198" s="455">
        <f t="shared" ca="1" si="184"/>
        <v>-1020784496228501.8</v>
      </c>
      <c r="M5198" s="471">
        <f t="shared" si="186"/>
        <v>0.05</v>
      </c>
      <c r="N5198" s="475">
        <f t="shared" si="187"/>
        <v>209256</v>
      </c>
    </row>
    <row r="5199" spans="7:14" ht="11.25" customHeight="1" x14ac:dyDescent="0.3">
      <c r="G5199" s="470"/>
      <c r="H5199" s="470">
        <v>5192</v>
      </c>
      <c r="I5199" s="455">
        <f t="shared" ca="1" si="185"/>
        <v>-1020784496228501.8</v>
      </c>
      <c r="J5199" s="455">
        <f t="array" ref="J5199">IFERROR(INDEX('Retirement Calculator'!K:K,MATCH('Lorri 401b'!N5199,'Retirement Calculator'!A:A,0),0),0)</f>
        <v>0</v>
      </c>
      <c r="K5199" s="455">
        <f t="shared" ca="1" si="183"/>
        <v>-4253268734285.4233</v>
      </c>
      <c r="L5199" s="455">
        <f t="shared" ca="1" si="184"/>
        <v>-1025037764962787.1</v>
      </c>
      <c r="M5199" s="471">
        <f t="shared" si="186"/>
        <v>0.05</v>
      </c>
      <c r="N5199" s="475">
        <f t="shared" si="187"/>
        <v>209287</v>
      </c>
    </row>
    <row r="5200" spans="7:14" ht="11.25" customHeight="1" x14ac:dyDescent="0.3">
      <c r="G5200" s="470"/>
      <c r="H5200" s="470">
        <v>5193</v>
      </c>
      <c r="I5200" s="455">
        <f t="shared" ca="1" si="185"/>
        <v>-1025037764962787.1</v>
      </c>
      <c r="J5200" s="455">
        <f t="array" ref="J5200">IFERROR(INDEX('Retirement Calculator'!K:K,MATCH('Lorri 401b'!N5200,'Retirement Calculator'!A:A,0),0),0)</f>
        <v>0</v>
      </c>
      <c r="K5200" s="455">
        <f t="shared" ca="1" si="183"/>
        <v>-4270990687344.9463</v>
      </c>
      <c r="L5200" s="455">
        <f t="shared" ca="1" si="184"/>
        <v>-1029308755650132.1</v>
      </c>
      <c r="M5200" s="471">
        <f t="shared" si="186"/>
        <v>0.05</v>
      </c>
      <c r="N5200" s="475">
        <f t="shared" si="187"/>
        <v>209318</v>
      </c>
    </row>
    <row r="5201" spans="7:14" ht="11.25" customHeight="1" x14ac:dyDescent="0.3">
      <c r="G5201" s="470"/>
      <c r="H5201" s="470">
        <v>5194</v>
      </c>
      <c r="I5201" s="455">
        <f t="shared" ca="1" si="185"/>
        <v>-1029308755650132.1</v>
      </c>
      <c r="J5201" s="455">
        <f t="array" ref="J5201">IFERROR(INDEX('Retirement Calculator'!K:K,MATCH('Lorri 401b'!N5201,'Retirement Calculator'!A:A,0),0),0)</f>
        <v>0</v>
      </c>
      <c r="K5201" s="455">
        <f t="shared" ca="1" si="183"/>
        <v>-4288786481875.5503</v>
      </c>
      <c r="L5201" s="455">
        <f t="shared" ca="1" si="184"/>
        <v>-1033597542132007.6</v>
      </c>
      <c r="M5201" s="471">
        <f t="shared" si="186"/>
        <v>0.05</v>
      </c>
      <c r="N5201" s="475">
        <f t="shared" si="187"/>
        <v>209346</v>
      </c>
    </row>
    <row r="5202" spans="7:14" ht="11.25" customHeight="1" x14ac:dyDescent="0.3">
      <c r="G5202" s="470"/>
      <c r="H5202" s="470">
        <v>5195</v>
      </c>
      <c r="I5202" s="455">
        <f t="shared" ca="1" si="185"/>
        <v>-1033597542132007.6</v>
      </c>
      <c r="J5202" s="455">
        <f t="array" ref="J5202">IFERROR(INDEX('Retirement Calculator'!K:K,MATCH('Lorri 401b'!N5202,'Retirement Calculator'!A:A,0),0),0)</f>
        <v>0</v>
      </c>
      <c r="K5202" s="455">
        <f t="shared" ca="1" si="183"/>
        <v>-4306656425550.0317</v>
      </c>
      <c r="L5202" s="455">
        <f t="shared" ca="1" si="184"/>
        <v>-1037904198557557.6</v>
      </c>
      <c r="M5202" s="471">
        <f t="shared" si="186"/>
        <v>0.05</v>
      </c>
      <c r="N5202" s="475">
        <f t="shared" si="187"/>
        <v>209377</v>
      </c>
    </row>
    <row r="5203" spans="7:14" ht="11.25" customHeight="1" x14ac:dyDescent="0.3">
      <c r="G5203" s="470"/>
      <c r="H5203" s="470">
        <v>5196</v>
      </c>
      <c r="I5203" s="455">
        <f t="shared" ca="1" si="185"/>
        <v>-1037904198557557.6</v>
      </c>
      <c r="J5203" s="455">
        <f t="array" ref="J5203">IFERROR(INDEX('Retirement Calculator'!K:K,MATCH('Lorri 401b'!N5203,'Retirement Calculator'!A:A,0),0),0)</f>
        <v>0</v>
      </c>
      <c r="K5203" s="455">
        <f t="shared" ca="1" si="183"/>
        <v>-4324600827323.1567</v>
      </c>
      <c r="L5203" s="455">
        <f t="shared" ca="1" si="184"/>
        <v>-1042228799384880.8</v>
      </c>
      <c r="M5203" s="471">
        <f t="shared" si="186"/>
        <v>0.05</v>
      </c>
      <c r="N5203" s="475">
        <f t="shared" si="187"/>
        <v>209407</v>
      </c>
    </row>
    <row r="5204" spans="7:14" ht="11.25" customHeight="1" x14ac:dyDescent="0.3">
      <c r="G5204" s="470"/>
      <c r="H5204" s="470">
        <v>5197</v>
      </c>
      <c r="I5204" s="455">
        <f t="shared" ca="1" si="185"/>
        <v>-1042228799384880.8</v>
      </c>
      <c r="J5204" s="455">
        <f t="array" ref="J5204">IFERROR(INDEX('Retirement Calculator'!K:K,MATCH('Lorri 401b'!N5204,'Retirement Calculator'!A:A,0),0),0)</f>
        <v>0</v>
      </c>
      <c r="K5204" s="455">
        <f t="shared" ca="1" si="183"/>
        <v>-4342619997437.0024</v>
      </c>
      <c r="L5204" s="455">
        <f t="shared" ca="1" si="184"/>
        <v>-1046571419382317.8</v>
      </c>
      <c r="M5204" s="471">
        <f t="shared" si="186"/>
        <v>0.05</v>
      </c>
      <c r="N5204" s="475">
        <f t="shared" si="187"/>
        <v>209438</v>
      </c>
    </row>
    <row r="5205" spans="7:14" ht="11.25" customHeight="1" x14ac:dyDescent="0.3">
      <c r="G5205" s="470"/>
      <c r="H5205" s="470">
        <v>5198</v>
      </c>
      <c r="I5205" s="455">
        <f t="shared" ca="1" si="185"/>
        <v>-1046571419382317.8</v>
      </c>
      <c r="J5205" s="455">
        <f t="array" ref="J5205">IFERROR(INDEX('Retirement Calculator'!K:K,MATCH('Lorri 401b'!N5205,'Retirement Calculator'!A:A,0),0),0)</f>
        <v>0</v>
      </c>
      <c r="K5205" s="455">
        <f t="shared" ca="1" si="183"/>
        <v>-4360714247426.3242</v>
      </c>
      <c r="L5205" s="455">
        <f t="shared" ca="1" si="184"/>
        <v>-1050932133629744.1</v>
      </c>
      <c r="M5205" s="471">
        <f t="shared" si="186"/>
        <v>0.05</v>
      </c>
      <c r="N5205" s="475">
        <f t="shared" si="187"/>
        <v>209468</v>
      </c>
    </row>
    <row r="5206" spans="7:14" ht="11.25" customHeight="1" x14ac:dyDescent="0.3">
      <c r="G5206" s="470"/>
      <c r="H5206" s="470">
        <v>5199</v>
      </c>
      <c r="I5206" s="455">
        <f t="shared" ca="1" si="185"/>
        <v>-1050932133629744.1</v>
      </c>
      <c r="J5206" s="455">
        <f t="array" ref="J5206">IFERROR(INDEX('Retirement Calculator'!K:K,MATCH('Lorri 401b'!N5206,'Retirement Calculator'!A:A,0),0),0)</f>
        <v>0</v>
      </c>
      <c r="K5206" s="455">
        <f t="shared" ca="1" si="183"/>
        <v>-4378883890123.9331</v>
      </c>
      <c r="L5206" s="455">
        <f t="shared" ca="1" si="184"/>
        <v>-1055311017519868</v>
      </c>
      <c r="M5206" s="471">
        <f t="shared" si="186"/>
        <v>0.05</v>
      </c>
      <c r="N5206" s="475">
        <f t="shared" si="187"/>
        <v>209499</v>
      </c>
    </row>
    <row r="5207" spans="7:14" ht="11.25" customHeight="1" x14ac:dyDescent="0.3">
      <c r="G5207" s="470"/>
      <c r="H5207" s="470">
        <v>5200</v>
      </c>
      <c r="I5207" s="455">
        <f t="shared" ca="1" si="185"/>
        <v>-1055311017519868</v>
      </c>
      <c r="J5207" s="455">
        <f t="array" ref="J5207">IFERROR(INDEX('Retirement Calculator'!K:K,MATCH('Lorri 401b'!N5207,'Retirement Calculator'!A:A,0),0),0)</f>
        <v>0</v>
      </c>
      <c r="K5207" s="455">
        <f t="shared" ca="1" si="183"/>
        <v>-4397129239666.1167</v>
      </c>
      <c r="L5207" s="455">
        <f t="shared" ca="1" si="184"/>
        <v>-1059708146759534.1</v>
      </c>
      <c r="M5207" s="471">
        <f t="shared" si="186"/>
        <v>0.05</v>
      </c>
      <c r="N5207" s="475">
        <f t="shared" si="187"/>
        <v>209530</v>
      </c>
    </row>
    <row r="5208" spans="7:14" ht="11.25" customHeight="1" x14ac:dyDescent="0.3">
      <c r="G5208" s="470"/>
      <c r="H5208" s="470">
        <v>5201</v>
      </c>
      <c r="I5208" s="455">
        <f t="shared" ca="1" si="185"/>
        <v>-1059708146759534.1</v>
      </c>
      <c r="J5208" s="455">
        <f t="array" ref="J5208">IFERROR(INDEX('Retirement Calculator'!K:K,MATCH('Lorri 401b'!N5208,'Retirement Calculator'!A:A,0),0),0)</f>
        <v>0</v>
      </c>
      <c r="K5208" s="455">
        <f t="shared" ca="1" si="183"/>
        <v>-4415450611498.0586</v>
      </c>
      <c r="L5208" s="455">
        <f t="shared" ca="1" si="184"/>
        <v>-1064123597371032.1</v>
      </c>
      <c r="M5208" s="471">
        <f t="shared" si="186"/>
        <v>0.05</v>
      </c>
      <c r="N5208" s="475">
        <f t="shared" si="187"/>
        <v>209560</v>
      </c>
    </row>
    <row r="5209" spans="7:14" ht="11.25" customHeight="1" x14ac:dyDescent="0.3">
      <c r="G5209" s="470"/>
      <c r="H5209" s="470">
        <v>5202</v>
      </c>
      <c r="I5209" s="455">
        <f t="shared" ca="1" si="185"/>
        <v>-1064123597371032.1</v>
      </c>
      <c r="J5209" s="455">
        <f t="array" ref="J5209">IFERROR(INDEX('Retirement Calculator'!K:K,MATCH('Lorri 401b'!N5209,'Retirement Calculator'!A:A,0),0),0)</f>
        <v>0</v>
      </c>
      <c r="K5209" s="455">
        <f t="shared" ca="1" si="183"/>
        <v>-4433848322379.3008</v>
      </c>
      <c r="L5209" s="455">
        <f t="shared" ca="1" si="184"/>
        <v>-1068557445693411.4</v>
      </c>
      <c r="M5209" s="471">
        <f t="shared" si="186"/>
        <v>0.05</v>
      </c>
      <c r="N5209" s="475">
        <f t="shared" si="187"/>
        <v>209591</v>
      </c>
    </row>
    <row r="5210" spans="7:14" ht="11.25" customHeight="1" x14ac:dyDescent="0.3">
      <c r="G5210" s="470"/>
      <c r="H5210" s="470">
        <v>5203</v>
      </c>
      <c r="I5210" s="455">
        <f t="shared" ca="1" si="185"/>
        <v>-1068557445693411.4</v>
      </c>
      <c r="J5210" s="455">
        <f t="array" ref="J5210">IFERROR(INDEX('Retirement Calculator'!K:K,MATCH('Lorri 401b'!N5210,'Retirement Calculator'!A:A,0),0),0)</f>
        <v>0</v>
      </c>
      <c r="K5210" s="455">
        <f t="shared" ca="1" si="183"/>
        <v>-4452322690389.2139</v>
      </c>
      <c r="L5210" s="455">
        <f t="shared" ca="1" si="184"/>
        <v>-1073009768383800.6</v>
      </c>
      <c r="M5210" s="471">
        <f t="shared" si="186"/>
        <v>0.05</v>
      </c>
      <c r="N5210" s="475">
        <f t="shared" si="187"/>
        <v>209621</v>
      </c>
    </row>
    <row r="5211" spans="7:14" ht="11.25" customHeight="1" x14ac:dyDescent="0.3">
      <c r="G5211" s="470"/>
      <c r="H5211" s="470">
        <v>5204</v>
      </c>
      <c r="I5211" s="455">
        <f t="shared" ca="1" si="185"/>
        <v>-1073009768383800.6</v>
      </c>
      <c r="J5211" s="455">
        <f t="array" ref="J5211">IFERROR(INDEX('Retirement Calculator'!K:K,MATCH('Lorri 401b'!N5211,'Retirement Calculator'!A:A,0),0),0)</f>
        <v>0</v>
      </c>
      <c r="K5211" s="455">
        <f t="shared" ca="1" si="183"/>
        <v>-4470874034932.5029</v>
      </c>
      <c r="L5211" s="455">
        <f t="shared" ca="1" si="184"/>
        <v>-1077480642418733.1</v>
      </c>
      <c r="M5211" s="471">
        <f t="shared" si="186"/>
        <v>0.05</v>
      </c>
      <c r="N5211" s="475">
        <f t="shared" si="187"/>
        <v>209652</v>
      </c>
    </row>
    <row r="5212" spans="7:14" ht="11.25" customHeight="1" x14ac:dyDescent="0.3">
      <c r="G5212" s="470"/>
      <c r="H5212" s="470">
        <v>5205</v>
      </c>
      <c r="I5212" s="455">
        <f t="shared" ca="1" si="185"/>
        <v>-1077480642418733.1</v>
      </c>
      <c r="J5212" s="455">
        <f t="array" ref="J5212">IFERROR(INDEX('Retirement Calculator'!K:K,MATCH('Lorri 401b'!N5212,'Retirement Calculator'!A:A,0),0),0)</f>
        <v>0</v>
      </c>
      <c r="K5212" s="455">
        <f t="shared" ca="1" si="183"/>
        <v>-4489502676744.7217</v>
      </c>
      <c r="L5212" s="455">
        <f t="shared" ca="1" si="184"/>
        <v>-1081970145095477.9</v>
      </c>
      <c r="M5212" s="471">
        <f t="shared" si="186"/>
        <v>0.05</v>
      </c>
      <c r="N5212" s="475">
        <f t="shared" si="187"/>
        <v>209683</v>
      </c>
    </row>
    <row r="5213" spans="7:14" ht="11.25" customHeight="1" x14ac:dyDescent="0.3">
      <c r="G5213" s="470"/>
      <c r="H5213" s="470">
        <v>5206</v>
      </c>
      <c r="I5213" s="455">
        <f t="shared" ca="1" si="185"/>
        <v>-1081970145095477.9</v>
      </c>
      <c r="J5213" s="455">
        <f t="array" ref="J5213">IFERROR(INDEX('Retirement Calculator'!K:K,MATCH('Lorri 401b'!N5213,'Retirement Calculator'!A:A,0),0),0)</f>
        <v>0</v>
      </c>
      <c r="K5213" s="455">
        <f t="shared" ca="1" si="183"/>
        <v>-4508208937897.8252</v>
      </c>
      <c r="L5213" s="455">
        <f t="shared" ca="1" si="184"/>
        <v>-1086478354033375.8</v>
      </c>
      <c r="M5213" s="471">
        <f t="shared" si="186"/>
        <v>0.05</v>
      </c>
      <c r="N5213" s="475">
        <f t="shared" si="187"/>
        <v>209711</v>
      </c>
    </row>
    <row r="5214" spans="7:14" ht="11.25" customHeight="1" x14ac:dyDescent="0.3">
      <c r="G5214" s="470"/>
      <c r="H5214" s="470">
        <v>5207</v>
      </c>
      <c r="I5214" s="455">
        <f t="shared" ca="1" si="185"/>
        <v>-1086478354033375.8</v>
      </c>
      <c r="J5214" s="455">
        <f t="array" ref="J5214">IFERROR(INDEX('Retirement Calculator'!K:K,MATCH('Lorri 401b'!N5214,'Retirement Calculator'!A:A,0),0),0)</f>
        <v>0</v>
      </c>
      <c r="K5214" s="455">
        <f t="shared" ca="1" si="183"/>
        <v>-4526993141805.7314</v>
      </c>
      <c r="L5214" s="455">
        <f t="shared" ca="1" si="184"/>
        <v>-1091005347175181.5</v>
      </c>
      <c r="M5214" s="471">
        <f t="shared" si="186"/>
        <v>0.05</v>
      </c>
      <c r="N5214" s="475">
        <f t="shared" si="187"/>
        <v>209742</v>
      </c>
    </row>
    <row r="5215" spans="7:14" ht="11.25" customHeight="1" x14ac:dyDescent="0.3">
      <c r="G5215" s="470"/>
      <c r="H5215" s="470">
        <v>5208</v>
      </c>
      <c r="I5215" s="455">
        <f t="shared" ca="1" si="185"/>
        <v>-1091005347175181.5</v>
      </c>
      <c r="J5215" s="455">
        <f t="array" ref="J5215">IFERROR(INDEX('Retirement Calculator'!K:K,MATCH('Lorri 401b'!N5215,'Retirement Calculator'!A:A,0),0),0)</f>
        <v>0</v>
      </c>
      <c r="K5215" s="455">
        <f t="shared" ca="1" si="183"/>
        <v>-4545855613229.9219</v>
      </c>
      <c r="L5215" s="455">
        <f t="shared" ca="1" si="184"/>
        <v>-1095551202788411.4</v>
      </c>
      <c r="M5215" s="471">
        <f t="shared" si="186"/>
        <v>0.05</v>
      </c>
      <c r="N5215" s="475">
        <f t="shared" si="187"/>
        <v>209772</v>
      </c>
    </row>
    <row r="5216" spans="7:14" ht="11.25" customHeight="1" x14ac:dyDescent="0.3">
      <c r="G5216" s="470"/>
      <c r="H5216" s="470">
        <v>5209</v>
      </c>
      <c r="I5216" s="455">
        <f t="shared" ca="1" si="185"/>
        <v>-1095551202788411.4</v>
      </c>
      <c r="J5216" s="455">
        <f t="array" ref="J5216">IFERROR(INDEX('Retirement Calculator'!K:K,MATCH('Lorri 401b'!N5216,'Retirement Calculator'!A:A,0),0),0)</f>
        <v>0</v>
      </c>
      <c r="K5216" s="455">
        <f t="shared" ca="1" si="183"/>
        <v>-4564796678285.0469</v>
      </c>
      <c r="L5216" s="455">
        <f t="shared" ca="1" si="184"/>
        <v>-1100115999466696.4</v>
      </c>
      <c r="M5216" s="471">
        <f t="shared" si="186"/>
        <v>0.05</v>
      </c>
      <c r="N5216" s="475">
        <f t="shared" si="187"/>
        <v>209803</v>
      </c>
    </row>
    <row r="5217" spans="7:14" ht="11.25" customHeight="1" x14ac:dyDescent="0.3">
      <c r="G5217" s="470"/>
      <c r="H5217" s="470">
        <v>5210</v>
      </c>
      <c r="I5217" s="455">
        <f t="shared" ca="1" si="185"/>
        <v>-1100115999466696.4</v>
      </c>
      <c r="J5217" s="455">
        <f t="array" ref="J5217">IFERROR(INDEX('Retirement Calculator'!K:K,MATCH('Lorri 401b'!N5217,'Retirement Calculator'!A:A,0),0),0)</f>
        <v>0</v>
      </c>
      <c r="K5217" s="455">
        <f t="shared" ca="1" si="183"/>
        <v>-4583816664444.5674</v>
      </c>
      <c r="L5217" s="455">
        <f t="shared" ca="1" si="184"/>
        <v>-1104699816131141</v>
      </c>
      <c r="M5217" s="471">
        <f t="shared" si="186"/>
        <v>0.05</v>
      </c>
      <c r="N5217" s="475">
        <f t="shared" si="187"/>
        <v>209833</v>
      </c>
    </row>
    <row r="5218" spans="7:14" ht="11.25" customHeight="1" x14ac:dyDescent="0.3">
      <c r="G5218" s="470"/>
      <c r="H5218" s="470">
        <v>5211</v>
      </c>
      <c r="I5218" s="455">
        <f t="shared" ca="1" si="185"/>
        <v>-1104699816131141</v>
      </c>
      <c r="J5218" s="455">
        <f t="array" ref="J5218">IFERROR(INDEX('Retirement Calculator'!K:K,MATCH('Lorri 401b'!N5218,'Retirement Calculator'!A:A,0),0),0)</f>
        <v>0</v>
      </c>
      <c r="K5218" s="455">
        <f t="shared" ca="1" si="183"/>
        <v>-4602915900546.4199</v>
      </c>
      <c r="L5218" s="455">
        <f t="shared" ca="1" si="184"/>
        <v>-1109302732031687.4</v>
      </c>
      <c r="M5218" s="471">
        <f t="shared" si="186"/>
        <v>0.05</v>
      </c>
      <c r="N5218" s="475">
        <f t="shared" si="187"/>
        <v>209864</v>
      </c>
    </row>
    <row r="5219" spans="7:14" ht="11.25" customHeight="1" x14ac:dyDescent="0.3">
      <c r="G5219" s="470"/>
      <c r="H5219" s="470">
        <v>5212</v>
      </c>
      <c r="I5219" s="455">
        <f t="shared" ca="1" si="185"/>
        <v>-1109302732031687.4</v>
      </c>
      <c r="J5219" s="455">
        <f t="array" ref="J5219">IFERROR(INDEX('Retirement Calculator'!K:K,MATCH('Lorri 401b'!N5219,'Retirement Calculator'!A:A,0),0),0)</f>
        <v>0</v>
      </c>
      <c r="K5219" s="455">
        <f t="shared" ca="1" si="183"/>
        <v>-4622094716798.6982</v>
      </c>
      <c r="L5219" s="455">
        <f t="shared" ca="1" si="184"/>
        <v>-1113924826748486.1</v>
      </c>
      <c r="M5219" s="471">
        <f t="shared" si="186"/>
        <v>0.05</v>
      </c>
      <c r="N5219" s="475">
        <f t="shared" si="187"/>
        <v>209895</v>
      </c>
    </row>
    <row r="5220" spans="7:14" ht="11.25" customHeight="1" x14ac:dyDescent="0.3">
      <c r="G5220" s="470"/>
      <c r="H5220" s="470">
        <v>5213</v>
      </c>
      <c r="I5220" s="455">
        <f t="shared" ca="1" si="185"/>
        <v>-1113924826748486.1</v>
      </c>
      <c r="J5220" s="455">
        <f t="array" ref="J5220">IFERROR(INDEX('Retirement Calculator'!K:K,MATCH('Lorri 401b'!N5220,'Retirement Calculator'!A:A,0),0),0)</f>
        <v>0</v>
      </c>
      <c r="K5220" s="455">
        <f t="shared" ca="1" si="183"/>
        <v>-4641353444785.3584</v>
      </c>
      <c r="L5220" s="455">
        <f t="shared" ca="1" si="184"/>
        <v>-1118566180193271.5</v>
      </c>
      <c r="M5220" s="471">
        <f t="shared" si="186"/>
        <v>0.05</v>
      </c>
      <c r="N5220" s="475">
        <f t="shared" si="187"/>
        <v>209925</v>
      </c>
    </row>
    <row r="5221" spans="7:14" ht="11.25" customHeight="1" x14ac:dyDescent="0.3">
      <c r="G5221" s="470"/>
      <c r="H5221" s="470">
        <v>5214</v>
      </c>
      <c r="I5221" s="455">
        <f t="shared" ca="1" si="185"/>
        <v>-1118566180193271.5</v>
      </c>
      <c r="J5221" s="455">
        <f t="array" ref="J5221">IFERROR(INDEX('Retirement Calculator'!K:K,MATCH('Lorri 401b'!N5221,'Retirement Calculator'!A:A,0),0),0)</f>
        <v>0</v>
      </c>
      <c r="K5221" s="455">
        <f t="shared" ca="1" si="183"/>
        <v>-4660692417471.9648</v>
      </c>
      <c r="L5221" s="455">
        <f t="shared" ca="1" si="184"/>
        <v>-1123226872610743.5</v>
      </c>
      <c r="M5221" s="471">
        <f t="shared" si="186"/>
        <v>0.05</v>
      </c>
      <c r="N5221" s="475">
        <f t="shared" si="187"/>
        <v>209956</v>
      </c>
    </row>
    <row r="5222" spans="7:14" ht="11.25" customHeight="1" x14ac:dyDescent="0.3">
      <c r="G5222" s="470"/>
      <c r="H5222" s="470">
        <v>5215</v>
      </c>
      <c r="I5222" s="455">
        <f t="shared" ca="1" si="185"/>
        <v>-1123226872610743.5</v>
      </c>
      <c r="J5222" s="455">
        <f t="array" ref="J5222">IFERROR(INDEX('Retirement Calculator'!K:K,MATCH('Lorri 401b'!N5222,'Retirement Calculator'!A:A,0),0),0)</f>
        <v>0</v>
      </c>
      <c r="K5222" s="455">
        <f t="shared" ca="1" si="183"/>
        <v>-4680111969211.4316</v>
      </c>
      <c r="L5222" s="455">
        <f t="shared" ca="1" si="184"/>
        <v>-1127906984579955</v>
      </c>
      <c r="M5222" s="471">
        <f t="shared" si="186"/>
        <v>0.05</v>
      </c>
      <c r="N5222" s="475">
        <f t="shared" si="187"/>
        <v>209986</v>
      </c>
    </row>
    <row r="5223" spans="7:14" ht="11.25" customHeight="1" x14ac:dyDescent="0.3">
      <c r="G5223" s="470"/>
      <c r="H5223" s="470">
        <v>5216</v>
      </c>
      <c r="I5223" s="455">
        <f t="shared" ca="1" si="185"/>
        <v>-1127906984579955</v>
      </c>
      <c r="J5223" s="455">
        <f t="array" ref="J5223">IFERROR(INDEX('Retirement Calculator'!K:K,MATCH('Lorri 401b'!N5223,'Retirement Calculator'!A:A,0),0),0)</f>
        <v>0</v>
      </c>
      <c r="K5223" s="455">
        <f t="shared" ca="1" si="183"/>
        <v>-4699612435749.8125</v>
      </c>
      <c r="L5223" s="455">
        <f t="shared" ca="1" si="184"/>
        <v>-1132606597015704.8</v>
      </c>
      <c r="M5223" s="471">
        <f t="shared" si="186"/>
        <v>0.05</v>
      </c>
      <c r="N5223" s="475">
        <f t="shared" si="187"/>
        <v>210017</v>
      </c>
    </row>
    <row r="5224" spans="7:14" ht="11.25" customHeight="1" x14ac:dyDescent="0.3">
      <c r="G5224" s="470"/>
      <c r="H5224" s="470">
        <v>5217</v>
      </c>
      <c r="I5224" s="455">
        <f t="shared" ca="1" si="185"/>
        <v>-1132606597015704.8</v>
      </c>
      <c r="J5224" s="455">
        <f t="array" ref="J5224">IFERROR(INDEX('Retirement Calculator'!K:K,MATCH('Lorri 401b'!N5224,'Retirement Calculator'!A:A,0),0),0)</f>
        <v>0</v>
      </c>
      <c r="K5224" s="455">
        <f t="shared" ca="1" si="183"/>
        <v>-4719194154232.1035</v>
      </c>
      <c r="L5224" s="455">
        <f t="shared" ca="1" si="184"/>
        <v>-1137325791169936.8</v>
      </c>
      <c r="M5224" s="471">
        <f t="shared" si="186"/>
        <v>0.05</v>
      </c>
      <c r="N5224" s="475">
        <f t="shared" si="187"/>
        <v>210048</v>
      </c>
    </row>
    <row r="5225" spans="7:14" ht="11.25" customHeight="1" x14ac:dyDescent="0.3">
      <c r="G5225" s="470"/>
      <c r="H5225" s="470">
        <v>5218</v>
      </c>
      <c r="I5225" s="455">
        <f t="shared" ca="1" si="185"/>
        <v>-1137325791169936.8</v>
      </c>
      <c r="J5225" s="455">
        <f t="array" ref="J5225">IFERROR(INDEX('Retirement Calculator'!K:K,MATCH('Lorri 401b'!N5225,'Retirement Calculator'!A:A,0),0),0)</f>
        <v>0</v>
      </c>
      <c r="K5225" s="455">
        <f t="shared" ca="1" si="183"/>
        <v>-4738857463208.0693</v>
      </c>
      <c r="L5225" s="455">
        <f t="shared" ca="1" si="184"/>
        <v>-1142064648633144.8</v>
      </c>
      <c r="M5225" s="471">
        <f t="shared" si="186"/>
        <v>0.05</v>
      </c>
      <c r="N5225" s="475">
        <f t="shared" si="187"/>
        <v>210076</v>
      </c>
    </row>
    <row r="5226" spans="7:14" ht="11.25" customHeight="1" x14ac:dyDescent="0.3">
      <c r="G5226" s="470"/>
      <c r="H5226" s="470">
        <v>5219</v>
      </c>
      <c r="I5226" s="455">
        <f t="shared" ca="1" si="185"/>
        <v>-1142064648633144.8</v>
      </c>
      <c r="J5226" s="455">
        <f t="array" ref="J5226">IFERROR(INDEX('Retirement Calculator'!K:K,MATCH('Lorri 401b'!N5226,'Retirement Calculator'!A:A,0),0),0)</f>
        <v>0</v>
      </c>
      <c r="K5226" s="455">
        <f t="shared" ca="1" si="183"/>
        <v>-4758602702638.1035</v>
      </c>
      <c r="L5226" s="455">
        <f t="shared" ca="1" si="184"/>
        <v>-1146823251335782.8</v>
      </c>
      <c r="M5226" s="471">
        <f t="shared" si="186"/>
        <v>0.05</v>
      </c>
      <c r="N5226" s="475">
        <f t="shared" si="187"/>
        <v>210107</v>
      </c>
    </row>
    <row r="5227" spans="7:14" ht="11.25" customHeight="1" x14ac:dyDescent="0.3">
      <c r="G5227" s="470"/>
      <c r="H5227" s="470">
        <v>5220</v>
      </c>
      <c r="I5227" s="455">
        <f t="shared" ca="1" si="185"/>
        <v>-1146823251335782.8</v>
      </c>
      <c r="J5227" s="455">
        <f t="array" ref="J5227">IFERROR(INDEX('Retirement Calculator'!K:K,MATCH('Lorri 401b'!N5227,'Retirement Calculator'!A:A,0),0),0)</f>
        <v>0</v>
      </c>
      <c r="K5227" s="455">
        <f t="shared" ca="1" si="183"/>
        <v>-4778430213899.0947</v>
      </c>
      <c r="L5227" s="455">
        <f t="shared" ca="1" si="184"/>
        <v>-1151601681549681.8</v>
      </c>
      <c r="M5227" s="471">
        <f t="shared" si="186"/>
        <v>0.05</v>
      </c>
      <c r="N5227" s="475">
        <f t="shared" si="187"/>
        <v>210137</v>
      </c>
    </row>
    <row r="5228" spans="7:14" ht="11.25" customHeight="1" x14ac:dyDescent="0.3">
      <c r="G5228" s="470"/>
      <c r="H5228" s="470">
        <v>5221</v>
      </c>
      <c r="I5228" s="455">
        <f t="shared" ca="1" si="185"/>
        <v>-1151601681549681.8</v>
      </c>
      <c r="J5228" s="455">
        <f t="array" ref="J5228">IFERROR(INDEX('Retirement Calculator'!K:K,MATCH('Lorri 401b'!N5228,'Retirement Calculator'!A:A,0),0),0)</f>
        <v>0</v>
      </c>
      <c r="K5228" s="455">
        <f t="shared" ca="1" si="183"/>
        <v>-4798340339790.3408</v>
      </c>
      <c r="L5228" s="455">
        <f t="shared" ca="1" si="184"/>
        <v>-1156400021889472</v>
      </c>
      <c r="M5228" s="471">
        <f t="shared" si="186"/>
        <v>0.05</v>
      </c>
      <c r="N5228" s="475">
        <f t="shared" si="187"/>
        <v>210168</v>
      </c>
    </row>
    <row r="5229" spans="7:14" ht="11.25" customHeight="1" x14ac:dyDescent="0.3">
      <c r="G5229" s="470"/>
      <c r="H5229" s="470">
        <v>5222</v>
      </c>
      <c r="I5229" s="455">
        <f t="shared" ca="1" si="185"/>
        <v>-1156400021889472</v>
      </c>
      <c r="J5229" s="455">
        <f t="array" ref="J5229">IFERROR(INDEX('Retirement Calculator'!K:K,MATCH('Lorri 401b'!N5229,'Retirement Calculator'!A:A,0),0),0)</f>
        <v>0</v>
      </c>
      <c r="K5229" s="455">
        <f t="shared" ca="1" si="183"/>
        <v>-4818333424539.4668</v>
      </c>
      <c r="L5229" s="455">
        <f t="shared" ca="1" si="184"/>
        <v>-1161218355314011.5</v>
      </c>
      <c r="M5229" s="471">
        <f t="shared" si="186"/>
        <v>0.05</v>
      </c>
      <c r="N5229" s="475">
        <f t="shared" si="187"/>
        <v>210198</v>
      </c>
    </row>
    <row r="5230" spans="7:14" ht="11.25" customHeight="1" x14ac:dyDescent="0.3">
      <c r="G5230" s="470"/>
      <c r="H5230" s="470">
        <v>5223</v>
      </c>
      <c r="I5230" s="455">
        <f t="shared" ca="1" si="185"/>
        <v>-1161218355314011.5</v>
      </c>
      <c r="J5230" s="455">
        <f t="array" ref="J5230">IFERROR(INDEX('Retirement Calculator'!K:K,MATCH('Lorri 401b'!N5230,'Retirement Calculator'!A:A,0),0),0)</f>
        <v>0</v>
      </c>
      <c r="K5230" s="455">
        <f t="shared" ca="1" si="183"/>
        <v>-4838409813808.3809</v>
      </c>
      <c r="L5230" s="455">
        <f t="shared" ca="1" si="184"/>
        <v>-1166056765127820</v>
      </c>
      <c r="M5230" s="471">
        <f t="shared" si="186"/>
        <v>0.05</v>
      </c>
      <c r="N5230" s="475">
        <f t="shared" si="187"/>
        <v>210229</v>
      </c>
    </row>
    <row r="5231" spans="7:14" ht="11.25" customHeight="1" x14ac:dyDescent="0.3">
      <c r="G5231" s="470"/>
      <c r="H5231" s="470">
        <v>5224</v>
      </c>
      <c r="I5231" s="455">
        <f t="shared" ca="1" si="185"/>
        <v>-1166056765127820</v>
      </c>
      <c r="J5231" s="455">
        <f t="array" ref="J5231">IFERROR(INDEX('Retirement Calculator'!K:K,MATCH('Lorri 401b'!N5231,'Retirement Calculator'!A:A,0),0),0)</f>
        <v>0</v>
      </c>
      <c r="K5231" s="455">
        <f t="shared" ca="1" si="183"/>
        <v>-4858569854699.25</v>
      </c>
      <c r="L5231" s="455">
        <f t="shared" ca="1" si="184"/>
        <v>-1170915334982519.3</v>
      </c>
      <c r="M5231" s="471">
        <f t="shared" si="186"/>
        <v>0.05</v>
      </c>
      <c r="N5231" s="475">
        <f t="shared" si="187"/>
        <v>210260</v>
      </c>
    </row>
    <row r="5232" spans="7:14" ht="11.25" customHeight="1" x14ac:dyDescent="0.3">
      <c r="G5232" s="470"/>
      <c r="H5232" s="470">
        <v>5225</v>
      </c>
      <c r="I5232" s="455">
        <f t="shared" ca="1" si="185"/>
        <v>-1170915334982519.3</v>
      </c>
      <c r="J5232" s="455">
        <f t="array" ref="J5232">IFERROR(INDEX('Retirement Calculator'!K:K,MATCH('Lorri 401b'!N5232,'Retirement Calculator'!A:A,0),0),0)</f>
        <v>0</v>
      </c>
      <c r="K5232" s="455">
        <f t="shared" ca="1" si="183"/>
        <v>-4878813895760.4971</v>
      </c>
      <c r="L5232" s="455">
        <f t="shared" ca="1" si="184"/>
        <v>-1175794148878279.8</v>
      </c>
      <c r="M5232" s="471">
        <f t="shared" si="186"/>
        <v>0.05</v>
      </c>
      <c r="N5232" s="475">
        <f t="shared" si="187"/>
        <v>210290</v>
      </c>
    </row>
    <row r="5233" spans="7:14" ht="11.25" customHeight="1" x14ac:dyDescent="0.3">
      <c r="G5233" s="470"/>
      <c r="H5233" s="470">
        <v>5226</v>
      </c>
      <c r="I5233" s="455">
        <f t="shared" ca="1" si="185"/>
        <v>-1175794148878279.8</v>
      </c>
      <c r="J5233" s="455">
        <f t="array" ref="J5233">IFERROR(INDEX('Retirement Calculator'!K:K,MATCH('Lorri 401b'!N5233,'Retirement Calculator'!A:A,0),0),0)</f>
        <v>0</v>
      </c>
      <c r="K5233" s="455">
        <f t="shared" ca="1" si="183"/>
        <v>-4899142286992.832</v>
      </c>
      <c r="L5233" s="455">
        <f t="shared" ca="1" si="184"/>
        <v>-1180693291165272.5</v>
      </c>
      <c r="M5233" s="471">
        <f t="shared" si="186"/>
        <v>0.05</v>
      </c>
      <c r="N5233" s="475">
        <f t="shared" si="187"/>
        <v>210321</v>
      </c>
    </row>
    <row r="5234" spans="7:14" ht="11.25" customHeight="1" x14ac:dyDescent="0.3">
      <c r="G5234" s="470"/>
      <c r="H5234" s="470">
        <v>5227</v>
      </c>
      <c r="I5234" s="455">
        <f t="shared" ca="1" si="185"/>
        <v>-1180693291165272.5</v>
      </c>
      <c r="J5234" s="455">
        <f t="array" ref="J5234">IFERROR(INDEX('Retirement Calculator'!K:K,MATCH('Lorri 401b'!N5234,'Retirement Calculator'!A:A,0),0),0)</f>
        <v>0</v>
      </c>
      <c r="K5234" s="455">
        <f t="shared" ca="1" si="183"/>
        <v>-4919555379855.3018</v>
      </c>
      <c r="L5234" s="455">
        <f t="shared" ca="1" si="184"/>
        <v>-1185612846545127.8</v>
      </c>
      <c r="M5234" s="471">
        <f t="shared" si="186"/>
        <v>0.05</v>
      </c>
      <c r="N5234" s="475">
        <f t="shared" si="187"/>
        <v>210351</v>
      </c>
    </row>
    <row r="5235" spans="7:14" ht="11.25" customHeight="1" x14ac:dyDescent="0.3">
      <c r="G5235" s="470"/>
      <c r="H5235" s="470">
        <v>5228</v>
      </c>
      <c r="I5235" s="455">
        <f t="shared" ca="1" si="185"/>
        <v>-1185612846545127.8</v>
      </c>
      <c r="J5235" s="455">
        <f t="array" ref="J5235">IFERROR(INDEX('Retirement Calculator'!K:K,MATCH('Lorri 401b'!N5235,'Retirement Calculator'!A:A,0),0),0)</f>
        <v>0</v>
      </c>
      <c r="K5235" s="455">
        <f t="shared" ca="1" si="183"/>
        <v>-4940053527271.3652</v>
      </c>
      <c r="L5235" s="455">
        <f t="shared" ca="1" si="184"/>
        <v>-1190552900072399</v>
      </c>
      <c r="M5235" s="471">
        <f t="shared" si="186"/>
        <v>0.05</v>
      </c>
      <c r="N5235" s="475">
        <f t="shared" si="187"/>
        <v>210382</v>
      </c>
    </row>
    <row r="5236" spans="7:14" ht="11.25" customHeight="1" x14ac:dyDescent="0.3">
      <c r="G5236" s="470"/>
      <c r="H5236" s="470">
        <v>5229</v>
      </c>
      <c r="I5236" s="455">
        <f t="shared" ca="1" si="185"/>
        <v>-1190552900072399</v>
      </c>
      <c r="J5236" s="455">
        <f t="array" ref="J5236">IFERROR(INDEX('Retirement Calculator'!K:K,MATCH('Lorri 401b'!N5236,'Retirement Calculator'!A:A,0),0),0)</f>
        <v>0</v>
      </c>
      <c r="K5236" s="455">
        <f t="shared" ca="1" si="183"/>
        <v>-4960637083634.9961</v>
      </c>
      <c r="L5236" s="455">
        <f t="shared" ca="1" si="184"/>
        <v>-1195513537156034</v>
      </c>
      <c r="M5236" s="471">
        <f t="shared" si="186"/>
        <v>0.05</v>
      </c>
      <c r="N5236" s="475">
        <f t="shared" si="187"/>
        <v>210413</v>
      </c>
    </row>
    <row r="5237" spans="7:14" ht="11.25" customHeight="1" x14ac:dyDescent="0.3">
      <c r="G5237" s="470"/>
      <c r="H5237" s="470">
        <v>5230</v>
      </c>
      <c r="I5237" s="455">
        <f t="shared" ca="1" si="185"/>
        <v>-1195513537156034</v>
      </c>
      <c r="J5237" s="455">
        <f t="array" ref="J5237">IFERROR(INDEX('Retirement Calculator'!K:K,MATCH('Lorri 401b'!N5237,'Retirement Calculator'!A:A,0),0),0)</f>
        <v>0</v>
      </c>
      <c r="K5237" s="455">
        <f t="shared" ca="1" si="183"/>
        <v>-4981306404816.8086</v>
      </c>
      <c r="L5237" s="455">
        <f t="shared" ca="1" si="184"/>
        <v>-1200494843560850.8</v>
      </c>
      <c r="M5237" s="471">
        <f t="shared" si="186"/>
        <v>0.05</v>
      </c>
      <c r="N5237" s="475">
        <f t="shared" si="187"/>
        <v>210442</v>
      </c>
    </row>
    <row r="5238" spans="7:14" ht="11.25" customHeight="1" x14ac:dyDescent="0.3">
      <c r="G5238" s="470"/>
      <c r="H5238" s="470">
        <v>5231</v>
      </c>
      <c r="I5238" s="455">
        <f t="shared" ca="1" si="185"/>
        <v>-1200494843560850.8</v>
      </c>
      <c r="J5238" s="455">
        <f t="array" ref="J5238">IFERROR(INDEX('Retirement Calculator'!K:K,MATCH('Lorri 401b'!N5238,'Retirement Calculator'!A:A,0),0),0)</f>
        <v>0</v>
      </c>
      <c r="K5238" s="455">
        <f t="shared" ca="1" si="183"/>
        <v>-5002061848170.2109</v>
      </c>
      <c r="L5238" s="455">
        <f t="shared" ca="1" si="184"/>
        <v>-1205496905409021</v>
      </c>
      <c r="M5238" s="471">
        <f t="shared" si="186"/>
        <v>0.05</v>
      </c>
      <c r="N5238" s="475">
        <f t="shared" si="187"/>
        <v>210473</v>
      </c>
    </row>
    <row r="5239" spans="7:14" ht="11.25" customHeight="1" x14ac:dyDescent="0.3">
      <c r="G5239" s="470"/>
      <c r="H5239" s="470">
        <v>5232</v>
      </c>
      <c r="I5239" s="455">
        <f t="shared" ca="1" si="185"/>
        <v>-1205496905409021</v>
      </c>
      <c r="J5239" s="455">
        <f t="array" ref="J5239">IFERROR(INDEX('Retirement Calculator'!K:K,MATCH('Lorri 401b'!N5239,'Retirement Calculator'!A:A,0),0),0)</f>
        <v>0</v>
      </c>
      <c r="K5239" s="455">
        <f t="shared" ca="1" si="183"/>
        <v>-5022903772537.5879</v>
      </c>
      <c r="L5239" s="455">
        <f t="shared" ca="1" si="184"/>
        <v>-1210519809181558.5</v>
      </c>
      <c r="M5239" s="471">
        <f t="shared" si="186"/>
        <v>0.05</v>
      </c>
      <c r="N5239" s="475">
        <f t="shared" si="187"/>
        <v>210503</v>
      </c>
    </row>
    <row r="5240" spans="7:14" ht="11.25" customHeight="1" x14ac:dyDescent="0.3">
      <c r="G5240" s="470"/>
      <c r="H5240" s="470">
        <v>5233</v>
      </c>
      <c r="I5240" s="455">
        <f t="shared" ca="1" si="185"/>
        <v>-1210519809181558.5</v>
      </c>
      <c r="J5240" s="455">
        <f t="array" ref="J5240">IFERROR(INDEX('Retirement Calculator'!K:K,MATCH('Lorri 401b'!N5240,'Retirement Calculator'!A:A,0),0),0)</f>
        <v>0</v>
      </c>
      <c r="K5240" s="455">
        <f t="shared" ca="1" si="183"/>
        <v>-5043832538256.4941</v>
      </c>
      <c r="L5240" s="455">
        <f t="shared" ca="1" si="184"/>
        <v>-1215563641719815</v>
      </c>
      <c r="M5240" s="471">
        <f t="shared" si="186"/>
        <v>0.05</v>
      </c>
      <c r="N5240" s="475">
        <f t="shared" si="187"/>
        <v>210534</v>
      </c>
    </row>
    <row r="5241" spans="7:14" ht="11.25" customHeight="1" x14ac:dyDescent="0.3">
      <c r="G5241" s="470"/>
      <c r="H5241" s="470">
        <v>5234</v>
      </c>
      <c r="I5241" s="455">
        <f t="shared" ca="1" si="185"/>
        <v>-1215563641719815</v>
      </c>
      <c r="J5241" s="455">
        <f t="array" ref="J5241">IFERROR(INDEX('Retirement Calculator'!K:K,MATCH('Lorri 401b'!N5241,'Retirement Calculator'!A:A,0),0),0)</f>
        <v>0</v>
      </c>
      <c r="K5241" s="455">
        <f t="shared" ca="1" si="183"/>
        <v>-5064848507165.8955</v>
      </c>
      <c r="L5241" s="455">
        <f t="shared" ca="1" si="184"/>
        <v>-1220628490226981</v>
      </c>
      <c r="M5241" s="471">
        <f t="shared" si="186"/>
        <v>0.05</v>
      </c>
      <c r="N5241" s="475">
        <f t="shared" si="187"/>
        <v>210564</v>
      </c>
    </row>
    <row r="5242" spans="7:14" ht="11.25" customHeight="1" x14ac:dyDescent="0.3">
      <c r="G5242" s="470"/>
      <c r="H5242" s="470">
        <v>5235</v>
      </c>
      <c r="I5242" s="455">
        <f t="shared" ca="1" si="185"/>
        <v>-1220628490226981</v>
      </c>
      <c r="J5242" s="455">
        <f t="array" ref="J5242">IFERROR(INDEX('Retirement Calculator'!K:K,MATCH('Lorri 401b'!N5242,'Retirement Calculator'!A:A,0),0),0)</f>
        <v>0</v>
      </c>
      <c r="K5242" s="455">
        <f t="shared" ca="1" si="183"/>
        <v>-5085952042612.4209</v>
      </c>
      <c r="L5242" s="455">
        <f t="shared" ca="1" si="184"/>
        <v>-1225714442269593.5</v>
      </c>
      <c r="M5242" s="471">
        <f t="shared" si="186"/>
        <v>0.05</v>
      </c>
      <c r="N5242" s="475">
        <f t="shared" si="187"/>
        <v>210595</v>
      </c>
    </row>
    <row r="5243" spans="7:14" ht="11.25" customHeight="1" x14ac:dyDescent="0.3">
      <c r="G5243" s="470"/>
      <c r="H5243" s="470">
        <v>5236</v>
      </c>
      <c r="I5243" s="455">
        <f t="shared" ca="1" si="185"/>
        <v>-1225714442269593.5</v>
      </c>
      <c r="J5243" s="455">
        <f t="array" ref="J5243">IFERROR(INDEX('Retirement Calculator'!K:K,MATCH('Lorri 401b'!N5243,'Retirement Calculator'!A:A,0),0),0)</f>
        <v>0</v>
      </c>
      <c r="K5243" s="455">
        <f t="shared" ca="1" si="183"/>
        <v>-5107143509456.6396</v>
      </c>
      <c r="L5243" s="455">
        <f t="shared" ca="1" si="184"/>
        <v>-1230821585779050.3</v>
      </c>
      <c r="M5243" s="471">
        <f t="shared" si="186"/>
        <v>0.05</v>
      </c>
      <c r="N5243" s="475">
        <f t="shared" si="187"/>
        <v>210626</v>
      </c>
    </row>
    <row r="5244" spans="7:14" ht="11.25" customHeight="1" x14ac:dyDescent="0.3">
      <c r="G5244" s="470"/>
      <c r="H5244" s="470">
        <v>5237</v>
      </c>
      <c r="I5244" s="455">
        <f t="shared" ca="1" si="185"/>
        <v>-1230821585779050.3</v>
      </c>
      <c r="J5244" s="455">
        <f t="array" ref="J5244">IFERROR(INDEX('Retirement Calculator'!K:K,MATCH('Lorri 401b'!N5244,'Retirement Calculator'!A:A,0),0),0)</f>
        <v>0</v>
      </c>
      <c r="K5244" s="455">
        <f t="shared" ca="1" si="183"/>
        <v>-5128423274079.376</v>
      </c>
      <c r="L5244" s="455">
        <f t="shared" ca="1" si="184"/>
        <v>-1235950009053129.8</v>
      </c>
      <c r="M5244" s="471">
        <f t="shared" si="186"/>
        <v>0.05</v>
      </c>
      <c r="N5244" s="475">
        <f t="shared" si="187"/>
        <v>210656</v>
      </c>
    </row>
    <row r="5245" spans="7:14" ht="11.25" customHeight="1" x14ac:dyDescent="0.3">
      <c r="G5245" s="470"/>
      <c r="H5245" s="470">
        <v>5238</v>
      </c>
      <c r="I5245" s="455">
        <f t="shared" ca="1" si="185"/>
        <v>-1235950009053129.8</v>
      </c>
      <c r="J5245" s="455">
        <f t="array" ref="J5245">IFERROR(INDEX('Retirement Calculator'!K:K,MATCH('Lorri 401b'!N5245,'Retirement Calculator'!A:A,0),0),0)</f>
        <v>0</v>
      </c>
      <c r="K5245" s="455">
        <f t="shared" ca="1" si="183"/>
        <v>-5149791704388.041</v>
      </c>
      <c r="L5245" s="455">
        <f t="shared" ca="1" si="184"/>
        <v>-1241099800757517.8</v>
      </c>
      <c r="M5245" s="471">
        <f t="shared" si="186"/>
        <v>0.05</v>
      </c>
      <c r="N5245" s="475">
        <f t="shared" si="187"/>
        <v>210687</v>
      </c>
    </row>
    <row r="5246" spans="7:14" ht="11.25" customHeight="1" x14ac:dyDescent="0.3">
      <c r="G5246" s="470"/>
      <c r="H5246" s="470">
        <v>5239</v>
      </c>
      <c r="I5246" s="455">
        <f t="shared" ca="1" si="185"/>
        <v>-1241099800757517.8</v>
      </c>
      <c r="J5246" s="455">
        <f t="array" ref="J5246">IFERROR(INDEX('Retirement Calculator'!K:K,MATCH('Lorri 401b'!N5246,'Retirement Calculator'!A:A,0),0),0)</f>
        <v>0</v>
      </c>
      <c r="K5246" s="455">
        <f t="shared" ca="1" si="183"/>
        <v>-5171249169822.9902</v>
      </c>
      <c r="L5246" s="455">
        <f t="shared" ca="1" si="184"/>
        <v>-1246271049927340.8</v>
      </c>
      <c r="M5246" s="471">
        <f t="shared" si="186"/>
        <v>0.05</v>
      </c>
      <c r="N5246" s="475">
        <f t="shared" si="187"/>
        <v>210717</v>
      </c>
    </row>
    <row r="5247" spans="7:14" ht="11.25" customHeight="1" x14ac:dyDescent="0.3">
      <c r="G5247" s="470"/>
      <c r="H5247" s="470">
        <v>5240</v>
      </c>
      <c r="I5247" s="455">
        <f t="shared" ca="1" si="185"/>
        <v>-1246271049927340.8</v>
      </c>
      <c r="J5247" s="455">
        <f t="array" ref="J5247">IFERROR(INDEX('Retirement Calculator'!K:K,MATCH('Lorri 401b'!N5247,'Retirement Calculator'!A:A,0),0),0)</f>
        <v>0</v>
      </c>
      <c r="K5247" s="455">
        <f t="shared" ca="1" si="183"/>
        <v>-5192796041363.9199</v>
      </c>
      <c r="L5247" s="455">
        <f t="shared" ca="1" si="184"/>
        <v>-1251463845968704.8</v>
      </c>
      <c r="M5247" s="471">
        <f t="shared" si="186"/>
        <v>0.05</v>
      </c>
      <c r="N5247" s="475">
        <f t="shared" si="187"/>
        <v>210748</v>
      </c>
    </row>
    <row r="5248" spans="7:14" ht="11.25" customHeight="1" x14ac:dyDescent="0.3">
      <c r="G5248" s="470"/>
      <c r="H5248" s="470">
        <v>5241</v>
      </c>
      <c r="I5248" s="455">
        <f t="shared" ca="1" si="185"/>
        <v>-1251463845968704.8</v>
      </c>
      <c r="J5248" s="455">
        <f t="array" ref="J5248">IFERROR(INDEX('Retirement Calculator'!K:K,MATCH('Lorri 401b'!N5248,'Retirement Calculator'!A:A,0),0),0)</f>
        <v>0</v>
      </c>
      <c r="K5248" s="455">
        <f t="shared" ca="1" si="183"/>
        <v>-5214432691536.2695</v>
      </c>
      <c r="L5248" s="455">
        <f t="shared" ca="1" si="184"/>
        <v>-1256678278660241</v>
      </c>
      <c r="M5248" s="471">
        <f t="shared" si="186"/>
        <v>0.05</v>
      </c>
      <c r="N5248" s="475">
        <f t="shared" si="187"/>
        <v>210779</v>
      </c>
    </row>
    <row r="5249" spans="7:14" ht="11.25" customHeight="1" x14ac:dyDescent="0.3">
      <c r="G5249" s="470"/>
      <c r="H5249" s="470">
        <v>5242</v>
      </c>
      <c r="I5249" s="455">
        <f t="shared" ca="1" si="185"/>
        <v>-1256678278660241</v>
      </c>
      <c r="J5249" s="455">
        <f t="array" ref="J5249">IFERROR(INDEX('Retirement Calculator'!K:K,MATCH('Lorri 401b'!N5249,'Retirement Calculator'!A:A,0),0),0)</f>
        <v>0</v>
      </c>
      <c r="K5249" s="455">
        <f t="shared" ca="1" si="183"/>
        <v>-5236159494417.6709</v>
      </c>
      <c r="L5249" s="455">
        <f t="shared" ca="1" si="184"/>
        <v>-1261914438154658.8</v>
      </c>
      <c r="M5249" s="471">
        <f t="shared" si="186"/>
        <v>0.05</v>
      </c>
      <c r="N5249" s="475">
        <f t="shared" si="187"/>
        <v>210807</v>
      </c>
    </row>
    <row r="5250" spans="7:14" ht="11.25" customHeight="1" x14ac:dyDescent="0.3">
      <c r="G5250" s="470"/>
      <c r="H5250" s="470">
        <v>5243</v>
      </c>
      <c r="I5250" s="455">
        <f t="shared" ca="1" si="185"/>
        <v>-1261914438154658.8</v>
      </c>
      <c r="J5250" s="455">
        <f t="array" ref="J5250">IFERROR(INDEX('Retirement Calculator'!K:K,MATCH('Lorri 401b'!N5250,'Retirement Calculator'!A:A,0),0),0)</f>
        <v>0</v>
      </c>
      <c r="K5250" s="455">
        <f t="shared" ca="1" si="183"/>
        <v>-5257976825644.4111</v>
      </c>
      <c r="L5250" s="455">
        <f t="shared" ca="1" si="184"/>
        <v>-1267172414980303.3</v>
      </c>
      <c r="M5250" s="471">
        <f t="shared" si="186"/>
        <v>0.05</v>
      </c>
      <c r="N5250" s="475">
        <f t="shared" si="187"/>
        <v>210838</v>
      </c>
    </row>
    <row r="5251" spans="7:14" ht="11.25" customHeight="1" x14ac:dyDescent="0.3">
      <c r="G5251" s="470"/>
      <c r="H5251" s="470">
        <v>5244</v>
      </c>
      <c r="I5251" s="455">
        <f t="shared" ca="1" si="185"/>
        <v>-1267172414980303.3</v>
      </c>
      <c r="J5251" s="455">
        <f t="array" ref="J5251">IFERROR(INDEX('Retirement Calculator'!K:K,MATCH('Lorri 401b'!N5251,'Retirement Calculator'!A:A,0),0),0)</f>
        <v>0</v>
      </c>
      <c r="K5251" s="455">
        <f t="shared" ca="1" si="183"/>
        <v>-5279885062417.9297</v>
      </c>
      <c r="L5251" s="455">
        <f t="shared" ca="1" si="184"/>
        <v>-1272452300042721.3</v>
      </c>
      <c r="M5251" s="471">
        <f t="shared" si="186"/>
        <v>0.05</v>
      </c>
      <c r="N5251" s="475">
        <f t="shared" si="187"/>
        <v>210868</v>
      </c>
    </row>
    <row r="5252" spans="7:14" ht="11.25" customHeight="1" x14ac:dyDescent="0.3">
      <c r="G5252" s="470"/>
      <c r="H5252" s="470">
        <v>5245</v>
      </c>
      <c r="I5252" s="455">
        <f t="shared" ca="1" si="185"/>
        <v>-1272452300042721.3</v>
      </c>
      <c r="J5252" s="455">
        <f t="array" ref="J5252">IFERROR(INDEX('Retirement Calculator'!K:K,MATCH('Lorri 401b'!N5252,'Retirement Calculator'!A:A,0),0),0)</f>
        <v>0</v>
      </c>
      <c r="K5252" s="455">
        <f t="shared" ca="1" si="183"/>
        <v>-5301884583511.3389</v>
      </c>
      <c r="L5252" s="455">
        <f t="shared" ca="1" si="184"/>
        <v>-1277754184626232.5</v>
      </c>
      <c r="M5252" s="471">
        <f t="shared" si="186"/>
        <v>0.05</v>
      </c>
      <c r="N5252" s="475">
        <f t="shared" si="187"/>
        <v>210899</v>
      </c>
    </row>
    <row r="5253" spans="7:14" ht="11.25" customHeight="1" x14ac:dyDescent="0.3">
      <c r="G5253" s="470"/>
      <c r="H5253" s="470">
        <v>5246</v>
      </c>
      <c r="I5253" s="455">
        <f t="shared" ca="1" si="185"/>
        <v>-1277754184626232.5</v>
      </c>
      <c r="J5253" s="455">
        <f t="array" ref="J5253">IFERROR(INDEX('Retirement Calculator'!K:K,MATCH('Lorri 401b'!N5253,'Retirement Calculator'!A:A,0),0),0)</f>
        <v>0</v>
      </c>
      <c r="K5253" s="455">
        <f t="shared" ca="1" si="183"/>
        <v>-5323975769275.9688</v>
      </c>
      <c r="L5253" s="455">
        <f t="shared" ca="1" si="184"/>
        <v>-1283078160395508.5</v>
      </c>
      <c r="M5253" s="471">
        <f t="shared" si="186"/>
        <v>0.05</v>
      </c>
      <c r="N5253" s="475">
        <f t="shared" si="187"/>
        <v>210929</v>
      </c>
    </row>
    <row r="5254" spans="7:14" ht="11.25" customHeight="1" x14ac:dyDescent="0.3">
      <c r="G5254" s="470"/>
      <c r="H5254" s="470">
        <v>5247</v>
      </c>
      <c r="I5254" s="455">
        <f t="shared" ca="1" si="185"/>
        <v>-1283078160395508.5</v>
      </c>
      <c r="J5254" s="455">
        <f t="array" ref="J5254">IFERROR(INDEX('Retirement Calculator'!K:K,MATCH('Lorri 401b'!N5254,'Retirement Calculator'!A:A,0),0),0)</f>
        <v>0</v>
      </c>
      <c r="K5254" s="455">
        <f t="shared" ca="1" si="183"/>
        <v>-5346159001647.9521</v>
      </c>
      <c r="L5254" s="455">
        <f t="shared" ca="1" si="184"/>
        <v>-1288424319397156.5</v>
      </c>
      <c r="M5254" s="471">
        <f t="shared" si="186"/>
        <v>0.05</v>
      </c>
      <c r="N5254" s="475">
        <f t="shared" si="187"/>
        <v>210960</v>
      </c>
    </row>
    <row r="5255" spans="7:14" ht="11.25" customHeight="1" x14ac:dyDescent="0.3">
      <c r="G5255" s="470"/>
      <c r="H5255" s="470">
        <v>5248</v>
      </c>
      <c r="I5255" s="455">
        <f t="shared" ca="1" si="185"/>
        <v>-1288424319397156.5</v>
      </c>
      <c r="J5255" s="455">
        <f t="array" ref="J5255">IFERROR(INDEX('Retirement Calculator'!K:K,MATCH('Lorri 401b'!N5255,'Retirement Calculator'!A:A,0),0),0)</f>
        <v>0</v>
      </c>
      <c r="K5255" s="455">
        <f t="shared" ca="1" si="183"/>
        <v>-5368434664154.8184</v>
      </c>
      <c r="L5255" s="455">
        <f t="shared" ca="1" si="184"/>
        <v>-1293792754061311.3</v>
      </c>
      <c r="M5255" s="471">
        <f t="shared" si="186"/>
        <v>0.05</v>
      </c>
      <c r="N5255" s="475">
        <f t="shared" si="187"/>
        <v>210991</v>
      </c>
    </row>
    <row r="5256" spans="7:14" ht="11.25" customHeight="1" x14ac:dyDescent="0.3">
      <c r="G5256" s="470"/>
      <c r="H5256" s="470">
        <v>5249</v>
      </c>
      <c r="I5256" s="455">
        <f t="shared" ca="1" si="185"/>
        <v>-1293792754061311.3</v>
      </c>
      <c r="J5256" s="455">
        <f t="array" ref="J5256">IFERROR(INDEX('Retirement Calculator'!K:K,MATCH('Lorri 401b'!N5256,'Retirement Calculator'!A:A,0),0),0)</f>
        <v>0</v>
      </c>
      <c r="K5256" s="455">
        <f t="shared" ca="1" si="183"/>
        <v>-5390803141922.1299</v>
      </c>
      <c r="L5256" s="455">
        <f t="shared" ca="1" si="184"/>
        <v>-1299183557203233.5</v>
      </c>
      <c r="M5256" s="471">
        <f t="shared" si="186"/>
        <v>0.05</v>
      </c>
      <c r="N5256" s="475">
        <f t="shared" si="187"/>
        <v>211021</v>
      </c>
    </row>
    <row r="5257" spans="7:14" ht="11.25" customHeight="1" x14ac:dyDescent="0.3">
      <c r="G5257" s="470"/>
      <c r="H5257" s="470">
        <v>5250</v>
      </c>
      <c r="I5257" s="455">
        <f t="shared" ca="1" si="185"/>
        <v>-1299183557203233.5</v>
      </c>
      <c r="J5257" s="455">
        <f t="array" ref="J5257">IFERROR(INDEX('Retirement Calculator'!K:K,MATCH('Lorri 401b'!N5257,'Retirement Calculator'!A:A,0),0),0)</f>
        <v>0</v>
      </c>
      <c r="K5257" s="455">
        <f t="shared" ca="1" si="183"/>
        <v>-5413264821680.1396</v>
      </c>
      <c r="L5257" s="455">
        <f t="shared" ca="1" si="184"/>
        <v>-1304596822024913.8</v>
      </c>
      <c r="M5257" s="471">
        <f t="shared" si="186"/>
        <v>0.05</v>
      </c>
      <c r="N5257" s="475">
        <f t="shared" si="187"/>
        <v>211052</v>
      </c>
    </row>
    <row r="5258" spans="7:14" ht="11.25" customHeight="1" x14ac:dyDescent="0.3">
      <c r="G5258" s="470"/>
      <c r="H5258" s="470">
        <v>5251</v>
      </c>
      <c r="I5258" s="455">
        <f t="shared" ca="1" si="185"/>
        <v>-1304596822024913.8</v>
      </c>
      <c r="J5258" s="455">
        <f t="array" ref="J5258">IFERROR(INDEX('Retirement Calculator'!K:K,MATCH('Lorri 401b'!N5258,'Retirement Calculator'!A:A,0),0),0)</f>
        <v>0</v>
      </c>
      <c r="K5258" s="455">
        <f t="shared" ca="1" si="183"/>
        <v>-5435820091770.4736</v>
      </c>
      <c r="L5258" s="455">
        <f t="shared" ca="1" si="184"/>
        <v>-1310032642116684.3</v>
      </c>
      <c r="M5258" s="471">
        <f t="shared" si="186"/>
        <v>0.05</v>
      </c>
      <c r="N5258" s="475">
        <f t="shared" si="187"/>
        <v>211082</v>
      </c>
    </row>
    <row r="5259" spans="7:14" ht="11.25" customHeight="1" x14ac:dyDescent="0.3">
      <c r="G5259" s="470"/>
      <c r="H5259" s="470">
        <v>5252</v>
      </c>
      <c r="I5259" s="455">
        <f t="shared" ca="1" si="185"/>
        <v>-1310032642116684.3</v>
      </c>
      <c r="J5259" s="455">
        <f t="array" ref="J5259">IFERROR(INDEX('Retirement Calculator'!K:K,MATCH('Lorri 401b'!N5259,'Retirement Calculator'!A:A,0),0),0)</f>
        <v>0</v>
      </c>
      <c r="K5259" s="455">
        <f t="shared" ca="1" si="183"/>
        <v>-5458469342152.8506</v>
      </c>
      <c r="L5259" s="455">
        <f t="shared" ca="1" si="184"/>
        <v>-1315491111458837</v>
      </c>
      <c r="M5259" s="471">
        <f t="shared" si="186"/>
        <v>0.05</v>
      </c>
      <c r="N5259" s="475">
        <f t="shared" si="187"/>
        <v>211113</v>
      </c>
    </row>
    <row r="5260" spans="7:14" ht="11.25" customHeight="1" x14ac:dyDescent="0.3">
      <c r="G5260" s="470"/>
      <c r="H5260" s="470">
        <v>5253</v>
      </c>
      <c r="I5260" s="455">
        <f t="shared" ca="1" si="185"/>
        <v>-1315491111458837</v>
      </c>
      <c r="J5260" s="455">
        <f t="array" ref="J5260">IFERROR(INDEX('Retirement Calculator'!K:K,MATCH('Lorri 401b'!N5260,'Retirement Calculator'!A:A,0),0),0)</f>
        <v>0</v>
      </c>
      <c r="K5260" s="455">
        <f t="shared" ca="1" si="183"/>
        <v>-5481212964411.8203</v>
      </c>
      <c r="L5260" s="455">
        <f t="shared" ca="1" si="184"/>
        <v>-1320972324423248.8</v>
      </c>
      <c r="M5260" s="471">
        <f t="shared" si="186"/>
        <v>0.05</v>
      </c>
      <c r="N5260" s="475">
        <f t="shared" si="187"/>
        <v>211144</v>
      </c>
    </row>
    <row r="5261" spans="7:14" ht="11.25" customHeight="1" x14ac:dyDescent="0.3">
      <c r="G5261" s="470"/>
      <c r="H5261" s="470">
        <v>5254</v>
      </c>
      <c r="I5261" s="455">
        <f t="shared" ca="1" si="185"/>
        <v>-1320972324423248.8</v>
      </c>
      <c r="J5261" s="455">
        <f t="array" ref="J5261">IFERROR(INDEX('Retirement Calculator'!K:K,MATCH('Lorri 401b'!N5261,'Retirement Calculator'!A:A,0),0),0)</f>
        <v>0</v>
      </c>
      <c r="K5261" s="455">
        <f t="shared" ca="1" si="183"/>
        <v>-5504051351763.5361</v>
      </c>
      <c r="L5261" s="455">
        <f t="shared" ca="1" si="184"/>
        <v>-1326476375775012.3</v>
      </c>
      <c r="M5261" s="471">
        <f t="shared" si="186"/>
        <v>0.05</v>
      </c>
      <c r="N5261" s="475">
        <f t="shared" si="187"/>
        <v>211172</v>
      </c>
    </row>
    <row r="5262" spans="7:14" ht="11.25" customHeight="1" x14ac:dyDescent="0.3">
      <c r="G5262" s="470"/>
      <c r="H5262" s="470">
        <v>5255</v>
      </c>
      <c r="I5262" s="455">
        <f t="shared" ca="1" si="185"/>
        <v>-1326476375775012.3</v>
      </c>
      <c r="J5262" s="455">
        <f t="array" ref="J5262">IFERROR(INDEX('Retirement Calculator'!K:K,MATCH('Lorri 401b'!N5262,'Retirement Calculator'!A:A,0),0),0)</f>
        <v>0</v>
      </c>
      <c r="K5262" s="455">
        <f t="shared" ca="1" si="183"/>
        <v>-5526984899062.5508</v>
      </c>
      <c r="L5262" s="455">
        <f t="shared" ca="1" si="184"/>
        <v>-1332003360674074.8</v>
      </c>
      <c r="M5262" s="471">
        <f t="shared" si="186"/>
        <v>0.05</v>
      </c>
      <c r="N5262" s="475">
        <f t="shared" si="187"/>
        <v>211203</v>
      </c>
    </row>
    <row r="5263" spans="7:14" ht="11.25" customHeight="1" x14ac:dyDescent="0.3">
      <c r="G5263" s="470"/>
      <c r="H5263" s="470">
        <v>5256</v>
      </c>
      <c r="I5263" s="455">
        <f t="shared" ca="1" si="185"/>
        <v>-1332003360674074.8</v>
      </c>
      <c r="J5263" s="455">
        <f t="array" ref="J5263">IFERROR(INDEX('Retirement Calculator'!K:K,MATCH('Lorri 401b'!N5263,'Retirement Calculator'!A:A,0),0),0)</f>
        <v>0</v>
      </c>
      <c r="K5263" s="455">
        <f t="shared" ca="1" si="183"/>
        <v>-5550014002808.6445</v>
      </c>
      <c r="L5263" s="455">
        <f t="shared" ca="1" si="184"/>
        <v>-1337553374676883.5</v>
      </c>
      <c r="M5263" s="471">
        <f t="shared" si="186"/>
        <v>0.05</v>
      </c>
      <c r="N5263" s="475">
        <f t="shared" si="187"/>
        <v>211233</v>
      </c>
    </row>
    <row r="5264" spans="7:14" ht="11.25" customHeight="1" x14ac:dyDescent="0.3">
      <c r="G5264" s="470"/>
      <c r="H5264" s="470">
        <v>5257</v>
      </c>
      <c r="I5264" s="455">
        <f t="shared" ca="1" si="185"/>
        <v>-1337553374676883.5</v>
      </c>
      <c r="J5264" s="455">
        <f t="array" ref="J5264">IFERROR(INDEX('Retirement Calculator'!K:K,MATCH('Lorri 401b'!N5264,'Retirement Calculator'!A:A,0),0),0)</f>
        <v>0</v>
      </c>
      <c r="K5264" s="455">
        <f t="shared" ca="1" si="183"/>
        <v>-5573139061153.6816</v>
      </c>
      <c r="L5264" s="455">
        <f t="shared" ca="1" si="184"/>
        <v>-1343126513738037.3</v>
      </c>
      <c r="M5264" s="471">
        <f t="shared" si="186"/>
        <v>0.05</v>
      </c>
      <c r="N5264" s="475">
        <f t="shared" si="187"/>
        <v>211264</v>
      </c>
    </row>
    <row r="5265" spans="7:14" ht="11.25" customHeight="1" x14ac:dyDescent="0.3">
      <c r="G5265" s="470"/>
      <c r="H5265" s="470">
        <v>5258</v>
      </c>
      <c r="I5265" s="455">
        <f t="shared" ca="1" si="185"/>
        <v>-1343126513738037.3</v>
      </c>
      <c r="J5265" s="455">
        <f t="array" ref="J5265">IFERROR(INDEX('Retirement Calculator'!K:K,MATCH('Lorri 401b'!N5265,'Retirement Calculator'!A:A,0),0),0)</f>
        <v>0</v>
      </c>
      <c r="K5265" s="455">
        <f t="shared" ca="1" si="183"/>
        <v>-5596360473908.4883</v>
      </c>
      <c r="L5265" s="455">
        <f t="shared" ca="1" si="184"/>
        <v>-1348722874211945.8</v>
      </c>
      <c r="M5265" s="471">
        <f t="shared" si="186"/>
        <v>0.05</v>
      </c>
      <c r="N5265" s="475">
        <f t="shared" si="187"/>
        <v>211294</v>
      </c>
    </row>
    <row r="5266" spans="7:14" ht="11.25" customHeight="1" x14ac:dyDescent="0.3">
      <c r="G5266" s="470"/>
      <c r="H5266" s="470">
        <v>5259</v>
      </c>
      <c r="I5266" s="455">
        <f t="shared" ca="1" si="185"/>
        <v>-1348722874211945.8</v>
      </c>
      <c r="J5266" s="455">
        <f t="array" ref="J5266">IFERROR(INDEX('Retirement Calculator'!K:K,MATCH('Lorri 401b'!N5266,'Retirement Calculator'!A:A,0),0),0)</f>
        <v>0</v>
      </c>
      <c r="K5266" s="455">
        <f t="shared" ca="1" si="183"/>
        <v>-5619678642549.7734</v>
      </c>
      <c r="L5266" s="455">
        <f t="shared" ca="1" si="184"/>
        <v>-1354342552854495.5</v>
      </c>
      <c r="M5266" s="471">
        <f t="shared" si="186"/>
        <v>0.05</v>
      </c>
      <c r="N5266" s="475">
        <f t="shared" si="187"/>
        <v>211325</v>
      </c>
    </row>
    <row r="5267" spans="7:14" ht="11.25" customHeight="1" x14ac:dyDescent="0.3">
      <c r="G5267" s="470"/>
      <c r="H5267" s="470">
        <v>5260</v>
      </c>
      <c r="I5267" s="455">
        <f t="shared" ca="1" si="185"/>
        <v>-1354342552854495.5</v>
      </c>
      <c r="J5267" s="455">
        <f t="array" ref="J5267">IFERROR(INDEX('Retirement Calculator'!K:K,MATCH('Lorri 401b'!N5267,'Retirement Calculator'!A:A,0),0),0)</f>
        <v>0</v>
      </c>
      <c r="K5267" s="455">
        <f t="shared" ca="1" si="183"/>
        <v>-5643093970227.0645</v>
      </c>
      <c r="L5267" s="455">
        <f t="shared" ca="1" si="184"/>
        <v>-1359985646824722.5</v>
      </c>
      <c r="M5267" s="471">
        <f t="shared" si="186"/>
        <v>0.05</v>
      </c>
      <c r="N5267" s="475">
        <f t="shared" si="187"/>
        <v>211356</v>
      </c>
    </row>
    <row r="5268" spans="7:14" ht="11.25" customHeight="1" x14ac:dyDescent="0.3">
      <c r="G5268" s="470"/>
      <c r="H5268" s="470">
        <v>5261</v>
      </c>
      <c r="I5268" s="455">
        <f t="shared" ca="1" si="185"/>
        <v>-1359985646824722.5</v>
      </c>
      <c r="J5268" s="455">
        <f t="array" ref="J5268">IFERROR(INDEX('Retirement Calculator'!K:K,MATCH('Lorri 401b'!N5268,'Retirement Calculator'!A:A,0),0),0)</f>
        <v>0</v>
      </c>
      <c r="K5268" s="455">
        <f t="shared" ca="1" si="183"/>
        <v>-5666606861769.6768</v>
      </c>
      <c r="L5268" s="455">
        <f t="shared" ca="1" si="184"/>
        <v>-1365652253686492.3</v>
      </c>
      <c r="M5268" s="471">
        <f t="shared" si="186"/>
        <v>0.05</v>
      </c>
      <c r="N5268" s="475">
        <f t="shared" si="187"/>
        <v>211386</v>
      </c>
    </row>
    <row r="5269" spans="7:14" ht="11.25" customHeight="1" x14ac:dyDescent="0.3">
      <c r="G5269" s="470"/>
      <c r="H5269" s="470">
        <v>5262</v>
      </c>
      <c r="I5269" s="455">
        <f t="shared" ca="1" si="185"/>
        <v>-1365652253686492.3</v>
      </c>
      <c r="J5269" s="455">
        <f t="array" ref="J5269">IFERROR(INDEX('Retirement Calculator'!K:K,MATCH('Lorri 401b'!N5269,'Retirement Calculator'!A:A,0),0),0)</f>
        <v>0</v>
      </c>
      <c r="K5269" s="455">
        <f t="shared" ca="1" si="183"/>
        <v>-5690217723693.7178</v>
      </c>
      <c r="L5269" s="455">
        <f t="shared" ca="1" si="184"/>
        <v>-1371342471410186</v>
      </c>
      <c r="M5269" s="471">
        <f t="shared" si="186"/>
        <v>0.05</v>
      </c>
      <c r="N5269" s="475">
        <f t="shared" si="187"/>
        <v>211417</v>
      </c>
    </row>
    <row r="5270" spans="7:14" ht="11.25" customHeight="1" x14ac:dyDescent="0.3">
      <c r="G5270" s="470"/>
      <c r="H5270" s="470">
        <v>5263</v>
      </c>
      <c r="I5270" s="455">
        <f t="shared" ca="1" si="185"/>
        <v>-1371342471410186</v>
      </c>
      <c r="J5270" s="455">
        <f t="array" ref="J5270">IFERROR(INDEX('Retirement Calculator'!K:K,MATCH('Lorri 401b'!N5270,'Retirement Calculator'!A:A,0),0),0)</f>
        <v>0</v>
      </c>
      <c r="K5270" s="455">
        <f t="shared" ca="1" si="183"/>
        <v>-5713926964209.1084</v>
      </c>
      <c r="L5270" s="455">
        <f t="shared" ca="1" si="184"/>
        <v>-1377056398374395</v>
      </c>
      <c r="M5270" s="471">
        <f t="shared" si="186"/>
        <v>0.05</v>
      </c>
      <c r="N5270" s="475">
        <f t="shared" si="187"/>
        <v>211447</v>
      </c>
    </row>
    <row r="5271" spans="7:14" ht="11.25" customHeight="1" x14ac:dyDescent="0.3">
      <c r="G5271" s="470"/>
      <c r="H5271" s="470">
        <v>5264</v>
      </c>
      <c r="I5271" s="455">
        <f t="shared" ca="1" si="185"/>
        <v>-1377056398374395</v>
      </c>
      <c r="J5271" s="455">
        <f t="array" ref="J5271">IFERROR(INDEX('Retirement Calculator'!K:K,MATCH('Lorri 401b'!N5271,'Retirement Calculator'!A:A,0),0),0)</f>
        <v>0</v>
      </c>
      <c r="K5271" s="455">
        <f t="shared" ca="1" si="183"/>
        <v>-5737734993226.6455</v>
      </c>
      <c r="L5271" s="455">
        <f t="shared" ca="1" si="184"/>
        <v>-1382794133367621.8</v>
      </c>
      <c r="M5271" s="471">
        <f t="shared" si="186"/>
        <v>0.05</v>
      </c>
      <c r="N5271" s="475">
        <f t="shared" si="187"/>
        <v>211478</v>
      </c>
    </row>
    <row r="5272" spans="7:14" ht="11.25" customHeight="1" x14ac:dyDescent="0.3">
      <c r="G5272" s="470"/>
      <c r="H5272" s="470">
        <v>5265</v>
      </c>
      <c r="I5272" s="455">
        <f t="shared" ca="1" si="185"/>
        <v>-1382794133367621.8</v>
      </c>
      <c r="J5272" s="455">
        <f t="array" ref="J5272">IFERROR(INDEX('Retirement Calculator'!K:K,MATCH('Lorri 401b'!N5272,'Retirement Calculator'!A:A,0),0),0)</f>
        <v>0</v>
      </c>
      <c r="K5272" s="455">
        <f t="shared" ca="1" si="183"/>
        <v>-5761642222365.0908</v>
      </c>
      <c r="L5272" s="455">
        <f t="shared" ca="1" si="184"/>
        <v>-1388555775589986.8</v>
      </c>
      <c r="M5272" s="471">
        <f t="shared" si="186"/>
        <v>0.05</v>
      </c>
      <c r="N5272" s="475">
        <f t="shared" si="187"/>
        <v>211509</v>
      </c>
    </row>
    <row r="5273" spans="7:14" ht="11.25" customHeight="1" x14ac:dyDescent="0.3">
      <c r="G5273" s="470"/>
      <c r="H5273" s="470">
        <v>5266</v>
      </c>
      <c r="I5273" s="455">
        <f t="shared" ca="1" si="185"/>
        <v>-1388555775589986.8</v>
      </c>
      <c r="J5273" s="455">
        <f t="array" ref="J5273">IFERROR(INDEX('Retirement Calculator'!K:K,MATCH('Lorri 401b'!N5273,'Retirement Calculator'!A:A,0),0),0)</f>
        <v>0</v>
      </c>
      <c r="K5273" s="455">
        <f t="shared" ca="1" si="183"/>
        <v>-5785649064958.2783</v>
      </c>
      <c r="L5273" s="455">
        <f t="shared" ca="1" si="184"/>
        <v>-1394341424654945</v>
      </c>
      <c r="M5273" s="471">
        <f t="shared" si="186"/>
        <v>0.05</v>
      </c>
      <c r="N5273" s="475">
        <f t="shared" si="187"/>
        <v>211537</v>
      </c>
    </row>
    <row r="5274" spans="7:14" ht="11.25" customHeight="1" x14ac:dyDescent="0.3">
      <c r="G5274" s="470"/>
      <c r="H5274" s="470">
        <v>5267</v>
      </c>
      <c r="I5274" s="455">
        <f t="shared" ca="1" si="185"/>
        <v>-1394341424654945</v>
      </c>
      <c r="J5274" s="455">
        <f t="array" ref="J5274">IFERROR(INDEX('Retirement Calculator'!K:K,MATCH('Lorri 401b'!N5274,'Retirement Calculator'!A:A,0),0),0)</f>
        <v>0</v>
      </c>
      <c r="K5274" s="455">
        <f t="shared" ca="1" si="183"/>
        <v>-5809755936062.2705</v>
      </c>
      <c r="L5274" s="455">
        <f t="shared" ca="1" si="184"/>
        <v>-1400151180591007.3</v>
      </c>
      <c r="M5274" s="471">
        <f t="shared" si="186"/>
        <v>0.05</v>
      </c>
      <c r="N5274" s="475">
        <f t="shared" si="187"/>
        <v>211568</v>
      </c>
    </row>
    <row r="5275" spans="7:14" ht="11.25" customHeight="1" x14ac:dyDescent="0.3">
      <c r="G5275" s="470"/>
      <c r="H5275" s="470">
        <v>5268</v>
      </c>
      <c r="I5275" s="455">
        <f t="shared" ca="1" si="185"/>
        <v>-1400151180591007.3</v>
      </c>
      <c r="J5275" s="455">
        <f t="array" ref="J5275">IFERROR(INDEX('Retirement Calculator'!K:K,MATCH('Lorri 401b'!N5275,'Retirement Calculator'!A:A,0),0),0)</f>
        <v>0</v>
      </c>
      <c r="K5275" s="455">
        <f t="shared" ca="1" si="183"/>
        <v>-5833963252462.5303</v>
      </c>
      <c r="L5275" s="455">
        <f t="shared" ca="1" si="184"/>
        <v>-1405985143843469.8</v>
      </c>
      <c r="M5275" s="471">
        <f t="shared" si="186"/>
        <v>0.05</v>
      </c>
      <c r="N5275" s="475">
        <f t="shared" si="187"/>
        <v>211598</v>
      </c>
    </row>
    <row r="5276" spans="7:14" ht="11.25" customHeight="1" x14ac:dyDescent="0.3">
      <c r="G5276" s="470"/>
      <c r="H5276" s="470">
        <v>5269</v>
      </c>
      <c r="I5276" s="455">
        <f t="shared" ca="1" si="185"/>
        <v>-1405985143843469.8</v>
      </c>
      <c r="J5276" s="455">
        <f t="array" ref="J5276">IFERROR(INDEX('Retirement Calculator'!K:K,MATCH('Lorri 401b'!N5276,'Retirement Calculator'!A:A,0),0),0)</f>
        <v>0</v>
      </c>
      <c r="K5276" s="455">
        <f t="shared" ca="1" si="183"/>
        <v>-5858271432681.124</v>
      </c>
      <c r="L5276" s="455">
        <f t="shared" ca="1" si="184"/>
        <v>-1411843415276150.8</v>
      </c>
      <c r="M5276" s="471">
        <f t="shared" si="186"/>
        <v>0.05</v>
      </c>
      <c r="N5276" s="475">
        <f t="shared" si="187"/>
        <v>211629</v>
      </c>
    </row>
    <row r="5277" spans="7:14" ht="11.25" customHeight="1" x14ac:dyDescent="0.3">
      <c r="G5277" s="470"/>
      <c r="H5277" s="470">
        <v>5270</v>
      </c>
      <c r="I5277" s="455">
        <f t="shared" ca="1" si="185"/>
        <v>-1411843415276150.8</v>
      </c>
      <c r="J5277" s="455">
        <f t="array" ref="J5277">IFERROR(INDEX('Retirement Calculator'!K:K,MATCH('Lorri 401b'!N5277,'Retirement Calculator'!A:A,0),0),0)</f>
        <v>0</v>
      </c>
      <c r="K5277" s="455">
        <f t="shared" ca="1" si="183"/>
        <v>-5882680896983.9609</v>
      </c>
      <c r="L5277" s="455">
        <f t="shared" ca="1" si="184"/>
        <v>-1417726096173134.8</v>
      </c>
      <c r="M5277" s="471">
        <f t="shared" si="186"/>
        <v>0.05</v>
      </c>
      <c r="N5277" s="475">
        <f t="shared" si="187"/>
        <v>211659</v>
      </c>
    </row>
    <row r="5278" spans="7:14" ht="11.25" customHeight="1" x14ac:dyDescent="0.3">
      <c r="G5278" s="470"/>
      <c r="H5278" s="470">
        <v>5271</v>
      </c>
      <c r="I5278" s="455">
        <f t="shared" ca="1" si="185"/>
        <v>-1417726096173134.8</v>
      </c>
      <c r="J5278" s="455">
        <f t="array" ref="J5278">IFERROR(INDEX('Retirement Calculator'!K:K,MATCH('Lorri 401b'!N5278,'Retirement Calculator'!A:A,0),0),0)</f>
        <v>0</v>
      </c>
      <c r="K5278" s="455">
        <f t="shared" ca="1" si="183"/>
        <v>-5907192067388.0615</v>
      </c>
      <c r="L5278" s="455">
        <f t="shared" ca="1" si="184"/>
        <v>-1423633288240522.8</v>
      </c>
      <c r="M5278" s="471">
        <f t="shared" si="186"/>
        <v>0.05</v>
      </c>
      <c r="N5278" s="475">
        <f t="shared" si="187"/>
        <v>211690</v>
      </c>
    </row>
    <row r="5279" spans="7:14" ht="11.25" customHeight="1" x14ac:dyDescent="0.3">
      <c r="G5279" s="470"/>
      <c r="H5279" s="470">
        <v>5272</v>
      </c>
      <c r="I5279" s="455">
        <f t="shared" ca="1" si="185"/>
        <v>-1423633288240522.8</v>
      </c>
      <c r="J5279" s="455">
        <f t="array" ref="J5279">IFERROR(INDEX('Retirement Calculator'!K:K,MATCH('Lorri 401b'!N5279,'Retirement Calculator'!A:A,0),0),0)</f>
        <v>0</v>
      </c>
      <c r="K5279" s="455">
        <f t="shared" ca="1" si="183"/>
        <v>-5931805367668.8447</v>
      </c>
      <c r="L5279" s="455">
        <f t="shared" ca="1" si="184"/>
        <v>-1429565093608191.5</v>
      </c>
      <c r="M5279" s="471">
        <f t="shared" si="186"/>
        <v>0.05</v>
      </c>
      <c r="N5279" s="475">
        <f t="shared" si="187"/>
        <v>211721</v>
      </c>
    </row>
    <row r="5280" spans="7:14" ht="11.25" customHeight="1" x14ac:dyDescent="0.3">
      <c r="G5280" s="470"/>
      <c r="H5280" s="470">
        <v>5273</v>
      </c>
      <c r="I5280" s="455">
        <f t="shared" ca="1" si="185"/>
        <v>-1429565093608191.5</v>
      </c>
      <c r="J5280" s="455">
        <f t="array" ref="J5280">IFERROR(INDEX('Retirement Calculator'!K:K,MATCH('Lorri 401b'!N5280,'Retirement Calculator'!A:A,0),0),0)</f>
        <v>0</v>
      </c>
      <c r="K5280" s="455">
        <f t="shared" ca="1" si="183"/>
        <v>-5956521223367.4648</v>
      </c>
      <c r="L5280" s="455">
        <f t="shared" ca="1" si="184"/>
        <v>-1435521614831559</v>
      </c>
      <c r="M5280" s="471">
        <f t="shared" si="186"/>
        <v>0.05</v>
      </c>
      <c r="N5280" s="475">
        <f t="shared" si="187"/>
        <v>211751</v>
      </c>
    </row>
    <row r="5281" spans="7:14" ht="11.25" customHeight="1" x14ac:dyDescent="0.3">
      <c r="G5281" s="470"/>
      <c r="H5281" s="470">
        <v>5274</v>
      </c>
      <c r="I5281" s="455">
        <f t="shared" ca="1" si="185"/>
        <v>-1435521614831559</v>
      </c>
      <c r="J5281" s="455">
        <f t="array" ref="J5281">IFERROR(INDEX('Retirement Calculator'!K:K,MATCH('Lorri 401b'!N5281,'Retirement Calculator'!A:A,0),0),0)</f>
        <v>0</v>
      </c>
      <c r="K5281" s="455">
        <f t="shared" ca="1" si="183"/>
        <v>-5981340061798.1621</v>
      </c>
      <c r="L5281" s="455">
        <f t="shared" ca="1" si="184"/>
        <v>-1441502954893357.3</v>
      </c>
      <c r="M5281" s="471">
        <f t="shared" si="186"/>
        <v>0.05</v>
      </c>
      <c r="N5281" s="475">
        <f t="shared" si="187"/>
        <v>211782</v>
      </c>
    </row>
    <row r="5282" spans="7:14" ht="11.25" customHeight="1" x14ac:dyDescent="0.3">
      <c r="G5282" s="470"/>
      <c r="H5282" s="470">
        <v>5275</v>
      </c>
      <c r="I5282" s="455">
        <f t="shared" ca="1" si="185"/>
        <v>-1441502954893357.3</v>
      </c>
      <c r="J5282" s="455">
        <f t="array" ref="J5282">IFERROR(INDEX('Retirement Calculator'!K:K,MATCH('Lorri 401b'!N5282,'Retirement Calculator'!A:A,0),0),0)</f>
        <v>0</v>
      </c>
      <c r="K5282" s="455">
        <f t="shared" ca="1" si="183"/>
        <v>-6006262312055.6553</v>
      </c>
      <c r="L5282" s="455">
        <f t="shared" ca="1" si="184"/>
        <v>-1447509217205413</v>
      </c>
      <c r="M5282" s="471">
        <f t="shared" si="186"/>
        <v>0.05</v>
      </c>
      <c r="N5282" s="475">
        <f t="shared" si="187"/>
        <v>211812</v>
      </c>
    </row>
    <row r="5283" spans="7:14" ht="11.25" customHeight="1" x14ac:dyDescent="0.3">
      <c r="G5283" s="470"/>
      <c r="H5283" s="470">
        <v>5276</v>
      </c>
      <c r="I5283" s="455">
        <f t="shared" ca="1" si="185"/>
        <v>-1447509217205413</v>
      </c>
      <c r="J5283" s="455">
        <f t="array" ref="J5283">IFERROR(INDEX('Retirement Calculator'!K:K,MATCH('Lorri 401b'!N5283,'Retirement Calculator'!A:A,0),0),0)</f>
        <v>0</v>
      </c>
      <c r="K5283" s="455">
        <f t="shared" ca="1" si="183"/>
        <v>-6031288405022.5537</v>
      </c>
      <c r="L5283" s="455">
        <f t="shared" ca="1" si="184"/>
        <v>-1453540505610435.5</v>
      </c>
      <c r="M5283" s="471">
        <f t="shared" si="186"/>
        <v>0.05</v>
      </c>
      <c r="N5283" s="475">
        <f t="shared" si="187"/>
        <v>211843</v>
      </c>
    </row>
    <row r="5284" spans="7:14" ht="11.25" customHeight="1" x14ac:dyDescent="0.3">
      <c r="G5284" s="470"/>
      <c r="H5284" s="470">
        <v>5277</v>
      </c>
      <c r="I5284" s="455">
        <f t="shared" ca="1" si="185"/>
        <v>-1453540505610435.5</v>
      </c>
      <c r="J5284" s="455">
        <f t="array" ref="J5284">IFERROR(INDEX('Retirement Calculator'!K:K,MATCH('Lorri 401b'!N5284,'Retirement Calculator'!A:A,0),0),0)</f>
        <v>0</v>
      </c>
      <c r="K5284" s="455">
        <f t="shared" ca="1" si="183"/>
        <v>-6056418773376.8145</v>
      </c>
      <c r="L5284" s="455">
        <f t="shared" ca="1" si="184"/>
        <v>-1459596924383812.3</v>
      </c>
      <c r="M5284" s="471">
        <f t="shared" si="186"/>
        <v>0.05</v>
      </c>
      <c r="N5284" s="475">
        <f t="shared" si="187"/>
        <v>211874</v>
      </c>
    </row>
    <row r="5285" spans="7:14" ht="11.25" customHeight="1" x14ac:dyDescent="0.3">
      <c r="G5285" s="470"/>
      <c r="H5285" s="470">
        <v>5278</v>
      </c>
      <c r="I5285" s="455">
        <f t="shared" ca="1" si="185"/>
        <v>-1459596924383812.3</v>
      </c>
      <c r="J5285" s="455">
        <f t="array" ref="J5285">IFERROR(INDEX('Retirement Calculator'!K:K,MATCH('Lorri 401b'!N5285,'Retirement Calculator'!A:A,0),0),0)</f>
        <v>0</v>
      </c>
      <c r="K5285" s="455">
        <f t="shared" ca="1" si="183"/>
        <v>-6081653851599.2178</v>
      </c>
      <c r="L5285" s="455">
        <f t="shared" ca="1" si="184"/>
        <v>-1465678578235411.5</v>
      </c>
      <c r="M5285" s="471">
        <f t="shared" si="186"/>
        <v>0.05</v>
      </c>
      <c r="N5285" s="475">
        <f t="shared" si="187"/>
        <v>211903</v>
      </c>
    </row>
    <row r="5286" spans="7:14" ht="11.25" customHeight="1" x14ac:dyDescent="0.3">
      <c r="G5286" s="470"/>
      <c r="H5286" s="470">
        <v>5279</v>
      </c>
      <c r="I5286" s="455">
        <f t="shared" ca="1" si="185"/>
        <v>-1465678578235411.5</v>
      </c>
      <c r="J5286" s="455">
        <f t="array" ref="J5286">IFERROR(INDEX('Retirement Calculator'!K:K,MATCH('Lorri 401b'!N5286,'Retirement Calculator'!A:A,0),0),0)</f>
        <v>0</v>
      </c>
      <c r="K5286" s="455">
        <f t="shared" ca="1" si="183"/>
        <v>-6106994075980.8809</v>
      </c>
      <c r="L5286" s="455">
        <f t="shared" ca="1" si="184"/>
        <v>-1471785572311392.5</v>
      </c>
      <c r="M5286" s="471">
        <f t="shared" si="186"/>
        <v>0.05</v>
      </c>
      <c r="N5286" s="475">
        <f t="shared" si="187"/>
        <v>211934</v>
      </c>
    </row>
    <row r="5287" spans="7:14" ht="11.25" customHeight="1" x14ac:dyDescent="0.3">
      <c r="G5287" s="470"/>
      <c r="H5287" s="470">
        <v>5280</v>
      </c>
      <c r="I5287" s="455">
        <f t="shared" ca="1" si="185"/>
        <v>-1471785572311392.5</v>
      </c>
      <c r="J5287" s="455">
        <f t="array" ref="J5287">IFERROR(INDEX('Retirement Calculator'!K:K,MATCH('Lorri 401b'!N5287,'Retirement Calculator'!A:A,0),0),0)</f>
        <v>0</v>
      </c>
      <c r="K5287" s="455">
        <f t="shared" ca="1" si="183"/>
        <v>-6132439884630.8018</v>
      </c>
      <c r="L5287" s="455">
        <f t="shared" ca="1" si="184"/>
        <v>-1477918012196023.3</v>
      </c>
      <c r="M5287" s="471">
        <f t="shared" si="186"/>
        <v>0.05</v>
      </c>
      <c r="N5287" s="475">
        <f t="shared" si="187"/>
        <v>211964</v>
      </c>
    </row>
    <row r="5288" spans="7:14" ht="11.25" customHeight="1" x14ac:dyDescent="0.3">
      <c r="G5288" s="470"/>
      <c r="H5288" s="470">
        <v>5281</v>
      </c>
      <c r="I5288" s="455">
        <f t="shared" ca="1" si="185"/>
        <v>-1477918012196023.3</v>
      </c>
      <c r="J5288" s="455">
        <f t="array" ref="J5288">IFERROR(INDEX('Retirement Calculator'!K:K,MATCH('Lorri 401b'!N5288,'Retirement Calculator'!A:A,0),0),0)</f>
        <v>0</v>
      </c>
      <c r="K5288" s="455">
        <f t="shared" ca="1" si="183"/>
        <v>-6157991717483.4297</v>
      </c>
      <c r="L5288" s="455">
        <f t="shared" ca="1" si="184"/>
        <v>-1484076003913506.8</v>
      </c>
      <c r="M5288" s="471">
        <f t="shared" si="186"/>
        <v>0.05</v>
      </c>
      <c r="N5288" s="475">
        <f t="shared" si="187"/>
        <v>211995</v>
      </c>
    </row>
    <row r="5289" spans="7:14" ht="11.25" customHeight="1" x14ac:dyDescent="0.3">
      <c r="G5289" s="470"/>
      <c r="H5289" s="470">
        <v>5282</v>
      </c>
      <c r="I5289" s="455">
        <f t="shared" ca="1" si="185"/>
        <v>-1484076003913506.8</v>
      </c>
      <c r="J5289" s="455">
        <f t="array" ref="J5289">IFERROR(INDEX('Retirement Calculator'!K:K,MATCH('Lorri 401b'!N5289,'Retirement Calculator'!A:A,0),0),0)</f>
        <v>0</v>
      </c>
      <c r="K5289" s="455">
        <f t="shared" ca="1" si="183"/>
        <v>-6183650016306.2783</v>
      </c>
      <c r="L5289" s="455">
        <f t="shared" ca="1" si="184"/>
        <v>-1490259653929813</v>
      </c>
      <c r="M5289" s="471">
        <f t="shared" si="186"/>
        <v>0.05</v>
      </c>
      <c r="N5289" s="475">
        <f t="shared" si="187"/>
        <v>212025</v>
      </c>
    </row>
    <row r="5290" spans="7:14" ht="11.25" customHeight="1" x14ac:dyDescent="0.3">
      <c r="G5290" s="470"/>
      <c r="H5290" s="470">
        <v>5283</v>
      </c>
      <c r="I5290" s="455">
        <f t="shared" ca="1" si="185"/>
        <v>-1490259653929813</v>
      </c>
      <c r="J5290" s="455">
        <f t="array" ref="J5290">IFERROR(INDEX('Retirement Calculator'!K:K,MATCH('Lorri 401b'!N5290,'Retirement Calculator'!A:A,0),0),0)</f>
        <v>0</v>
      </c>
      <c r="K5290" s="455">
        <f t="shared" ca="1" si="183"/>
        <v>-6209415224707.5537</v>
      </c>
      <c r="L5290" s="455">
        <f t="shared" ca="1" si="184"/>
        <v>-1496469069154520.5</v>
      </c>
      <c r="M5290" s="471">
        <f t="shared" si="186"/>
        <v>0.05</v>
      </c>
      <c r="N5290" s="475">
        <f t="shared" si="187"/>
        <v>212056</v>
      </c>
    </row>
    <row r="5291" spans="7:14" ht="11.25" customHeight="1" x14ac:dyDescent="0.3">
      <c r="G5291" s="470"/>
      <c r="H5291" s="470">
        <v>5284</v>
      </c>
      <c r="I5291" s="455">
        <f t="shared" ca="1" si="185"/>
        <v>-1496469069154520.5</v>
      </c>
      <c r="J5291" s="455">
        <f t="array" ref="J5291">IFERROR(INDEX('Retirement Calculator'!K:K,MATCH('Lorri 401b'!N5291,'Retirement Calculator'!A:A,0),0),0)</f>
        <v>0</v>
      </c>
      <c r="K5291" s="455">
        <f t="shared" ca="1" si="183"/>
        <v>-6235287788143.835</v>
      </c>
      <c r="L5291" s="455">
        <f t="shared" ca="1" si="184"/>
        <v>-1502704356942664.3</v>
      </c>
      <c r="M5291" s="471">
        <f t="shared" si="186"/>
        <v>0.05</v>
      </c>
      <c r="N5291" s="475">
        <f t="shared" si="187"/>
        <v>212087</v>
      </c>
    </row>
    <row r="5292" spans="7:14" ht="11.25" customHeight="1" x14ac:dyDescent="0.3">
      <c r="G5292" s="470"/>
      <c r="H5292" s="470">
        <v>5285</v>
      </c>
      <c r="I5292" s="455">
        <f t="shared" ca="1" si="185"/>
        <v>-1502704356942664.3</v>
      </c>
      <c r="J5292" s="455">
        <f t="array" ref="J5292">IFERROR(INDEX('Retirement Calculator'!K:K,MATCH('Lorri 401b'!N5292,'Retirement Calculator'!A:A,0),0),0)</f>
        <v>0</v>
      </c>
      <c r="K5292" s="455">
        <f t="shared" ca="1" si="183"/>
        <v>-6261268153927.7676</v>
      </c>
      <c r="L5292" s="455">
        <f t="shared" ca="1" si="184"/>
        <v>-1508965625096592</v>
      </c>
      <c r="M5292" s="471">
        <f t="shared" si="186"/>
        <v>0.05</v>
      </c>
      <c r="N5292" s="475">
        <f t="shared" si="187"/>
        <v>212117</v>
      </c>
    </row>
    <row r="5293" spans="7:14" ht="11.25" customHeight="1" x14ac:dyDescent="0.3">
      <c r="G5293" s="470"/>
      <c r="H5293" s="470">
        <v>5286</v>
      </c>
      <c r="I5293" s="455">
        <f t="shared" ca="1" si="185"/>
        <v>-1508965625096592</v>
      </c>
      <c r="J5293" s="455">
        <f t="array" ref="J5293">IFERROR(INDEX('Retirement Calculator'!K:K,MATCH('Lorri 401b'!N5293,'Retirement Calculator'!A:A,0),0),0)</f>
        <v>0</v>
      </c>
      <c r="K5293" s="455">
        <f t="shared" ca="1" si="183"/>
        <v>-6287356771235.7998</v>
      </c>
      <c r="L5293" s="455">
        <f t="shared" ca="1" si="184"/>
        <v>-1515252981867827.8</v>
      </c>
      <c r="M5293" s="471">
        <f t="shared" si="186"/>
        <v>0.05</v>
      </c>
      <c r="N5293" s="475">
        <f t="shared" si="187"/>
        <v>212148</v>
      </c>
    </row>
    <row r="5294" spans="7:14" ht="11.25" customHeight="1" x14ac:dyDescent="0.3">
      <c r="G5294" s="470"/>
      <c r="H5294" s="470">
        <v>5287</v>
      </c>
      <c r="I5294" s="455">
        <f t="shared" ca="1" si="185"/>
        <v>-1515252981867827.8</v>
      </c>
      <c r="J5294" s="455">
        <f t="array" ref="J5294">IFERROR(INDEX('Retirement Calculator'!K:K,MATCH('Lorri 401b'!N5294,'Retirement Calculator'!A:A,0),0),0)</f>
        <v>0</v>
      </c>
      <c r="K5294" s="455">
        <f t="shared" ca="1" si="183"/>
        <v>-6313554091115.9492</v>
      </c>
      <c r="L5294" s="455">
        <f t="shared" ca="1" si="184"/>
        <v>-1521566535958943.8</v>
      </c>
      <c r="M5294" s="471">
        <f t="shared" si="186"/>
        <v>0.05</v>
      </c>
      <c r="N5294" s="475">
        <f t="shared" si="187"/>
        <v>212178</v>
      </c>
    </row>
    <row r="5295" spans="7:14" ht="11.25" customHeight="1" x14ac:dyDescent="0.3">
      <c r="G5295" s="470"/>
      <c r="H5295" s="470">
        <v>5288</v>
      </c>
      <c r="I5295" s="455">
        <f t="shared" ca="1" si="185"/>
        <v>-1521566535958943.8</v>
      </c>
      <c r="J5295" s="455">
        <f t="array" ref="J5295">IFERROR(INDEX('Retirement Calculator'!K:K,MATCH('Lorri 401b'!N5295,'Retirement Calculator'!A:A,0),0),0)</f>
        <v>0</v>
      </c>
      <c r="K5295" s="455">
        <f t="shared" ca="1" si="183"/>
        <v>-6339860566495.5986</v>
      </c>
      <c r="L5295" s="455">
        <f t="shared" ca="1" si="184"/>
        <v>-1527906396525439.3</v>
      </c>
      <c r="M5295" s="471">
        <f t="shared" si="186"/>
        <v>0.05</v>
      </c>
      <c r="N5295" s="475">
        <f t="shared" si="187"/>
        <v>212209</v>
      </c>
    </row>
    <row r="5296" spans="7:14" ht="11.25" customHeight="1" x14ac:dyDescent="0.3">
      <c r="G5296" s="470"/>
      <c r="H5296" s="470">
        <v>5289</v>
      </c>
      <c r="I5296" s="455">
        <f t="shared" ca="1" si="185"/>
        <v>-1527906396525439.3</v>
      </c>
      <c r="J5296" s="455">
        <f t="array" ref="J5296">IFERROR(INDEX('Retirement Calculator'!K:K,MATCH('Lorri 401b'!N5296,'Retirement Calculator'!A:A,0),0),0)</f>
        <v>0</v>
      </c>
      <c r="K5296" s="455">
        <f t="shared" ca="1" si="183"/>
        <v>-6366276652189.3301</v>
      </c>
      <c r="L5296" s="455">
        <f t="shared" ca="1" si="184"/>
        <v>-1534272673177628.5</v>
      </c>
      <c r="M5296" s="471">
        <f t="shared" si="186"/>
        <v>0.05</v>
      </c>
      <c r="N5296" s="475">
        <f t="shared" si="187"/>
        <v>212240</v>
      </c>
    </row>
    <row r="5297" spans="7:14" ht="11.25" customHeight="1" x14ac:dyDescent="0.3">
      <c r="G5297" s="470"/>
      <c r="H5297" s="470">
        <v>5290</v>
      </c>
      <c r="I5297" s="455">
        <f t="shared" ca="1" si="185"/>
        <v>-1534272673177628.5</v>
      </c>
      <c r="J5297" s="455">
        <f t="array" ref="J5297">IFERROR(INDEX('Retirement Calculator'!K:K,MATCH('Lorri 401b'!N5297,'Retirement Calculator'!A:A,0),0),0)</f>
        <v>0</v>
      </c>
      <c r="K5297" s="455">
        <f t="shared" ca="1" si="183"/>
        <v>-6392802804906.7852</v>
      </c>
      <c r="L5297" s="455">
        <f t="shared" ca="1" si="184"/>
        <v>-1540665475982535.3</v>
      </c>
      <c r="M5297" s="471">
        <f t="shared" si="186"/>
        <v>0.05</v>
      </c>
      <c r="N5297" s="475">
        <f t="shared" si="187"/>
        <v>212268</v>
      </c>
    </row>
    <row r="5298" spans="7:14" ht="11.25" customHeight="1" x14ac:dyDescent="0.3">
      <c r="G5298" s="470"/>
      <c r="H5298" s="470">
        <v>5291</v>
      </c>
      <c r="I5298" s="455">
        <f t="shared" ca="1" si="185"/>
        <v>-1540665475982535.3</v>
      </c>
      <c r="J5298" s="455">
        <f t="array" ref="J5298">IFERROR(INDEX('Retirement Calculator'!K:K,MATCH('Lorri 401b'!N5298,'Retirement Calculator'!A:A,0),0),0)</f>
        <v>0</v>
      </c>
      <c r="K5298" s="455">
        <f t="shared" ca="1" si="183"/>
        <v>-6419439483260.5635</v>
      </c>
      <c r="L5298" s="455">
        <f t="shared" ca="1" si="184"/>
        <v>-1547084915465795.8</v>
      </c>
      <c r="M5298" s="471">
        <f t="shared" si="186"/>
        <v>0.05</v>
      </c>
      <c r="N5298" s="475">
        <f t="shared" si="187"/>
        <v>212299</v>
      </c>
    </row>
    <row r="5299" spans="7:14" ht="11.25" customHeight="1" x14ac:dyDescent="0.3">
      <c r="G5299" s="470"/>
      <c r="H5299" s="470">
        <v>5292</v>
      </c>
      <c r="I5299" s="455">
        <f t="shared" ca="1" si="185"/>
        <v>-1547084915465795.8</v>
      </c>
      <c r="J5299" s="455">
        <f t="array" ref="J5299">IFERROR(INDEX('Retirement Calculator'!K:K,MATCH('Lorri 401b'!N5299,'Retirement Calculator'!A:A,0),0),0)</f>
        <v>0</v>
      </c>
      <c r="K5299" s="455">
        <f t="shared" ca="1" si="183"/>
        <v>-6446187147774.1484</v>
      </c>
      <c r="L5299" s="455">
        <f t="shared" ca="1" si="184"/>
        <v>-1553531102613570</v>
      </c>
      <c r="M5299" s="471">
        <f t="shared" si="186"/>
        <v>0.05</v>
      </c>
      <c r="N5299" s="475">
        <f t="shared" si="187"/>
        <v>212329</v>
      </c>
    </row>
    <row r="5300" spans="7:14" ht="11.25" customHeight="1" x14ac:dyDescent="0.3">
      <c r="G5300" s="470"/>
      <c r="H5300" s="470">
        <v>5293</v>
      </c>
      <c r="I5300" s="455">
        <f t="shared" ca="1" si="185"/>
        <v>-1553531102613570</v>
      </c>
      <c r="J5300" s="455">
        <f t="array" ref="J5300">IFERROR(INDEX('Retirement Calculator'!K:K,MATCH('Lorri 401b'!N5300,'Retirement Calculator'!A:A,0),0),0)</f>
        <v>0</v>
      </c>
      <c r="K5300" s="455">
        <f t="shared" ca="1" si="183"/>
        <v>-6473046260889.875</v>
      </c>
      <c r="L5300" s="455">
        <f t="shared" ca="1" si="184"/>
        <v>-1560004148874460</v>
      </c>
      <c r="M5300" s="471">
        <f t="shared" si="186"/>
        <v>0.05</v>
      </c>
      <c r="N5300" s="475">
        <f t="shared" si="187"/>
        <v>212360</v>
      </c>
    </row>
    <row r="5301" spans="7:14" ht="11.25" customHeight="1" x14ac:dyDescent="0.3">
      <c r="G5301" s="470"/>
      <c r="H5301" s="470">
        <v>5294</v>
      </c>
      <c r="I5301" s="455">
        <f t="shared" ca="1" si="185"/>
        <v>-1560004148874460</v>
      </c>
      <c r="J5301" s="455">
        <f t="array" ref="J5301">IFERROR(INDEX('Retirement Calculator'!K:K,MATCH('Lorri 401b'!N5301,'Retirement Calculator'!A:A,0),0),0)</f>
        <v>0</v>
      </c>
      <c r="K5301" s="455">
        <f t="shared" ca="1" si="183"/>
        <v>-6500017286976.917</v>
      </c>
      <c r="L5301" s="455">
        <f t="shared" ca="1" si="184"/>
        <v>-1566504166161437</v>
      </c>
      <c r="M5301" s="471">
        <f t="shared" si="186"/>
        <v>0.05</v>
      </c>
      <c r="N5301" s="475">
        <f t="shared" si="187"/>
        <v>212390</v>
      </c>
    </row>
    <row r="5302" spans="7:14" ht="11.25" customHeight="1" x14ac:dyDescent="0.3">
      <c r="G5302" s="470"/>
      <c r="H5302" s="470">
        <v>5295</v>
      </c>
      <c r="I5302" s="455">
        <f t="shared" ca="1" si="185"/>
        <v>-1566504166161437</v>
      </c>
      <c r="J5302" s="455">
        <f t="array" ref="J5302">IFERROR(INDEX('Retirement Calculator'!K:K,MATCH('Lorri 401b'!N5302,'Retirement Calculator'!A:A,0),0),0)</f>
        <v>0</v>
      </c>
      <c r="K5302" s="455">
        <f t="shared" ca="1" si="183"/>
        <v>-6527100692339.3203</v>
      </c>
      <c r="L5302" s="455">
        <f t="shared" ca="1" si="184"/>
        <v>-1573031266853776.3</v>
      </c>
      <c r="M5302" s="471">
        <f t="shared" si="186"/>
        <v>0.05</v>
      </c>
      <c r="N5302" s="475">
        <f t="shared" si="187"/>
        <v>212421</v>
      </c>
    </row>
    <row r="5303" spans="7:14" ht="11.25" customHeight="1" x14ac:dyDescent="0.3">
      <c r="G5303" s="470"/>
      <c r="H5303" s="470">
        <v>5296</v>
      </c>
      <c r="I5303" s="455">
        <f t="shared" ca="1" si="185"/>
        <v>-1573031266853776.3</v>
      </c>
      <c r="J5303" s="455">
        <f t="array" ref="J5303">IFERROR(INDEX('Retirement Calculator'!K:K,MATCH('Lorri 401b'!N5303,'Retirement Calculator'!A:A,0),0),0)</f>
        <v>0</v>
      </c>
      <c r="K5303" s="455">
        <f t="shared" ca="1" si="183"/>
        <v>-6554296945224.0674</v>
      </c>
      <c r="L5303" s="455">
        <f t="shared" ca="1" si="184"/>
        <v>-1579585563799000.3</v>
      </c>
      <c r="M5303" s="471">
        <f t="shared" si="186"/>
        <v>0.05</v>
      </c>
      <c r="N5303" s="475">
        <f t="shared" si="187"/>
        <v>212452</v>
      </c>
    </row>
    <row r="5304" spans="7:14" ht="11.25" customHeight="1" x14ac:dyDescent="0.3">
      <c r="G5304" s="470"/>
      <c r="H5304" s="470">
        <v>5297</v>
      </c>
      <c r="I5304" s="455">
        <f t="shared" ca="1" si="185"/>
        <v>-1579585563799000.3</v>
      </c>
      <c r="J5304" s="455">
        <f t="array" ref="J5304">IFERROR(INDEX('Retirement Calculator'!K:K,MATCH('Lorri 401b'!N5304,'Retirement Calculator'!A:A,0),0),0)</f>
        <v>0</v>
      </c>
      <c r="K5304" s="455">
        <f t="shared" ca="1" si="183"/>
        <v>-6581606515829.168</v>
      </c>
      <c r="L5304" s="455">
        <f t="shared" ca="1" si="184"/>
        <v>-1586167170314829.5</v>
      </c>
      <c r="M5304" s="471">
        <f t="shared" si="186"/>
        <v>0.05</v>
      </c>
      <c r="N5304" s="475">
        <f t="shared" si="187"/>
        <v>212482</v>
      </c>
    </row>
    <row r="5305" spans="7:14" ht="11.25" customHeight="1" x14ac:dyDescent="0.3">
      <c r="G5305" s="470"/>
      <c r="H5305" s="470">
        <v>5298</v>
      </c>
      <c r="I5305" s="455">
        <f t="shared" ca="1" si="185"/>
        <v>-1586167170314829.5</v>
      </c>
      <c r="J5305" s="455">
        <f t="array" ref="J5305">IFERROR(INDEX('Retirement Calculator'!K:K,MATCH('Lorri 401b'!N5305,'Retirement Calculator'!A:A,0),0),0)</f>
        <v>0</v>
      </c>
      <c r="K5305" s="455">
        <f t="shared" ca="1" si="183"/>
        <v>-6609029876311.7891</v>
      </c>
      <c r="L5305" s="455">
        <f t="shared" ca="1" si="184"/>
        <v>-1592776200191141.3</v>
      </c>
      <c r="M5305" s="471">
        <f t="shared" si="186"/>
        <v>0.05</v>
      </c>
      <c r="N5305" s="475">
        <f t="shared" si="187"/>
        <v>212513</v>
      </c>
    </row>
    <row r="5306" spans="7:14" ht="11.25" customHeight="1" x14ac:dyDescent="0.3">
      <c r="G5306" s="470"/>
      <c r="H5306" s="470">
        <v>5299</v>
      </c>
      <c r="I5306" s="455">
        <f t="shared" ca="1" si="185"/>
        <v>-1592776200191141.3</v>
      </c>
      <c r="J5306" s="455">
        <f t="array" ref="J5306">IFERROR(INDEX('Retirement Calculator'!K:K,MATCH('Lorri 401b'!N5306,'Retirement Calculator'!A:A,0),0),0)</f>
        <v>0</v>
      </c>
      <c r="K5306" s="455">
        <f t="shared" ca="1" si="183"/>
        <v>-6636567500796.4219</v>
      </c>
      <c r="L5306" s="455">
        <f t="shared" ca="1" si="184"/>
        <v>-1599412767691937.8</v>
      </c>
      <c r="M5306" s="471">
        <f t="shared" si="186"/>
        <v>0.05</v>
      </c>
      <c r="N5306" s="475">
        <f t="shared" si="187"/>
        <v>212543</v>
      </c>
    </row>
    <row r="5307" spans="7:14" ht="11.25" customHeight="1" x14ac:dyDescent="0.3">
      <c r="G5307" s="470"/>
      <c r="H5307" s="470">
        <v>5300</v>
      </c>
      <c r="I5307" s="455">
        <f t="shared" ca="1" si="185"/>
        <v>-1599412767691937.8</v>
      </c>
      <c r="J5307" s="455">
        <f t="array" ref="J5307">IFERROR(INDEX('Retirement Calculator'!K:K,MATCH('Lorri 401b'!N5307,'Retirement Calculator'!A:A,0),0),0)</f>
        <v>0</v>
      </c>
      <c r="K5307" s="455">
        <f t="shared" ca="1" si="183"/>
        <v>-6664219865383.0742</v>
      </c>
      <c r="L5307" s="455">
        <f t="shared" ca="1" si="184"/>
        <v>-1606076987557320.8</v>
      </c>
      <c r="M5307" s="471">
        <f t="shared" si="186"/>
        <v>0.05</v>
      </c>
      <c r="N5307" s="475">
        <f t="shared" si="187"/>
        <v>212574</v>
      </c>
    </row>
    <row r="5308" spans="7:14" ht="11.25" customHeight="1" x14ac:dyDescent="0.3">
      <c r="G5308" s="470"/>
      <c r="H5308" s="470">
        <v>5301</v>
      </c>
      <c r="I5308" s="455">
        <f t="shared" ca="1" si="185"/>
        <v>-1606076987557320.8</v>
      </c>
      <c r="J5308" s="455">
        <f t="array" ref="J5308">IFERROR(INDEX('Retirement Calculator'!K:K,MATCH('Lorri 401b'!N5308,'Retirement Calculator'!A:A,0),0),0)</f>
        <v>0</v>
      </c>
      <c r="K5308" s="455">
        <f t="shared" ca="1" si="183"/>
        <v>-6691987448155.5029</v>
      </c>
      <c r="L5308" s="455">
        <f t="shared" ca="1" si="184"/>
        <v>-1612768975005476.3</v>
      </c>
      <c r="M5308" s="471">
        <f t="shared" si="186"/>
        <v>0.05</v>
      </c>
      <c r="N5308" s="475">
        <f t="shared" si="187"/>
        <v>212605</v>
      </c>
    </row>
    <row r="5309" spans="7:14" ht="11.25" customHeight="1" x14ac:dyDescent="0.3">
      <c r="G5309" s="470"/>
      <c r="H5309" s="470">
        <v>5302</v>
      </c>
      <c r="I5309" s="455">
        <f t="shared" ca="1" si="185"/>
        <v>-1612768975005476.3</v>
      </c>
      <c r="J5309" s="455">
        <f t="array" ref="J5309">IFERROR(INDEX('Retirement Calculator'!K:K,MATCH('Lorri 401b'!N5309,'Retirement Calculator'!A:A,0),0),0)</f>
        <v>0</v>
      </c>
      <c r="K5309" s="455">
        <f t="shared" ca="1" si="183"/>
        <v>-6719870729189.4844</v>
      </c>
      <c r="L5309" s="455">
        <f t="shared" ca="1" si="184"/>
        <v>-1619488845734665.8</v>
      </c>
      <c r="M5309" s="471">
        <f t="shared" si="186"/>
        <v>0.05</v>
      </c>
      <c r="N5309" s="475">
        <f t="shared" si="187"/>
        <v>212633</v>
      </c>
    </row>
    <row r="5310" spans="7:14" ht="11.25" customHeight="1" x14ac:dyDescent="0.3">
      <c r="G5310" s="470"/>
      <c r="H5310" s="470">
        <v>5303</v>
      </c>
      <c r="I5310" s="455">
        <f t="shared" ca="1" si="185"/>
        <v>-1619488845734665.8</v>
      </c>
      <c r="J5310" s="455">
        <f t="array" ref="J5310">IFERROR(INDEX('Retirement Calculator'!K:K,MATCH('Lorri 401b'!N5310,'Retirement Calculator'!A:A,0),0),0)</f>
        <v>0</v>
      </c>
      <c r="K5310" s="455">
        <f t="shared" ca="1" si="183"/>
        <v>-6747870190561.1074</v>
      </c>
      <c r="L5310" s="455">
        <f t="shared" ca="1" si="184"/>
        <v>-1626236715925226.8</v>
      </c>
      <c r="M5310" s="471">
        <f t="shared" si="186"/>
        <v>0.05</v>
      </c>
      <c r="N5310" s="475">
        <f t="shared" si="187"/>
        <v>212664</v>
      </c>
    </row>
    <row r="5311" spans="7:14" ht="11.25" customHeight="1" x14ac:dyDescent="0.3">
      <c r="G5311" s="470"/>
      <c r="H5311" s="470">
        <v>5304</v>
      </c>
      <c r="I5311" s="455">
        <f t="shared" ca="1" si="185"/>
        <v>-1626236715925226.8</v>
      </c>
      <c r="J5311" s="455">
        <f t="array" ref="J5311">IFERROR(INDEX('Retirement Calculator'!K:K,MATCH('Lorri 401b'!N5311,'Retirement Calculator'!A:A,0),0),0)</f>
        <v>0</v>
      </c>
      <c r="K5311" s="455">
        <f t="shared" ca="1" si="183"/>
        <v>-6775986316355.1113</v>
      </c>
      <c r="L5311" s="455">
        <f t="shared" ca="1" si="184"/>
        <v>-1633012702241581.8</v>
      </c>
      <c r="M5311" s="471">
        <f t="shared" si="186"/>
        <v>0.05</v>
      </c>
      <c r="N5311" s="475">
        <f t="shared" si="187"/>
        <v>212694</v>
      </c>
    </row>
    <row r="5312" spans="7:14" ht="11.25" customHeight="1" x14ac:dyDescent="0.3">
      <c r="G5312" s="470"/>
      <c r="H5312" s="470">
        <v>5305</v>
      </c>
      <c r="I5312" s="455">
        <f t="shared" ca="1" si="185"/>
        <v>-1633012702241581.8</v>
      </c>
      <c r="J5312" s="455">
        <f t="array" ref="J5312">IFERROR(INDEX('Retirement Calculator'!K:K,MATCH('Lorri 401b'!N5312,'Retirement Calculator'!A:A,0),0),0)</f>
        <v>0</v>
      </c>
      <c r="K5312" s="455">
        <f t="shared" ca="1" si="183"/>
        <v>-6804219592673.2568</v>
      </c>
      <c r="L5312" s="455">
        <f t="shared" ca="1" si="184"/>
        <v>-1639816921834255</v>
      </c>
      <c r="M5312" s="471">
        <f t="shared" si="186"/>
        <v>0.05</v>
      </c>
      <c r="N5312" s="475">
        <f t="shared" si="187"/>
        <v>212725</v>
      </c>
    </row>
    <row r="5313" spans="7:14" ht="11.25" customHeight="1" x14ac:dyDescent="0.3">
      <c r="G5313" s="470"/>
      <c r="H5313" s="470">
        <v>5306</v>
      </c>
      <c r="I5313" s="455">
        <f t="shared" ca="1" si="185"/>
        <v>-1639816921834255</v>
      </c>
      <c r="J5313" s="455">
        <f t="array" ref="J5313">IFERROR(INDEX('Retirement Calculator'!K:K,MATCH('Lorri 401b'!N5313,'Retirement Calculator'!A:A,0),0),0)</f>
        <v>0</v>
      </c>
      <c r="K5313" s="455">
        <f t="shared" ca="1" si="183"/>
        <v>-6832570507642.7295</v>
      </c>
      <c r="L5313" s="455">
        <f t="shared" ca="1" si="184"/>
        <v>-1646649492341897.8</v>
      </c>
      <c r="M5313" s="471">
        <f t="shared" si="186"/>
        <v>0.05</v>
      </c>
      <c r="N5313" s="475">
        <f t="shared" si="187"/>
        <v>212755</v>
      </c>
    </row>
    <row r="5314" spans="7:14" ht="11.25" customHeight="1" x14ac:dyDescent="0.3">
      <c r="G5314" s="470"/>
      <c r="H5314" s="470">
        <v>5307</v>
      </c>
      <c r="I5314" s="455">
        <f t="shared" ca="1" si="185"/>
        <v>-1646649492341897.8</v>
      </c>
      <c r="J5314" s="455">
        <f t="array" ref="J5314">IFERROR(INDEX('Retirement Calculator'!K:K,MATCH('Lorri 401b'!N5314,'Retirement Calculator'!A:A,0),0),0)</f>
        <v>0</v>
      </c>
      <c r="K5314" s="455">
        <f t="shared" ca="1" si="183"/>
        <v>-6861039551424.5742</v>
      </c>
      <c r="L5314" s="455">
        <f t="shared" ca="1" si="184"/>
        <v>-1653510531893322.3</v>
      </c>
      <c r="M5314" s="471">
        <f t="shared" si="186"/>
        <v>0.05</v>
      </c>
      <c r="N5314" s="475">
        <f t="shared" si="187"/>
        <v>212786</v>
      </c>
    </row>
    <row r="5315" spans="7:14" ht="11.25" customHeight="1" x14ac:dyDescent="0.3">
      <c r="G5315" s="470"/>
      <c r="H5315" s="470">
        <v>5308</v>
      </c>
      <c r="I5315" s="455">
        <f t="shared" ca="1" si="185"/>
        <v>-1653510531893322.3</v>
      </c>
      <c r="J5315" s="455">
        <f t="array" ref="J5315">IFERROR(INDEX('Retirement Calculator'!K:K,MATCH('Lorri 401b'!N5315,'Retirement Calculator'!A:A,0),0),0)</f>
        <v>0</v>
      </c>
      <c r="K5315" s="455">
        <f t="shared" ca="1" si="183"/>
        <v>-6889627216222.1758</v>
      </c>
      <c r="L5315" s="455">
        <f t="shared" ca="1" si="184"/>
        <v>-1660400159109544.5</v>
      </c>
      <c r="M5315" s="471">
        <f t="shared" si="186"/>
        <v>0.05</v>
      </c>
      <c r="N5315" s="475">
        <f t="shared" si="187"/>
        <v>212817</v>
      </c>
    </row>
    <row r="5316" spans="7:14" ht="11.25" customHeight="1" x14ac:dyDescent="0.3">
      <c r="G5316" s="470"/>
      <c r="H5316" s="470">
        <v>5309</v>
      </c>
      <c r="I5316" s="455">
        <f t="shared" ca="1" si="185"/>
        <v>-1660400159109544.5</v>
      </c>
      <c r="J5316" s="455">
        <f t="array" ref="J5316">IFERROR(INDEX('Retirement Calculator'!K:K,MATCH('Lorri 401b'!N5316,'Retirement Calculator'!A:A,0),0),0)</f>
        <v>0</v>
      </c>
      <c r="K5316" s="455">
        <f t="shared" ca="1" si="183"/>
        <v>-6918333996289.7686</v>
      </c>
      <c r="L5316" s="455">
        <f t="shared" ca="1" si="184"/>
        <v>-1667318493105834.3</v>
      </c>
      <c r="M5316" s="471">
        <f t="shared" si="186"/>
        <v>0.05</v>
      </c>
      <c r="N5316" s="475">
        <f t="shared" si="187"/>
        <v>212847</v>
      </c>
    </row>
    <row r="5317" spans="7:14" ht="11.25" customHeight="1" x14ac:dyDescent="0.3">
      <c r="G5317" s="470"/>
      <c r="H5317" s="470">
        <v>5310</v>
      </c>
      <c r="I5317" s="455">
        <f t="shared" ca="1" si="185"/>
        <v>-1667318493105834.3</v>
      </c>
      <c r="J5317" s="455">
        <f t="array" ref="J5317">IFERROR(INDEX('Retirement Calculator'!K:K,MATCH('Lorri 401b'!N5317,'Retirement Calculator'!A:A,0),0),0)</f>
        <v>0</v>
      </c>
      <c r="K5317" s="455">
        <f t="shared" ca="1" si="183"/>
        <v>-6947160387940.9756</v>
      </c>
      <c r="L5317" s="455">
        <f t="shared" ca="1" si="184"/>
        <v>-1674265653493775.3</v>
      </c>
      <c r="M5317" s="471">
        <f t="shared" si="186"/>
        <v>0.05</v>
      </c>
      <c r="N5317" s="475">
        <f t="shared" si="187"/>
        <v>212878</v>
      </c>
    </row>
    <row r="5318" spans="7:14" ht="11.25" customHeight="1" x14ac:dyDescent="0.3">
      <c r="G5318" s="470"/>
      <c r="H5318" s="470">
        <v>5311</v>
      </c>
      <c r="I5318" s="455">
        <f t="shared" ca="1" si="185"/>
        <v>-1674265653493775.3</v>
      </c>
      <c r="J5318" s="455">
        <f t="array" ref="J5318">IFERROR(INDEX('Retirement Calculator'!K:K,MATCH('Lorri 401b'!N5318,'Retirement Calculator'!A:A,0),0),0)</f>
        <v>0</v>
      </c>
      <c r="K5318" s="455">
        <f t="shared" ca="1" si="183"/>
        <v>-6976106889557.3965</v>
      </c>
      <c r="L5318" s="455">
        <f t="shared" ca="1" si="184"/>
        <v>-1681241760383332.8</v>
      </c>
      <c r="M5318" s="471">
        <f t="shared" si="186"/>
        <v>0.05</v>
      </c>
      <c r="N5318" s="475">
        <f t="shared" si="187"/>
        <v>212908</v>
      </c>
    </row>
    <row r="5319" spans="7:14" ht="11.25" customHeight="1" x14ac:dyDescent="0.3">
      <c r="G5319" s="470"/>
      <c r="H5319" s="470">
        <v>5312</v>
      </c>
      <c r="I5319" s="455">
        <f t="shared" ca="1" si="185"/>
        <v>-1681241760383332.8</v>
      </c>
      <c r="J5319" s="455">
        <f t="array" ref="J5319">IFERROR(INDEX('Retirement Calculator'!K:K,MATCH('Lorri 401b'!N5319,'Retirement Calculator'!A:A,0),0),0)</f>
        <v>0</v>
      </c>
      <c r="K5319" s="455">
        <f t="shared" ca="1" si="183"/>
        <v>-7005174001597.2197</v>
      </c>
      <c r="L5319" s="455">
        <f t="shared" ca="1" si="184"/>
        <v>-1688246934384930</v>
      </c>
      <c r="M5319" s="471">
        <f t="shared" si="186"/>
        <v>0.05</v>
      </c>
      <c r="N5319" s="475">
        <f t="shared" si="187"/>
        <v>212939</v>
      </c>
    </row>
    <row r="5320" spans="7:14" ht="11.25" customHeight="1" x14ac:dyDescent="0.3">
      <c r="G5320" s="470"/>
      <c r="H5320" s="470">
        <v>5313</v>
      </c>
      <c r="I5320" s="455">
        <f t="shared" ca="1" si="185"/>
        <v>-1688246934384930</v>
      </c>
      <c r="J5320" s="455">
        <f t="array" ref="J5320">IFERROR(INDEX('Retirement Calculator'!K:K,MATCH('Lorri 401b'!N5320,'Retirement Calculator'!A:A,0),0),0)</f>
        <v>0</v>
      </c>
      <c r="K5320" s="455">
        <f t="shared" ca="1" si="183"/>
        <v>-7034362226603.875</v>
      </c>
      <c r="L5320" s="455">
        <f t="shared" ca="1" si="184"/>
        <v>-1695281296611534</v>
      </c>
      <c r="M5320" s="471">
        <f t="shared" si="186"/>
        <v>0.05</v>
      </c>
      <c r="N5320" s="475">
        <f t="shared" si="187"/>
        <v>212970</v>
      </c>
    </row>
    <row r="5321" spans="7:14" ht="11.25" customHeight="1" x14ac:dyDescent="0.3">
      <c r="G5321" s="470"/>
      <c r="H5321" s="470">
        <v>5314</v>
      </c>
      <c r="I5321" s="455">
        <f t="shared" ca="1" si="185"/>
        <v>-1695281296611534</v>
      </c>
      <c r="J5321" s="455">
        <f t="array" ref="J5321">IFERROR(INDEX('Retirement Calculator'!K:K,MATCH('Lorri 401b'!N5321,'Retirement Calculator'!A:A,0),0),0)</f>
        <v>0</v>
      </c>
      <c r="K5321" s="455">
        <f t="shared" ca="1" si="183"/>
        <v>-7063672069214.7246</v>
      </c>
      <c r="L5321" s="455">
        <f t="shared" ca="1" si="184"/>
        <v>-1702344968680748.8</v>
      </c>
      <c r="M5321" s="471">
        <f t="shared" si="186"/>
        <v>0.05</v>
      </c>
      <c r="N5321" s="475">
        <f t="shared" si="187"/>
        <v>212998</v>
      </c>
    </row>
    <row r="5322" spans="7:14" ht="11.25" customHeight="1" x14ac:dyDescent="0.3">
      <c r="G5322" s="470"/>
      <c r="H5322" s="470">
        <v>5315</v>
      </c>
      <c r="I5322" s="455">
        <f t="shared" ca="1" si="185"/>
        <v>-1702344968680748.8</v>
      </c>
      <c r="J5322" s="455">
        <f t="array" ref="J5322">IFERROR(INDEX('Retirement Calculator'!K:K,MATCH('Lorri 401b'!N5322,'Retirement Calculator'!A:A,0),0),0)</f>
        <v>0</v>
      </c>
      <c r="K5322" s="455">
        <f t="shared" ca="1" si="183"/>
        <v>-7093104036169.7861</v>
      </c>
      <c r="L5322" s="455">
        <f t="shared" ca="1" si="184"/>
        <v>-1709438072716918.5</v>
      </c>
      <c r="M5322" s="471">
        <f t="shared" si="186"/>
        <v>0.05</v>
      </c>
      <c r="N5322" s="475">
        <f t="shared" si="187"/>
        <v>213029</v>
      </c>
    </row>
    <row r="5323" spans="7:14" ht="11.25" customHeight="1" x14ac:dyDescent="0.3">
      <c r="G5323" s="470"/>
      <c r="H5323" s="470">
        <v>5316</v>
      </c>
      <c r="I5323" s="455">
        <f t="shared" ca="1" si="185"/>
        <v>-1709438072716918.5</v>
      </c>
      <c r="J5323" s="455">
        <f t="array" ref="J5323">IFERROR(INDEX('Retirement Calculator'!K:K,MATCH('Lorri 401b'!N5323,'Retirement Calculator'!A:A,0),0),0)</f>
        <v>0</v>
      </c>
      <c r="K5323" s="455">
        <f t="shared" ca="1" si="183"/>
        <v>-7122658636320.4932</v>
      </c>
      <c r="L5323" s="455">
        <f t="shared" ca="1" si="184"/>
        <v>-1716560731353239</v>
      </c>
      <c r="M5323" s="471">
        <f t="shared" si="186"/>
        <v>0.05</v>
      </c>
      <c r="N5323" s="475">
        <f t="shared" si="187"/>
        <v>213059</v>
      </c>
    </row>
    <row r="5324" spans="7:14" ht="11.25" customHeight="1" x14ac:dyDescent="0.3">
      <c r="G5324" s="470"/>
      <c r="H5324" s="470">
        <v>5317</v>
      </c>
      <c r="I5324" s="455">
        <f t="shared" ca="1" si="185"/>
        <v>-1716560731353239</v>
      </c>
      <c r="J5324" s="455">
        <f t="array" ref="J5324">IFERROR(INDEX('Retirement Calculator'!K:K,MATCH('Lorri 401b'!N5324,'Retirement Calculator'!A:A,0),0),0)</f>
        <v>0</v>
      </c>
      <c r="K5324" s="455">
        <f t="shared" ca="1" si="183"/>
        <v>-7152336380638.4961</v>
      </c>
      <c r="L5324" s="455">
        <f t="shared" ca="1" si="184"/>
        <v>-1723713067733877.5</v>
      </c>
      <c r="M5324" s="471">
        <f t="shared" si="186"/>
        <v>0.05</v>
      </c>
      <c r="N5324" s="475">
        <f t="shared" si="187"/>
        <v>213090</v>
      </c>
    </row>
    <row r="5325" spans="7:14" ht="11.25" customHeight="1" x14ac:dyDescent="0.3">
      <c r="G5325" s="470"/>
      <c r="H5325" s="470">
        <v>5318</v>
      </c>
      <c r="I5325" s="455">
        <f t="shared" ca="1" si="185"/>
        <v>-1723713067733877.5</v>
      </c>
      <c r="J5325" s="455">
        <f t="array" ref="J5325">IFERROR(INDEX('Retirement Calculator'!K:K,MATCH('Lorri 401b'!N5325,'Retirement Calculator'!A:A,0),0),0)</f>
        <v>0</v>
      </c>
      <c r="K5325" s="455">
        <f t="shared" ca="1" si="183"/>
        <v>-7182137782224.4893</v>
      </c>
      <c r="L5325" s="455">
        <f t="shared" ca="1" si="184"/>
        <v>-1730895205516102</v>
      </c>
      <c r="M5325" s="471">
        <f t="shared" si="186"/>
        <v>0.05</v>
      </c>
      <c r="N5325" s="475">
        <f t="shared" si="187"/>
        <v>213120</v>
      </c>
    </row>
    <row r="5326" spans="7:14" ht="11.25" customHeight="1" x14ac:dyDescent="0.3">
      <c r="G5326" s="470"/>
      <c r="H5326" s="470">
        <v>5319</v>
      </c>
      <c r="I5326" s="455">
        <f t="shared" ca="1" si="185"/>
        <v>-1730895205516102</v>
      </c>
      <c r="J5326" s="455">
        <f t="array" ref="J5326">IFERROR(INDEX('Retirement Calculator'!K:K,MATCH('Lorri 401b'!N5326,'Retirement Calculator'!A:A,0),0),0)</f>
        <v>0</v>
      </c>
      <c r="K5326" s="455">
        <f t="shared" ca="1" si="183"/>
        <v>-7212063356317.0918</v>
      </c>
      <c r="L5326" s="455">
        <f t="shared" ca="1" si="184"/>
        <v>-1738107268872419</v>
      </c>
      <c r="M5326" s="471">
        <f t="shared" si="186"/>
        <v>0.05</v>
      </c>
      <c r="N5326" s="475">
        <f t="shared" si="187"/>
        <v>213151</v>
      </c>
    </row>
    <row r="5327" spans="7:14" ht="11.25" customHeight="1" x14ac:dyDescent="0.3">
      <c r="G5327" s="470"/>
      <c r="H5327" s="470">
        <v>5320</v>
      </c>
      <c r="I5327" s="455">
        <f t="shared" ca="1" si="185"/>
        <v>-1738107268872419</v>
      </c>
      <c r="J5327" s="455">
        <f t="array" ref="J5327">IFERROR(INDEX('Retirement Calculator'!K:K,MATCH('Lorri 401b'!N5327,'Retirement Calculator'!A:A,0),0),0)</f>
        <v>0</v>
      </c>
      <c r="K5327" s="455">
        <f t="shared" ca="1" si="183"/>
        <v>-7242113620301.7461</v>
      </c>
      <c r="L5327" s="455">
        <f t="shared" ca="1" si="184"/>
        <v>-1745349382492720.8</v>
      </c>
      <c r="M5327" s="471">
        <f t="shared" si="186"/>
        <v>0.05</v>
      </c>
      <c r="N5327" s="475">
        <f t="shared" si="187"/>
        <v>213182</v>
      </c>
    </row>
    <row r="5328" spans="7:14" ht="11.25" customHeight="1" x14ac:dyDescent="0.3">
      <c r="G5328" s="470"/>
      <c r="H5328" s="470">
        <v>5321</v>
      </c>
      <c r="I5328" s="455">
        <f t="shared" ca="1" si="185"/>
        <v>-1745349382492720.8</v>
      </c>
      <c r="J5328" s="455">
        <f t="array" ref="J5328">IFERROR(INDEX('Retirement Calculator'!K:K,MATCH('Lorri 401b'!N5328,'Retirement Calculator'!A:A,0),0),0)</f>
        <v>0</v>
      </c>
      <c r="K5328" s="455">
        <f t="shared" ca="1" si="183"/>
        <v>-7272289093719.6699</v>
      </c>
      <c r="L5328" s="455">
        <f t="shared" ca="1" si="184"/>
        <v>-1752621671586440.5</v>
      </c>
      <c r="M5328" s="471">
        <f t="shared" si="186"/>
        <v>0.05</v>
      </c>
      <c r="N5328" s="475">
        <f t="shared" si="187"/>
        <v>213212</v>
      </c>
    </row>
    <row r="5329" spans="7:14" ht="11.25" customHeight="1" x14ac:dyDescent="0.3">
      <c r="G5329" s="470"/>
      <c r="H5329" s="470">
        <v>5322</v>
      </c>
      <c r="I5329" s="455">
        <f t="shared" ca="1" si="185"/>
        <v>-1752621671586440.5</v>
      </c>
      <c r="J5329" s="455">
        <f t="array" ref="J5329">IFERROR(INDEX('Retirement Calculator'!K:K,MATCH('Lorri 401b'!N5329,'Retirement Calculator'!A:A,0),0),0)</f>
        <v>0</v>
      </c>
      <c r="K5329" s="455">
        <f t="shared" ca="1" si="183"/>
        <v>-7302590298276.835</v>
      </c>
      <c r="L5329" s="455">
        <f t="shared" ca="1" si="184"/>
        <v>-1759924261884717.3</v>
      </c>
      <c r="M5329" s="471">
        <f t="shared" si="186"/>
        <v>0.05</v>
      </c>
      <c r="N5329" s="475">
        <f t="shared" si="187"/>
        <v>213243</v>
      </c>
    </row>
    <row r="5330" spans="7:14" ht="11.25" customHeight="1" x14ac:dyDescent="0.3">
      <c r="G5330" s="470"/>
      <c r="H5330" s="470">
        <v>5323</v>
      </c>
      <c r="I5330" s="455">
        <f t="shared" ca="1" si="185"/>
        <v>-1759924261884717.3</v>
      </c>
      <c r="J5330" s="455">
        <f t="array" ref="J5330">IFERROR(INDEX('Retirement Calculator'!K:K,MATCH('Lorri 401b'!N5330,'Retirement Calculator'!A:A,0),0),0)</f>
        <v>0</v>
      </c>
      <c r="K5330" s="455">
        <f t="shared" ca="1" si="183"/>
        <v>-7333017757852.9893</v>
      </c>
      <c r="L5330" s="455">
        <f t="shared" ca="1" si="184"/>
        <v>-1767257279642570.3</v>
      </c>
      <c r="M5330" s="471">
        <f t="shared" si="186"/>
        <v>0.05</v>
      </c>
      <c r="N5330" s="475">
        <f t="shared" si="187"/>
        <v>213273</v>
      </c>
    </row>
    <row r="5331" spans="7:14" ht="11.25" customHeight="1" x14ac:dyDescent="0.3">
      <c r="G5331" s="470"/>
      <c r="H5331" s="470">
        <v>5324</v>
      </c>
      <c r="I5331" s="455">
        <f t="shared" ca="1" si="185"/>
        <v>-1767257279642570.3</v>
      </c>
      <c r="J5331" s="455">
        <f t="array" ref="J5331">IFERROR(INDEX('Retirement Calculator'!K:K,MATCH('Lorri 401b'!N5331,'Retirement Calculator'!A:A,0),0),0)</f>
        <v>0</v>
      </c>
      <c r="K5331" s="455">
        <f t="shared" ca="1" si="183"/>
        <v>-7363571998510.709</v>
      </c>
      <c r="L5331" s="455">
        <f t="shared" ca="1" si="184"/>
        <v>-1774620851641081</v>
      </c>
      <c r="M5331" s="471">
        <f t="shared" si="186"/>
        <v>0.05</v>
      </c>
      <c r="N5331" s="475">
        <f t="shared" si="187"/>
        <v>213304</v>
      </c>
    </row>
    <row r="5332" spans="7:14" ht="11.25" customHeight="1" x14ac:dyDescent="0.3">
      <c r="G5332" s="470"/>
      <c r="H5332" s="470">
        <v>5325</v>
      </c>
      <c r="I5332" s="455">
        <f t="shared" ca="1" si="185"/>
        <v>-1774620851641081</v>
      </c>
      <c r="J5332" s="455">
        <f t="array" ref="J5332">IFERROR(INDEX('Retirement Calculator'!K:K,MATCH('Lorri 401b'!N5332,'Retirement Calculator'!A:A,0),0),0)</f>
        <v>0</v>
      </c>
      <c r="K5332" s="455">
        <f t="shared" ca="1" si="183"/>
        <v>-7394253548504.5039</v>
      </c>
      <c r="L5332" s="455">
        <f t="shared" ca="1" si="184"/>
        <v>-1782015105189585.5</v>
      </c>
      <c r="M5332" s="471">
        <f t="shared" si="186"/>
        <v>0.05</v>
      </c>
      <c r="N5332" s="475">
        <f t="shared" si="187"/>
        <v>213335</v>
      </c>
    </row>
    <row r="5333" spans="7:14" ht="11.25" customHeight="1" x14ac:dyDescent="0.3">
      <c r="G5333" s="470"/>
      <c r="H5333" s="470">
        <v>5326</v>
      </c>
      <c r="I5333" s="455">
        <f t="shared" ca="1" si="185"/>
        <v>-1782015105189585.5</v>
      </c>
      <c r="J5333" s="455">
        <f t="array" ref="J5333">IFERROR(INDEX('Retirement Calculator'!K:K,MATCH('Lorri 401b'!N5333,'Retirement Calculator'!A:A,0),0),0)</f>
        <v>0</v>
      </c>
      <c r="K5333" s="455">
        <f t="shared" ca="1" si="183"/>
        <v>-7425062938289.9395</v>
      </c>
      <c r="L5333" s="455">
        <f t="shared" ca="1" si="184"/>
        <v>-1789440168127875.5</v>
      </c>
      <c r="M5333" s="471">
        <f t="shared" si="186"/>
        <v>0.05</v>
      </c>
      <c r="N5333" s="475">
        <f t="shared" si="187"/>
        <v>213364</v>
      </c>
    </row>
    <row r="5334" spans="7:14" ht="11.25" customHeight="1" x14ac:dyDescent="0.3">
      <c r="G5334" s="470"/>
      <c r="H5334" s="470">
        <v>5327</v>
      </c>
      <c r="I5334" s="455">
        <f t="shared" ca="1" si="185"/>
        <v>-1789440168127875.5</v>
      </c>
      <c r="J5334" s="455">
        <f t="array" ref="J5334">IFERROR(INDEX('Retirement Calculator'!K:K,MATCH('Lorri 401b'!N5334,'Retirement Calculator'!A:A,0),0),0)</f>
        <v>0</v>
      </c>
      <c r="K5334" s="455">
        <f t="shared" ca="1" si="183"/>
        <v>-7456000700532.8145</v>
      </c>
      <c r="L5334" s="455">
        <f t="shared" ca="1" si="184"/>
        <v>-1796896168828408.3</v>
      </c>
      <c r="M5334" s="471">
        <f t="shared" si="186"/>
        <v>0.05</v>
      </c>
      <c r="N5334" s="475">
        <f t="shared" si="187"/>
        <v>213395</v>
      </c>
    </row>
    <row r="5335" spans="7:14" ht="11.25" customHeight="1" x14ac:dyDescent="0.3">
      <c r="G5335" s="470"/>
      <c r="H5335" s="470">
        <v>5328</v>
      </c>
      <c r="I5335" s="455">
        <f t="shared" ca="1" si="185"/>
        <v>-1796896168828408.3</v>
      </c>
      <c r="J5335" s="455">
        <f t="array" ref="J5335">IFERROR(INDEX('Retirement Calculator'!K:K,MATCH('Lorri 401b'!N5335,'Retirement Calculator'!A:A,0),0),0)</f>
        <v>0</v>
      </c>
      <c r="K5335" s="455">
        <f t="shared" ca="1" si="183"/>
        <v>-7487067370118.3662</v>
      </c>
      <c r="L5335" s="455">
        <f t="shared" ca="1" si="184"/>
        <v>-1804383236198526.5</v>
      </c>
      <c r="M5335" s="471">
        <f t="shared" si="186"/>
        <v>0.05</v>
      </c>
      <c r="N5335" s="475">
        <f t="shared" si="187"/>
        <v>213425</v>
      </c>
    </row>
    <row r="5336" spans="7:14" ht="11.25" customHeight="1" x14ac:dyDescent="0.3">
      <c r="G5336" s="470"/>
      <c r="H5336" s="470">
        <v>5329</v>
      </c>
      <c r="I5336" s="455">
        <f t="shared" ca="1" si="185"/>
        <v>-1804383236198526.5</v>
      </c>
      <c r="J5336" s="455">
        <f t="array" ref="J5336">IFERROR(INDEX('Retirement Calculator'!K:K,MATCH('Lorri 401b'!N5336,'Retirement Calculator'!A:A,0),0),0)</f>
        <v>0</v>
      </c>
      <c r="K5336" s="455">
        <f t="shared" ca="1" si="183"/>
        <v>-7518263484160.5273</v>
      </c>
      <c r="L5336" s="455">
        <f t="shared" ca="1" si="184"/>
        <v>-1811901499682687</v>
      </c>
      <c r="M5336" s="471">
        <f t="shared" si="186"/>
        <v>0.05</v>
      </c>
      <c r="N5336" s="475">
        <f t="shared" si="187"/>
        <v>213456</v>
      </c>
    </row>
    <row r="5337" spans="7:14" ht="11.25" customHeight="1" x14ac:dyDescent="0.3">
      <c r="G5337" s="470"/>
      <c r="H5337" s="470">
        <v>5330</v>
      </c>
      <c r="I5337" s="455">
        <f t="shared" ca="1" si="185"/>
        <v>-1811901499682687</v>
      </c>
      <c r="J5337" s="455">
        <f t="array" ref="J5337">IFERROR(INDEX('Retirement Calculator'!K:K,MATCH('Lorri 401b'!N5337,'Retirement Calculator'!A:A,0),0),0)</f>
        <v>0</v>
      </c>
      <c r="K5337" s="455">
        <f t="shared" ca="1" si="183"/>
        <v>-7549589582011.1953</v>
      </c>
      <c r="L5337" s="455">
        <f t="shared" ca="1" si="184"/>
        <v>-1819451089264698.3</v>
      </c>
      <c r="M5337" s="471">
        <f t="shared" si="186"/>
        <v>0.05</v>
      </c>
      <c r="N5337" s="475">
        <f t="shared" si="187"/>
        <v>213486</v>
      </c>
    </row>
    <row r="5338" spans="7:14" ht="11.25" customHeight="1" x14ac:dyDescent="0.3">
      <c r="G5338" s="470"/>
      <c r="H5338" s="470">
        <v>5331</v>
      </c>
      <c r="I5338" s="455">
        <f t="shared" ca="1" si="185"/>
        <v>-1819451089264698.3</v>
      </c>
      <c r="J5338" s="455">
        <f t="array" ref="J5338">IFERROR(INDEX('Retirement Calculator'!K:K,MATCH('Lorri 401b'!N5338,'Retirement Calculator'!A:A,0),0),0)</f>
        <v>0</v>
      </c>
      <c r="K5338" s="455">
        <f t="shared" ca="1" si="183"/>
        <v>-7581046205269.5762</v>
      </c>
      <c r="L5338" s="455">
        <f t="shared" ca="1" si="184"/>
        <v>-1827032135469967.8</v>
      </c>
      <c r="M5338" s="471">
        <f t="shared" si="186"/>
        <v>0.05</v>
      </c>
      <c r="N5338" s="475">
        <f t="shared" si="187"/>
        <v>213517</v>
      </c>
    </row>
    <row r="5339" spans="7:14" ht="11.25" customHeight="1" x14ac:dyDescent="0.3">
      <c r="G5339" s="470"/>
      <c r="H5339" s="470">
        <v>5332</v>
      </c>
      <c r="I5339" s="455">
        <f t="shared" ca="1" si="185"/>
        <v>-1827032135469967.8</v>
      </c>
      <c r="J5339" s="455">
        <f t="array" ref="J5339">IFERROR(INDEX('Retirement Calculator'!K:K,MATCH('Lorri 401b'!N5339,'Retirement Calculator'!A:A,0),0),0)</f>
        <v>0</v>
      </c>
      <c r="K5339" s="455">
        <f t="shared" ca="1" si="183"/>
        <v>-7612633897791.5322</v>
      </c>
      <c r="L5339" s="455">
        <f t="shared" ca="1" si="184"/>
        <v>-1834644769367759.3</v>
      </c>
      <c r="M5339" s="471">
        <f t="shared" si="186"/>
        <v>0.05</v>
      </c>
      <c r="N5339" s="475">
        <f t="shared" si="187"/>
        <v>213548</v>
      </c>
    </row>
    <row r="5340" spans="7:14" ht="11.25" customHeight="1" x14ac:dyDescent="0.3">
      <c r="G5340" s="470"/>
      <c r="H5340" s="470">
        <v>5333</v>
      </c>
      <c r="I5340" s="455">
        <f t="shared" ca="1" si="185"/>
        <v>-1834644769367759.3</v>
      </c>
      <c r="J5340" s="455">
        <f t="array" ref="J5340">IFERROR(INDEX('Retirement Calculator'!K:K,MATCH('Lorri 401b'!N5340,'Retirement Calculator'!A:A,0),0),0)</f>
        <v>0</v>
      </c>
      <c r="K5340" s="455">
        <f t="shared" ca="1" si="183"/>
        <v>-7644353205698.9971</v>
      </c>
      <c r="L5340" s="455">
        <f t="shared" ca="1" si="184"/>
        <v>-1842289122573458.3</v>
      </c>
      <c r="M5340" s="471">
        <f t="shared" si="186"/>
        <v>0.05</v>
      </c>
      <c r="N5340" s="475">
        <f t="shared" si="187"/>
        <v>213578</v>
      </c>
    </row>
    <row r="5341" spans="7:14" ht="11.25" customHeight="1" x14ac:dyDescent="0.3">
      <c r="G5341" s="470"/>
      <c r="H5341" s="470">
        <v>5334</v>
      </c>
      <c r="I5341" s="455">
        <f t="shared" ca="1" si="185"/>
        <v>-1842289122573458.3</v>
      </c>
      <c r="J5341" s="455">
        <f t="array" ref="J5341">IFERROR(INDEX('Retirement Calculator'!K:K,MATCH('Lorri 401b'!N5341,'Retirement Calculator'!A:A,0),0),0)</f>
        <v>0</v>
      </c>
      <c r="K5341" s="455">
        <f t="shared" ca="1" si="183"/>
        <v>-7676204677389.4082</v>
      </c>
      <c r="L5341" s="455">
        <f t="shared" ca="1" si="184"/>
        <v>-1849965327250847.8</v>
      </c>
      <c r="M5341" s="471">
        <f t="shared" si="186"/>
        <v>0.05</v>
      </c>
      <c r="N5341" s="475">
        <f t="shared" si="187"/>
        <v>213609</v>
      </c>
    </row>
    <row r="5342" spans="7:14" ht="11.25" customHeight="1" x14ac:dyDescent="0.3">
      <c r="G5342" s="470"/>
      <c r="H5342" s="470">
        <v>5335</v>
      </c>
      <c r="I5342" s="455">
        <f t="shared" ca="1" si="185"/>
        <v>-1849965327250847.8</v>
      </c>
      <c r="J5342" s="455">
        <f t="array" ref="J5342">IFERROR(INDEX('Retirement Calculator'!K:K,MATCH('Lorri 401b'!N5342,'Retirement Calculator'!A:A,0),0),0)</f>
        <v>0</v>
      </c>
      <c r="K5342" s="455">
        <f t="shared" ca="1" si="183"/>
        <v>-7708188863545.1982</v>
      </c>
      <c r="L5342" s="455">
        <f t="shared" ca="1" si="184"/>
        <v>-1857673516114393</v>
      </c>
      <c r="M5342" s="471">
        <f t="shared" si="186"/>
        <v>0.05</v>
      </c>
      <c r="N5342" s="475">
        <f t="shared" si="187"/>
        <v>213639</v>
      </c>
    </row>
    <row r="5343" spans="7:14" ht="11.25" customHeight="1" x14ac:dyDescent="0.3">
      <c r="G5343" s="470"/>
      <c r="H5343" s="470">
        <v>5336</v>
      </c>
      <c r="I5343" s="455">
        <f t="shared" ca="1" si="185"/>
        <v>-1857673516114393</v>
      </c>
      <c r="J5343" s="455">
        <f t="array" ref="J5343">IFERROR(INDEX('Retirement Calculator'!K:K,MATCH('Lorri 401b'!N5343,'Retirement Calculator'!A:A,0),0),0)</f>
        <v>0</v>
      </c>
      <c r="K5343" s="455">
        <f t="shared" ca="1" si="183"/>
        <v>-7740306317143.3037</v>
      </c>
      <c r="L5343" s="455">
        <f t="shared" ca="1" si="184"/>
        <v>-1865413822431536.3</v>
      </c>
      <c r="M5343" s="471">
        <f t="shared" si="186"/>
        <v>0.05</v>
      </c>
      <c r="N5343" s="475">
        <f t="shared" si="187"/>
        <v>213670</v>
      </c>
    </row>
    <row r="5344" spans="7:14" ht="11.25" customHeight="1" x14ac:dyDescent="0.3">
      <c r="G5344" s="470"/>
      <c r="H5344" s="470">
        <v>5337</v>
      </c>
      <c r="I5344" s="455">
        <f t="shared" ca="1" si="185"/>
        <v>-1865413822431536.3</v>
      </c>
      <c r="J5344" s="455">
        <f t="array" ref="J5344">IFERROR(INDEX('Retirement Calculator'!K:K,MATCH('Lorri 401b'!N5344,'Retirement Calculator'!A:A,0),0),0)</f>
        <v>0</v>
      </c>
      <c r="K5344" s="455">
        <f t="shared" ca="1" si="183"/>
        <v>-7772557593464.7344</v>
      </c>
      <c r="L5344" s="455">
        <f t="shared" ca="1" si="184"/>
        <v>-1873186380025001</v>
      </c>
      <c r="M5344" s="471">
        <f t="shared" si="186"/>
        <v>0.05</v>
      </c>
      <c r="N5344" s="475">
        <f t="shared" si="187"/>
        <v>213701</v>
      </c>
    </row>
    <row r="5345" spans="7:14" ht="11.25" customHeight="1" x14ac:dyDescent="0.3">
      <c r="G5345" s="470"/>
      <c r="H5345" s="470">
        <v>5338</v>
      </c>
      <c r="I5345" s="455">
        <f t="shared" ca="1" si="185"/>
        <v>-1873186380025001</v>
      </c>
      <c r="J5345" s="455">
        <f t="array" ref="J5345">IFERROR(INDEX('Retirement Calculator'!K:K,MATCH('Lorri 401b'!N5345,'Retirement Calculator'!A:A,0),0),0)</f>
        <v>0</v>
      </c>
      <c r="K5345" s="455">
        <f t="shared" ca="1" si="183"/>
        <v>-7804943250104.1709</v>
      </c>
      <c r="L5345" s="455">
        <f t="shared" ca="1" si="184"/>
        <v>-1880991323275105.3</v>
      </c>
      <c r="M5345" s="471">
        <f t="shared" si="186"/>
        <v>0.05</v>
      </c>
      <c r="N5345" s="475">
        <f t="shared" si="187"/>
        <v>213729</v>
      </c>
    </row>
    <row r="5346" spans="7:14" ht="11.25" customHeight="1" x14ac:dyDescent="0.3">
      <c r="G5346" s="470"/>
      <c r="H5346" s="470">
        <v>5339</v>
      </c>
      <c r="I5346" s="455">
        <f t="shared" ca="1" si="185"/>
        <v>-1880991323275105.3</v>
      </c>
      <c r="J5346" s="455">
        <f t="array" ref="J5346">IFERROR(INDEX('Retirement Calculator'!K:K,MATCH('Lorri 401b'!N5346,'Retirement Calculator'!A:A,0),0),0)</f>
        <v>0</v>
      </c>
      <c r="K5346" s="455">
        <f t="shared" ca="1" si="183"/>
        <v>-7837463846979.6055</v>
      </c>
      <c r="L5346" s="455">
        <f t="shared" ca="1" si="184"/>
        <v>-1888828787122084.8</v>
      </c>
      <c r="M5346" s="471">
        <f t="shared" si="186"/>
        <v>0.05</v>
      </c>
      <c r="N5346" s="475">
        <f t="shared" si="187"/>
        <v>213760</v>
      </c>
    </row>
    <row r="5347" spans="7:14" ht="11.25" customHeight="1" x14ac:dyDescent="0.3">
      <c r="G5347" s="470"/>
      <c r="H5347" s="470">
        <v>5340</v>
      </c>
      <c r="I5347" s="455">
        <f t="shared" ca="1" si="185"/>
        <v>-1888828787122084.8</v>
      </c>
      <c r="J5347" s="455">
        <f t="array" ref="J5347">IFERROR(INDEX('Retirement Calculator'!K:K,MATCH('Lorri 401b'!N5347,'Retirement Calculator'!A:A,0),0),0)</f>
        <v>0</v>
      </c>
      <c r="K5347" s="455">
        <f t="shared" ca="1" si="183"/>
        <v>-7870119946342.0195</v>
      </c>
      <c r="L5347" s="455">
        <f t="shared" ca="1" si="184"/>
        <v>-1896698907068426.8</v>
      </c>
      <c r="M5347" s="471">
        <f t="shared" si="186"/>
        <v>0.05</v>
      </c>
      <c r="N5347" s="475">
        <f t="shared" si="187"/>
        <v>213790</v>
      </c>
    </row>
    <row r="5348" spans="7:14" ht="11.25" customHeight="1" x14ac:dyDescent="0.3">
      <c r="G5348" s="470"/>
      <c r="H5348" s="470">
        <v>5341</v>
      </c>
      <c r="I5348" s="455">
        <f t="shared" ca="1" si="185"/>
        <v>-1896698907068426.8</v>
      </c>
      <c r="J5348" s="455">
        <f t="array" ref="J5348">IFERROR(INDEX('Retirement Calculator'!K:K,MATCH('Lorri 401b'!N5348,'Retirement Calculator'!A:A,0),0),0)</f>
        <v>0</v>
      </c>
      <c r="K5348" s="455">
        <f t="shared" ca="1" si="183"/>
        <v>-7902912112785.1123</v>
      </c>
      <c r="L5348" s="455">
        <f t="shared" ca="1" si="184"/>
        <v>-1904601819181211.8</v>
      </c>
      <c r="M5348" s="471">
        <f t="shared" si="186"/>
        <v>0.05</v>
      </c>
      <c r="N5348" s="475">
        <f t="shared" si="187"/>
        <v>213821</v>
      </c>
    </row>
    <row r="5349" spans="7:14" ht="11.25" customHeight="1" x14ac:dyDescent="0.3">
      <c r="G5349" s="470"/>
      <c r="H5349" s="470">
        <v>5342</v>
      </c>
      <c r="I5349" s="455">
        <f t="shared" ca="1" si="185"/>
        <v>-1904601819181211.8</v>
      </c>
      <c r="J5349" s="455">
        <f t="array" ref="J5349">IFERROR(INDEX('Retirement Calculator'!K:K,MATCH('Lorri 401b'!N5349,'Retirement Calculator'!A:A,0),0),0)</f>
        <v>0</v>
      </c>
      <c r="K5349" s="455">
        <f t="shared" ca="1" si="183"/>
        <v>-7935840913255.0479</v>
      </c>
      <c r="L5349" s="455">
        <f t="shared" ca="1" si="184"/>
        <v>-1912537660094466.8</v>
      </c>
      <c r="M5349" s="471">
        <f t="shared" si="186"/>
        <v>0.05</v>
      </c>
      <c r="N5349" s="475">
        <f t="shared" si="187"/>
        <v>213851</v>
      </c>
    </row>
    <row r="5350" spans="7:14" ht="11.25" customHeight="1" x14ac:dyDescent="0.3">
      <c r="G5350" s="470"/>
      <c r="H5350" s="470">
        <v>5343</v>
      </c>
      <c r="I5350" s="455">
        <f t="shared" ca="1" si="185"/>
        <v>-1912537660094466.8</v>
      </c>
      <c r="J5350" s="455">
        <f t="array" ref="J5350">IFERROR(INDEX('Retirement Calculator'!K:K,MATCH('Lorri 401b'!N5350,'Retirement Calculator'!A:A,0),0),0)</f>
        <v>0</v>
      </c>
      <c r="K5350" s="455">
        <f t="shared" ca="1" si="183"/>
        <v>-7968906917060.2783</v>
      </c>
      <c r="L5350" s="455">
        <f t="shared" ca="1" si="184"/>
        <v>-1920506567011527</v>
      </c>
      <c r="M5350" s="471">
        <f t="shared" si="186"/>
        <v>0.05</v>
      </c>
      <c r="N5350" s="475">
        <f t="shared" si="187"/>
        <v>213882</v>
      </c>
    </row>
    <row r="5351" spans="7:14" ht="11.25" customHeight="1" x14ac:dyDescent="0.3">
      <c r="G5351" s="470"/>
      <c r="H5351" s="470">
        <v>5344</v>
      </c>
      <c r="I5351" s="455">
        <f t="shared" ca="1" si="185"/>
        <v>-1920506567011527</v>
      </c>
      <c r="J5351" s="455">
        <f t="array" ref="J5351">IFERROR(INDEX('Retirement Calculator'!K:K,MATCH('Lorri 401b'!N5351,'Retirement Calculator'!A:A,0),0),0)</f>
        <v>0</v>
      </c>
      <c r="K5351" s="455">
        <f t="shared" ca="1" si="183"/>
        <v>-8002110695881.3623</v>
      </c>
      <c r="L5351" s="455">
        <f t="shared" ca="1" si="184"/>
        <v>-1928508677707408.3</v>
      </c>
      <c r="M5351" s="471">
        <f t="shared" si="186"/>
        <v>0.05</v>
      </c>
      <c r="N5351" s="475">
        <f t="shared" si="187"/>
        <v>213913</v>
      </c>
    </row>
    <row r="5352" spans="7:14" ht="11.25" customHeight="1" x14ac:dyDescent="0.3">
      <c r="G5352" s="470"/>
      <c r="H5352" s="470">
        <v>5345</v>
      </c>
      <c r="I5352" s="455">
        <f t="shared" ca="1" si="185"/>
        <v>-1928508677707408.3</v>
      </c>
      <c r="J5352" s="455">
        <f t="array" ref="J5352">IFERROR(INDEX('Retirement Calculator'!K:K,MATCH('Lorri 401b'!N5352,'Retirement Calculator'!A:A,0),0),0)</f>
        <v>0</v>
      </c>
      <c r="K5352" s="455">
        <f t="shared" ca="1" si="183"/>
        <v>-8035452823780.8672</v>
      </c>
      <c r="L5352" s="455">
        <f t="shared" ca="1" si="184"/>
        <v>-1936544130531189</v>
      </c>
      <c r="M5352" s="471">
        <f t="shared" si="186"/>
        <v>0.05</v>
      </c>
      <c r="N5352" s="475">
        <f t="shared" si="187"/>
        <v>213943</v>
      </c>
    </row>
    <row r="5353" spans="7:14" ht="11.25" customHeight="1" x14ac:dyDescent="0.3">
      <c r="G5353" s="470"/>
      <c r="H5353" s="470">
        <v>5346</v>
      </c>
      <c r="I5353" s="455">
        <f t="shared" ca="1" si="185"/>
        <v>-1936544130531189</v>
      </c>
      <c r="J5353" s="455">
        <f t="array" ref="J5353">IFERROR(INDEX('Retirement Calculator'!K:K,MATCH('Lorri 401b'!N5353,'Retirement Calculator'!A:A,0),0),0)</f>
        <v>0</v>
      </c>
      <c r="K5353" s="455">
        <f t="shared" ca="1" si="183"/>
        <v>-8068933877213.2871</v>
      </c>
      <c r="L5353" s="455">
        <f t="shared" ca="1" si="184"/>
        <v>-1944613064408402.3</v>
      </c>
      <c r="M5353" s="471">
        <f t="shared" si="186"/>
        <v>0.05</v>
      </c>
      <c r="N5353" s="475">
        <f t="shared" si="187"/>
        <v>213974</v>
      </c>
    </row>
    <row r="5354" spans="7:14" ht="11.25" customHeight="1" x14ac:dyDescent="0.3">
      <c r="G5354" s="470"/>
      <c r="H5354" s="470">
        <v>5347</v>
      </c>
      <c r="I5354" s="455">
        <f t="shared" ca="1" si="185"/>
        <v>-1944613064408402.3</v>
      </c>
      <c r="J5354" s="455">
        <f t="array" ref="J5354">IFERROR(INDEX('Retirement Calculator'!K:K,MATCH('Lorri 401b'!N5354,'Retirement Calculator'!A:A,0),0),0)</f>
        <v>0</v>
      </c>
      <c r="K5354" s="455">
        <f t="shared" ca="1" si="183"/>
        <v>-8102554435035.0107</v>
      </c>
      <c r="L5354" s="455">
        <f t="shared" ca="1" si="184"/>
        <v>-1952715618843437.3</v>
      </c>
      <c r="M5354" s="471">
        <f t="shared" si="186"/>
        <v>0.05</v>
      </c>
      <c r="N5354" s="475">
        <f t="shared" si="187"/>
        <v>214004</v>
      </c>
    </row>
    <row r="5355" spans="7:14" ht="11.25" customHeight="1" x14ac:dyDescent="0.3">
      <c r="G5355" s="470"/>
      <c r="H5355" s="470">
        <v>5348</v>
      </c>
      <c r="I5355" s="455">
        <f t="shared" ca="1" si="185"/>
        <v>-1952715618843437.3</v>
      </c>
      <c r="J5355" s="455">
        <f t="array" ref="J5355">IFERROR(INDEX('Retirement Calculator'!K:K,MATCH('Lorri 401b'!N5355,'Retirement Calculator'!A:A,0),0),0)</f>
        <v>0</v>
      </c>
      <c r="K5355" s="455">
        <f t="shared" ca="1" si="183"/>
        <v>-8136315078514.3213</v>
      </c>
      <c r="L5355" s="455">
        <f t="shared" ca="1" si="184"/>
        <v>-1960851933921951.5</v>
      </c>
      <c r="M5355" s="471">
        <f t="shared" si="186"/>
        <v>0.05</v>
      </c>
      <c r="N5355" s="475">
        <f t="shared" si="187"/>
        <v>214035</v>
      </c>
    </row>
    <row r="5356" spans="7:14" ht="11.25" customHeight="1" x14ac:dyDescent="0.3">
      <c r="G5356" s="470"/>
      <c r="H5356" s="470">
        <v>5349</v>
      </c>
      <c r="I5356" s="455">
        <f t="shared" ca="1" si="185"/>
        <v>-1960851933921951.5</v>
      </c>
      <c r="J5356" s="455">
        <f t="array" ref="J5356">IFERROR(INDEX('Retirement Calculator'!K:K,MATCH('Lorri 401b'!N5356,'Retirement Calculator'!A:A,0),0),0)</f>
        <v>0</v>
      </c>
      <c r="K5356" s="455">
        <f t="shared" ca="1" si="183"/>
        <v>-8170216391341.4639</v>
      </c>
      <c r="L5356" s="455">
        <f t="shared" ca="1" si="184"/>
        <v>-1969022150313293</v>
      </c>
      <c r="M5356" s="471">
        <f t="shared" si="186"/>
        <v>0.05</v>
      </c>
      <c r="N5356" s="475">
        <f t="shared" si="187"/>
        <v>214066</v>
      </c>
    </row>
    <row r="5357" spans="7:14" ht="11.25" customHeight="1" x14ac:dyDescent="0.3">
      <c r="G5357" s="470"/>
      <c r="H5357" s="470">
        <v>5350</v>
      </c>
      <c r="I5357" s="455">
        <f t="shared" ca="1" si="185"/>
        <v>-1969022150313293</v>
      </c>
      <c r="J5357" s="455">
        <f t="array" ref="J5357">IFERROR(INDEX('Retirement Calculator'!K:K,MATCH('Lorri 401b'!N5357,'Retirement Calculator'!A:A,0),0),0)</f>
        <v>0</v>
      </c>
      <c r="K5357" s="455">
        <f t="shared" ca="1" si="183"/>
        <v>-8204258959638.7217</v>
      </c>
      <c r="L5357" s="455">
        <f t="shared" ca="1" si="184"/>
        <v>-1977226409272931.8</v>
      </c>
      <c r="M5357" s="471">
        <f t="shared" si="186"/>
        <v>0.05</v>
      </c>
      <c r="N5357" s="475">
        <f t="shared" si="187"/>
        <v>214094</v>
      </c>
    </row>
    <row r="5358" spans="7:14" ht="11.25" customHeight="1" x14ac:dyDescent="0.3">
      <c r="G5358" s="470"/>
      <c r="H5358" s="470">
        <v>5351</v>
      </c>
      <c r="I5358" s="455">
        <f t="shared" ca="1" si="185"/>
        <v>-1977226409272931.8</v>
      </c>
      <c r="J5358" s="455">
        <f t="array" ref="J5358">IFERROR(INDEX('Retirement Calculator'!K:K,MATCH('Lorri 401b'!N5358,'Retirement Calculator'!A:A,0),0),0)</f>
        <v>0</v>
      </c>
      <c r="K5358" s="455">
        <f t="shared" ca="1" si="183"/>
        <v>-8238443371970.5488</v>
      </c>
      <c r="L5358" s="455">
        <f t="shared" ca="1" si="184"/>
        <v>-1985464852644902.3</v>
      </c>
      <c r="M5358" s="471">
        <f t="shared" si="186"/>
        <v>0.05</v>
      </c>
      <c r="N5358" s="475">
        <f t="shared" si="187"/>
        <v>214125</v>
      </c>
    </row>
    <row r="5359" spans="7:14" ht="11.25" customHeight="1" x14ac:dyDescent="0.3">
      <c r="G5359" s="470"/>
      <c r="H5359" s="470">
        <v>5352</v>
      </c>
      <c r="I5359" s="455">
        <f t="shared" ca="1" si="185"/>
        <v>-1985464852644902.3</v>
      </c>
      <c r="J5359" s="455">
        <f t="array" ref="J5359">IFERROR(INDEX('Retirement Calculator'!K:K,MATCH('Lorri 401b'!N5359,'Retirement Calculator'!A:A,0),0),0)</f>
        <v>0</v>
      </c>
      <c r="K5359" s="455">
        <f t="shared" ca="1" si="183"/>
        <v>-8272770219353.7588</v>
      </c>
      <c r="L5359" s="455">
        <f t="shared" ca="1" si="184"/>
        <v>-1993737622864256</v>
      </c>
      <c r="M5359" s="471">
        <f t="shared" si="186"/>
        <v>0.05</v>
      </c>
      <c r="N5359" s="475">
        <f t="shared" si="187"/>
        <v>214155</v>
      </c>
    </row>
    <row r="5360" spans="7:14" ht="11.25" customHeight="1" x14ac:dyDescent="0.3">
      <c r="G5360" s="470"/>
      <c r="H5360" s="470">
        <v>5353</v>
      </c>
      <c r="I5360" s="455">
        <f t="shared" ca="1" si="185"/>
        <v>-1993737622864256</v>
      </c>
      <c r="J5360" s="455">
        <f t="array" ref="J5360">IFERROR(INDEX('Retirement Calculator'!K:K,MATCH('Lorri 401b'!N5360,'Retirement Calculator'!A:A,0),0),0)</f>
        <v>0</v>
      </c>
      <c r="K5360" s="455">
        <f t="shared" ca="1" si="183"/>
        <v>-8307240095267.7334</v>
      </c>
      <c r="L5360" s="455">
        <f t="shared" ca="1" si="184"/>
        <v>-2002044862959523.8</v>
      </c>
      <c r="M5360" s="471">
        <f t="shared" si="186"/>
        <v>0.05</v>
      </c>
      <c r="N5360" s="475">
        <f t="shared" si="187"/>
        <v>214186</v>
      </c>
    </row>
    <row r="5361" spans="7:14" ht="11.25" customHeight="1" x14ac:dyDescent="0.3">
      <c r="G5361" s="470"/>
      <c r="H5361" s="470">
        <v>5354</v>
      </c>
      <c r="I5361" s="455">
        <f t="shared" ca="1" si="185"/>
        <v>-2002044862959523.8</v>
      </c>
      <c r="J5361" s="455">
        <f t="array" ref="J5361">IFERROR(INDEX('Retirement Calculator'!K:K,MATCH('Lorri 401b'!N5361,'Retirement Calculator'!A:A,0),0),0)</f>
        <v>0</v>
      </c>
      <c r="K5361" s="455">
        <f t="shared" ca="1" si="183"/>
        <v>-8341853595664.6826</v>
      </c>
      <c r="L5361" s="455">
        <f t="shared" ca="1" si="184"/>
        <v>-2010386716555188.5</v>
      </c>
      <c r="M5361" s="471">
        <f t="shared" si="186"/>
        <v>0.05</v>
      </c>
      <c r="N5361" s="475">
        <f t="shared" si="187"/>
        <v>214216</v>
      </c>
    </row>
    <row r="5362" spans="7:14" ht="11.25" customHeight="1" x14ac:dyDescent="0.3">
      <c r="G5362" s="470"/>
      <c r="H5362" s="470">
        <v>5355</v>
      </c>
      <c r="I5362" s="455">
        <f t="shared" ca="1" si="185"/>
        <v>-2010386716555188.5</v>
      </c>
      <c r="J5362" s="455">
        <f t="array" ref="J5362">IFERROR(INDEX('Retirement Calculator'!K:K,MATCH('Lorri 401b'!N5362,'Retirement Calculator'!A:A,0),0),0)</f>
        <v>0</v>
      </c>
      <c r="K5362" s="455">
        <f t="shared" ca="1" si="183"/>
        <v>-8376611318979.9521</v>
      </c>
      <c r="L5362" s="455">
        <f t="shared" ca="1" si="184"/>
        <v>-2018763327874168.5</v>
      </c>
      <c r="M5362" s="471">
        <f t="shared" si="186"/>
        <v>0.05</v>
      </c>
      <c r="N5362" s="475">
        <f t="shared" si="187"/>
        <v>214247</v>
      </c>
    </row>
    <row r="5363" spans="7:14" ht="11.25" customHeight="1" x14ac:dyDescent="0.3">
      <c r="G5363" s="470"/>
      <c r="H5363" s="470">
        <v>5356</v>
      </c>
      <c r="I5363" s="455">
        <f t="shared" ca="1" si="185"/>
        <v>-2018763327874168.5</v>
      </c>
      <c r="J5363" s="455">
        <f t="array" ref="J5363">IFERROR(INDEX('Retirement Calculator'!K:K,MATCH('Lorri 401b'!N5363,'Retirement Calculator'!A:A,0),0),0)</f>
        <v>0</v>
      </c>
      <c r="K5363" s="455">
        <f t="shared" ref="K5363:K5617" ca="1" si="188">IPMT(M5363/12,1,12,-I5363+J5363,,0)</f>
        <v>-8411513866142.3682</v>
      </c>
      <c r="L5363" s="455">
        <f t="shared" ref="L5363:L5617" ca="1" si="189">I5363-J5363+K5363</f>
        <v>-2027174841740310.8</v>
      </c>
      <c r="M5363" s="471">
        <f t="shared" si="186"/>
        <v>0.05</v>
      </c>
      <c r="N5363" s="475">
        <f t="shared" si="187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190">L5363</f>
        <v>-2027174841740310.8</v>
      </c>
      <c r="J5364" s="455">
        <f t="array" ref="J5364">IFERROR(INDEX('Retirement Calculator'!K:K,MATCH('Lorri 401b'!N5364,'Retirement Calculator'!A:A,0),0),0)</f>
        <v>0</v>
      </c>
      <c r="K5364" s="455">
        <f t="shared" ca="1" si="188"/>
        <v>-8446561840584.6289</v>
      </c>
      <c r="L5364" s="455">
        <f t="shared" ca="1" si="189"/>
        <v>-2035621403580895.5</v>
      </c>
      <c r="M5364" s="471">
        <f t="shared" ref="M5364:M5618" si="191">M5363</f>
        <v>0.05</v>
      </c>
      <c r="N5364" s="475">
        <f t="shared" ref="N5364:N5618" si="192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190"/>
        <v>-2035621403580895.5</v>
      </c>
      <c r="J5365" s="455">
        <f t="array" ref="J5365">IFERROR(INDEX('Retirement Calculator'!K:K,MATCH('Lorri 401b'!N5365,'Retirement Calculator'!A:A,0),0),0)</f>
        <v>0</v>
      </c>
      <c r="K5365" s="455">
        <f t="shared" ca="1" si="188"/>
        <v>-8481755848253.7314</v>
      </c>
      <c r="L5365" s="455">
        <f t="shared" ca="1" si="189"/>
        <v>-2044103159429149.3</v>
      </c>
      <c r="M5365" s="471">
        <f t="shared" si="191"/>
        <v>0.05</v>
      </c>
      <c r="N5365" s="475">
        <f t="shared" si="192"/>
        <v>214339</v>
      </c>
    </row>
    <row r="5366" spans="7:14" ht="11.25" customHeight="1" x14ac:dyDescent="0.3">
      <c r="G5366" s="470"/>
      <c r="H5366" s="470">
        <v>5359</v>
      </c>
      <c r="I5366" s="455">
        <f t="shared" ca="1" si="190"/>
        <v>-2044103159429149.3</v>
      </c>
      <c r="J5366" s="455">
        <f t="array" ref="J5366">IFERROR(INDEX('Retirement Calculator'!K:K,MATCH('Lorri 401b'!N5366,'Retirement Calculator'!A:A,0),0),0)</f>
        <v>0</v>
      </c>
      <c r="K5366" s="455">
        <f t="shared" ca="1" si="188"/>
        <v>-8517096497621.4541</v>
      </c>
      <c r="L5366" s="455">
        <f t="shared" ca="1" si="189"/>
        <v>-2052620255926770.8</v>
      </c>
      <c r="M5366" s="471">
        <f t="shared" si="191"/>
        <v>0.05</v>
      </c>
      <c r="N5366" s="475">
        <f t="shared" si="192"/>
        <v>214369</v>
      </c>
    </row>
    <row r="5367" spans="7:14" ht="11.25" customHeight="1" x14ac:dyDescent="0.3">
      <c r="G5367" s="470"/>
      <c r="H5367" s="470">
        <v>5360</v>
      </c>
      <c r="I5367" s="455">
        <f t="shared" ca="1" si="190"/>
        <v>-2052620255926770.8</v>
      </c>
      <c r="J5367" s="455">
        <f t="array" ref="J5367">IFERROR(INDEX('Retirement Calculator'!K:K,MATCH('Lorri 401b'!N5367,'Retirement Calculator'!A:A,0),0),0)</f>
        <v>0</v>
      </c>
      <c r="K5367" s="455">
        <f t="shared" ca="1" si="188"/>
        <v>-8552584399694.8779</v>
      </c>
      <c r="L5367" s="455">
        <f t="shared" ca="1" si="189"/>
        <v>-2061172840326465.8</v>
      </c>
      <c r="M5367" s="471">
        <f t="shared" si="191"/>
        <v>0.05</v>
      </c>
      <c r="N5367" s="475">
        <f t="shared" si="192"/>
        <v>214400</v>
      </c>
    </row>
    <row r="5368" spans="7:14" ht="11.25" customHeight="1" x14ac:dyDescent="0.3">
      <c r="G5368" s="470"/>
      <c r="H5368" s="470">
        <v>5361</v>
      </c>
      <c r="I5368" s="455">
        <f t="shared" ca="1" si="190"/>
        <v>-2061172840326465.8</v>
      </c>
      <c r="J5368" s="455">
        <f t="array" ref="J5368">IFERROR(INDEX('Retirement Calculator'!K:K,MATCH('Lorri 401b'!N5368,'Retirement Calculator'!A:A,0),0),0)</f>
        <v>0</v>
      </c>
      <c r="K5368" s="455">
        <f t="shared" ca="1" si="188"/>
        <v>-8588220168026.9395</v>
      </c>
      <c r="L5368" s="455">
        <f t="shared" ca="1" si="189"/>
        <v>-2069761060494492.8</v>
      </c>
      <c r="M5368" s="471">
        <f t="shared" si="191"/>
        <v>0.05</v>
      </c>
      <c r="N5368" s="475">
        <f t="shared" si="192"/>
        <v>214431</v>
      </c>
    </row>
    <row r="5369" spans="7:14" ht="11.25" customHeight="1" x14ac:dyDescent="0.3">
      <c r="G5369" s="470"/>
      <c r="H5369" s="470">
        <v>5362</v>
      </c>
      <c r="I5369" s="455">
        <f t="shared" ca="1" si="190"/>
        <v>-2069761060494492.8</v>
      </c>
      <c r="J5369" s="455">
        <f t="array" ref="J5369">IFERROR(INDEX('Retirement Calculator'!K:K,MATCH('Lorri 401b'!N5369,'Retirement Calculator'!A:A,0),0),0)</f>
        <v>0</v>
      </c>
      <c r="K5369" s="455">
        <f t="shared" ca="1" si="188"/>
        <v>-8624004418727.0527</v>
      </c>
      <c r="L5369" s="455">
        <f t="shared" ca="1" si="189"/>
        <v>-2078385064913219.8</v>
      </c>
      <c r="M5369" s="471">
        <f t="shared" si="191"/>
        <v>0.05</v>
      </c>
      <c r="N5369" s="475">
        <f t="shared" si="192"/>
        <v>214459</v>
      </c>
    </row>
    <row r="5370" spans="7:14" ht="11.25" customHeight="1" x14ac:dyDescent="0.3">
      <c r="G5370" s="470"/>
      <c r="H5370" s="470">
        <v>5363</v>
      </c>
      <c r="I5370" s="455">
        <f t="shared" ca="1" si="190"/>
        <v>-2078385064913219.8</v>
      </c>
      <c r="J5370" s="455">
        <f t="array" ref="J5370">IFERROR(INDEX('Retirement Calculator'!K:K,MATCH('Lorri 401b'!N5370,'Retirement Calculator'!A:A,0),0),0)</f>
        <v>0</v>
      </c>
      <c r="K5370" s="455">
        <f t="shared" ca="1" si="188"/>
        <v>-8659937770471.749</v>
      </c>
      <c r="L5370" s="455">
        <f t="shared" ca="1" si="189"/>
        <v>-2087045002683691.5</v>
      </c>
      <c r="M5370" s="471">
        <f t="shared" si="191"/>
        <v>0.05</v>
      </c>
      <c r="N5370" s="475">
        <f t="shared" si="192"/>
        <v>214490</v>
      </c>
    </row>
    <row r="5371" spans="7:14" ht="11.25" customHeight="1" x14ac:dyDescent="0.3">
      <c r="G5371" s="470"/>
      <c r="H5371" s="470">
        <v>5364</v>
      </c>
      <c r="I5371" s="455">
        <f t="shared" ca="1" si="190"/>
        <v>-2087045002683691.5</v>
      </c>
      <c r="J5371" s="455">
        <f t="array" ref="J5371">IFERROR(INDEX('Retirement Calculator'!K:K,MATCH('Lorri 401b'!N5371,'Retirement Calculator'!A:A,0),0),0)</f>
        <v>0</v>
      </c>
      <c r="K5371" s="455">
        <f t="shared" ca="1" si="188"/>
        <v>-8696020844515.3818</v>
      </c>
      <c r="L5371" s="455">
        <f t="shared" ca="1" si="189"/>
        <v>-2095741023528207</v>
      </c>
      <c r="M5371" s="471">
        <f t="shared" si="191"/>
        <v>0.05</v>
      </c>
      <c r="N5371" s="475">
        <f t="shared" si="192"/>
        <v>214520</v>
      </c>
    </row>
    <row r="5372" spans="7:14" ht="11.25" customHeight="1" x14ac:dyDescent="0.3">
      <c r="G5372" s="470"/>
      <c r="H5372" s="470">
        <v>5365</v>
      </c>
      <c r="I5372" s="455">
        <f t="shared" ca="1" si="190"/>
        <v>-2095741023528207</v>
      </c>
      <c r="J5372" s="455">
        <f t="array" ref="J5372">IFERROR(INDEX('Retirement Calculator'!K:K,MATCH('Lorri 401b'!N5372,'Retirement Calculator'!A:A,0),0),0)</f>
        <v>0</v>
      </c>
      <c r="K5372" s="455">
        <f t="shared" ca="1" si="188"/>
        <v>-8732254264700.8623</v>
      </c>
      <c r="L5372" s="455">
        <f t="shared" ca="1" si="189"/>
        <v>-2104473277792907.8</v>
      </c>
      <c r="M5372" s="471">
        <f t="shared" si="191"/>
        <v>0.05</v>
      </c>
      <c r="N5372" s="475">
        <f t="shared" si="192"/>
        <v>214551</v>
      </c>
    </row>
    <row r="5373" spans="7:14" ht="11.25" customHeight="1" x14ac:dyDescent="0.3">
      <c r="G5373" s="470"/>
      <c r="H5373" s="470">
        <v>5366</v>
      </c>
      <c r="I5373" s="455">
        <f t="shared" ca="1" si="190"/>
        <v>-2104473277792907.8</v>
      </c>
      <c r="J5373" s="455">
        <f t="array" ref="J5373">IFERROR(INDEX('Retirement Calculator'!K:K,MATCH('Lorri 401b'!N5373,'Retirement Calculator'!A:A,0),0),0)</f>
        <v>0</v>
      </c>
      <c r="K5373" s="455">
        <f t="shared" ca="1" si="188"/>
        <v>-8768638657470.4492</v>
      </c>
      <c r="L5373" s="455">
        <f t="shared" ca="1" si="189"/>
        <v>-2113241916450378.3</v>
      </c>
      <c r="M5373" s="471">
        <f t="shared" si="191"/>
        <v>0.05</v>
      </c>
      <c r="N5373" s="475">
        <f t="shared" si="192"/>
        <v>214581</v>
      </c>
    </row>
    <row r="5374" spans="7:14" ht="11.25" customHeight="1" x14ac:dyDescent="0.3">
      <c r="G5374" s="470"/>
      <c r="H5374" s="470">
        <v>5367</v>
      </c>
      <c r="I5374" s="455">
        <f t="shared" ca="1" si="190"/>
        <v>-2113241916450378.3</v>
      </c>
      <c r="J5374" s="455">
        <f t="array" ref="J5374">IFERROR(INDEX('Retirement Calculator'!K:K,MATCH('Lorri 401b'!N5374,'Retirement Calculator'!A:A,0),0),0)</f>
        <v>0</v>
      </c>
      <c r="K5374" s="455">
        <f t="shared" ca="1" si="188"/>
        <v>-8805174651876.5762</v>
      </c>
      <c r="L5374" s="455">
        <f t="shared" ca="1" si="189"/>
        <v>-2122047091102254.8</v>
      </c>
      <c r="M5374" s="471">
        <f t="shared" si="191"/>
        <v>0.05</v>
      </c>
      <c r="N5374" s="475">
        <f t="shared" si="192"/>
        <v>214612</v>
      </c>
    </row>
    <row r="5375" spans="7:14" ht="11.25" customHeight="1" x14ac:dyDescent="0.3">
      <c r="G5375" s="470"/>
      <c r="H5375" s="470">
        <v>5368</v>
      </c>
      <c r="I5375" s="455">
        <f t="shared" ca="1" si="190"/>
        <v>-2122047091102254.8</v>
      </c>
      <c r="J5375" s="455">
        <f t="array" ref="J5375">IFERROR(INDEX('Retirement Calculator'!K:K,MATCH('Lorri 401b'!N5375,'Retirement Calculator'!A:A,0),0),0)</f>
        <v>0</v>
      </c>
      <c r="K5375" s="455">
        <f t="shared" ca="1" si="188"/>
        <v>-8841862879592.7285</v>
      </c>
      <c r="L5375" s="455">
        <f t="shared" ca="1" si="189"/>
        <v>-2130888953981847.5</v>
      </c>
      <c r="M5375" s="471">
        <f t="shared" si="191"/>
        <v>0.05</v>
      </c>
      <c r="N5375" s="475">
        <f t="shared" si="192"/>
        <v>214643</v>
      </c>
    </row>
    <row r="5376" spans="7:14" ht="11.25" customHeight="1" x14ac:dyDescent="0.3">
      <c r="G5376" s="470"/>
      <c r="H5376" s="470">
        <v>5369</v>
      </c>
      <c r="I5376" s="455">
        <f t="shared" ca="1" si="190"/>
        <v>-2130888953981847.5</v>
      </c>
      <c r="J5376" s="455">
        <f t="array" ref="J5376">IFERROR(INDEX('Retirement Calculator'!K:K,MATCH('Lorri 401b'!N5376,'Retirement Calculator'!A:A,0),0),0)</f>
        <v>0</v>
      </c>
      <c r="K5376" s="455">
        <f t="shared" ca="1" si="188"/>
        <v>-8878703974924.3633</v>
      </c>
      <c r="L5376" s="455">
        <f t="shared" ca="1" si="189"/>
        <v>-2139767657956771.8</v>
      </c>
      <c r="M5376" s="471">
        <f t="shared" si="191"/>
        <v>0.05</v>
      </c>
      <c r="N5376" s="475">
        <f t="shared" si="192"/>
        <v>214673</v>
      </c>
    </row>
    <row r="5377" spans="7:14" ht="11.25" customHeight="1" x14ac:dyDescent="0.3">
      <c r="G5377" s="470"/>
      <c r="H5377" s="470">
        <v>5370</v>
      </c>
      <c r="I5377" s="455">
        <f t="shared" ca="1" si="190"/>
        <v>-2139767657956771.8</v>
      </c>
      <c r="J5377" s="455">
        <f t="array" ref="J5377">IFERROR(INDEX('Retirement Calculator'!K:K,MATCH('Lorri 401b'!N5377,'Retirement Calculator'!A:A,0),0),0)</f>
        <v>0</v>
      </c>
      <c r="K5377" s="455">
        <f t="shared" ca="1" si="188"/>
        <v>-8915698574819.8828</v>
      </c>
      <c r="L5377" s="455">
        <f t="shared" ca="1" si="189"/>
        <v>-2148683356531591.8</v>
      </c>
      <c r="M5377" s="471">
        <f t="shared" si="191"/>
        <v>0.05</v>
      </c>
      <c r="N5377" s="475">
        <f t="shared" si="192"/>
        <v>214704</v>
      </c>
    </row>
    <row r="5378" spans="7:14" ht="11.25" customHeight="1" x14ac:dyDescent="0.3">
      <c r="G5378" s="470"/>
      <c r="H5378" s="470">
        <v>5371</v>
      </c>
      <c r="I5378" s="455">
        <f t="shared" ca="1" si="190"/>
        <v>-2148683356531591.8</v>
      </c>
      <c r="J5378" s="455">
        <f t="array" ref="J5378">IFERROR(INDEX('Retirement Calculator'!K:K,MATCH('Lorri 401b'!N5378,'Retirement Calculator'!A:A,0),0),0)</f>
        <v>0</v>
      </c>
      <c r="K5378" s="455">
        <f t="shared" ca="1" si="188"/>
        <v>-8952847318881.6328</v>
      </c>
      <c r="L5378" s="455">
        <f t="shared" ca="1" si="189"/>
        <v>-2157636203850473.5</v>
      </c>
      <c r="M5378" s="471">
        <f t="shared" si="191"/>
        <v>0.05</v>
      </c>
      <c r="N5378" s="475">
        <f t="shared" si="192"/>
        <v>214734</v>
      </c>
    </row>
    <row r="5379" spans="7:14" ht="11.25" customHeight="1" x14ac:dyDescent="0.3">
      <c r="G5379" s="470"/>
      <c r="H5379" s="470">
        <v>5372</v>
      </c>
      <c r="I5379" s="455">
        <f t="shared" ca="1" si="190"/>
        <v>-2157636203850473.5</v>
      </c>
      <c r="J5379" s="455">
        <f t="array" ref="J5379">IFERROR(INDEX('Retirement Calculator'!K:K,MATCH('Lorri 401b'!N5379,'Retirement Calculator'!A:A,0),0),0)</f>
        <v>0</v>
      </c>
      <c r="K5379" s="455">
        <f t="shared" ca="1" si="188"/>
        <v>-8990150849376.9727</v>
      </c>
      <c r="L5379" s="455">
        <f t="shared" ca="1" si="189"/>
        <v>-2166626354699850.5</v>
      </c>
      <c r="M5379" s="471">
        <f t="shared" si="191"/>
        <v>0.05</v>
      </c>
      <c r="N5379" s="475">
        <f t="shared" si="192"/>
        <v>214765</v>
      </c>
    </row>
    <row r="5380" spans="7:14" ht="11.25" customHeight="1" x14ac:dyDescent="0.3">
      <c r="G5380" s="470"/>
      <c r="H5380" s="470">
        <v>5373</v>
      </c>
      <c r="I5380" s="455">
        <f t="shared" ca="1" si="190"/>
        <v>-2166626354699850.5</v>
      </c>
      <c r="J5380" s="455">
        <f t="array" ref="J5380">IFERROR(INDEX('Retirement Calculator'!K:K,MATCH('Lorri 401b'!N5380,'Retirement Calculator'!A:A,0),0),0)</f>
        <v>0</v>
      </c>
      <c r="K5380" s="455">
        <f t="shared" ca="1" si="188"/>
        <v>-9027609811249.377</v>
      </c>
      <c r="L5380" s="455">
        <f t="shared" ca="1" si="189"/>
        <v>-2175653964511100</v>
      </c>
      <c r="M5380" s="471">
        <f t="shared" si="191"/>
        <v>0.05</v>
      </c>
      <c r="N5380" s="475">
        <f t="shared" si="192"/>
        <v>214796</v>
      </c>
    </row>
    <row r="5381" spans="7:14" ht="11.25" customHeight="1" x14ac:dyDescent="0.3">
      <c r="G5381" s="470"/>
      <c r="H5381" s="470">
        <v>5374</v>
      </c>
      <c r="I5381" s="455">
        <f t="shared" ca="1" si="190"/>
        <v>-2175653964511100</v>
      </c>
      <c r="J5381" s="455">
        <f t="array" ref="J5381">IFERROR(INDEX('Retirement Calculator'!K:K,MATCH('Lorri 401b'!N5381,'Retirement Calculator'!A:A,0),0),0)</f>
        <v>0</v>
      </c>
      <c r="K5381" s="455">
        <f t="shared" ca="1" si="188"/>
        <v>-9065224852129.584</v>
      </c>
      <c r="L5381" s="455">
        <f t="shared" ca="1" si="189"/>
        <v>-2184719189363229.5</v>
      </c>
      <c r="M5381" s="471">
        <f t="shared" si="191"/>
        <v>0.05</v>
      </c>
      <c r="N5381" s="475">
        <f t="shared" si="192"/>
        <v>214825</v>
      </c>
    </row>
    <row r="5382" spans="7:14" ht="11.25" customHeight="1" x14ac:dyDescent="0.3">
      <c r="G5382" s="470"/>
      <c r="H5382" s="470">
        <v>5375</v>
      </c>
      <c r="I5382" s="455">
        <f t="shared" ca="1" si="190"/>
        <v>-2184719189363229.5</v>
      </c>
      <c r="J5382" s="455">
        <f t="array" ref="J5382">IFERROR(INDEX('Retirement Calculator'!K:K,MATCH('Lorri 401b'!N5382,'Retirement Calculator'!A:A,0),0),0)</f>
        <v>0</v>
      </c>
      <c r="K5382" s="455">
        <f t="shared" ca="1" si="188"/>
        <v>-9102996622346.7891</v>
      </c>
      <c r="L5382" s="455">
        <f t="shared" ca="1" si="189"/>
        <v>-2193822185985576.3</v>
      </c>
      <c r="M5382" s="471">
        <f t="shared" si="191"/>
        <v>0.05</v>
      </c>
      <c r="N5382" s="475">
        <f t="shared" si="192"/>
        <v>214856</v>
      </c>
    </row>
    <row r="5383" spans="7:14" ht="11.25" customHeight="1" x14ac:dyDescent="0.3">
      <c r="G5383" s="470"/>
      <c r="H5383" s="470">
        <v>5376</v>
      </c>
      <c r="I5383" s="455">
        <f t="shared" ca="1" si="190"/>
        <v>-2193822185985576.3</v>
      </c>
      <c r="J5383" s="455">
        <f t="array" ref="J5383">IFERROR(INDEX('Retirement Calculator'!K:K,MATCH('Lorri 401b'!N5383,'Retirement Calculator'!A:A,0),0),0)</f>
        <v>0</v>
      </c>
      <c r="K5383" s="455">
        <f t="shared" ca="1" si="188"/>
        <v>-9140925774939.9004</v>
      </c>
      <c r="L5383" s="455">
        <f t="shared" ca="1" si="189"/>
        <v>-2202963111760516.3</v>
      </c>
      <c r="M5383" s="471">
        <f t="shared" si="191"/>
        <v>0.05</v>
      </c>
      <c r="N5383" s="475">
        <f t="shared" si="192"/>
        <v>214886</v>
      </c>
    </row>
    <row r="5384" spans="7:14" ht="11.25" customHeight="1" x14ac:dyDescent="0.3">
      <c r="G5384" s="470"/>
      <c r="H5384" s="470">
        <v>5377</v>
      </c>
      <c r="I5384" s="455">
        <f t="shared" ca="1" si="190"/>
        <v>-2202963111760516.3</v>
      </c>
      <c r="J5384" s="455">
        <f t="array" ref="J5384">IFERROR(INDEX('Retirement Calculator'!K:K,MATCH('Lorri 401b'!N5384,'Retirement Calculator'!A:A,0),0),0)</f>
        <v>0</v>
      </c>
      <c r="K5384" s="455">
        <f t="shared" ca="1" si="188"/>
        <v>-9179012965668.8184</v>
      </c>
      <c r="L5384" s="455">
        <f t="shared" ca="1" si="189"/>
        <v>-2212142124726185</v>
      </c>
      <c r="M5384" s="471">
        <f t="shared" si="191"/>
        <v>0.05</v>
      </c>
      <c r="N5384" s="475">
        <f t="shared" si="192"/>
        <v>214917</v>
      </c>
    </row>
    <row r="5385" spans="7:14" ht="11.25" customHeight="1" x14ac:dyDescent="0.3">
      <c r="G5385" s="470"/>
      <c r="H5385" s="470">
        <v>5378</v>
      </c>
      <c r="I5385" s="455">
        <f t="shared" ca="1" si="190"/>
        <v>-2212142124726185</v>
      </c>
      <c r="J5385" s="455">
        <f t="array" ref="J5385">IFERROR(INDEX('Retirement Calculator'!K:K,MATCH('Lorri 401b'!N5385,'Retirement Calculator'!A:A,0),0),0)</f>
        <v>0</v>
      </c>
      <c r="K5385" s="455">
        <f t="shared" ca="1" si="188"/>
        <v>-9217258853025.7715</v>
      </c>
      <c r="L5385" s="455">
        <f t="shared" ca="1" si="189"/>
        <v>-2221359383579210.8</v>
      </c>
      <c r="M5385" s="471">
        <f t="shared" si="191"/>
        <v>0.05</v>
      </c>
      <c r="N5385" s="475">
        <f t="shared" si="192"/>
        <v>214947</v>
      </c>
    </row>
    <row r="5386" spans="7:14" ht="11.25" customHeight="1" x14ac:dyDescent="0.3">
      <c r="G5386" s="470"/>
      <c r="H5386" s="470">
        <v>5379</v>
      </c>
      <c r="I5386" s="455">
        <f t="shared" ca="1" si="190"/>
        <v>-2221359383579210.8</v>
      </c>
      <c r="J5386" s="455">
        <f t="array" ref="J5386">IFERROR(INDEX('Retirement Calculator'!K:K,MATCH('Lorri 401b'!N5386,'Retirement Calculator'!A:A,0),0),0)</f>
        <v>0</v>
      </c>
      <c r="K5386" s="455">
        <f t="shared" ca="1" si="188"/>
        <v>-9255664098246.7129</v>
      </c>
      <c r="L5386" s="455">
        <f t="shared" ca="1" si="189"/>
        <v>-2230615047677457.5</v>
      </c>
      <c r="M5386" s="471">
        <f t="shared" si="191"/>
        <v>0.05</v>
      </c>
      <c r="N5386" s="475">
        <f t="shared" si="192"/>
        <v>214978</v>
      </c>
    </row>
    <row r="5387" spans="7:14" ht="11.25" customHeight="1" x14ac:dyDescent="0.3">
      <c r="G5387" s="470"/>
      <c r="H5387" s="470">
        <v>5380</v>
      </c>
      <c r="I5387" s="455">
        <f t="shared" ca="1" si="190"/>
        <v>-2230615047677457.5</v>
      </c>
      <c r="J5387" s="455">
        <f t="array" ref="J5387">IFERROR(INDEX('Retirement Calculator'!K:K,MATCH('Lorri 401b'!N5387,'Retirement Calculator'!A:A,0),0),0)</f>
        <v>0</v>
      </c>
      <c r="K5387" s="455">
        <f t="shared" ca="1" si="188"/>
        <v>-9294229365322.7383</v>
      </c>
      <c r="L5387" s="455">
        <f t="shared" ca="1" si="189"/>
        <v>-2239909277042780.3</v>
      </c>
      <c r="M5387" s="471">
        <f t="shared" si="191"/>
        <v>0.05</v>
      </c>
      <c r="N5387" s="475">
        <f t="shared" si="192"/>
        <v>215009</v>
      </c>
    </row>
    <row r="5388" spans="7:14" ht="11.25" customHeight="1" x14ac:dyDescent="0.3">
      <c r="G5388" s="470"/>
      <c r="H5388" s="470">
        <v>5381</v>
      </c>
      <c r="I5388" s="455">
        <f t="shared" ca="1" si="190"/>
        <v>-2239909277042780.3</v>
      </c>
      <c r="J5388" s="455">
        <f t="array" ref="J5388">IFERROR(INDEX('Retirement Calculator'!K:K,MATCH('Lorri 401b'!N5388,'Retirement Calculator'!A:A,0),0),0)</f>
        <v>0</v>
      </c>
      <c r="K5388" s="455">
        <f t="shared" ca="1" si="188"/>
        <v>-9332955321011.5859</v>
      </c>
      <c r="L5388" s="455">
        <f t="shared" ca="1" si="189"/>
        <v>-2249242232363791.8</v>
      </c>
      <c r="M5388" s="471">
        <f t="shared" si="191"/>
        <v>0.05</v>
      </c>
      <c r="N5388" s="475">
        <f t="shared" si="192"/>
        <v>215039</v>
      </c>
    </row>
    <row r="5389" spans="7:14" ht="11.25" customHeight="1" x14ac:dyDescent="0.3">
      <c r="G5389" s="470"/>
      <c r="H5389" s="470">
        <v>5382</v>
      </c>
      <c r="I5389" s="455">
        <f t="shared" ca="1" si="190"/>
        <v>-2249242232363791.8</v>
      </c>
      <c r="J5389" s="455">
        <f t="array" ref="J5389">IFERROR(INDEX('Retirement Calculator'!K:K,MATCH('Lorri 401b'!N5389,'Retirement Calculator'!A:A,0),0),0)</f>
        <v>0</v>
      </c>
      <c r="K5389" s="455">
        <f t="shared" ca="1" si="188"/>
        <v>-9371842634849.1328</v>
      </c>
      <c r="L5389" s="455">
        <f t="shared" ca="1" si="189"/>
        <v>-2258614074998641</v>
      </c>
      <c r="M5389" s="471">
        <f t="shared" si="191"/>
        <v>0.05</v>
      </c>
      <c r="N5389" s="475">
        <f t="shared" si="192"/>
        <v>215070</v>
      </c>
    </row>
    <row r="5390" spans="7:14" ht="11.25" customHeight="1" x14ac:dyDescent="0.3">
      <c r="G5390" s="470"/>
      <c r="H5390" s="470">
        <v>5383</v>
      </c>
      <c r="I5390" s="455">
        <f t="shared" ca="1" si="190"/>
        <v>-2258614074998641</v>
      </c>
      <c r="J5390" s="455">
        <f t="array" ref="J5390">IFERROR(INDEX('Retirement Calculator'!K:K,MATCH('Lorri 401b'!N5390,'Retirement Calculator'!A:A,0),0),0)</f>
        <v>0</v>
      </c>
      <c r="K5390" s="455">
        <f t="shared" ca="1" si="188"/>
        <v>-9410891979161.0039</v>
      </c>
      <c r="L5390" s="455">
        <f t="shared" ca="1" si="189"/>
        <v>-2268024966977802</v>
      </c>
      <c r="M5390" s="471">
        <f t="shared" si="191"/>
        <v>0.05</v>
      </c>
      <c r="N5390" s="475">
        <f t="shared" si="192"/>
        <v>215100</v>
      </c>
    </row>
    <row r="5391" spans="7:14" ht="11.25" customHeight="1" x14ac:dyDescent="0.3">
      <c r="G5391" s="470"/>
      <c r="H5391" s="470">
        <v>5384</v>
      </c>
      <c r="I5391" s="455">
        <f t="shared" ca="1" si="190"/>
        <v>-2268024966977802</v>
      </c>
      <c r="J5391" s="455">
        <f t="array" ref="J5391">IFERROR(INDEX('Retirement Calculator'!K:K,MATCH('Lorri 401b'!N5391,'Retirement Calculator'!A:A,0),0),0)</f>
        <v>0</v>
      </c>
      <c r="K5391" s="455">
        <f t="shared" ca="1" si="188"/>
        <v>-9450104029074.1758</v>
      </c>
      <c r="L5391" s="455">
        <f t="shared" ca="1" si="189"/>
        <v>-2277475071006876</v>
      </c>
      <c r="M5391" s="471">
        <f t="shared" si="191"/>
        <v>0.05</v>
      </c>
      <c r="N5391" s="475">
        <f t="shared" si="192"/>
        <v>215131</v>
      </c>
    </row>
    <row r="5392" spans="7:14" ht="11.25" customHeight="1" x14ac:dyDescent="0.3">
      <c r="G5392" s="470"/>
      <c r="H5392" s="470">
        <v>5385</v>
      </c>
      <c r="I5392" s="455">
        <f t="shared" ca="1" si="190"/>
        <v>-2277475071006876</v>
      </c>
      <c r="J5392" s="455">
        <f t="array" ref="J5392">IFERROR(INDEX('Retirement Calculator'!K:K,MATCH('Lorri 401b'!N5392,'Retirement Calculator'!A:A,0),0),0)</f>
        <v>0</v>
      </c>
      <c r="K5392" s="455">
        <f t="shared" ca="1" si="188"/>
        <v>-9489479462528.6504</v>
      </c>
      <c r="L5392" s="455">
        <f t="shared" ca="1" si="189"/>
        <v>-2286964550469404.5</v>
      </c>
      <c r="M5392" s="471">
        <f t="shared" si="191"/>
        <v>0.05</v>
      </c>
      <c r="N5392" s="475">
        <f t="shared" si="192"/>
        <v>215162</v>
      </c>
    </row>
    <row r="5393" spans="7:14" ht="11.25" customHeight="1" x14ac:dyDescent="0.3">
      <c r="G5393" s="470"/>
      <c r="H5393" s="470">
        <v>5386</v>
      </c>
      <c r="I5393" s="455">
        <f t="shared" ca="1" si="190"/>
        <v>-2286964550469404.5</v>
      </c>
      <c r="J5393" s="455">
        <f t="array" ref="J5393">IFERROR(INDEX('Retirement Calculator'!K:K,MATCH('Lorri 401b'!N5393,'Retirement Calculator'!A:A,0),0),0)</f>
        <v>0</v>
      </c>
      <c r="K5393" s="455">
        <f t="shared" ca="1" si="188"/>
        <v>-9529018960289.1855</v>
      </c>
      <c r="L5393" s="455">
        <f t="shared" ca="1" si="189"/>
        <v>-2296493569429693.5</v>
      </c>
      <c r="M5393" s="471">
        <f t="shared" si="191"/>
        <v>0.05</v>
      </c>
      <c r="N5393" s="475">
        <f t="shared" si="192"/>
        <v>215190</v>
      </c>
    </row>
    <row r="5394" spans="7:14" ht="11.25" customHeight="1" x14ac:dyDescent="0.3">
      <c r="G5394" s="470"/>
      <c r="H5394" s="470">
        <v>5387</v>
      </c>
      <c r="I5394" s="455">
        <f t="shared" ca="1" si="190"/>
        <v>-2296493569429693.5</v>
      </c>
      <c r="J5394" s="455">
        <f t="array" ref="J5394">IFERROR(INDEX('Retirement Calculator'!K:K,MATCH('Lorri 401b'!N5394,'Retirement Calculator'!A:A,0),0),0)</f>
        <v>0</v>
      </c>
      <c r="K5394" s="455">
        <f t="shared" ca="1" si="188"/>
        <v>-9568723205957.0566</v>
      </c>
      <c r="L5394" s="455">
        <f t="shared" ca="1" si="189"/>
        <v>-2306062292635650.5</v>
      </c>
      <c r="M5394" s="471">
        <f t="shared" si="191"/>
        <v>0.05</v>
      </c>
      <c r="N5394" s="475">
        <f t="shared" si="192"/>
        <v>215221</v>
      </c>
    </row>
    <row r="5395" spans="7:14" ht="11.25" customHeight="1" x14ac:dyDescent="0.3">
      <c r="G5395" s="470"/>
      <c r="H5395" s="470">
        <v>5388</v>
      </c>
      <c r="I5395" s="455">
        <f t="shared" ca="1" si="190"/>
        <v>-2306062292635650.5</v>
      </c>
      <c r="J5395" s="455">
        <f t="array" ref="J5395">IFERROR(INDEX('Retirement Calculator'!K:K,MATCH('Lorri 401b'!N5395,'Retirement Calculator'!A:A,0),0),0)</f>
        <v>0</v>
      </c>
      <c r="K5395" s="455">
        <f t="shared" ca="1" si="188"/>
        <v>-9608592885981.877</v>
      </c>
      <c r="L5395" s="455">
        <f t="shared" ca="1" si="189"/>
        <v>-2315670885521632.5</v>
      </c>
      <c r="M5395" s="471">
        <f t="shared" si="191"/>
        <v>0.05</v>
      </c>
      <c r="N5395" s="475">
        <f t="shared" si="192"/>
        <v>215251</v>
      </c>
    </row>
    <row r="5396" spans="7:14" ht="11.25" customHeight="1" x14ac:dyDescent="0.3">
      <c r="G5396" s="470"/>
      <c r="H5396" s="470">
        <v>5389</v>
      </c>
      <c r="I5396" s="455">
        <f t="shared" ca="1" si="190"/>
        <v>-2315670885521632.5</v>
      </c>
      <c r="J5396" s="455">
        <f t="array" ref="J5396">IFERROR(INDEX('Retirement Calculator'!K:K,MATCH('Lorri 401b'!N5396,'Retirement Calculator'!A:A,0),0),0)</f>
        <v>0</v>
      </c>
      <c r="K5396" s="455">
        <f t="shared" ca="1" si="188"/>
        <v>-9648628689673.4688</v>
      </c>
      <c r="L5396" s="455">
        <f t="shared" ca="1" si="189"/>
        <v>-2325319514211306</v>
      </c>
      <c r="M5396" s="471">
        <f t="shared" si="191"/>
        <v>0.05</v>
      </c>
      <c r="N5396" s="475">
        <f t="shared" si="192"/>
        <v>215282</v>
      </c>
    </row>
    <row r="5397" spans="7:14" ht="11.25" customHeight="1" x14ac:dyDescent="0.3">
      <c r="G5397" s="470"/>
      <c r="H5397" s="470">
        <v>5390</v>
      </c>
      <c r="I5397" s="455">
        <f t="shared" ca="1" si="190"/>
        <v>-2325319514211306</v>
      </c>
      <c r="J5397" s="455">
        <f t="array" ref="J5397">IFERROR(INDEX('Retirement Calculator'!K:K,MATCH('Lorri 401b'!N5397,'Retirement Calculator'!A:A,0),0),0)</f>
        <v>0</v>
      </c>
      <c r="K5397" s="455">
        <f t="shared" ca="1" si="188"/>
        <v>-9688831309213.7754</v>
      </c>
      <c r="L5397" s="455">
        <f t="shared" ca="1" si="189"/>
        <v>-2335008345520520</v>
      </c>
      <c r="M5397" s="471">
        <f t="shared" si="191"/>
        <v>0.05</v>
      </c>
      <c r="N5397" s="475">
        <f t="shared" si="192"/>
        <v>215312</v>
      </c>
    </row>
    <row r="5398" spans="7:14" ht="11.25" customHeight="1" x14ac:dyDescent="0.3">
      <c r="G5398" s="470"/>
      <c r="H5398" s="470">
        <v>5391</v>
      </c>
      <c r="I5398" s="455">
        <f t="shared" ca="1" si="190"/>
        <v>-2335008345520520</v>
      </c>
      <c r="J5398" s="455">
        <f t="array" ref="J5398">IFERROR(INDEX('Retirement Calculator'!K:K,MATCH('Lorri 401b'!N5398,'Retirement Calculator'!A:A,0),0),0)</f>
        <v>0</v>
      </c>
      <c r="K5398" s="455">
        <f t="shared" ca="1" si="188"/>
        <v>-9729201439668.834</v>
      </c>
      <c r="L5398" s="455">
        <f t="shared" ca="1" si="189"/>
        <v>-2344737546960189</v>
      </c>
      <c r="M5398" s="471">
        <f t="shared" si="191"/>
        <v>0.05</v>
      </c>
      <c r="N5398" s="475">
        <f t="shared" si="192"/>
        <v>215343</v>
      </c>
    </row>
    <row r="5399" spans="7:14" ht="11.25" customHeight="1" x14ac:dyDescent="0.3">
      <c r="G5399" s="470"/>
      <c r="H5399" s="470">
        <v>5392</v>
      </c>
      <c r="I5399" s="455">
        <f t="shared" ca="1" si="190"/>
        <v>-2344737546960189</v>
      </c>
      <c r="J5399" s="455">
        <f t="array" ref="J5399">IFERROR(INDEX('Retirement Calculator'!K:K,MATCH('Lorri 401b'!N5399,'Retirement Calculator'!A:A,0),0),0)</f>
        <v>0</v>
      </c>
      <c r="K5399" s="455">
        <f t="shared" ca="1" si="188"/>
        <v>-9769739779000.7871</v>
      </c>
      <c r="L5399" s="455">
        <f t="shared" ca="1" si="189"/>
        <v>-2354507286739190</v>
      </c>
      <c r="M5399" s="471">
        <f t="shared" si="191"/>
        <v>0.05</v>
      </c>
      <c r="N5399" s="475">
        <f t="shared" si="192"/>
        <v>215374</v>
      </c>
    </row>
    <row r="5400" spans="7:14" ht="11.25" customHeight="1" x14ac:dyDescent="0.3">
      <c r="G5400" s="470"/>
      <c r="H5400" s="470">
        <v>5393</v>
      </c>
      <c r="I5400" s="455">
        <f t="shared" ca="1" si="190"/>
        <v>-2354507286739190</v>
      </c>
      <c r="J5400" s="455">
        <f t="array" ref="J5400">IFERROR(INDEX('Retirement Calculator'!K:K,MATCH('Lorri 401b'!N5400,'Retirement Calculator'!A:A,0),0),0)</f>
        <v>0</v>
      </c>
      <c r="K5400" s="455">
        <f t="shared" ca="1" si="188"/>
        <v>-9810447028079.959</v>
      </c>
      <c r="L5400" s="455">
        <f t="shared" ca="1" si="189"/>
        <v>-2364317733767270</v>
      </c>
      <c r="M5400" s="471">
        <f t="shared" si="191"/>
        <v>0.05</v>
      </c>
      <c r="N5400" s="475">
        <f t="shared" si="192"/>
        <v>215404</v>
      </c>
    </row>
    <row r="5401" spans="7:14" ht="11.25" customHeight="1" x14ac:dyDescent="0.3">
      <c r="G5401" s="470"/>
      <c r="H5401" s="470">
        <v>5394</v>
      </c>
      <c r="I5401" s="455">
        <f t="shared" ca="1" si="190"/>
        <v>-2364317733767270</v>
      </c>
      <c r="J5401" s="455">
        <f t="array" ref="J5401">IFERROR(INDEX('Retirement Calculator'!K:K,MATCH('Lorri 401b'!N5401,'Retirement Calculator'!A:A,0),0),0)</f>
        <v>0</v>
      </c>
      <c r="K5401" s="455">
        <f t="shared" ca="1" si="188"/>
        <v>-9851323890696.959</v>
      </c>
      <c r="L5401" s="455">
        <f t="shared" ca="1" si="189"/>
        <v>-2374169057657967</v>
      </c>
      <c r="M5401" s="471">
        <f t="shared" si="191"/>
        <v>0.05</v>
      </c>
      <c r="N5401" s="475">
        <f t="shared" si="192"/>
        <v>215435</v>
      </c>
    </row>
    <row r="5402" spans="7:14" ht="11.25" customHeight="1" x14ac:dyDescent="0.3">
      <c r="G5402" s="470"/>
      <c r="H5402" s="470">
        <v>5395</v>
      </c>
      <c r="I5402" s="455">
        <f t="shared" ca="1" si="190"/>
        <v>-2374169057657967</v>
      </c>
      <c r="J5402" s="455">
        <f t="array" ref="J5402">IFERROR(INDEX('Retirement Calculator'!K:K,MATCH('Lorri 401b'!N5402,'Retirement Calculator'!A:A,0),0),0)</f>
        <v>0</v>
      </c>
      <c r="K5402" s="455">
        <f t="shared" ca="1" si="188"/>
        <v>-9892371073574.8633</v>
      </c>
      <c r="L5402" s="455">
        <f t="shared" ca="1" si="189"/>
        <v>-2384061428731542</v>
      </c>
      <c r="M5402" s="471">
        <f t="shared" si="191"/>
        <v>0.05</v>
      </c>
      <c r="N5402" s="475">
        <f t="shared" si="192"/>
        <v>215465</v>
      </c>
    </row>
    <row r="5403" spans="7:14" ht="11.25" customHeight="1" x14ac:dyDescent="0.3">
      <c r="G5403" s="470"/>
      <c r="H5403" s="470">
        <v>5396</v>
      </c>
      <c r="I5403" s="455">
        <f t="shared" ca="1" si="190"/>
        <v>-2384061428731542</v>
      </c>
      <c r="J5403" s="455">
        <f t="array" ref="J5403">IFERROR(INDEX('Retirement Calculator'!K:K,MATCH('Lorri 401b'!N5403,'Retirement Calculator'!A:A,0),0),0)</f>
        <v>0</v>
      </c>
      <c r="K5403" s="455">
        <f t="shared" ca="1" si="188"/>
        <v>-9933589286381.4258</v>
      </c>
      <c r="L5403" s="455">
        <f t="shared" ca="1" si="189"/>
        <v>-2393995018017923.5</v>
      </c>
      <c r="M5403" s="471">
        <f t="shared" si="191"/>
        <v>0.05</v>
      </c>
      <c r="N5403" s="475">
        <f t="shared" si="192"/>
        <v>215496</v>
      </c>
    </row>
    <row r="5404" spans="7:14" ht="11.25" customHeight="1" x14ac:dyDescent="0.3">
      <c r="G5404" s="470"/>
      <c r="H5404" s="470">
        <v>5397</v>
      </c>
      <c r="I5404" s="455">
        <f t="shared" ca="1" si="190"/>
        <v>-2393995018017923.5</v>
      </c>
      <c r="J5404" s="455">
        <f t="array" ref="J5404">IFERROR(INDEX('Retirement Calculator'!K:K,MATCH('Lorri 401b'!N5404,'Retirement Calculator'!A:A,0),0),0)</f>
        <v>0</v>
      </c>
      <c r="K5404" s="455">
        <f t="shared" ca="1" si="188"/>
        <v>-9974979241741.3477</v>
      </c>
      <c r="L5404" s="455">
        <f t="shared" ca="1" si="189"/>
        <v>-2403969997259665</v>
      </c>
      <c r="M5404" s="471">
        <f t="shared" si="191"/>
        <v>0.05</v>
      </c>
      <c r="N5404" s="475">
        <f t="shared" si="192"/>
        <v>215527</v>
      </c>
    </row>
    <row r="5405" spans="7:14" ht="11.25" customHeight="1" x14ac:dyDescent="0.3">
      <c r="G5405" s="470"/>
      <c r="H5405" s="470">
        <v>5398</v>
      </c>
      <c r="I5405" s="455">
        <f t="shared" ca="1" si="190"/>
        <v>-2403969997259665</v>
      </c>
      <c r="J5405" s="455">
        <f t="array" ref="J5405">IFERROR(INDEX('Retirement Calculator'!K:K,MATCH('Lorri 401b'!N5405,'Retirement Calculator'!A:A,0),0),0)</f>
        <v>0</v>
      </c>
      <c r="K5405" s="455">
        <f t="shared" ca="1" si="188"/>
        <v>-10016541655248.604</v>
      </c>
      <c r="L5405" s="455">
        <f t="shared" ca="1" si="189"/>
        <v>-2413986538914913.5</v>
      </c>
      <c r="M5405" s="471">
        <f t="shared" si="191"/>
        <v>0.05</v>
      </c>
      <c r="N5405" s="475">
        <f t="shared" si="192"/>
        <v>215555</v>
      </c>
    </row>
    <row r="5406" spans="7:14" ht="11.25" customHeight="1" x14ac:dyDescent="0.3">
      <c r="G5406" s="470"/>
      <c r="H5406" s="470">
        <v>5399</v>
      </c>
      <c r="I5406" s="455">
        <f t="shared" ca="1" si="190"/>
        <v>-2413986538914913.5</v>
      </c>
      <c r="J5406" s="455">
        <f t="array" ref="J5406">IFERROR(INDEX('Retirement Calculator'!K:K,MATCH('Lorri 401b'!N5406,'Retirement Calculator'!A:A,0),0),0)</f>
        <v>0</v>
      </c>
      <c r="K5406" s="455">
        <f t="shared" ca="1" si="188"/>
        <v>-10058277245478.807</v>
      </c>
      <c r="L5406" s="455">
        <f t="shared" ca="1" si="189"/>
        <v>-2424044816160392.5</v>
      </c>
      <c r="M5406" s="471">
        <f t="shared" si="191"/>
        <v>0.05</v>
      </c>
      <c r="N5406" s="475">
        <f t="shared" si="192"/>
        <v>215586</v>
      </c>
    </row>
    <row r="5407" spans="7:14" ht="11.25" customHeight="1" x14ac:dyDescent="0.3">
      <c r="G5407" s="470"/>
      <c r="H5407" s="470">
        <v>5400</v>
      </c>
      <c r="I5407" s="455">
        <f t="shared" ca="1" si="190"/>
        <v>-2424044816160392.5</v>
      </c>
      <c r="J5407" s="455">
        <f t="array" ref="J5407">IFERROR(INDEX('Retirement Calculator'!K:K,MATCH('Lorri 401b'!N5407,'Retirement Calculator'!A:A,0),0),0)</f>
        <v>0</v>
      </c>
      <c r="K5407" s="455">
        <f t="shared" ca="1" si="188"/>
        <v>-10100186734001.635</v>
      </c>
      <c r="L5407" s="455">
        <f t="shared" ca="1" si="189"/>
        <v>-2434145002894394</v>
      </c>
      <c r="M5407" s="471">
        <f t="shared" si="191"/>
        <v>0.05</v>
      </c>
      <c r="N5407" s="475">
        <f t="shared" si="192"/>
        <v>215616</v>
      </c>
    </row>
    <row r="5408" spans="7:14" ht="11.25" customHeight="1" x14ac:dyDescent="0.3">
      <c r="G5408" s="470"/>
      <c r="H5408" s="470">
        <v>5401</v>
      </c>
      <c r="I5408" s="455">
        <f t="shared" ca="1" si="190"/>
        <v>-2434145002894394</v>
      </c>
      <c r="J5408" s="455">
        <f t="array" ref="J5408">IFERROR(INDEX('Retirement Calculator'!K:K,MATCH('Lorri 401b'!N5408,'Retirement Calculator'!A:A,0),0),0)</f>
        <v>0</v>
      </c>
      <c r="K5408" s="455">
        <f t="shared" ca="1" si="188"/>
        <v>-10142270845393.309</v>
      </c>
      <c r="L5408" s="455">
        <f t="shared" ca="1" si="189"/>
        <v>-2444287273739787.5</v>
      </c>
      <c r="M5408" s="471">
        <f t="shared" si="191"/>
        <v>0.05</v>
      </c>
      <c r="N5408" s="475">
        <f t="shared" si="192"/>
        <v>215647</v>
      </c>
    </row>
    <row r="5409" spans="7:14" ht="11.25" customHeight="1" x14ac:dyDescent="0.3">
      <c r="G5409" s="470"/>
      <c r="H5409" s="470">
        <v>5402</v>
      </c>
      <c r="I5409" s="455">
        <f t="shared" ca="1" si="190"/>
        <v>-2444287273739787.5</v>
      </c>
      <c r="J5409" s="455">
        <f t="array" ref="J5409">IFERROR(INDEX('Retirement Calculator'!K:K,MATCH('Lorri 401b'!N5409,'Retirement Calculator'!A:A,0),0),0)</f>
        <v>0</v>
      </c>
      <c r="K5409" s="455">
        <f t="shared" ca="1" si="188"/>
        <v>-10184530307249.115</v>
      </c>
      <c r="L5409" s="455">
        <f t="shared" ca="1" si="189"/>
        <v>-2454471804047036.5</v>
      </c>
      <c r="M5409" s="471">
        <f t="shared" si="191"/>
        <v>0.05</v>
      </c>
      <c r="N5409" s="475">
        <f t="shared" si="192"/>
        <v>215677</v>
      </c>
    </row>
    <row r="5410" spans="7:14" ht="11.25" customHeight="1" x14ac:dyDescent="0.3">
      <c r="G5410" s="470"/>
      <c r="H5410" s="470">
        <v>5403</v>
      </c>
      <c r="I5410" s="455">
        <f t="shared" ca="1" si="190"/>
        <v>-2454471804047036.5</v>
      </c>
      <c r="J5410" s="455">
        <f t="array" ref="J5410">IFERROR(INDEX('Retirement Calculator'!K:K,MATCH('Lorri 401b'!N5410,'Retirement Calculator'!A:A,0),0),0)</f>
        <v>0</v>
      </c>
      <c r="K5410" s="455">
        <f t="shared" ca="1" si="188"/>
        <v>-10226965850195.984</v>
      </c>
      <c r="L5410" s="455">
        <f t="shared" ca="1" si="189"/>
        <v>-2464698769897232.5</v>
      </c>
      <c r="M5410" s="471">
        <f t="shared" si="191"/>
        <v>0.05</v>
      </c>
      <c r="N5410" s="475">
        <f t="shared" si="192"/>
        <v>215708</v>
      </c>
    </row>
    <row r="5411" spans="7:14" ht="11.25" customHeight="1" x14ac:dyDescent="0.3">
      <c r="G5411" s="470"/>
      <c r="H5411" s="470">
        <v>5404</v>
      </c>
      <c r="I5411" s="455">
        <f t="shared" ca="1" si="190"/>
        <v>-2464698769897232.5</v>
      </c>
      <c r="J5411" s="455">
        <f t="array" ref="J5411">IFERROR(INDEX('Retirement Calculator'!K:K,MATCH('Lorri 401b'!N5411,'Retirement Calculator'!A:A,0),0),0)</f>
        <v>0</v>
      </c>
      <c r="K5411" s="455">
        <f t="shared" ca="1" si="188"/>
        <v>-10269578207905.135</v>
      </c>
      <c r="L5411" s="455">
        <f t="shared" ca="1" si="189"/>
        <v>-2474968348105137.5</v>
      </c>
      <c r="M5411" s="471">
        <f t="shared" si="191"/>
        <v>0.05</v>
      </c>
      <c r="N5411" s="475">
        <f t="shared" si="192"/>
        <v>215739</v>
      </c>
    </row>
    <row r="5412" spans="7:14" ht="11.25" customHeight="1" x14ac:dyDescent="0.3">
      <c r="G5412" s="470"/>
      <c r="H5412" s="470">
        <v>5405</v>
      </c>
      <c r="I5412" s="455">
        <f t="shared" ca="1" si="190"/>
        <v>-2474968348105137.5</v>
      </c>
      <c r="J5412" s="455">
        <f t="array" ref="J5412">IFERROR(INDEX('Retirement Calculator'!K:K,MATCH('Lorri 401b'!N5412,'Retirement Calculator'!A:A,0),0),0)</f>
        <v>0</v>
      </c>
      <c r="K5412" s="455">
        <f t="shared" ca="1" si="188"/>
        <v>-10312368117104.74</v>
      </c>
      <c r="L5412" s="455">
        <f t="shared" ca="1" si="189"/>
        <v>-2485280716222242</v>
      </c>
      <c r="M5412" s="471">
        <f t="shared" si="191"/>
        <v>0.05</v>
      </c>
      <c r="N5412" s="475">
        <f t="shared" si="192"/>
        <v>215769</v>
      </c>
    </row>
    <row r="5413" spans="7:14" ht="11.25" customHeight="1" x14ac:dyDescent="0.3">
      <c r="G5413" s="470"/>
      <c r="H5413" s="470">
        <v>5406</v>
      </c>
      <c r="I5413" s="455">
        <f t="shared" ca="1" si="190"/>
        <v>-2485280716222242</v>
      </c>
      <c r="J5413" s="455">
        <f t="array" ref="J5413">IFERROR(INDEX('Retirement Calculator'!K:K,MATCH('Lorri 401b'!N5413,'Retirement Calculator'!A:A,0),0),0)</f>
        <v>0</v>
      </c>
      <c r="K5413" s="455">
        <f t="shared" ca="1" si="188"/>
        <v>-10355336317592.676</v>
      </c>
      <c r="L5413" s="455">
        <f t="shared" ca="1" si="189"/>
        <v>-2495636052539834.5</v>
      </c>
      <c r="M5413" s="471">
        <f t="shared" si="191"/>
        <v>0.05</v>
      </c>
      <c r="N5413" s="475">
        <f t="shared" si="192"/>
        <v>215800</v>
      </c>
    </row>
    <row r="5414" spans="7:14" ht="11.25" customHeight="1" x14ac:dyDescent="0.3">
      <c r="G5414" s="470"/>
      <c r="H5414" s="470">
        <v>5407</v>
      </c>
      <c r="I5414" s="455">
        <f t="shared" ca="1" si="190"/>
        <v>-2495636052539834.5</v>
      </c>
      <c r="J5414" s="455">
        <f t="array" ref="J5414">IFERROR(INDEX('Retirement Calculator'!K:K,MATCH('Lorri 401b'!N5414,'Retirement Calculator'!A:A,0),0),0)</f>
        <v>0</v>
      </c>
      <c r="K5414" s="455">
        <f t="shared" ca="1" si="188"/>
        <v>-10398483552249.311</v>
      </c>
      <c r="L5414" s="455">
        <f t="shared" ca="1" si="189"/>
        <v>-2506034536092084</v>
      </c>
      <c r="M5414" s="471">
        <f t="shared" si="191"/>
        <v>0.05</v>
      </c>
      <c r="N5414" s="475">
        <f t="shared" si="192"/>
        <v>215830</v>
      </c>
    </row>
    <row r="5415" spans="7:14" ht="11.25" customHeight="1" x14ac:dyDescent="0.3">
      <c r="G5415" s="470"/>
      <c r="H5415" s="470">
        <v>5408</v>
      </c>
      <c r="I5415" s="455">
        <f t="shared" ca="1" si="190"/>
        <v>-2506034536092084</v>
      </c>
      <c r="J5415" s="455">
        <f t="array" ref="J5415">IFERROR(INDEX('Retirement Calculator'!K:K,MATCH('Lorri 401b'!N5415,'Retirement Calculator'!A:A,0),0),0)</f>
        <v>0</v>
      </c>
      <c r="K5415" s="455">
        <f t="shared" ca="1" si="188"/>
        <v>-10441810567050.35</v>
      </c>
      <c r="L5415" s="455">
        <f t="shared" ca="1" si="189"/>
        <v>-2516476346659134.5</v>
      </c>
      <c r="M5415" s="471">
        <f t="shared" si="191"/>
        <v>0.05</v>
      </c>
      <c r="N5415" s="475">
        <f t="shared" si="192"/>
        <v>215861</v>
      </c>
    </row>
    <row r="5416" spans="7:14" ht="11.25" customHeight="1" x14ac:dyDescent="0.3">
      <c r="G5416" s="470"/>
      <c r="H5416" s="470">
        <v>5409</v>
      </c>
      <c r="I5416" s="455">
        <f t="shared" ca="1" si="190"/>
        <v>-2516476346659134.5</v>
      </c>
      <c r="J5416" s="455">
        <f t="array" ref="J5416">IFERROR(INDEX('Retirement Calculator'!K:K,MATCH('Lorri 401b'!N5416,'Retirement Calculator'!A:A,0),0),0)</f>
        <v>0</v>
      </c>
      <c r="K5416" s="455">
        <f t="shared" ca="1" si="188"/>
        <v>-10485318111079.727</v>
      </c>
      <c r="L5416" s="455">
        <f t="shared" ca="1" si="189"/>
        <v>-2526961664770214</v>
      </c>
      <c r="M5416" s="471">
        <f t="shared" si="191"/>
        <v>0.05</v>
      </c>
      <c r="N5416" s="475">
        <f t="shared" si="192"/>
        <v>215892</v>
      </c>
    </row>
    <row r="5417" spans="7:14" ht="11.25" customHeight="1" x14ac:dyDescent="0.3">
      <c r="G5417" s="470"/>
      <c r="H5417" s="470">
        <v>5410</v>
      </c>
      <c r="I5417" s="455">
        <f t="shared" ca="1" si="190"/>
        <v>-2526961664770214</v>
      </c>
      <c r="J5417" s="455">
        <f t="array" ref="J5417">IFERROR(INDEX('Retirement Calculator'!K:K,MATCH('Lorri 401b'!N5417,'Retirement Calculator'!A:A,0),0),0)</f>
        <v>0</v>
      </c>
      <c r="K5417" s="455">
        <f t="shared" ca="1" si="188"/>
        <v>-10529006936542.559</v>
      </c>
      <c r="L5417" s="455">
        <f t="shared" ca="1" si="189"/>
        <v>-2537490671706756.5</v>
      </c>
      <c r="M5417" s="471">
        <f t="shared" si="191"/>
        <v>0.05</v>
      </c>
      <c r="N5417" s="475">
        <f t="shared" si="192"/>
        <v>215920</v>
      </c>
    </row>
    <row r="5418" spans="7:14" ht="11.25" customHeight="1" x14ac:dyDescent="0.3">
      <c r="G5418" s="470"/>
      <c r="H5418" s="470">
        <v>5411</v>
      </c>
      <c r="I5418" s="455">
        <f t="shared" ca="1" si="190"/>
        <v>-2537490671706756.5</v>
      </c>
      <c r="J5418" s="455">
        <f t="array" ref="J5418">IFERROR(INDEX('Retirement Calculator'!K:K,MATCH('Lorri 401b'!N5418,'Retirement Calculator'!A:A,0),0),0)</f>
        <v>0</v>
      </c>
      <c r="K5418" s="455">
        <f t="shared" ca="1" si="188"/>
        <v>-10572877798778.152</v>
      </c>
      <c r="L5418" s="455">
        <f t="shared" ca="1" si="189"/>
        <v>-2548063549505534.5</v>
      </c>
      <c r="M5418" s="471">
        <f t="shared" si="191"/>
        <v>0.05</v>
      </c>
      <c r="N5418" s="475">
        <f t="shared" si="192"/>
        <v>215951</v>
      </c>
    </row>
    <row r="5419" spans="7:14" ht="11.25" customHeight="1" x14ac:dyDescent="0.3">
      <c r="G5419" s="470"/>
      <c r="H5419" s="470">
        <v>5412</v>
      </c>
      <c r="I5419" s="455">
        <f t="shared" ca="1" si="190"/>
        <v>-2548063549505534.5</v>
      </c>
      <c r="J5419" s="455">
        <f t="array" ref="J5419">IFERROR(INDEX('Retirement Calculator'!K:K,MATCH('Lorri 401b'!N5419,'Retirement Calculator'!A:A,0),0),0)</f>
        <v>0</v>
      </c>
      <c r="K5419" s="455">
        <f t="shared" ca="1" si="188"/>
        <v>-10616931456273.061</v>
      </c>
      <c r="L5419" s="455">
        <f t="shared" ca="1" si="189"/>
        <v>-2558680480961807.5</v>
      </c>
      <c r="M5419" s="471">
        <f t="shared" si="191"/>
        <v>0.05</v>
      </c>
      <c r="N5419" s="475">
        <f t="shared" si="192"/>
        <v>215981</v>
      </c>
    </row>
    <row r="5420" spans="7:14" ht="11.25" customHeight="1" x14ac:dyDescent="0.3">
      <c r="G5420" s="470"/>
      <c r="H5420" s="470">
        <v>5413</v>
      </c>
      <c r="I5420" s="455">
        <f t="shared" ca="1" si="190"/>
        <v>-2558680480961807.5</v>
      </c>
      <c r="J5420" s="455">
        <f t="array" ref="J5420">IFERROR(INDEX('Retirement Calculator'!K:K,MATCH('Lorri 401b'!N5420,'Retirement Calculator'!A:A,0),0),0)</f>
        <v>0</v>
      </c>
      <c r="K5420" s="455">
        <f t="shared" ca="1" si="188"/>
        <v>-10661168670674.197</v>
      </c>
      <c r="L5420" s="455">
        <f t="shared" ca="1" si="189"/>
        <v>-2569341649632481.5</v>
      </c>
      <c r="M5420" s="471">
        <f t="shared" si="191"/>
        <v>0.05</v>
      </c>
      <c r="N5420" s="475">
        <f t="shared" si="192"/>
        <v>216012</v>
      </c>
    </row>
    <row r="5421" spans="7:14" ht="11.25" customHeight="1" x14ac:dyDescent="0.3">
      <c r="G5421" s="470"/>
      <c r="H5421" s="470">
        <v>5414</v>
      </c>
      <c r="I5421" s="455">
        <f t="shared" ca="1" si="190"/>
        <v>-2569341649632481.5</v>
      </c>
      <c r="J5421" s="455">
        <f t="array" ref="J5421">IFERROR(INDEX('Retirement Calculator'!K:K,MATCH('Lorri 401b'!N5421,'Retirement Calculator'!A:A,0),0),0)</f>
        <v>0</v>
      </c>
      <c r="K5421" s="455">
        <f t="shared" ca="1" si="188"/>
        <v>-10705590206802.006</v>
      </c>
      <c r="L5421" s="455">
        <f t="shared" ca="1" si="189"/>
        <v>-2580047239839283.5</v>
      </c>
      <c r="M5421" s="471">
        <f t="shared" si="191"/>
        <v>0.05</v>
      </c>
      <c r="N5421" s="475">
        <f t="shared" si="192"/>
        <v>216042</v>
      </c>
    </row>
    <row r="5422" spans="7:14" ht="11.25" customHeight="1" x14ac:dyDescent="0.3">
      <c r="G5422" s="470"/>
      <c r="H5422" s="470">
        <v>5415</v>
      </c>
      <c r="I5422" s="455">
        <f t="shared" ca="1" si="190"/>
        <v>-2580047239839283.5</v>
      </c>
      <c r="J5422" s="455">
        <f t="array" ref="J5422">IFERROR(INDEX('Retirement Calculator'!K:K,MATCH('Lorri 401b'!N5422,'Retirement Calculator'!A:A,0),0),0)</f>
        <v>0</v>
      </c>
      <c r="K5422" s="455">
        <f t="shared" ca="1" si="188"/>
        <v>-10750196832663.682</v>
      </c>
      <c r="L5422" s="455">
        <f t="shared" ca="1" si="189"/>
        <v>-2590797436671947</v>
      </c>
      <c r="M5422" s="471">
        <f t="shared" si="191"/>
        <v>0.05</v>
      </c>
      <c r="N5422" s="475">
        <f t="shared" si="192"/>
        <v>216073</v>
      </c>
    </row>
    <row r="5423" spans="7:14" ht="11.25" customHeight="1" x14ac:dyDescent="0.3">
      <c r="G5423" s="470"/>
      <c r="H5423" s="470">
        <v>5416</v>
      </c>
      <c r="I5423" s="455">
        <f t="shared" ca="1" si="190"/>
        <v>-2590797436671947</v>
      </c>
      <c r="J5423" s="455">
        <f t="array" ref="J5423">IFERROR(INDEX('Retirement Calculator'!K:K,MATCH('Lorri 401b'!N5423,'Retirement Calculator'!A:A,0),0),0)</f>
        <v>0</v>
      </c>
      <c r="K5423" s="455">
        <f t="shared" ca="1" si="188"/>
        <v>-10794989319466.445</v>
      </c>
      <c r="L5423" s="455">
        <f t="shared" ca="1" si="189"/>
        <v>-2601592425991413.5</v>
      </c>
      <c r="M5423" s="471">
        <f t="shared" si="191"/>
        <v>0.05</v>
      </c>
      <c r="N5423" s="475">
        <f t="shared" si="192"/>
        <v>216104</v>
      </c>
    </row>
    <row r="5424" spans="7:14" ht="11.25" customHeight="1" x14ac:dyDescent="0.3">
      <c r="G5424" s="470"/>
      <c r="H5424" s="470">
        <v>5417</v>
      </c>
      <c r="I5424" s="455">
        <f t="shared" ca="1" si="190"/>
        <v>-2601592425991413.5</v>
      </c>
      <c r="J5424" s="455">
        <f t="array" ref="J5424">IFERROR(INDEX('Retirement Calculator'!K:K,MATCH('Lorri 401b'!N5424,'Retirement Calculator'!A:A,0),0),0)</f>
        <v>0</v>
      </c>
      <c r="K5424" s="455">
        <f t="shared" ca="1" si="188"/>
        <v>-10839968441630.889</v>
      </c>
      <c r="L5424" s="455">
        <f t="shared" ca="1" si="189"/>
        <v>-2612432394433044.5</v>
      </c>
      <c r="M5424" s="471">
        <f t="shared" si="191"/>
        <v>0.05</v>
      </c>
      <c r="N5424" s="475">
        <f t="shared" si="192"/>
        <v>216134</v>
      </c>
    </row>
    <row r="5425" spans="7:14" ht="11.25" customHeight="1" x14ac:dyDescent="0.3">
      <c r="G5425" s="470"/>
      <c r="H5425" s="470">
        <v>5418</v>
      </c>
      <c r="I5425" s="455">
        <f t="shared" ca="1" si="190"/>
        <v>-2612432394433044.5</v>
      </c>
      <c r="J5425" s="455">
        <f t="array" ref="J5425">IFERROR(INDEX('Retirement Calculator'!K:K,MATCH('Lorri 401b'!N5425,'Retirement Calculator'!A:A,0),0),0)</f>
        <v>0</v>
      </c>
      <c r="K5425" s="455">
        <f t="shared" ca="1" si="188"/>
        <v>-10885134976804.352</v>
      </c>
      <c r="L5425" s="455">
        <f t="shared" ca="1" si="189"/>
        <v>-2623317529409849</v>
      </c>
      <c r="M5425" s="471">
        <f t="shared" si="191"/>
        <v>0.05</v>
      </c>
      <c r="N5425" s="475">
        <f t="shared" si="192"/>
        <v>216165</v>
      </c>
    </row>
    <row r="5426" spans="7:14" ht="11.25" customHeight="1" x14ac:dyDescent="0.3">
      <c r="G5426" s="470"/>
      <c r="H5426" s="470">
        <v>5419</v>
      </c>
      <c r="I5426" s="455">
        <f t="shared" ca="1" si="190"/>
        <v>-2623317529409849</v>
      </c>
      <c r="J5426" s="455">
        <f t="array" ref="J5426">IFERROR(INDEX('Retirement Calculator'!K:K,MATCH('Lorri 401b'!N5426,'Retirement Calculator'!A:A,0),0),0)</f>
        <v>0</v>
      </c>
      <c r="K5426" s="455">
        <f t="shared" ca="1" si="188"/>
        <v>-10930489705874.371</v>
      </c>
      <c r="L5426" s="455">
        <f t="shared" ca="1" si="189"/>
        <v>-2634248019115723.5</v>
      </c>
      <c r="M5426" s="471">
        <f t="shared" si="191"/>
        <v>0.05</v>
      </c>
      <c r="N5426" s="475">
        <f t="shared" si="192"/>
        <v>216195</v>
      </c>
    </row>
    <row r="5427" spans="7:14" ht="11.25" customHeight="1" x14ac:dyDescent="0.3">
      <c r="G5427" s="470"/>
      <c r="H5427" s="470">
        <v>5420</v>
      </c>
      <c r="I5427" s="455">
        <f t="shared" ca="1" si="190"/>
        <v>-2634248019115723.5</v>
      </c>
      <c r="J5427" s="455">
        <f t="array" ref="J5427">IFERROR(INDEX('Retirement Calculator'!K:K,MATCH('Lorri 401b'!N5427,'Retirement Calculator'!A:A,0),0),0)</f>
        <v>0</v>
      </c>
      <c r="K5427" s="455">
        <f t="shared" ca="1" si="188"/>
        <v>-10976033412982.182</v>
      </c>
      <c r="L5427" s="455">
        <f t="shared" ca="1" si="189"/>
        <v>-2645224052528705.5</v>
      </c>
      <c r="M5427" s="471">
        <f t="shared" si="191"/>
        <v>0.05</v>
      </c>
      <c r="N5427" s="475">
        <f t="shared" si="192"/>
        <v>216226</v>
      </c>
    </row>
    <row r="5428" spans="7:14" ht="11.25" customHeight="1" x14ac:dyDescent="0.3">
      <c r="G5428" s="470"/>
      <c r="H5428" s="470">
        <v>5421</v>
      </c>
      <c r="I5428" s="455">
        <f t="shared" ca="1" si="190"/>
        <v>-2645224052528705.5</v>
      </c>
      <c r="J5428" s="455">
        <f t="array" ref="J5428">IFERROR(INDEX('Retirement Calculator'!K:K,MATCH('Lorri 401b'!N5428,'Retirement Calculator'!A:A,0),0),0)</f>
        <v>0</v>
      </c>
      <c r="K5428" s="455">
        <f t="shared" ca="1" si="188"/>
        <v>-11021766885536.273</v>
      </c>
      <c r="L5428" s="455">
        <f t="shared" ca="1" si="189"/>
        <v>-2656245819414242</v>
      </c>
      <c r="M5428" s="471">
        <f t="shared" si="191"/>
        <v>0.05</v>
      </c>
      <c r="N5428" s="475">
        <f t="shared" si="192"/>
        <v>216257</v>
      </c>
    </row>
    <row r="5429" spans="7:14" ht="11.25" customHeight="1" x14ac:dyDescent="0.3">
      <c r="G5429" s="470"/>
      <c r="H5429" s="470">
        <v>5422</v>
      </c>
      <c r="I5429" s="455">
        <f t="shared" ca="1" si="190"/>
        <v>-2656245819414242</v>
      </c>
      <c r="J5429" s="455">
        <f t="array" ref="J5429">IFERROR(INDEX('Retirement Calculator'!K:K,MATCH('Lorri 401b'!N5429,'Retirement Calculator'!A:A,0),0),0)</f>
        <v>0</v>
      </c>
      <c r="K5429" s="455">
        <f t="shared" ca="1" si="188"/>
        <v>-11067690914226.008</v>
      </c>
      <c r="L5429" s="455">
        <f t="shared" ca="1" si="189"/>
        <v>-2667313510328468</v>
      </c>
      <c r="M5429" s="471">
        <f t="shared" si="191"/>
        <v>0.05</v>
      </c>
      <c r="N5429" s="475">
        <f t="shared" si="192"/>
        <v>216286</v>
      </c>
    </row>
    <row r="5430" spans="7:14" ht="11.25" customHeight="1" x14ac:dyDescent="0.3">
      <c r="G5430" s="470"/>
      <c r="H5430" s="470">
        <v>5423</v>
      </c>
      <c r="I5430" s="455">
        <f t="shared" ca="1" si="190"/>
        <v>-2667313510328468</v>
      </c>
      <c r="J5430" s="455">
        <f t="array" ref="J5430">IFERROR(INDEX('Retirement Calculator'!K:K,MATCH('Lorri 401b'!N5430,'Retirement Calculator'!A:A,0),0),0)</f>
        <v>0</v>
      </c>
      <c r="K5430" s="455">
        <f t="shared" ca="1" si="188"/>
        <v>-11113806293035.283</v>
      </c>
      <c r="L5430" s="455">
        <f t="shared" ca="1" si="189"/>
        <v>-2678427316621503.5</v>
      </c>
      <c r="M5430" s="471">
        <f t="shared" si="191"/>
        <v>0.05</v>
      </c>
      <c r="N5430" s="475">
        <f t="shared" si="192"/>
        <v>216317</v>
      </c>
    </row>
    <row r="5431" spans="7:14" ht="11.25" customHeight="1" x14ac:dyDescent="0.3">
      <c r="G5431" s="470"/>
      <c r="H5431" s="470">
        <v>5424</v>
      </c>
      <c r="I5431" s="455">
        <f t="shared" ca="1" si="190"/>
        <v>-2678427316621503.5</v>
      </c>
      <c r="J5431" s="455">
        <f t="array" ref="J5431">IFERROR(INDEX('Retirement Calculator'!K:K,MATCH('Lorri 401b'!N5431,'Retirement Calculator'!A:A,0),0),0)</f>
        <v>0</v>
      </c>
      <c r="K5431" s="455">
        <f t="shared" ca="1" si="188"/>
        <v>-11160113819256.264</v>
      </c>
      <c r="L5431" s="455">
        <f t="shared" ca="1" si="189"/>
        <v>-2689587430440760</v>
      </c>
      <c r="M5431" s="471">
        <f t="shared" si="191"/>
        <v>0.05</v>
      </c>
      <c r="N5431" s="475">
        <f t="shared" si="192"/>
        <v>216347</v>
      </c>
    </row>
    <row r="5432" spans="7:14" ht="11.25" customHeight="1" x14ac:dyDescent="0.3">
      <c r="G5432" s="470"/>
      <c r="H5432" s="470">
        <v>5425</v>
      </c>
      <c r="I5432" s="455">
        <f t="shared" ca="1" si="190"/>
        <v>-2689587430440760</v>
      </c>
      <c r="J5432" s="455">
        <f t="array" ref="J5432">IFERROR(INDEX('Retirement Calculator'!K:K,MATCH('Lorri 401b'!N5432,'Retirement Calculator'!A:A,0),0),0)</f>
        <v>0</v>
      </c>
      <c r="K5432" s="455">
        <f t="shared" ca="1" si="188"/>
        <v>-11206614293503.166</v>
      </c>
      <c r="L5432" s="455">
        <f t="shared" ca="1" si="189"/>
        <v>-2700794044734263</v>
      </c>
      <c r="M5432" s="471">
        <f t="shared" si="191"/>
        <v>0.05</v>
      </c>
      <c r="N5432" s="475">
        <f t="shared" si="192"/>
        <v>216378</v>
      </c>
    </row>
    <row r="5433" spans="7:14" ht="11.25" customHeight="1" x14ac:dyDescent="0.3">
      <c r="G5433" s="470"/>
      <c r="H5433" s="470">
        <v>5426</v>
      </c>
      <c r="I5433" s="455">
        <f t="shared" ca="1" si="190"/>
        <v>-2700794044734263</v>
      </c>
      <c r="J5433" s="455">
        <f t="array" ref="J5433">IFERROR(INDEX('Retirement Calculator'!K:K,MATCH('Lorri 401b'!N5433,'Retirement Calculator'!A:A,0),0),0)</f>
        <v>0</v>
      </c>
      <c r="K5433" s="455">
        <f t="shared" ca="1" si="188"/>
        <v>-11253308519726.096</v>
      </c>
      <c r="L5433" s="455">
        <f t="shared" ca="1" si="189"/>
        <v>-2712047353253989</v>
      </c>
      <c r="M5433" s="471">
        <f t="shared" si="191"/>
        <v>0.05</v>
      </c>
      <c r="N5433" s="475">
        <f t="shared" si="192"/>
        <v>216408</v>
      </c>
    </row>
    <row r="5434" spans="7:14" ht="11.25" customHeight="1" x14ac:dyDescent="0.3">
      <c r="G5434" s="470"/>
      <c r="H5434" s="470">
        <v>5427</v>
      </c>
      <c r="I5434" s="455">
        <f t="shared" ca="1" si="190"/>
        <v>-2712047353253989</v>
      </c>
      <c r="J5434" s="455">
        <f t="array" ref="J5434">IFERROR(INDEX('Retirement Calculator'!K:K,MATCH('Lorri 401b'!N5434,'Retirement Calculator'!A:A,0),0),0)</f>
        <v>0</v>
      </c>
      <c r="K5434" s="455">
        <f t="shared" ca="1" si="188"/>
        <v>-11300197305224.953</v>
      </c>
      <c r="L5434" s="455">
        <f t="shared" ca="1" si="189"/>
        <v>-2723347550559214</v>
      </c>
      <c r="M5434" s="471">
        <f t="shared" si="191"/>
        <v>0.05</v>
      </c>
      <c r="N5434" s="475">
        <f t="shared" si="192"/>
        <v>216439</v>
      </c>
    </row>
    <row r="5435" spans="7:14" ht="11.25" customHeight="1" x14ac:dyDescent="0.3">
      <c r="G5435" s="470"/>
      <c r="H5435" s="470">
        <v>5428</v>
      </c>
      <c r="I5435" s="455">
        <f t="shared" ca="1" si="190"/>
        <v>-2723347550559214</v>
      </c>
      <c r="J5435" s="455">
        <f t="array" ref="J5435">IFERROR(INDEX('Retirement Calculator'!K:K,MATCH('Lorri 401b'!N5435,'Retirement Calculator'!A:A,0),0),0)</f>
        <v>0</v>
      </c>
      <c r="K5435" s="455">
        <f t="shared" ca="1" si="188"/>
        <v>-11347281460663.391</v>
      </c>
      <c r="L5435" s="455">
        <f t="shared" ca="1" si="189"/>
        <v>-2734694832019877.5</v>
      </c>
      <c r="M5435" s="471">
        <f t="shared" si="191"/>
        <v>0.05</v>
      </c>
      <c r="N5435" s="475">
        <f t="shared" si="192"/>
        <v>216470</v>
      </c>
    </row>
    <row r="5436" spans="7:14" ht="11.25" customHeight="1" x14ac:dyDescent="0.3">
      <c r="G5436" s="470"/>
      <c r="H5436" s="470">
        <v>5429</v>
      </c>
      <c r="I5436" s="455">
        <f t="shared" ca="1" si="190"/>
        <v>-2734694832019877.5</v>
      </c>
      <c r="J5436" s="455">
        <f t="array" ref="J5436">IFERROR(INDEX('Retirement Calculator'!K:K,MATCH('Lorri 401b'!N5436,'Retirement Calculator'!A:A,0),0),0)</f>
        <v>0</v>
      </c>
      <c r="K5436" s="455">
        <f t="shared" ca="1" si="188"/>
        <v>-11394561800082.822</v>
      </c>
      <c r="L5436" s="455">
        <f t="shared" ca="1" si="189"/>
        <v>-2746089393819960.5</v>
      </c>
      <c r="M5436" s="471">
        <f t="shared" si="191"/>
        <v>0.05</v>
      </c>
      <c r="N5436" s="475">
        <f t="shared" si="192"/>
        <v>216500</v>
      </c>
    </row>
    <row r="5437" spans="7:14" ht="11.25" customHeight="1" x14ac:dyDescent="0.3">
      <c r="G5437" s="470"/>
      <c r="H5437" s="470">
        <v>5430</v>
      </c>
      <c r="I5437" s="455">
        <f t="shared" ca="1" si="190"/>
        <v>-2746089393819960.5</v>
      </c>
      <c r="J5437" s="455">
        <f t="array" ref="J5437">IFERROR(INDEX('Retirement Calculator'!K:K,MATCH('Lorri 401b'!N5437,'Retirement Calculator'!A:A,0),0),0)</f>
        <v>0</v>
      </c>
      <c r="K5437" s="455">
        <f t="shared" ca="1" si="188"/>
        <v>-11442039140916.502</v>
      </c>
      <c r="L5437" s="455">
        <f t="shared" ca="1" si="189"/>
        <v>-2757531432960877</v>
      </c>
      <c r="M5437" s="471">
        <f t="shared" si="191"/>
        <v>0.05</v>
      </c>
      <c r="N5437" s="475">
        <f t="shared" si="192"/>
        <v>216531</v>
      </c>
    </row>
    <row r="5438" spans="7:14" ht="11.25" customHeight="1" x14ac:dyDescent="0.3">
      <c r="G5438" s="470"/>
      <c r="H5438" s="470">
        <v>5431</v>
      </c>
      <c r="I5438" s="455">
        <f t="shared" ca="1" si="190"/>
        <v>-2757531432960877</v>
      </c>
      <c r="J5438" s="455">
        <f t="array" ref="J5438">IFERROR(INDEX('Retirement Calculator'!K:K,MATCH('Lorri 401b'!N5438,'Retirement Calculator'!A:A,0),0),0)</f>
        <v>0</v>
      </c>
      <c r="K5438" s="455">
        <f t="shared" ca="1" si="188"/>
        <v>-11489714304003.654</v>
      </c>
      <c r="L5438" s="455">
        <f t="shared" ca="1" si="189"/>
        <v>-2769021147264880.5</v>
      </c>
      <c r="M5438" s="471">
        <f t="shared" si="191"/>
        <v>0.05</v>
      </c>
      <c r="N5438" s="475">
        <f t="shared" si="192"/>
        <v>216561</v>
      </c>
    </row>
    <row r="5439" spans="7:14" ht="11.25" customHeight="1" x14ac:dyDescent="0.3">
      <c r="G5439" s="470"/>
      <c r="H5439" s="470">
        <v>5432</v>
      </c>
      <c r="I5439" s="455">
        <f t="shared" ca="1" si="190"/>
        <v>-2769021147264880.5</v>
      </c>
      <c r="J5439" s="455">
        <f t="array" ref="J5439">IFERROR(INDEX('Retirement Calculator'!K:K,MATCH('Lorri 401b'!N5439,'Retirement Calculator'!A:A,0),0),0)</f>
        <v>0</v>
      </c>
      <c r="K5439" s="455">
        <f t="shared" ca="1" si="188"/>
        <v>-11537588113603.668</v>
      </c>
      <c r="L5439" s="455">
        <f t="shared" ca="1" si="189"/>
        <v>-2780558735378484</v>
      </c>
      <c r="M5439" s="471">
        <f t="shared" si="191"/>
        <v>0.05</v>
      </c>
      <c r="N5439" s="475">
        <f t="shared" si="192"/>
        <v>216592</v>
      </c>
    </row>
    <row r="5440" spans="7:14" ht="11.25" customHeight="1" x14ac:dyDescent="0.3">
      <c r="G5440" s="470"/>
      <c r="H5440" s="470">
        <v>5433</v>
      </c>
      <c r="I5440" s="455">
        <f t="shared" ca="1" si="190"/>
        <v>-2780558735378484</v>
      </c>
      <c r="J5440" s="455">
        <f t="array" ref="J5440">IFERROR(INDEX('Retirement Calculator'!K:K,MATCH('Lorri 401b'!N5440,'Retirement Calculator'!A:A,0),0),0)</f>
        <v>0</v>
      </c>
      <c r="K5440" s="455">
        <f t="shared" ca="1" si="188"/>
        <v>-11585661397410.35</v>
      </c>
      <c r="L5440" s="455">
        <f t="shared" ca="1" si="189"/>
        <v>-2792144396775894.5</v>
      </c>
      <c r="M5440" s="471">
        <f t="shared" si="191"/>
        <v>0.05</v>
      </c>
      <c r="N5440" s="475">
        <f t="shared" si="192"/>
        <v>216623</v>
      </c>
    </row>
    <row r="5441" spans="7:14" ht="11.25" customHeight="1" x14ac:dyDescent="0.3">
      <c r="G5441" s="470"/>
      <c r="H5441" s="470">
        <v>5434</v>
      </c>
      <c r="I5441" s="455">
        <f t="shared" ca="1" si="190"/>
        <v>-2792144396775894.5</v>
      </c>
      <c r="J5441" s="455">
        <f t="array" ref="J5441">IFERROR(INDEX('Retirement Calculator'!K:K,MATCH('Lorri 401b'!N5441,'Retirement Calculator'!A:A,0),0),0)</f>
        <v>0</v>
      </c>
      <c r="K5441" s="455">
        <f t="shared" ca="1" si="188"/>
        <v>-11633934986566.227</v>
      </c>
      <c r="L5441" s="455">
        <f t="shared" ca="1" si="189"/>
        <v>-2803778331762460.5</v>
      </c>
      <c r="M5441" s="471">
        <f t="shared" si="191"/>
        <v>0.05</v>
      </c>
      <c r="N5441" s="475">
        <f t="shared" si="192"/>
        <v>216651</v>
      </c>
    </row>
    <row r="5442" spans="7:14" ht="11.25" customHeight="1" x14ac:dyDescent="0.3">
      <c r="G5442" s="470"/>
      <c r="H5442" s="470">
        <v>5435</v>
      </c>
      <c r="I5442" s="455">
        <f t="shared" ca="1" si="190"/>
        <v>-2803778331762460.5</v>
      </c>
      <c r="J5442" s="455">
        <f t="array" ref="J5442">IFERROR(INDEX('Retirement Calculator'!K:K,MATCH('Lorri 401b'!N5442,'Retirement Calculator'!A:A,0),0),0)</f>
        <v>0</v>
      </c>
      <c r="K5442" s="455">
        <f t="shared" ca="1" si="188"/>
        <v>-11682409715676.918</v>
      </c>
      <c r="L5442" s="455">
        <f t="shared" ca="1" si="189"/>
        <v>-2815460741478137.5</v>
      </c>
      <c r="M5442" s="471">
        <f t="shared" si="191"/>
        <v>0.05</v>
      </c>
      <c r="N5442" s="475">
        <f t="shared" si="192"/>
        <v>216682</v>
      </c>
    </row>
    <row r="5443" spans="7:14" ht="11.25" customHeight="1" x14ac:dyDescent="0.3">
      <c r="G5443" s="470"/>
      <c r="H5443" s="470">
        <v>5436</v>
      </c>
      <c r="I5443" s="455">
        <f t="shared" ca="1" si="190"/>
        <v>-2815460741478137.5</v>
      </c>
      <c r="J5443" s="455">
        <f t="array" ref="J5443">IFERROR(INDEX('Retirement Calculator'!K:K,MATCH('Lorri 401b'!N5443,'Retirement Calculator'!A:A,0),0),0)</f>
        <v>0</v>
      </c>
      <c r="K5443" s="455">
        <f t="shared" ca="1" si="188"/>
        <v>-11731086422825.572</v>
      </c>
      <c r="L5443" s="455">
        <f t="shared" ca="1" si="189"/>
        <v>-2827191827900963</v>
      </c>
      <c r="M5443" s="471">
        <f t="shared" si="191"/>
        <v>0.05</v>
      </c>
      <c r="N5443" s="475">
        <f t="shared" si="192"/>
        <v>216712</v>
      </c>
    </row>
    <row r="5444" spans="7:14" ht="11.25" customHeight="1" x14ac:dyDescent="0.3">
      <c r="G5444" s="470"/>
      <c r="H5444" s="470">
        <v>5437</v>
      </c>
      <c r="I5444" s="455">
        <f t="shared" ca="1" si="190"/>
        <v>-2827191827900963</v>
      </c>
      <c r="J5444" s="455">
        <f t="array" ref="J5444">IFERROR(INDEX('Retirement Calculator'!K:K,MATCH('Lorri 401b'!N5444,'Retirement Calculator'!A:A,0),0),0)</f>
        <v>0</v>
      </c>
      <c r="K5444" s="455">
        <f t="shared" ca="1" si="188"/>
        <v>-11779965949587.346</v>
      </c>
      <c r="L5444" s="455">
        <f t="shared" ca="1" si="189"/>
        <v>-2838971793850550.5</v>
      </c>
      <c r="M5444" s="471">
        <f t="shared" si="191"/>
        <v>0.05</v>
      </c>
      <c r="N5444" s="475">
        <f t="shared" si="192"/>
        <v>216743</v>
      </c>
    </row>
    <row r="5445" spans="7:14" ht="11.25" customHeight="1" x14ac:dyDescent="0.3">
      <c r="G5445" s="470"/>
      <c r="H5445" s="470">
        <v>5438</v>
      </c>
      <c r="I5445" s="455">
        <f t="shared" ca="1" si="190"/>
        <v>-2838971793850550.5</v>
      </c>
      <c r="J5445" s="455">
        <f t="array" ref="J5445">IFERROR(INDEX('Retirement Calculator'!K:K,MATCH('Lorri 401b'!N5445,'Retirement Calculator'!A:A,0),0),0)</f>
        <v>0</v>
      </c>
      <c r="K5445" s="455">
        <f t="shared" ca="1" si="188"/>
        <v>-11829049141043.961</v>
      </c>
      <c r="L5445" s="455">
        <f t="shared" ca="1" si="189"/>
        <v>-2850800842991594.5</v>
      </c>
      <c r="M5445" s="471">
        <f t="shared" si="191"/>
        <v>0.05</v>
      </c>
      <c r="N5445" s="475">
        <f t="shared" si="192"/>
        <v>216773</v>
      </c>
    </row>
    <row r="5446" spans="7:14" ht="11.25" customHeight="1" x14ac:dyDescent="0.3">
      <c r="G5446" s="470"/>
      <c r="H5446" s="470">
        <v>5439</v>
      </c>
      <c r="I5446" s="455">
        <f t="shared" ca="1" si="190"/>
        <v>-2850800842991594.5</v>
      </c>
      <c r="J5446" s="455">
        <f t="array" ref="J5446">IFERROR(INDEX('Retirement Calculator'!K:K,MATCH('Lorri 401b'!N5446,'Retirement Calculator'!A:A,0),0),0)</f>
        <v>0</v>
      </c>
      <c r="K5446" s="455">
        <f t="shared" ca="1" si="188"/>
        <v>-11878336845798.311</v>
      </c>
      <c r="L5446" s="455">
        <f t="shared" ca="1" si="189"/>
        <v>-2862679179837393</v>
      </c>
      <c r="M5446" s="471">
        <f t="shared" si="191"/>
        <v>0.05</v>
      </c>
      <c r="N5446" s="475">
        <f t="shared" si="192"/>
        <v>216804</v>
      </c>
    </row>
    <row r="5447" spans="7:14" ht="11.25" customHeight="1" x14ac:dyDescent="0.3">
      <c r="G5447" s="470"/>
      <c r="H5447" s="470">
        <v>5440</v>
      </c>
      <c r="I5447" s="455">
        <f t="shared" ca="1" si="190"/>
        <v>-2862679179837393</v>
      </c>
      <c r="J5447" s="455">
        <f t="array" ref="J5447">IFERROR(INDEX('Retirement Calculator'!K:K,MATCH('Lorri 401b'!N5447,'Retirement Calculator'!A:A,0),0),0)</f>
        <v>0</v>
      </c>
      <c r="K5447" s="455">
        <f t="shared" ca="1" si="188"/>
        <v>-11927829915989.137</v>
      </c>
      <c r="L5447" s="455">
        <f t="shared" ca="1" si="189"/>
        <v>-2874607009753382</v>
      </c>
      <c r="M5447" s="471">
        <f t="shared" si="191"/>
        <v>0.05</v>
      </c>
      <c r="N5447" s="475">
        <f t="shared" si="192"/>
        <v>216835</v>
      </c>
    </row>
    <row r="5448" spans="7:14" ht="11.25" customHeight="1" x14ac:dyDescent="0.3">
      <c r="G5448" s="470"/>
      <c r="H5448" s="470">
        <v>5441</v>
      </c>
      <c r="I5448" s="455">
        <f t="shared" ca="1" si="190"/>
        <v>-2874607009753382</v>
      </c>
      <c r="J5448" s="455">
        <f t="array" ref="J5448">IFERROR(INDEX('Retirement Calculator'!K:K,MATCH('Lorri 401b'!N5448,'Retirement Calculator'!A:A,0),0),0)</f>
        <v>0</v>
      </c>
      <c r="K5448" s="455">
        <f t="shared" ca="1" si="188"/>
        <v>-11977529207305.758</v>
      </c>
      <c r="L5448" s="455">
        <f t="shared" ca="1" si="189"/>
        <v>-2886584538960688</v>
      </c>
      <c r="M5448" s="471">
        <f t="shared" si="191"/>
        <v>0.05</v>
      </c>
      <c r="N5448" s="475">
        <f t="shared" si="192"/>
        <v>216865</v>
      </c>
    </row>
    <row r="5449" spans="7:14" ht="11.25" customHeight="1" x14ac:dyDescent="0.3">
      <c r="G5449" s="470"/>
      <c r="H5449" s="470">
        <v>5442</v>
      </c>
      <c r="I5449" s="455">
        <f t="shared" ca="1" si="190"/>
        <v>-2886584538960688</v>
      </c>
      <c r="J5449" s="455">
        <f t="array" ref="J5449">IFERROR(INDEX('Retirement Calculator'!K:K,MATCH('Lorri 401b'!N5449,'Retirement Calculator'!A:A,0),0),0)</f>
        <v>0</v>
      </c>
      <c r="K5449" s="455">
        <f t="shared" ca="1" si="188"/>
        <v>-12027435579002.867</v>
      </c>
      <c r="L5449" s="455">
        <f t="shared" ca="1" si="189"/>
        <v>-2898611974539691</v>
      </c>
      <c r="M5449" s="471">
        <f t="shared" si="191"/>
        <v>0.05</v>
      </c>
      <c r="N5449" s="475">
        <f t="shared" si="192"/>
        <v>216896</v>
      </c>
    </row>
    <row r="5450" spans="7:14" ht="11.25" customHeight="1" x14ac:dyDescent="0.3">
      <c r="G5450" s="470"/>
      <c r="H5450" s="470">
        <v>5443</v>
      </c>
      <c r="I5450" s="455">
        <f t="shared" ca="1" si="190"/>
        <v>-2898611974539691</v>
      </c>
      <c r="J5450" s="455">
        <f t="array" ref="J5450">IFERROR(INDEX('Retirement Calculator'!K:K,MATCH('Lorri 401b'!N5450,'Retirement Calculator'!A:A,0),0),0)</f>
        <v>0</v>
      </c>
      <c r="K5450" s="455">
        <f t="shared" ca="1" si="188"/>
        <v>-12077549893915.379</v>
      </c>
      <c r="L5450" s="455">
        <f t="shared" ca="1" si="189"/>
        <v>-2910689524433606.5</v>
      </c>
      <c r="M5450" s="471">
        <f t="shared" si="191"/>
        <v>0.05</v>
      </c>
      <c r="N5450" s="475">
        <f t="shared" si="192"/>
        <v>216926</v>
      </c>
    </row>
    <row r="5451" spans="7:14" ht="11.25" customHeight="1" x14ac:dyDescent="0.3">
      <c r="G5451" s="470"/>
      <c r="H5451" s="470">
        <v>5444</v>
      </c>
      <c r="I5451" s="455">
        <f t="shared" ca="1" si="190"/>
        <v>-2910689524433606.5</v>
      </c>
      <c r="J5451" s="455">
        <f t="array" ref="J5451">IFERROR(INDEX('Retirement Calculator'!K:K,MATCH('Lorri 401b'!N5451,'Retirement Calculator'!A:A,0),0),0)</f>
        <v>0</v>
      </c>
      <c r="K5451" s="455">
        <f t="shared" ca="1" si="188"/>
        <v>-12127873018473.359</v>
      </c>
      <c r="L5451" s="455">
        <f t="shared" ca="1" si="189"/>
        <v>-2922817397452080</v>
      </c>
      <c r="M5451" s="471">
        <f t="shared" si="191"/>
        <v>0.05</v>
      </c>
      <c r="N5451" s="475">
        <f t="shared" si="192"/>
        <v>216957</v>
      </c>
    </row>
    <row r="5452" spans="7:14" ht="11.25" customHeight="1" x14ac:dyDescent="0.3">
      <c r="G5452" s="470"/>
      <c r="H5452" s="470">
        <v>5445</v>
      </c>
      <c r="I5452" s="455">
        <f t="shared" ca="1" si="190"/>
        <v>-2922817397452080</v>
      </c>
      <c r="J5452" s="455">
        <f t="array" ref="J5452">IFERROR(INDEX('Retirement Calculator'!K:K,MATCH('Lorri 401b'!N5452,'Retirement Calculator'!A:A,0),0),0)</f>
        <v>0</v>
      </c>
      <c r="K5452" s="455">
        <f t="shared" ca="1" si="188"/>
        <v>-12178405822717</v>
      </c>
      <c r="L5452" s="455">
        <f t="shared" ca="1" si="189"/>
        <v>-2934995803274797</v>
      </c>
      <c r="M5452" s="471">
        <f t="shared" si="191"/>
        <v>0.05</v>
      </c>
      <c r="N5452" s="475">
        <f t="shared" si="192"/>
        <v>216988</v>
      </c>
    </row>
    <row r="5453" spans="7:14" ht="11.25" customHeight="1" x14ac:dyDescent="0.3">
      <c r="G5453" s="470"/>
      <c r="H5453" s="470">
        <v>5446</v>
      </c>
      <c r="I5453" s="455">
        <f t="shared" ca="1" si="190"/>
        <v>-2934995803274797</v>
      </c>
      <c r="J5453" s="455">
        <f t="array" ref="J5453">IFERROR(INDEX('Retirement Calculator'!K:K,MATCH('Lorri 401b'!N5453,'Retirement Calculator'!A:A,0),0),0)</f>
        <v>0</v>
      </c>
      <c r="K5453" s="455">
        <f t="shared" ca="1" si="188"/>
        <v>-12229149180311.654</v>
      </c>
      <c r="L5453" s="455">
        <f t="shared" ca="1" si="189"/>
        <v>-2947224952455108.5</v>
      </c>
      <c r="M5453" s="471">
        <f t="shared" si="191"/>
        <v>0.05</v>
      </c>
      <c r="N5453" s="475">
        <f t="shared" si="192"/>
        <v>217016</v>
      </c>
    </row>
    <row r="5454" spans="7:14" ht="11.25" customHeight="1" x14ac:dyDescent="0.3">
      <c r="G5454" s="470"/>
      <c r="H5454" s="470">
        <v>5447</v>
      </c>
      <c r="I5454" s="455">
        <f t="shared" ca="1" si="190"/>
        <v>-2947224952455108.5</v>
      </c>
      <c r="J5454" s="455">
        <f t="array" ref="J5454">IFERROR(INDEX('Retirement Calculator'!K:K,MATCH('Lorri 401b'!N5454,'Retirement Calculator'!A:A,0),0),0)</f>
        <v>0</v>
      </c>
      <c r="K5454" s="455">
        <f t="shared" ca="1" si="188"/>
        <v>-12280103968562.951</v>
      </c>
      <c r="L5454" s="455">
        <f t="shared" ca="1" si="189"/>
        <v>-2959505056423671.5</v>
      </c>
      <c r="M5454" s="471">
        <f t="shared" si="191"/>
        <v>0.05</v>
      </c>
      <c r="N5454" s="475">
        <f t="shared" si="192"/>
        <v>217047</v>
      </c>
    </row>
    <row r="5455" spans="7:14" ht="11.25" customHeight="1" x14ac:dyDescent="0.3">
      <c r="G5455" s="470"/>
      <c r="H5455" s="470">
        <v>5448</v>
      </c>
      <c r="I5455" s="455">
        <f t="shared" ca="1" si="190"/>
        <v>-2959505056423671.5</v>
      </c>
      <c r="J5455" s="455">
        <f t="array" ref="J5455">IFERROR(INDEX('Retirement Calculator'!K:K,MATCH('Lorri 401b'!N5455,'Retirement Calculator'!A:A,0),0),0)</f>
        <v>0</v>
      </c>
      <c r="K5455" s="455">
        <f t="shared" ca="1" si="188"/>
        <v>-12331271068431.965</v>
      </c>
      <c r="L5455" s="455">
        <f t="shared" ca="1" si="189"/>
        <v>-2971836327492103.5</v>
      </c>
      <c r="M5455" s="471">
        <f t="shared" si="191"/>
        <v>0.05</v>
      </c>
      <c r="N5455" s="475">
        <f t="shared" si="192"/>
        <v>217077</v>
      </c>
    </row>
    <row r="5456" spans="7:14" ht="11.25" customHeight="1" x14ac:dyDescent="0.3">
      <c r="G5456" s="470"/>
      <c r="H5456" s="470">
        <v>5449</v>
      </c>
      <c r="I5456" s="455">
        <f t="shared" ca="1" si="190"/>
        <v>-2971836327492103.5</v>
      </c>
      <c r="J5456" s="455">
        <f t="array" ref="J5456">IFERROR(INDEX('Retirement Calculator'!K:K,MATCH('Lorri 401b'!N5456,'Retirement Calculator'!A:A,0),0),0)</f>
        <v>0</v>
      </c>
      <c r="K5456" s="455">
        <f t="shared" ca="1" si="188"/>
        <v>-12382651364550.432</v>
      </c>
      <c r="L5456" s="455">
        <f t="shared" ca="1" si="189"/>
        <v>-2984218978856654</v>
      </c>
      <c r="M5456" s="471">
        <f t="shared" si="191"/>
        <v>0.05</v>
      </c>
      <c r="N5456" s="475">
        <f t="shared" si="192"/>
        <v>217108</v>
      </c>
    </row>
    <row r="5457" spans="7:14" ht="11.25" customHeight="1" x14ac:dyDescent="0.3">
      <c r="G5457" s="470"/>
      <c r="H5457" s="470">
        <v>5450</v>
      </c>
      <c r="I5457" s="455">
        <f t="shared" ca="1" si="190"/>
        <v>-2984218978856654</v>
      </c>
      <c r="J5457" s="455">
        <f t="array" ref="J5457">IFERROR(INDEX('Retirement Calculator'!K:K,MATCH('Lorri 401b'!N5457,'Retirement Calculator'!A:A,0),0),0)</f>
        <v>0</v>
      </c>
      <c r="K5457" s="455">
        <f t="shared" ca="1" si="188"/>
        <v>-12434245745236.059</v>
      </c>
      <c r="L5457" s="455">
        <f t="shared" ca="1" si="189"/>
        <v>-2996653224601890</v>
      </c>
      <c r="M5457" s="471">
        <f t="shared" si="191"/>
        <v>0.05</v>
      </c>
      <c r="N5457" s="475">
        <f t="shared" si="192"/>
        <v>217138</v>
      </c>
    </row>
    <row r="5458" spans="7:14" ht="11.25" customHeight="1" x14ac:dyDescent="0.3">
      <c r="G5458" s="470"/>
      <c r="H5458" s="470">
        <v>5451</v>
      </c>
      <c r="I5458" s="455">
        <f t="shared" ca="1" si="190"/>
        <v>-2996653224601890</v>
      </c>
      <c r="J5458" s="455">
        <f t="array" ref="J5458">IFERROR(INDEX('Retirement Calculator'!K:K,MATCH('Lorri 401b'!N5458,'Retirement Calculator'!A:A,0),0),0)</f>
        <v>0</v>
      </c>
      <c r="K5458" s="455">
        <f t="shared" ca="1" si="188"/>
        <v>-12486055102507.875</v>
      </c>
      <c r="L5458" s="455">
        <f t="shared" ca="1" si="189"/>
        <v>-3009139279704398</v>
      </c>
      <c r="M5458" s="471">
        <f t="shared" si="191"/>
        <v>0.05</v>
      </c>
      <c r="N5458" s="475">
        <f t="shared" si="192"/>
        <v>217169</v>
      </c>
    </row>
    <row r="5459" spans="7:14" ht="11.25" customHeight="1" x14ac:dyDescent="0.3">
      <c r="G5459" s="470"/>
      <c r="H5459" s="470">
        <v>5452</v>
      </c>
      <c r="I5459" s="455">
        <f t="shared" ca="1" si="190"/>
        <v>-3009139279704398</v>
      </c>
      <c r="J5459" s="455">
        <f t="array" ref="J5459">IFERROR(INDEX('Retirement Calculator'!K:K,MATCH('Lorri 401b'!N5459,'Retirement Calculator'!A:A,0),0),0)</f>
        <v>0</v>
      </c>
      <c r="K5459" s="455">
        <f t="shared" ca="1" si="188"/>
        <v>-12538080332101.658</v>
      </c>
      <c r="L5459" s="455">
        <f t="shared" ca="1" si="189"/>
        <v>-3021677360036499.5</v>
      </c>
      <c r="M5459" s="471">
        <f t="shared" si="191"/>
        <v>0.05</v>
      </c>
      <c r="N5459" s="475">
        <f t="shared" si="192"/>
        <v>217200</v>
      </c>
    </row>
    <row r="5460" spans="7:14" ht="11.25" customHeight="1" x14ac:dyDescent="0.3">
      <c r="G5460" s="470"/>
      <c r="H5460" s="470">
        <v>5453</v>
      </c>
      <c r="I5460" s="455">
        <f t="shared" ca="1" si="190"/>
        <v>-3021677360036499.5</v>
      </c>
      <c r="J5460" s="455">
        <f t="array" ref="J5460">IFERROR(INDEX('Retirement Calculator'!K:K,MATCH('Lorri 401b'!N5460,'Retirement Calculator'!A:A,0),0),0)</f>
        <v>0</v>
      </c>
      <c r="K5460" s="455">
        <f t="shared" ca="1" si="188"/>
        <v>-12590322333485.414</v>
      </c>
      <c r="L5460" s="455">
        <f t="shared" ca="1" si="189"/>
        <v>-3034267682369985</v>
      </c>
      <c r="M5460" s="471">
        <f t="shared" si="191"/>
        <v>0.05</v>
      </c>
      <c r="N5460" s="475">
        <f t="shared" si="192"/>
        <v>217230</v>
      </c>
    </row>
    <row r="5461" spans="7:14" ht="11.25" customHeight="1" x14ac:dyDescent="0.3">
      <c r="G5461" s="470"/>
      <c r="H5461" s="470">
        <v>5454</v>
      </c>
      <c r="I5461" s="455">
        <f t="shared" ca="1" si="190"/>
        <v>-3034267682369985</v>
      </c>
      <c r="J5461" s="455">
        <f t="array" ref="J5461">IFERROR(INDEX('Retirement Calculator'!K:K,MATCH('Lorri 401b'!N5461,'Retirement Calculator'!A:A,0),0),0)</f>
        <v>0</v>
      </c>
      <c r="K5461" s="455">
        <f t="shared" ca="1" si="188"/>
        <v>-12642782009874.938</v>
      </c>
      <c r="L5461" s="455">
        <f t="shared" ca="1" si="189"/>
        <v>-3046910464379860</v>
      </c>
      <c r="M5461" s="471">
        <f t="shared" si="191"/>
        <v>0.05</v>
      </c>
      <c r="N5461" s="475">
        <f t="shared" si="192"/>
        <v>217261</v>
      </c>
    </row>
    <row r="5462" spans="7:14" ht="11.25" customHeight="1" x14ac:dyDescent="0.3">
      <c r="G5462" s="470"/>
      <c r="H5462" s="470">
        <v>5455</v>
      </c>
      <c r="I5462" s="455">
        <f t="shared" ca="1" si="190"/>
        <v>-3046910464379860</v>
      </c>
      <c r="J5462" s="455">
        <f t="array" ref="J5462">IFERROR(INDEX('Retirement Calculator'!K:K,MATCH('Lorri 401b'!N5462,'Retirement Calculator'!A:A,0),0),0)</f>
        <v>0</v>
      </c>
      <c r="K5462" s="455">
        <f t="shared" ca="1" si="188"/>
        <v>-12695460268249.416</v>
      </c>
      <c r="L5462" s="455">
        <f t="shared" ca="1" si="189"/>
        <v>-3059605924648109.5</v>
      </c>
      <c r="M5462" s="471">
        <f t="shared" si="191"/>
        <v>0.05</v>
      </c>
      <c r="N5462" s="475">
        <f t="shared" si="192"/>
        <v>217291</v>
      </c>
    </row>
    <row r="5463" spans="7:14" ht="11.25" customHeight="1" x14ac:dyDescent="0.3">
      <c r="G5463" s="470"/>
      <c r="H5463" s="470">
        <v>5456</v>
      </c>
      <c r="I5463" s="455">
        <f t="shared" ca="1" si="190"/>
        <v>-3059605924648109.5</v>
      </c>
      <c r="J5463" s="455">
        <f t="array" ref="J5463">IFERROR(INDEX('Retirement Calculator'!K:K,MATCH('Lorri 401b'!N5463,'Retirement Calculator'!A:A,0),0),0)</f>
        <v>0</v>
      </c>
      <c r="K5463" s="455">
        <f t="shared" ca="1" si="188"/>
        <v>-12748358019367.123</v>
      </c>
      <c r="L5463" s="455">
        <f t="shared" ca="1" si="189"/>
        <v>-3072354282667476.5</v>
      </c>
      <c r="M5463" s="471">
        <f t="shared" si="191"/>
        <v>0.05</v>
      </c>
      <c r="N5463" s="475">
        <f t="shared" si="192"/>
        <v>217322</v>
      </c>
    </row>
    <row r="5464" spans="7:14" ht="11.25" customHeight="1" x14ac:dyDescent="0.3">
      <c r="G5464" s="470"/>
      <c r="H5464" s="470">
        <v>5457</v>
      </c>
      <c r="I5464" s="455">
        <f t="shared" ca="1" si="190"/>
        <v>-3072354282667476.5</v>
      </c>
      <c r="J5464" s="455">
        <f t="array" ref="J5464">IFERROR(INDEX('Retirement Calculator'!K:K,MATCH('Lorri 401b'!N5464,'Retirement Calculator'!A:A,0),0),0)</f>
        <v>0</v>
      </c>
      <c r="K5464" s="455">
        <f t="shared" ca="1" si="188"/>
        <v>-12801476177781.152</v>
      </c>
      <c r="L5464" s="455">
        <f t="shared" ca="1" si="189"/>
        <v>-3085155758845257.5</v>
      </c>
      <c r="M5464" s="471">
        <f t="shared" si="191"/>
        <v>0.05</v>
      </c>
      <c r="N5464" s="475">
        <f t="shared" si="192"/>
        <v>217353</v>
      </c>
    </row>
    <row r="5465" spans="7:14" ht="11.25" customHeight="1" x14ac:dyDescent="0.3">
      <c r="G5465" s="470"/>
      <c r="H5465" s="470">
        <v>5458</v>
      </c>
      <c r="I5465" s="455">
        <f t="shared" ca="1" si="190"/>
        <v>-3085155758845257.5</v>
      </c>
      <c r="J5465" s="455">
        <f t="array" ref="J5465">IFERROR(INDEX('Retirement Calculator'!K:K,MATCH('Lorri 401b'!N5465,'Retirement Calculator'!A:A,0),0),0)</f>
        <v>0</v>
      </c>
      <c r="K5465" s="455">
        <f t="shared" ca="1" si="188"/>
        <v>-12854815661855.24</v>
      </c>
      <c r="L5465" s="455">
        <f t="shared" ca="1" si="189"/>
        <v>-3098010574507112.5</v>
      </c>
      <c r="M5465" s="471">
        <f t="shared" si="191"/>
        <v>0.05</v>
      </c>
      <c r="N5465" s="475">
        <f t="shared" si="192"/>
        <v>217381</v>
      </c>
    </row>
    <row r="5466" spans="7:14" ht="11.25" customHeight="1" x14ac:dyDescent="0.3">
      <c r="G5466" s="470"/>
      <c r="H5466" s="470">
        <v>5459</v>
      </c>
      <c r="I5466" s="455">
        <f t="shared" ca="1" si="190"/>
        <v>-3098010574507112.5</v>
      </c>
      <c r="J5466" s="455">
        <f t="array" ref="J5466">IFERROR(INDEX('Retirement Calculator'!K:K,MATCH('Lorri 401b'!N5466,'Retirement Calculator'!A:A,0),0),0)</f>
        <v>0</v>
      </c>
      <c r="K5466" s="455">
        <f t="shared" ca="1" si="188"/>
        <v>-12908377393779.635</v>
      </c>
      <c r="L5466" s="455">
        <f t="shared" ca="1" si="189"/>
        <v>-3110918951900892</v>
      </c>
      <c r="M5466" s="471">
        <f t="shared" si="191"/>
        <v>0.05</v>
      </c>
      <c r="N5466" s="475">
        <f t="shared" si="192"/>
        <v>217412</v>
      </c>
    </row>
    <row r="5467" spans="7:14" ht="11.25" customHeight="1" x14ac:dyDescent="0.3">
      <c r="G5467" s="470"/>
      <c r="H5467" s="470">
        <v>5460</v>
      </c>
      <c r="I5467" s="455">
        <f t="shared" ca="1" si="190"/>
        <v>-3110918951900892</v>
      </c>
      <c r="J5467" s="455">
        <f t="array" ref="J5467">IFERROR(INDEX('Retirement Calculator'!K:K,MATCH('Lorri 401b'!N5467,'Retirement Calculator'!A:A,0),0),0)</f>
        <v>0</v>
      </c>
      <c r="K5467" s="455">
        <f t="shared" ca="1" si="188"/>
        <v>-12962162299587.051</v>
      </c>
      <c r="L5467" s="455">
        <f t="shared" ca="1" si="189"/>
        <v>-3123881114200479</v>
      </c>
      <c r="M5467" s="471">
        <f t="shared" si="191"/>
        <v>0.05</v>
      </c>
      <c r="N5467" s="475">
        <f t="shared" si="192"/>
        <v>217442</v>
      </c>
    </row>
    <row r="5468" spans="7:14" ht="11.25" customHeight="1" x14ac:dyDescent="0.3">
      <c r="G5468" s="470"/>
      <c r="H5468" s="470">
        <v>5461</v>
      </c>
      <c r="I5468" s="455">
        <f t="shared" ca="1" si="190"/>
        <v>-3123881114200479</v>
      </c>
      <c r="J5468" s="455">
        <f t="array" ref="J5468">IFERROR(INDEX('Retirement Calculator'!K:K,MATCH('Lorri 401b'!N5468,'Retirement Calculator'!A:A,0),0),0)</f>
        <v>0</v>
      </c>
      <c r="K5468" s="455">
        <f t="shared" ca="1" si="188"/>
        <v>-13016171309168.662</v>
      </c>
      <c r="L5468" s="455">
        <f t="shared" ca="1" si="189"/>
        <v>-3136897285509647.5</v>
      </c>
      <c r="M5468" s="471">
        <f t="shared" si="191"/>
        <v>0.05</v>
      </c>
      <c r="N5468" s="475">
        <f t="shared" si="192"/>
        <v>217473</v>
      </c>
    </row>
    <row r="5469" spans="7:14" ht="11.25" customHeight="1" x14ac:dyDescent="0.3">
      <c r="G5469" s="470"/>
      <c r="H5469" s="470">
        <v>5462</v>
      </c>
      <c r="I5469" s="455">
        <f t="shared" ca="1" si="190"/>
        <v>-3136897285509647.5</v>
      </c>
      <c r="J5469" s="455">
        <f t="array" ref="J5469">IFERROR(INDEX('Retirement Calculator'!K:K,MATCH('Lorri 401b'!N5469,'Retirement Calculator'!A:A,0),0),0)</f>
        <v>0</v>
      </c>
      <c r="K5469" s="455">
        <f t="shared" ca="1" si="188"/>
        <v>-13070405356290.197</v>
      </c>
      <c r="L5469" s="455">
        <f t="shared" ca="1" si="189"/>
        <v>-3149967690865937.5</v>
      </c>
      <c r="M5469" s="471">
        <f t="shared" si="191"/>
        <v>0.05</v>
      </c>
      <c r="N5469" s="475">
        <f t="shared" si="192"/>
        <v>217503</v>
      </c>
    </row>
    <row r="5470" spans="7:14" ht="11.25" customHeight="1" x14ac:dyDescent="0.3">
      <c r="G5470" s="470"/>
      <c r="H5470" s="470">
        <v>5463</v>
      </c>
      <c r="I5470" s="455">
        <f t="shared" ca="1" si="190"/>
        <v>-3149967690865937.5</v>
      </c>
      <c r="J5470" s="455">
        <f t="array" ref="J5470">IFERROR(INDEX('Retirement Calculator'!K:K,MATCH('Lorri 401b'!N5470,'Retirement Calculator'!A:A,0),0),0)</f>
        <v>0</v>
      </c>
      <c r="K5470" s="455">
        <f t="shared" ca="1" si="188"/>
        <v>-13124865378608.072</v>
      </c>
      <c r="L5470" s="455">
        <f t="shared" ca="1" si="189"/>
        <v>-3163092556244545.5</v>
      </c>
      <c r="M5470" s="471">
        <f t="shared" si="191"/>
        <v>0.05</v>
      </c>
      <c r="N5470" s="475">
        <f t="shared" si="192"/>
        <v>217534</v>
      </c>
    </row>
    <row r="5471" spans="7:14" ht="11.25" customHeight="1" x14ac:dyDescent="0.3">
      <c r="G5471" s="470"/>
      <c r="H5471" s="470">
        <v>5464</v>
      </c>
      <c r="I5471" s="455">
        <f t="shared" ca="1" si="190"/>
        <v>-3163092556244545.5</v>
      </c>
      <c r="J5471" s="455">
        <f t="array" ref="J5471">IFERROR(INDEX('Retirement Calculator'!K:K,MATCH('Lorri 401b'!N5471,'Retirement Calculator'!A:A,0),0),0)</f>
        <v>0</v>
      </c>
      <c r="K5471" s="455">
        <f t="shared" ca="1" si="188"/>
        <v>-13179552317685.605</v>
      </c>
      <c r="L5471" s="455">
        <f t="shared" ca="1" si="189"/>
        <v>-3176272108562231</v>
      </c>
      <c r="M5471" s="471">
        <f t="shared" si="191"/>
        <v>0.05</v>
      </c>
      <c r="N5471" s="475">
        <f t="shared" si="192"/>
        <v>217565</v>
      </c>
    </row>
    <row r="5472" spans="7:14" ht="11.25" customHeight="1" x14ac:dyDescent="0.3">
      <c r="G5472" s="470"/>
      <c r="H5472" s="470">
        <v>5465</v>
      </c>
      <c r="I5472" s="455">
        <f t="shared" ca="1" si="190"/>
        <v>-3176272108562231</v>
      </c>
      <c r="J5472" s="455">
        <f t="array" ref="J5472">IFERROR(INDEX('Retirement Calculator'!K:K,MATCH('Lorri 401b'!N5472,'Retirement Calculator'!A:A,0),0),0)</f>
        <v>0</v>
      </c>
      <c r="K5472" s="455">
        <f t="shared" ca="1" si="188"/>
        <v>-13234467119009.295</v>
      </c>
      <c r="L5472" s="455">
        <f t="shared" ca="1" si="189"/>
        <v>-3189506575681240.5</v>
      </c>
      <c r="M5472" s="471">
        <f t="shared" si="191"/>
        <v>0.05</v>
      </c>
      <c r="N5472" s="475">
        <f t="shared" si="192"/>
        <v>217595</v>
      </c>
    </row>
    <row r="5473" spans="7:14" ht="11.25" customHeight="1" x14ac:dyDescent="0.3">
      <c r="G5473" s="470"/>
      <c r="H5473" s="470">
        <v>5466</v>
      </c>
      <c r="I5473" s="455">
        <f t="shared" ca="1" si="190"/>
        <v>-3189506575681240.5</v>
      </c>
      <c r="J5473" s="455">
        <f t="array" ref="J5473">IFERROR(INDEX('Retirement Calculator'!K:K,MATCH('Lorri 401b'!N5473,'Retirement Calculator'!A:A,0),0),0)</f>
        <v>0</v>
      </c>
      <c r="K5473" s="455">
        <f t="shared" ca="1" si="188"/>
        <v>-13289610732005.168</v>
      </c>
      <c r="L5473" s="455">
        <f t="shared" ca="1" si="189"/>
        <v>-3202796186413245.5</v>
      </c>
      <c r="M5473" s="471">
        <f t="shared" si="191"/>
        <v>0.05</v>
      </c>
      <c r="N5473" s="475">
        <f t="shared" si="192"/>
        <v>217626</v>
      </c>
    </row>
    <row r="5474" spans="7:14" ht="11.25" customHeight="1" x14ac:dyDescent="0.3">
      <c r="G5474" s="470"/>
      <c r="H5474" s="470">
        <v>5467</v>
      </c>
      <c r="I5474" s="455">
        <f t="shared" ca="1" si="190"/>
        <v>-3202796186413245.5</v>
      </c>
      <c r="J5474" s="455">
        <f t="array" ref="J5474">IFERROR(INDEX('Retirement Calculator'!K:K,MATCH('Lorri 401b'!N5474,'Retirement Calculator'!A:A,0),0),0)</f>
        <v>0</v>
      </c>
      <c r="K5474" s="455">
        <f t="shared" ca="1" si="188"/>
        <v>-13344984110055.189</v>
      </c>
      <c r="L5474" s="455">
        <f t="shared" ca="1" si="189"/>
        <v>-3216141170523300.5</v>
      </c>
      <c r="M5474" s="471">
        <f t="shared" si="191"/>
        <v>0.05</v>
      </c>
      <c r="N5474" s="475">
        <f t="shared" si="192"/>
        <v>217656</v>
      </c>
    </row>
    <row r="5475" spans="7:14" ht="11.25" customHeight="1" x14ac:dyDescent="0.3">
      <c r="G5475" s="470"/>
      <c r="H5475" s="470">
        <v>5468</v>
      </c>
      <c r="I5475" s="455">
        <f t="shared" ca="1" si="190"/>
        <v>-3216141170523300.5</v>
      </c>
      <c r="J5475" s="455">
        <f t="array" ref="J5475">IFERROR(INDEX('Retirement Calculator'!K:K,MATCH('Lorri 401b'!N5475,'Retirement Calculator'!A:A,0),0),0)</f>
        <v>0</v>
      </c>
      <c r="K5475" s="455">
        <f t="shared" ca="1" si="188"/>
        <v>-13400588210513.752</v>
      </c>
      <c r="L5475" s="455">
        <f t="shared" ca="1" si="189"/>
        <v>-3229541758733814.5</v>
      </c>
      <c r="M5475" s="471">
        <f t="shared" si="191"/>
        <v>0.05</v>
      </c>
      <c r="N5475" s="475">
        <f t="shared" si="192"/>
        <v>217687</v>
      </c>
    </row>
    <row r="5476" spans="7:14" ht="11.25" customHeight="1" x14ac:dyDescent="0.3">
      <c r="G5476" s="470"/>
      <c r="H5476" s="470">
        <v>5469</v>
      </c>
      <c r="I5476" s="455">
        <f t="shared" ca="1" si="190"/>
        <v>-3229541758733814.5</v>
      </c>
      <c r="J5476" s="455">
        <f t="array" ref="J5476">IFERROR(INDEX('Retirement Calculator'!K:K,MATCH('Lorri 401b'!N5476,'Retirement Calculator'!A:A,0),0),0)</f>
        <v>0</v>
      </c>
      <c r="K5476" s="455">
        <f t="shared" ca="1" si="188"/>
        <v>-13456423994724.227</v>
      </c>
      <c r="L5476" s="455">
        <f t="shared" ca="1" si="189"/>
        <v>-3242998182728538.5</v>
      </c>
      <c r="M5476" s="471">
        <f t="shared" si="191"/>
        <v>0.05</v>
      </c>
      <c r="N5476" s="475">
        <f t="shared" si="192"/>
        <v>217718</v>
      </c>
    </row>
    <row r="5477" spans="7:14" ht="11.25" customHeight="1" x14ac:dyDescent="0.3">
      <c r="G5477" s="470"/>
      <c r="H5477" s="470">
        <v>5470</v>
      </c>
      <c r="I5477" s="455">
        <f t="shared" ca="1" si="190"/>
        <v>-3242998182728538.5</v>
      </c>
      <c r="J5477" s="455">
        <f t="array" ref="J5477">IFERROR(INDEX('Retirement Calculator'!K:K,MATCH('Lorri 401b'!N5477,'Retirement Calculator'!A:A,0),0),0)</f>
        <v>0</v>
      </c>
      <c r="K5477" s="455">
        <f t="shared" ca="1" si="188"/>
        <v>-13512492428035.576</v>
      </c>
      <c r="L5477" s="455">
        <f t="shared" ca="1" si="189"/>
        <v>-3256510675156574</v>
      </c>
      <c r="M5477" s="471">
        <f t="shared" si="191"/>
        <v>0.05</v>
      </c>
      <c r="N5477" s="475">
        <f t="shared" si="192"/>
        <v>217747</v>
      </c>
    </row>
    <row r="5478" spans="7:14" ht="11.25" customHeight="1" x14ac:dyDescent="0.3">
      <c r="G5478" s="470"/>
      <c r="H5478" s="470">
        <v>5471</v>
      </c>
      <c r="I5478" s="455">
        <f t="shared" ca="1" si="190"/>
        <v>-3256510675156574</v>
      </c>
      <c r="J5478" s="455">
        <f t="array" ref="J5478">IFERROR(INDEX('Retirement Calculator'!K:K,MATCH('Lorri 401b'!N5478,'Retirement Calculator'!A:A,0),0),0)</f>
        <v>0</v>
      </c>
      <c r="K5478" s="455">
        <f t="shared" ca="1" si="188"/>
        <v>-13568794479819.059</v>
      </c>
      <c r="L5478" s="455">
        <f t="shared" ca="1" si="189"/>
        <v>-3270079469636393</v>
      </c>
      <c r="M5478" s="471">
        <f t="shared" si="191"/>
        <v>0.05</v>
      </c>
      <c r="N5478" s="475">
        <f t="shared" si="192"/>
        <v>217778</v>
      </c>
    </row>
    <row r="5479" spans="7:14" ht="11.25" customHeight="1" x14ac:dyDescent="0.3">
      <c r="G5479" s="470"/>
      <c r="H5479" s="470">
        <v>5472</v>
      </c>
      <c r="I5479" s="455">
        <f t="shared" ca="1" si="190"/>
        <v>-3270079469636393</v>
      </c>
      <c r="J5479" s="455">
        <f t="array" ref="J5479">IFERROR(INDEX('Retirement Calculator'!K:K,MATCH('Lorri 401b'!N5479,'Retirement Calculator'!A:A,0),0),0)</f>
        <v>0</v>
      </c>
      <c r="K5479" s="455">
        <f t="shared" ca="1" si="188"/>
        <v>-13625331123484.971</v>
      </c>
      <c r="L5479" s="455">
        <f t="shared" ca="1" si="189"/>
        <v>-3283704800759878</v>
      </c>
      <c r="M5479" s="471">
        <f t="shared" si="191"/>
        <v>0.05</v>
      </c>
      <c r="N5479" s="475">
        <f t="shared" si="192"/>
        <v>217808</v>
      </c>
    </row>
    <row r="5480" spans="7:14" ht="11.25" customHeight="1" x14ac:dyDescent="0.3">
      <c r="G5480" s="470"/>
      <c r="H5480" s="470">
        <v>5473</v>
      </c>
      <c r="I5480" s="455">
        <f t="shared" ca="1" si="190"/>
        <v>-3283704800759878</v>
      </c>
      <c r="J5480" s="455">
        <f t="array" ref="J5480">IFERROR(INDEX('Retirement Calculator'!K:K,MATCH('Lorri 401b'!N5480,'Retirement Calculator'!A:A,0),0),0)</f>
        <v>0</v>
      </c>
      <c r="K5480" s="455">
        <f t="shared" ca="1" si="188"/>
        <v>-13682103336499.492</v>
      </c>
      <c r="L5480" s="455">
        <f t="shared" ca="1" si="189"/>
        <v>-3297386904096377.5</v>
      </c>
      <c r="M5480" s="471">
        <f t="shared" si="191"/>
        <v>0.05</v>
      </c>
      <c r="N5480" s="475">
        <f t="shared" si="192"/>
        <v>217839</v>
      </c>
    </row>
    <row r="5481" spans="7:14" ht="11.25" customHeight="1" x14ac:dyDescent="0.3">
      <c r="G5481" s="470"/>
      <c r="H5481" s="470">
        <v>5474</v>
      </c>
      <c r="I5481" s="455">
        <f t="shared" ca="1" si="190"/>
        <v>-3297386904096377.5</v>
      </c>
      <c r="J5481" s="455">
        <f t="array" ref="J5481">IFERROR(INDEX('Retirement Calculator'!K:K,MATCH('Lorri 401b'!N5481,'Retirement Calculator'!A:A,0),0),0)</f>
        <v>0</v>
      </c>
      <c r="K5481" s="455">
        <f t="shared" ca="1" si="188"/>
        <v>-13739112100401.572</v>
      </c>
      <c r="L5481" s="455">
        <f t="shared" ca="1" si="189"/>
        <v>-3311126016196779</v>
      </c>
      <c r="M5481" s="471">
        <f t="shared" si="191"/>
        <v>0.05</v>
      </c>
      <c r="N5481" s="475">
        <f t="shared" si="192"/>
        <v>217869</v>
      </c>
    </row>
    <row r="5482" spans="7:14" ht="11.25" customHeight="1" x14ac:dyDescent="0.3">
      <c r="G5482" s="470"/>
      <c r="H5482" s="470">
        <v>5475</v>
      </c>
      <c r="I5482" s="455">
        <f t="shared" ca="1" si="190"/>
        <v>-3311126016196779</v>
      </c>
      <c r="J5482" s="455">
        <f t="array" ref="J5482">IFERROR(INDEX('Retirement Calculator'!K:K,MATCH('Lorri 401b'!N5482,'Retirement Calculator'!A:A,0),0),0)</f>
        <v>0</v>
      </c>
      <c r="K5482" s="455">
        <f t="shared" ca="1" si="188"/>
        <v>-13796358400819.912</v>
      </c>
      <c r="L5482" s="455">
        <f t="shared" ca="1" si="189"/>
        <v>-3324922374597599</v>
      </c>
      <c r="M5482" s="471">
        <f t="shared" si="191"/>
        <v>0.05</v>
      </c>
      <c r="N5482" s="475">
        <f t="shared" si="192"/>
        <v>217900</v>
      </c>
    </row>
    <row r="5483" spans="7:14" ht="11.25" customHeight="1" x14ac:dyDescent="0.3">
      <c r="G5483" s="470"/>
      <c r="H5483" s="470">
        <v>5476</v>
      </c>
      <c r="I5483" s="455">
        <f t="shared" ca="1" si="190"/>
        <v>-3324922374597599</v>
      </c>
      <c r="J5483" s="455">
        <f t="array" ref="J5483">IFERROR(INDEX('Retirement Calculator'!K:K,MATCH('Lorri 401b'!N5483,'Retirement Calculator'!A:A,0),0),0)</f>
        <v>0</v>
      </c>
      <c r="K5483" s="455">
        <f t="shared" ca="1" si="188"/>
        <v>-13853843227489.996</v>
      </c>
      <c r="L5483" s="455">
        <f t="shared" ca="1" si="189"/>
        <v>-3338776217825089</v>
      </c>
      <c r="M5483" s="471">
        <f t="shared" si="191"/>
        <v>0.05</v>
      </c>
      <c r="N5483" s="475">
        <f t="shared" si="192"/>
        <v>217931</v>
      </c>
    </row>
    <row r="5484" spans="7:14" ht="11.25" customHeight="1" x14ac:dyDescent="0.3">
      <c r="G5484" s="470"/>
      <c r="H5484" s="470">
        <v>5477</v>
      </c>
      <c r="I5484" s="455">
        <f t="shared" ca="1" si="190"/>
        <v>-3338776217825089</v>
      </c>
      <c r="J5484" s="455">
        <f t="array" ref="J5484">IFERROR(INDEX('Retirement Calculator'!K:K,MATCH('Lorri 401b'!N5484,'Retirement Calculator'!A:A,0),0),0)</f>
        <v>0</v>
      </c>
      <c r="K5484" s="455">
        <f t="shared" ca="1" si="188"/>
        <v>-13911567574271.203</v>
      </c>
      <c r="L5484" s="455">
        <f t="shared" ca="1" si="189"/>
        <v>-3352687785399360</v>
      </c>
      <c r="M5484" s="471">
        <f t="shared" si="191"/>
        <v>0.05</v>
      </c>
      <c r="N5484" s="475">
        <f t="shared" si="192"/>
        <v>217961</v>
      </c>
    </row>
    <row r="5485" spans="7:14" ht="11.25" customHeight="1" x14ac:dyDescent="0.3">
      <c r="G5485" s="470"/>
      <c r="H5485" s="470">
        <v>5478</v>
      </c>
      <c r="I5485" s="455">
        <f t="shared" ca="1" si="190"/>
        <v>-3352687785399360</v>
      </c>
      <c r="J5485" s="455">
        <f t="array" ref="J5485">IFERROR(INDEX('Retirement Calculator'!K:K,MATCH('Lorri 401b'!N5485,'Retirement Calculator'!A:A,0),0),0)</f>
        <v>0</v>
      </c>
      <c r="K5485" s="455">
        <f t="shared" ca="1" si="188"/>
        <v>-13969532439164</v>
      </c>
      <c r="L5485" s="455">
        <f t="shared" ca="1" si="189"/>
        <v>-3366657317838524</v>
      </c>
      <c r="M5485" s="471">
        <f t="shared" si="191"/>
        <v>0.05</v>
      </c>
      <c r="N5485" s="475">
        <f t="shared" si="192"/>
        <v>217992</v>
      </c>
    </row>
    <row r="5486" spans="7:14" ht="11.25" customHeight="1" x14ac:dyDescent="0.3">
      <c r="G5486" s="470"/>
      <c r="H5486" s="470">
        <v>5479</v>
      </c>
      <c r="I5486" s="455">
        <f t="shared" ca="1" si="190"/>
        <v>-3366657317838524</v>
      </c>
      <c r="J5486" s="455">
        <f t="array" ref="J5486">IFERROR(INDEX('Retirement Calculator'!K:K,MATCH('Lorri 401b'!N5486,'Retirement Calculator'!A:A,0),0),0)</f>
        <v>0</v>
      </c>
      <c r="K5486" s="455">
        <f t="shared" ca="1" si="188"/>
        <v>-14027738824327.184</v>
      </c>
      <c r="L5486" s="455">
        <f t="shared" ca="1" si="189"/>
        <v>-3380685056662851</v>
      </c>
      <c r="M5486" s="471">
        <f t="shared" si="191"/>
        <v>0.05</v>
      </c>
      <c r="N5486" s="475">
        <f t="shared" si="192"/>
        <v>218022</v>
      </c>
    </row>
    <row r="5487" spans="7:14" ht="11.25" customHeight="1" x14ac:dyDescent="0.3">
      <c r="G5487" s="470"/>
      <c r="H5487" s="470">
        <v>5480</v>
      </c>
      <c r="I5487" s="455">
        <f t="shared" ca="1" si="190"/>
        <v>-3380685056662851</v>
      </c>
      <c r="J5487" s="455">
        <f t="array" ref="J5487">IFERROR(INDEX('Retirement Calculator'!K:K,MATCH('Lorri 401b'!N5487,'Retirement Calculator'!A:A,0),0),0)</f>
        <v>0</v>
      </c>
      <c r="K5487" s="455">
        <f t="shared" ca="1" si="188"/>
        <v>-14086187736095.213</v>
      </c>
      <c r="L5487" s="455">
        <f t="shared" ca="1" si="189"/>
        <v>-3394771244398946</v>
      </c>
      <c r="M5487" s="471">
        <f t="shared" si="191"/>
        <v>0.05</v>
      </c>
      <c r="N5487" s="475">
        <f t="shared" si="192"/>
        <v>218053</v>
      </c>
    </row>
    <row r="5488" spans="7:14" ht="11.25" customHeight="1" x14ac:dyDescent="0.3">
      <c r="G5488" s="470"/>
      <c r="H5488" s="470">
        <v>5481</v>
      </c>
      <c r="I5488" s="455">
        <f t="shared" ca="1" si="190"/>
        <v>-3394771244398946</v>
      </c>
      <c r="J5488" s="455">
        <f t="array" ref="J5488">IFERROR(INDEX('Retirement Calculator'!K:K,MATCH('Lorri 401b'!N5488,'Retirement Calculator'!A:A,0),0),0)</f>
        <v>0</v>
      </c>
      <c r="K5488" s="455">
        <f t="shared" ca="1" si="188"/>
        <v>-14144880184995.607</v>
      </c>
      <c r="L5488" s="455">
        <f t="shared" ca="1" si="189"/>
        <v>-3408916124583941.5</v>
      </c>
      <c r="M5488" s="471">
        <f t="shared" si="191"/>
        <v>0.05</v>
      </c>
      <c r="N5488" s="475">
        <f t="shared" si="192"/>
        <v>218084</v>
      </c>
    </row>
    <row r="5489" spans="7:14" ht="11.25" customHeight="1" x14ac:dyDescent="0.3">
      <c r="G5489" s="470"/>
      <c r="H5489" s="470">
        <v>5482</v>
      </c>
      <c r="I5489" s="455">
        <f t="shared" ca="1" si="190"/>
        <v>-3408916124583941.5</v>
      </c>
      <c r="J5489" s="455">
        <f t="array" ref="J5489">IFERROR(INDEX('Retirement Calculator'!K:K,MATCH('Lorri 401b'!N5489,'Retirement Calculator'!A:A,0),0),0)</f>
        <v>0</v>
      </c>
      <c r="K5489" s="455">
        <f t="shared" ca="1" si="188"/>
        <v>-14203817185766.422</v>
      </c>
      <c r="L5489" s="455">
        <f t="shared" ca="1" si="189"/>
        <v>-3423119941769708</v>
      </c>
      <c r="M5489" s="471">
        <f t="shared" si="191"/>
        <v>0.05</v>
      </c>
      <c r="N5489" s="475">
        <f t="shared" si="192"/>
        <v>218112</v>
      </c>
    </row>
    <row r="5490" spans="7:14" ht="11.25" customHeight="1" x14ac:dyDescent="0.3">
      <c r="G5490" s="470"/>
      <c r="H5490" s="470">
        <v>5483</v>
      </c>
      <c r="I5490" s="455">
        <f t="shared" ca="1" si="190"/>
        <v>-3423119941769708</v>
      </c>
      <c r="J5490" s="455">
        <f t="array" ref="J5490">IFERROR(INDEX('Retirement Calculator'!K:K,MATCH('Lorri 401b'!N5490,'Retirement Calculator'!A:A,0),0),0)</f>
        <v>0</v>
      </c>
      <c r="K5490" s="455">
        <f t="shared" ca="1" si="188"/>
        <v>-14262999757373.783</v>
      </c>
      <c r="L5490" s="455">
        <f t="shared" ca="1" si="189"/>
        <v>-3437382941527082</v>
      </c>
      <c r="M5490" s="471">
        <f t="shared" si="191"/>
        <v>0.05</v>
      </c>
      <c r="N5490" s="475">
        <f t="shared" si="192"/>
        <v>218143</v>
      </c>
    </row>
    <row r="5491" spans="7:14" ht="11.25" customHeight="1" x14ac:dyDescent="0.3">
      <c r="G5491" s="470"/>
      <c r="H5491" s="470">
        <v>5484</v>
      </c>
      <c r="I5491" s="455">
        <f t="shared" ca="1" si="190"/>
        <v>-3437382941527082</v>
      </c>
      <c r="J5491" s="455">
        <f t="array" ref="J5491">IFERROR(INDEX('Retirement Calculator'!K:K,MATCH('Lorri 401b'!N5491,'Retirement Calculator'!A:A,0),0),0)</f>
        <v>0</v>
      </c>
      <c r="K5491" s="455">
        <f t="shared" ca="1" si="188"/>
        <v>-14322428923029.508</v>
      </c>
      <c r="L5491" s="455">
        <f t="shared" ca="1" si="189"/>
        <v>-3451705370450111.5</v>
      </c>
      <c r="M5491" s="471">
        <f t="shared" si="191"/>
        <v>0.05</v>
      </c>
      <c r="N5491" s="475">
        <f t="shared" si="192"/>
        <v>218173</v>
      </c>
    </row>
    <row r="5492" spans="7:14" ht="11.25" customHeight="1" x14ac:dyDescent="0.3">
      <c r="G5492" s="470"/>
      <c r="H5492" s="470">
        <v>5485</v>
      </c>
      <c r="I5492" s="455">
        <f t="shared" ca="1" si="190"/>
        <v>-3451705370450111.5</v>
      </c>
      <c r="J5492" s="455">
        <f t="array" ref="J5492">IFERROR(INDEX('Retirement Calculator'!K:K,MATCH('Lorri 401b'!N5492,'Retirement Calculator'!A:A,0),0),0)</f>
        <v>0</v>
      </c>
      <c r="K5492" s="455">
        <f t="shared" ca="1" si="188"/>
        <v>-14382105710208.797</v>
      </c>
      <c r="L5492" s="455">
        <f t="shared" ca="1" si="189"/>
        <v>-3466087476160320.5</v>
      </c>
      <c r="M5492" s="471">
        <f t="shared" si="191"/>
        <v>0.05</v>
      </c>
      <c r="N5492" s="475">
        <f t="shared" si="192"/>
        <v>218204</v>
      </c>
    </row>
    <row r="5493" spans="7:14" ht="11.25" customHeight="1" x14ac:dyDescent="0.3">
      <c r="G5493" s="470"/>
      <c r="H5493" s="470">
        <v>5486</v>
      </c>
      <c r="I5493" s="455">
        <f t="shared" ca="1" si="190"/>
        <v>-3466087476160320.5</v>
      </c>
      <c r="J5493" s="455">
        <f t="array" ref="J5493">IFERROR(INDEX('Retirement Calculator'!K:K,MATCH('Lorri 401b'!N5493,'Retirement Calculator'!A:A,0),0),0)</f>
        <v>0</v>
      </c>
      <c r="K5493" s="455">
        <f t="shared" ca="1" si="188"/>
        <v>-14442031150668.002</v>
      </c>
      <c r="L5493" s="455">
        <f t="shared" ca="1" si="189"/>
        <v>-3480529507310988.5</v>
      </c>
      <c r="M5493" s="471">
        <f t="shared" si="191"/>
        <v>0.05</v>
      </c>
      <c r="N5493" s="475">
        <f t="shared" si="192"/>
        <v>218234</v>
      </c>
    </row>
    <row r="5494" spans="7:14" ht="11.25" customHeight="1" x14ac:dyDescent="0.3">
      <c r="G5494" s="470"/>
      <c r="H5494" s="470">
        <v>5487</v>
      </c>
      <c r="I5494" s="455">
        <f t="shared" ca="1" si="190"/>
        <v>-3480529507310988.5</v>
      </c>
      <c r="J5494" s="455">
        <f t="array" ref="J5494">IFERROR(INDEX('Retirement Calculator'!K:K,MATCH('Lorri 401b'!N5494,'Retirement Calculator'!A:A,0),0),0)</f>
        <v>0</v>
      </c>
      <c r="K5494" s="455">
        <f t="shared" ca="1" si="188"/>
        <v>-14502206280462.451</v>
      </c>
      <c r="L5494" s="455">
        <f t="shared" ca="1" si="189"/>
        <v>-3495031713591451</v>
      </c>
      <c r="M5494" s="471">
        <f t="shared" si="191"/>
        <v>0.05</v>
      </c>
      <c r="N5494" s="475">
        <f t="shared" si="192"/>
        <v>218265</v>
      </c>
    </row>
    <row r="5495" spans="7:14" ht="11.25" customHeight="1" x14ac:dyDescent="0.3">
      <c r="G5495" s="470"/>
      <c r="H5495" s="470">
        <v>5488</v>
      </c>
      <c r="I5495" s="455">
        <f t="shared" ca="1" si="190"/>
        <v>-3495031713591451</v>
      </c>
      <c r="J5495" s="455">
        <f t="array" ref="J5495">IFERROR(INDEX('Retirement Calculator'!K:K,MATCH('Lorri 401b'!N5495,'Retirement Calculator'!A:A,0),0),0)</f>
        <v>0</v>
      </c>
      <c r="K5495" s="455">
        <f t="shared" ca="1" si="188"/>
        <v>-14562632139964.379</v>
      </c>
      <c r="L5495" s="455">
        <f t="shared" ca="1" si="189"/>
        <v>-3509594345731415.5</v>
      </c>
      <c r="M5495" s="471">
        <f t="shared" si="191"/>
        <v>0.05</v>
      </c>
      <c r="N5495" s="475">
        <f t="shared" si="192"/>
        <v>218296</v>
      </c>
    </row>
    <row r="5496" spans="7:14" ht="11.25" customHeight="1" x14ac:dyDescent="0.3">
      <c r="G5496" s="470"/>
      <c r="H5496" s="470">
        <v>5489</v>
      </c>
      <c r="I5496" s="455">
        <f t="shared" ca="1" si="190"/>
        <v>-3509594345731415.5</v>
      </c>
      <c r="J5496" s="455">
        <f t="array" ref="J5496">IFERROR(INDEX('Retirement Calculator'!K:K,MATCH('Lorri 401b'!N5496,'Retirement Calculator'!A:A,0),0),0)</f>
        <v>0</v>
      </c>
      <c r="K5496" s="455">
        <f t="shared" ca="1" si="188"/>
        <v>-14623309773880.896</v>
      </c>
      <c r="L5496" s="455">
        <f t="shared" ca="1" si="189"/>
        <v>-3524217655505296.5</v>
      </c>
      <c r="M5496" s="471">
        <f t="shared" si="191"/>
        <v>0.05</v>
      </c>
      <c r="N5496" s="475">
        <f t="shared" si="192"/>
        <v>218326</v>
      </c>
    </row>
    <row r="5497" spans="7:14" ht="11.25" customHeight="1" x14ac:dyDescent="0.3">
      <c r="G5497" s="470"/>
      <c r="H5497" s="470">
        <v>5490</v>
      </c>
      <c r="I5497" s="455">
        <f t="shared" ca="1" si="190"/>
        <v>-3524217655505296.5</v>
      </c>
      <c r="J5497" s="455">
        <f t="array" ref="J5497">IFERROR(INDEX('Retirement Calculator'!K:K,MATCH('Lorri 401b'!N5497,'Retirement Calculator'!A:A,0),0),0)</f>
        <v>0</v>
      </c>
      <c r="K5497" s="455">
        <f t="shared" ca="1" si="188"/>
        <v>-14684240231272.068</v>
      </c>
      <c r="L5497" s="455">
        <f t="shared" ca="1" si="189"/>
        <v>-3538901895736568.5</v>
      </c>
      <c r="M5497" s="471">
        <f t="shared" si="191"/>
        <v>0.05</v>
      </c>
      <c r="N5497" s="475">
        <f t="shared" si="192"/>
        <v>218357</v>
      </c>
    </row>
    <row r="5498" spans="7:14" ht="11.25" customHeight="1" x14ac:dyDescent="0.3">
      <c r="G5498" s="470"/>
      <c r="H5498" s="470">
        <v>5491</v>
      </c>
      <c r="I5498" s="455">
        <f t="shared" ca="1" si="190"/>
        <v>-3538901895736568.5</v>
      </c>
      <c r="J5498" s="455">
        <f t="array" ref="J5498">IFERROR(INDEX('Retirement Calculator'!K:K,MATCH('Lorri 401b'!N5498,'Retirement Calculator'!A:A,0),0),0)</f>
        <v>0</v>
      </c>
      <c r="K5498" s="455">
        <f t="shared" ca="1" si="188"/>
        <v>-14745424565569.035</v>
      </c>
      <c r="L5498" s="455">
        <f t="shared" ca="1" si="189"/>
        <v>-3553647320302137.5</v>
      </c>
      <c r="M5498" s="471">
        <f t="shared" si="191"/>
        <v>0.05</v>
      </c>
      <c r="N5498" s="475">
        <f t="shared" si="192"/>
        <v>218387</v>
      </c>
    </row>
    <row r="5499" spans="7:14" ht="11.25" customHeight="1" x14ac:dyDescent="0.3">
      <c r="G5499" s="470"/>
      <c r="H5499" s="470">
        <v>5492</v>
      </c>
      <c r="I5499" s="455">
        <f t="shared" ca="1" si="190"/>
        <v>-3553647320302137.5</v>
      </c>
      <c r="J5499" s="455">
        <f t="array" ref="J5499">IFERROR(INDEX('Retirement Calculator'!K:K,MATCH('Lorri 401b'!N5499,'Retirement Calculator'!A:A,0),0),0)</f>
        <v>0</v>
      </c>
      <c r="K5499" s="455">
        <f t="shared" ca="1" si="188"/>
        <v>-14806863834592.24</v>
      </c>
      <c r="L5499" s="455">
        <f t="shared" ca="1" si="189"/>
        <v>-3568454184136729.5</v>
      </c>
      <c r="M5499" s="471">
        <f t="shared" si="191"/>
        <v>0.05</v>
      </c>
      <c r="N5499" s="475">
        <f t="shared" si="192"/>
        <v>218418</v>
      </c>
    </row>
    <row r="5500" spans="7:14" ht="11.25" customHeight="1" x14ac:dyDescent="0.3">
      <c r="G5500" s="470"/>
      <c r="H5500" s="470">
        <v>5493</v>
      </c>
      <c r="I5500" s="455">
        <f t="shared" ca="1" si="190"/>
        <v>-3568454184136729.5</v>
      </c>
      <c r="J5500" s="455">
        <f t="array" ref="J5500">IFERROR(INDEX('Retirement Calculator'!K:K,MATCH('Lorri 401b'!N5500,'Retirement Calculator'!A:A,0),0),0)</f>
        <v>0</v>
      </c>
      <c r="K5500" s="455">
        <f t="shared" ca="1" si="188"/>
        <v>-14868559100569.705</v>
      </c>
      <c r="L5500" s="455">
        <f t="shared" ca="1" si="189"/>
        <v>-3583322743237299</v>
      </c>
      <c r="M5500" s="471">
        <f t="shared" si="191"/>
        <v>0.05</v>
      </c>
      <c r="N5500" s="475">
        <f t="shared" si="192"/>
        <v>218449</v>
      </c>
    </row>
    <row r="5501" spans="7:14" ht="11.25" customHeight="1" x14ac:dyDescent="0.3">
      <c r="G5501" s="470"/>
      <c r="H5501" s="470">
        <v>5494</v>
      </c>
      <c r="I5501" s="455">
        <f t="shared" ca="1" si="190"/>
        <v>-3583322743237299</v>
      </c>
      <c r="J5501" s="455">
        <f t="array" ref="J5501">IFERROR(INDEX('Retirement Calculator'!K:K,MATCH('Lorri 401b'!N5501,'Retirement Calculator'!A:A,0),0),0)</f>
        <v>0</v>
      </c>
      <c r="K5501" s="455">
        <f t="shared" ca="1" si="188"/>
        <v>-14930511430155.412</v>
      </c>
      <c r="L5501" s="455">
        <f t="shared" ca="1" si="189"/>
        <v>-3598253254667454.5</v>
      </c>
      <c r="M5501" s="471">
        <f t="shared" si="191"/>
        <v>0.05</v>
      </c>
      <c r="N5501" s="475">
        <f t="shared" si="192"/>
        <v>218477</v>
      </c>
    </row>
    <row r="5502" spans="7:14" ht="11.25" customHeight="1" x14ac:dyDescent="0.3">
      <c r="G5502" s="470"/>
      <c r="H5502" s="470">
        <v>5495</v>
      </c>
      <c r="I5502" s="455">
        <f t="shared" ca="1" si="190"/>
        <v>-3598253254667454.5</v>
      </c>
      <c r="J5502" s="455">
        <f t="array" ref="J5502">IFERROR(INDEX('Retirement Calculator'!K:K,MATCH('Lorri 401b'!N5502,'Retirement Calculator'!A:A,0),0),0)</f>
        <v>0</v>
      </c>
      <c r="K5502" s="455">
        <f t="shared" ca="1" si="188"/>
        <v>-14992721894447.727</v>
      </c>
      <c r="L5502" s="455">
        <f t="shared" ca="1" si="189"/>
        <v>-3613245976561902</v>
      </c>
      <c r="M5502" s="471">
        <f t="shared" si="191"/>
        <v>0.05</v>
      </c>
      <c r="N5502" s="475">
        <f t="shared" si="192"/>
        <v>218508</v>
      </c>
    </row>
    <row r="5503" spans="7:14" ht="11.25" customHeight="1" x14ac:dyDescent="0.3">
      <c r="G5503" s="470"/>
      <c r="H5503" s="470">
        <v>5496</v>
      </c>
      <c r="I5503" s="455">
        <f t="shared" ca="1" si="190"/>
        <v>-3613245976561902</v>
      </c>
      <c r="J5503" s="455">
        <f t="array" ref="J5503">IFERROR(INDEX('Retirement Calculator'!K:K,MATCH('Lorri 401b'!N5503,'Retirement Calculator'!A:A,0),0),0)</f>
        <v>0</v>
      </c>
      <c r="K5503" s="455">
        <f t="shared" ca="1" si="188"/>
        <v>-15055191569007.924</v>
      </c>
      <c r="L5503" s="455">
        <f t="shared" ca="1" si="189"/>
        <v>-3628301168130910</v>
      </c>
      <c r="M5503" s="471">
        <f t="shared" si="191"/>
        <v>0.05</v>
      </c>
      <c r="N5503" s="475">
        <f t="shared" si="192"/>
        <v>218538</v>
      </c>
    </row>
    <row r="5504" spans="7:14" ht="11.25" customHeight="1" x14ac:dyDescent="0.3">
      <c r="G5504" s="470"/>
      <c r="H5504" s="470">
        <v>5497</v>
      </c>
      <c r="I5504" s="455">
        <f t="shared" ca="1" si="190"/>
        <v>-3628301168130910</v>
      </c>
      <c r="J5504" s="455">
        <f t="array" ref="J5504">IFERROR(INDEX('Retirement Calculator'!K:K,MATCH('Lorri 401b'!N5504,'Retirement Calculator'!A:A,0),0),0)</f>
        <v>0</v>
      </c>
      <c r="K5504" s="455">
        <f t="shared" ca="1" si="188"/>
        <v>-15117921533878.789</v>
      </c>
      <c r="L5504" s="455">
        <f t="shared" ca="1" si="189"/>
        <v>-3643419089664789</v>
      </c>
      <c r="M5504" s="471">
        <f t="shared" si="191"/>
        <v>0.05</v>
      </c>
      <c r="N5504" s="475">
        <f t="shared" si="192"/>
        <v>218569</v>
      </c>
    </row>
    <row r="5505" spans="7:14" ht="11.25" customHeight="1" x14ac:dyDescent="0.3">
      <c r="G5505" s="470"/>
      <c r="H5505" s="470">
        <v>5498</v>
      </c>
      <c r="I5505" s="455">
        <f t="shared" ca="1" si="190"/>
        <v>-3643419089664789</v>
      </c>
      <c r="J5505" s="455">
        <f t="array" ref="J5505">IFERROR(INDEX('Retirement Calculator'!K:K,MATCH('Lorri 401b'!N5505,'Retirement Calculator'!A:A,0),0),0)</f>
        <v>0</v>
      </c>
      <c r="K5505" s="455">
        <f t="shared" ca="1" si="188"/>
        <v>-15180912873603.289</v>
      </c>
      <c r="L5505" s="455">
        <f t="shared" ca="1" si="189"/>
        <v>-3658600002538392.5</v>
      </c>
      <c r="M5505" s="471">
        <f t="shared" si="191"/>
        <v>0.05</v>
      </c>
      <c r="N5505" s="475">
        <f t="shared" si="192"/>
        <v>218599</v>
      </c>
    </row>
    <row r="5506" spans="7:14" ht="11.25" customHeight="1" x14ac:dyDescent="0.3">
      <c r="G5506" s="470"/>
      <c r="H5506" s="470">
        <v>5499</v>
      </c>
      <c r="I5506" s="455">
        <f t="shared" ca="1" si="190"/>
        <v>-3658600002538392.5</v>
      </c>
      <c r="J5506" s="455">
        <f t="array" ref="J5506">IFERROR(INDEX('Retirement Calculator'!K:K,MATCH('Lorri 401b'!N5506,'Retirement Calculator'!A:A,0),0),0)</f>
        <v>0</v>
      </c>
      <c r="K5506" s="455">
        <f t="shared" ca="1" si="188"/>
        <v>-15244166677243.299</v>
      </c>
      <c r="L5506" s="455">
        <f t="shared" ca="1" si="189"/>
        <v>-3673844169215636</v>
      </c>
      <c r="M5506" s="471">
        <f t="shared" si="191"/>
        <v>0.05</v>
      </c>
      <c r="N5506" s="475">
        <f t="shared" si="192"/>
        <v>218630</v>
      </c>
    </row>
    <row r="5507" spans="7:14" ht="11.25" customHeight="1" x14ac:dyDescent="0.3">
      <c r="G5507" s="470"/>
      <c r="H5507" s="470">
        <v>5500</v>
      </c>
      <c r="I5507" s="455">
        <f t="shared" ca="1" si="190"/>
        <v>-3673844169215636</v>
      </c>
      <c r="J5507" s="455">
        <f t="array" ref="J5507">IFERROR(INDEX('Retirement Calculator'!K:K,MATCH('Lorri 401b'!N5507,'Retirement Calculator'!A:A,0),0),0)</f>
        <v>0</v>
      </c>
      <c r="K5507" s="455">
        <f t="shared" ca="1" si="188"/>
        <v>-15307684038398.484</v>
      </c>
      <c r="L5507" s="455">
        <f t="shared" ca="1" si="189"/>
        <v>-3689151853254034.5</v>
      </c>
      <c r="M5507" s="471">
        <f t="shared" si="191"/>
        <v>0.05</v>
      </c>
      <c r="N5507" s="475">
        <f t="shared" si="192"/>
        <v>218661</v>
      </c>
    </row>
    <row r="5508" spans="7:14" ht="11.25" customHeight="1" x14ac:dyDescent="0.3">
      <c r="G5508" s="470"/>
      <c r="H5508" s="470">
        <v>5501</v>
      </c>
      <c r="I5508" s="455">
        <f t="shared" ca="1" si="190"/>
        <v>-3689151853254034.5</v>
      </c>
      <c r="J5508" s="455">
        <f t="array" ref="J5508">IFERROR(INDEX('Retirement Calculator'!K:K,MATCH('Lorri 401b'!N5508,'Retirement Calculator'!A:A,0),0),0)</f>
        <v>0</v>
      </c>
      <c r="K5508" s="455">
        <f t="shared" ca="1" si="188"/>
        <v>-15371466055225.143</v>
      </c>
      <c r="L5508" s="455">
        <f t="shared" ca="1" si="189"/>
        <v>-3704523319309259.5</v>
      </c>
      <c r="M5508" s="471">
        <f t="shared" si="191"/>
        <v>0.05</v>
      </c>
      <c r="N5508" s="475">
        <f t="shared" si="192"/>
        <v>218691</v>
      </c>
    </row>
    <row r="5509" spans="7:14" ht="11.25" customHeight="1" x14ac:dyDescent="0.3">
      <c r="G5509" s="470"/>
      <c r="H5509" s="470">
        <v>5502</v>
      </c>
      <c r="I5509" s="455">
        <f t="shared" ca="1" si="190"/>
        <v>-3704523319309259.5</v>
      </c>
      <c r="J5509" s="455">
        <f t="array" ref="J5509">IFERROR(INDEX('Retirement Calculator'!K:K,MATCH('Lorri 401b'!N5509,'Retirement Calculator'!A:A,0),0),0)</f>
        <v>0</v>
      </c>
      <c r="K5509" s="455">
        <f t="shared" ca="1" si="188"/>
        <v>-15435513830455.246</v>
      </c>
      <c r="L5509" s="455">
        <f t="shared" ca="1" si="189"/>
        <v>-3719958833139714.5</v>
      </c>
      <c r="M5509" s="471">
        <f t="shared" si="191"/>
        <v>0.05</v>
      </c>
      <c r="N5509" s="475">
        <f t="shared" si="192"/>
        <v>218722</v>
      </c>
    </row>
    <row r="5510" spans="7:14" ht="11.25" customHeight="1" x14ac:dyDescent="0.3">
      <c r="G5510" s="470"/>
      <c r="H5510" s="470">
        <v>5503</v>
      </c>
      <c r="I5510" s="455">
        <f t="shared" ca="1" si="190"/>
        <v>-3719958833139714.5</v>
      </c>
      <c r="J5510" s="455">
        <f t="array" ref="J5510">IFERROR(INDEX('Retirement Calculator'!K:K,MATCH('Lorri 401b'!N5510,'Retirement Calculator'!A:A,0),0),0)</f>
        <v>0</v>
      </c>
      <c r="K5510" s="455">
        <f t="shared" ca="1" si="188"/>
        <v>-15499828471415.477</v>
      </c>
      <c r="L5510" s="455">
        <f t="shared" ca="1" si="189"/>
        <v>-3735458661611130</v>
      </c>
      <c r="M5510" s="471">
        <f t="shared" si="191"/>
        <v>0.05</v>
      </c>
      <c r="N5510" s="475">
        <f t="shared" si="192"/>
        <v>218752</v>
      </c>
    </row>
    <row r="5511" spans="7:14" ht="11.25" customHeight="1" x14ac:dyDescent="0.3">
      <c r="G5511" s="470"/>
      <c r="H5511" s="470">
        <v>5504</v>
      </c>
      <c r="I5511" s="455">
        <f t="shared" ca="1" si="190"/>
        <v>-3735458661611130</v>
      </c>
      <c r="J5511" s="455">
        <f t="array" ref="J5511">IFERROR(INDEX('Retirement Calculator'!K:K,MATCH('Lorri 401b'!N5511,'Retirement Calculator'!A:A,0),0),0)</f>
        <v>0</v>
      </c>
      <c r="K5511" s="455">
        <f t="shared" ca="1" si="188"/>
        <v>-15564411090046.375</v>
      </c>
      <c r="L5511" s="455">
        <f t="shared" ca="1" si="189"/>
        <v>-3751023072701176.5</v>
      </c>
      <c r="M5511" s="471">
        <f t="shared" si="191"/>
        <v>0.05</v>
      </c>
      <c r="N5511" s="475">
        <f t="shared" si="192"/>
        <v>218783</v>
      </c>
    </row>
    <row r="5512" spans="7:14" ht="11.25" customHeight="1" x14ac:dyDescent="0.3">
      <c r="G5512" s="470"/>
      <c r="H5512" s="470">
        <v>5505</v>
      </c>
      <c r="I5512" s="455">
        <f t="shared" ca="1" si="190"/>
        <v>-3751023072701176.5</v>
      </c>
      <c r="J5512" s="455">
        <f t="array" ref="J5512">IFERROR(INDEX('Retirement Calculator'!K:K,MATCH('Lorri 401b'!N5512,'Retirement Calculator'!A:A,0),0),0)</f>
        <v>0</v>
      </c>
      <c r="K5512" s="455">
        <f t="shared" ca="1" si="188"/>
        <v>-15629262802921.568</v>
      </c>
      <c r="L5512" s="455">
        <f t="shared" ca="1" si="189"/>
        <v>-3766652335504098</v>
      </c>
      <c r="M5512" s="471">
        <f t="shared" si="191"/>
        <v>0.05</v>
      </c>
      <c r="N5512" s="475">
        <f t="shared" si="192"/>
        <v>218814</v>
      </c>
    </row>
    <row r="5513" spans="7:14" ht="11.25" customHeight="1" x14ac:dyDescent="0.3">
      <c r="G5513" s="470"/>
      <c r="H5513" s="470">
        <v>5506</v>
      </c>
      <c r="I5513" s="455">
        <f t="shared" ca="1" si="190"/>
        <v>-3766652335504098</v>
      </c>
      <c r="J5513" s="455">
        <f t="array" ref="J5513">IFERROR(INDEX('Retirement Calculator'!K:K,MATCH('Lorri 401b'!N5513,'Retirement Calculator'!A:A,0),0),0)</f>
        <v>0</v>
      </c>
      <c r="K5513" s="455">
        <f t="shared" ca="1" si="188"/>
        <v>-15694384731267.074</v>
      </c>
      <c r="L5513" s="455">
        <f t="shared" ca="1" si="189"/>
        <v>-3782346720235365</v>
      </c>
      <c r="M5513" s="471">
        <f t="shared" si="191"/>
        <v>0.05</v>
      </c>
      <c r="N5513" s="475">
        <f t="shared" si="192"/>
        <v>218842</v>
      </c>
    </row>
    <row r="5514" spans="7:14" ht="11.25" customHeight="1" x14ac:dyDescent="0.3">
      <c r="G5514" s="470"/>
      <c r="H5514" s="470">
        <v>5507</v>
      </c>
      <c r="I5514" s="455">
        <f t="shared" ca="1" si="190"/>
        <v>-3782346720235365</v>
      </c>
      <c r="J5514" s="455">
        <f t="array" ref="J5514">IFERROR(INDEX('Retirement Calculator'!K:K,MATCH('Lorri 401b'!N5514,'Retirement Calculator'!A:A,0),0),0)</f>
        <v>0</v>
      </c>
      <c r="K5514" s="455">
        <f t="shared" ca="1" si="188"/>
        <v>-15759778000980.688</v>
      </c>
      <c r="L5514" s="455">
        <f t="shared" ca="1" si="189"/>
        <v>-3798106498236345.5</v>
      </c>
      <c r="M5514" s="471">
        <f t="shared" si="191"/>
        <v>0.05</v>
      </c>
      <c r="N5514" s="475">
        <f t="shared" si="192"/>
        <v>218873</v>
      </c>
    </row>
    <row r="5515" spans="7:14" ht="11.25" customHeight="1" x14ac:dyDescent="0.3">
      <c r="G5515" s="470"/>
      <c r="H5515" s="470">
        <v>5508</v>
      </c>
      <c r="I5515" s="455">
        <f t="shared" ca="1" si="190"/>
        <v>-3798106498236345.5</v>
      </c>
      <c r="J5515" s="455">
        <f t="array" ref="J5515">IFERROR(INDEX('Retirement Calculator'!K:K,MATCH('Lorri 401b'!N5515,'Retirement Calculator'!A:A,0),0),0)</f>
        <v>0</v>
      </c>
      <c r="K5515" s="455">
        <f t="shared" ca="1" si="188"/>
        <v>-15825443742651.439</v>
      </c>
      <c r="L5515" s="455">
        <f t="shared" ca="1" si="189"/>
        <v>-3813931941978997</v>
      </c>
      <c r="M5515" s="471">
        <f t="shared" si="191"/>
        <v>0.05</v>
      </c>
      <c r="N5515" s="475">
        <f t="shared" si="192"/>
        <v>218903</v>
      </c>
    </row>
    <row r="5516" spans="7:14" ht="11.25" customHeight="1" x14ac:dyDescent="0.3">
      <c r="G5516" s="470"/>
      <c r="H5516" s="470">
        <v>5509</v>
      </c>
      <c r="I5516" s="455">
        <f t="shared" ca="1" si="190"/>
        <v>-3813931941978997</v>
      </c>
      <c r="J5516" s="455">
        <f t="array" ref="J5516">IFERROR(INDEX('Retirement Calculator'!K:K,MATCH('Lorri 401b'!N5516,'Retirement Calculator'!A:A,0),0),0)</f>
        <v>0</v>
      </c>
      <c r="K5516" s="455">
        <f t="shared" ca="1" si="188"/>
        <v>-15891383091579.154</v>
      </c>
      <c r="L5516" s="455">
        <f t="shared" ca="1" si="189"/>
        <v>-3829823325070576</v>
      </c>
      <c r="M5516" s="471">
        <f t="shared" si="191"/>
        <v>0.05</v>
      </c>
      <c r="N5516" s="475">
        <f t="shared" si="192"/>
        <v>218934</v>
      </c>
    </row>
    <row r="5517" spans="7:14" ht="11.25" customHeight="1" x14ac:dyDescent="0.3">
      <c r="G5517" s="470"/>
      <c r="H5517" s="470">
        <v>5510</v>
      </c>
      <c r="I5517" s="455">
        <f t="shared" ca="1" si="190"/>
        <v>-3829823325070576</v>
      </c>
      <c r="J5517" s="455">
        <f t="array" ref="J5517">IFERROR(INDEX('Retirement Calculator'!K:K,MATCH('Lorri 401b'!N5517,'Retirement Calculator'!A:A,0),0),0)</f>
        <v>0</v>
      </c>
      <c r="K5517" s="455">
        <f t="shared" ca="1" si="188"/>
        <v>-15957597187794.064</v>
      </c>
      <c r="L5517" s="455">
        <f t="shared" ca="1" si="189"/>
        <v>-3845780922258370</v>
      </c>
      <c r="M5517" s="471">
        <f t="shared" si="191"/>
        <v>0.05</v>
      </c>
      <c r="N5517" s="475">
        <f t="shared" si="192"/>
        <v>218964</v>
      </c>
    </row>
    <row r="5518" spans="7:14" ht="11.25" customHeight="1" x14ac:dyDescent="0.3">
      <c r="G5518" s="470"/>
      <c r="H5518" s="470">
        <v>5511</v>
      </c>
      <c r="I5518" s="455">
        <f t="shared" ca="1" si="190"/>
        <v>-3845780922258370</v>
      </c>
      <c r="J5518" s="455">
        <f t="array" ref="J5518">IFERROR(INDEX('Retirement Calculator'!K:K,MATCH('Lorri 401b'!N5518,'Retirement Calculator'!A:A,0),0),0)</f>
        <v>0</v>
      </c>
      <c r="K5518" s="455">
        <f t="shared" ca="1" si="188"/>
        <v>-16024087176076.541</v>
      </c>
      <c r="L5518" s="455">
        <f t="shared" ca="1" si="189"/>
        <v>-3861805009434446.5</v>
      </c>
      <c r="M5518" s="471">
        <f t="shared" si="191"/>
        <v>0.05</v>
      </c>
      <c r="N5518" s="475">
        <f t="shared" si="192"/>
        <v>218995</v>
      </c>
    </row>
    <row r="5519" spans="7:14" ht="11.25" customHeight="1" x14ac:dyDescent="0.3">
      <c r="G5519" s="470"/>
      <c r="H5519" s="470">
        <v>5512</v>
      </c>
      <c r="I5519" s="455">
        <f t="shared" ca="1" si="190"/>
        <v>-3861805009434446.5</v>
      </c>
      <c r="J5519" s="455">
        <f t="array" ref="J5519">IFERROR(INDEX('Retirement Calculator'!K:K,MATCH('Lorri 401b'!N5519,'Retirement Calculator'!A:A,0),0),0)</f>
        <v>0</v>
      </c>
      <c r="K5519" s="455">
        <f t="shared" ca="1" si="188"/>
        <v>-16090854205976.861</v>
      </c>
      <c r="L5519" s="455">
        <f t="shared" ca="1" si="189"/>
        <v>-3877895863640423.5</v>
      </c>
      <c r="M5519" s="471">
        <f t="shared" si="191"/>
        <v>0.05</v>
      </c>
      <c r="N5519" s="475">
        <f t="shared" si="192"/>
        <v>219026</v>
      </c>
    </row>
    <row r="5520" spans="7:14" ht="11.25" customHeight="1" x14ac:dyDescent="0.3">
      <c r="G5520" s="470"/>
      <c r="H5520" s="470">
        <v>5513</v>
      </c>
      <c r="I5520" s="455">
        <f t="shared" ca="1" si="190"/>
        <v>-3877895863640423.5</v>
      </c>
      <c r="J5520" s="455">
        <f t="array" ref="J5520">IFERROR(INDEX('Retirement Calculator'!K:K,MATCH('Lorri 401b'!N5520,'Retirement Calculator'!A:A,0),0),0)</f>
        <v>0</v>
      </c>
      <c r="K5520" s="455">
        <f t="shared" ca="1" si="188"/>
        <v>-16157899431835.096</v>
      </c>
      <c r="L5520" s="455">
        <f t="shared" ca="1" si="189"/>
        <v>-3894053763072258.5</v>
      </c>
      <c r="M5520" s="471">
        <f t="shared" si="191"/>
        <v>0.05</v>
      </c>
      <c r="N5520" s="475">
        <f t="shared" si="192"/>
        <v>219056</v>
      </c>
    </row>
    <row r="5521" spans="7:14" ht="11.25" customHeight="1" x14ac:dyDescent="0.3">
      <c r="G5521" s="470"/>
      <c r="H5521" s="470">
        <v>5514</v>
      </c>
      <c r="I5521" s="455">
        <f t="shared" ca="1" si="190"/>
        <v>-3894053763072258.5</v>
      </c>
      <c r="J5521" s="455">
        <f t="array" ref="J5521">IFERROR(INDEX('Retirement Calculator'!K:K,MATCH('Lorri 401b'!N5521,'Retirement Calculator'!A:A,0),0),0)</f>
        <v>0</v>
      </c>
      <c r="K5521" s="455">
        <f t="shared" ca="1" si="188"/>
        <v>-16225224012801.076</v>
      </c>
      <c r="L5521" s="455">
        <f t="shared" ca="1" si="189"/>
        <v>-3910278987085059.5</v>
      </c>
      <c r="M5521" s="471">
        <f t="shared" si="191"/>
        <v>0.05</v>
      </c>
      <c r="N5521" s="475">
        <f t="shared" si="192"/>
        <v>219087</v>
      </c>
    </row>
    <row r="5522" spans="7:14" ht="11.25" customHeight="1" x14ac:dyDescent="0.3">
      <c r="G5522" s="470"/>
      <c r="H5522" s="470">
        <v>5515</v>
      </c>
      <c r="I5522" s="455">
        <f t="shared" ca="1" si="190"/>
        <v>-3910278987085059.5</v>
      </c>
      <c r="J5522" s="455">
        <f t="array" ref="J5522">IFERROR(INDEX('Retirement Calculator'!K:K,MATCH('Lorri 401b'!N5522,'Retirement Calculator'!A:A,0),0),0)</f>
        <v>0</v>
      </c>
      <c r="K5522" s="455">
        <f t="shared" ca="1" si="188"/>
        <v>-16292829112854.414</v>
      </c>
      <c r="L5522" s="455">
        <f t="shared" ca="1" si="189"/>
        <v>-3926571816197914</v>
      </c>
      <c r="M5522" s="471">
        <f t="shared" si="191"/>
        <v>0.05</v>
      </c>
      <c r="N5522" s="475">
        <f t="shared" si="192"/>
        <v>219117</v>
      </c>
    </row>
    <row r="5523" spans="7:14" ht="11.25" customHeight="1" x14ac:dyDescent="0.3">
      <c r="G5523" s="470"/>
      <c r="H5523" s="470">
        <v>5516</v>
      </c>
      <c r="I5523" s="455">
        <f t="shared" ca="1" si="190"/>
        <v>-3926571816197914</v>
      </c>
      <c r="J5523" s="455">
        <f t="array" ref="J5523">IFERROR(INDEX('Retirement Calculator'!K:K,MATCH('Lorri 401b'!N5523,'Retirement Calculator'!A:A,0),0),0)</f>
        <v>0</v>
      </c>
      <c r="K5523" s="455">
        <f t="shared" ca="1" si="188"/>
        <v>-16360715900824.639</v>
      </c>
      <c r="L5523" s="455">
        <f t="shared" ca="1" si="189"/>
        <v>-3942932532098738.5</v>
      </c>
      <c r="M5523" s="471">
        <f t="shared" si="191"/>
        <v>0.05</v>
      </c>
      <c r="N5523" s="475">
        <f t="shared" si="192"/>
        <v>219148</v>
      </c>
    </row>
    <row r="5524" spans="7:14" ht="11.25" customHeight="1" x14ac:dyDescent="0.3">
      <c r="G5524" s="470"/>
      <c r="H5524" s="470">
        <v>5517</v>
      </c>
      <c r="I5524" s="455">
        <f t="shared" ca="1" si="190"/>
        <v>-3942932532098738.5</v>
      </c>
      <c r="J5524" s="455">
        <f t="array" ref="J5524">IFERROR(INDEX('Retirement Calculator'!K:K,MATCH('Lorri 401b'!N5524,'Retirement Calculator'!A:A,0),0),0)</f>
        <v>0</v>
      </c>
      <c r="K5524" s="455">
        <f t="shared" ca="1" si="188"/>
        <v>-16428885550411.41</v>
      </c>
      <c r="L5524" s="455">
        <f t="shared" ca="1" si="189"/>
        <v>-3959361417649150</v>
      </c>
      <c r="M5524" s="471">
        <f t="shared" si="191"/>
        <v>0.05</v>
      </c>
      <c r="N5524" s="475">
        <f t="shared" si="192"/>
        <v>219179</v>
      </c>
    </row>
    <row r="5525" spans="7:14" ht="11.25" customHeight="1" x14ac:dyDescent="0.3">
      <c r="G5525" s="470"/>
      <c r="H5525" s="470">
        <v>5518</v>
      </c>
      <c r="I5525" s="455">
        <f t="shared" ca="1" si="190"/>
        <v>-3959361417649150</v>
      </c>
      <c r="J5525" s="455">
        <f t="array" ref="J5525">IFERROR(INDEX('Retirement Calculator'!K:K,MATCH('Lorri 401b'!N5525,'Retirement Calculator'!A:A,0),0),0)</f>
        <v>0</v>
      </c>
      <c r="K5525" s="455">
        <f t="shared" ca="1" si="188"/>
        <v>-16497339240204.791</v>
      </c>
      <c r="L5525" s="455">
        <f t="shared" ca="1" si="189"/>
        <v>-3975858756889355</v>
      </c>
      <c r="M5525" s="471">
        <f t="shared" si="191"/>
        <v>0.05</v>
      </c>
      <c r="N5525" s="475">
        <f t="shared" si="192"/>
        <v>219207</v>
      </c>
    </row>
    <row r="5526" spans="7:14" ht="11.25" customHeight="1" x14ac:dyDescent="0.3">
      <c r="G5526" s="470"/>
      <c r="H5526" s="470">
        <v>5519</v>
      </c>
      <c r="I5526" s="455">
        <f t="shared" ca="1" si="190"/>
        <v>-3975858756889355</v>
      </c>
      <c r="J5526" s="455">
        <f t="array" ref="J5526">IFERROR(INDEX('Retirement Calculator'!K:K,MATCH('Lorri 401b'!N5526,'Retirement Calculator'!A:A,0),0),0)</f>
        <v>0</v>
      </c>
      <c r="K5526" s="455">
        <f t="shared" ca="1" si="188"/>
        <v>-16566078153705.646</v>
      </c>
      <c r="L5526" s="455">
        <f t="shared" ca="1" si="189"/>
        <v>-3992424835043060.5</v>
      </c>
      <c r="M5526" s="471">
        <f t="shared" si="191"/>
        <v>0.05</v>
      </c>
      <c r="N5526" s="475">
        <f t="shared" si="192"/>
        <v>219238</v>
      </c>
    </row>
    <row r="5527" spans="7:14" ht="11.25" customHeight="1" x14ac:dyDescent="0.3">
      <c r="G5527" s="470"/>
      <c r="H5527" s="470">
        <v>5520</v>
      </c>
      <c r="I5527" s="455">
        <f t="shared" ca="1" si="190"/>
        <v>-3992424835043060.5</v>
      </c>
      <c r="J5527" s="455">
        <f t="array" ref="J5527">IFERROR(INDEX('Retirement Calculator'!K:K,MATCH('Lorri 401b'!N5527,'Retirement Calculator'!A:A,0),0),0)</f>
        <v>0</v>
      </c>
      <c r="K5527" s="455">
        <f t="shared" ca="1" si="188"/>
        <v>-16635103479346.086</v>
      </c>
      <c r="L5527" s="455">
        <f t="shared" ca="1" si="189"/>
        <v>-4009059938522406.5</v>
      </c>
      <c r="M5527" s="471">
        <f t="shared" si="191"/>
        <v>0.05</v>
      </c>
      <c r="N5527" s="475">
        <f t="shared" si="192"/>
        <v>219268</v>
      </c>
    </row>
    <row r="5528" spans="7:14" ht="11.25" customHeight="1" x14ac:dyDescent="0.3">
      <c r="G5528" s="470"/>
      <c r="H5528" s="470">
        <v>5521</v>
      </c>
      <c r="I5528" s="455">
        <f t="shared" ca="1" si="190"/>
        <v>-4009059938522406.5</v>
      </c>
      <c r="J5528" s="455">
        <f t="array" ref="J5528">IFERROR(INDEX('Retirement Calculator'!K:K,MATCH('Lorri 401b'!N5528,'Retirement Calculator'!A:A,0),0),0)</f>
        <v>0</v>
      </c>
      <c r="K5528" s="455">
        <f t="shared" ca="1" si="188"/>
        <v>-16704416410510.027</v>
      </c>
      <c r="L5528" s="455">
        <f t="shared" ca="1" si="189"/>
        <v>-4025764354932916.5</v>
      </c>
      <c r="M5528" s="471">
        <f t="shared" si="191"/>
        <v>0.05</v>
      </c>
      <c r="N5528" s="475">
        <f t="shared" si="192"/>
        <v>219299</v>
      </c>
    </row>
    <row r="5529" spans="7:14" ht="11.25" customHeight="1" x14ac:dyDescent="0.3">
      <c r="G5529" s="470"/>
      <c r="H5529" s="470">
        <v>5522</v>
      </c>
      <c r="I5529" s="455">
        <f t="shared" ca="1" si="190"/>
        <v>-4025764354932916.5</v>
      </c>
      <c r="J5529" s="455">
        <f t="array" ref="J5529">IFERROR(INDEX('Retirement Calculator'!K:K,MATCH('Lorri 401b'!N5529,'Retirement Calculator'!A:A,0),0),0)</f>
        <v>0</v>
      </c>
      <c r="K5529" s="455">
        <f t="shared" ca="1" si="188"/>
        <v>-16774018145553.82</v>
      </c>
      <c r="L5529" s="455">
        <f t="shared" ca="1" si="189"/>
        <v>-4042538373078470.5</v>
      </c>
      <c r="M5529" s="471">
        <f t="shared" si="191"/>
        <v>0.05</v>
      </c>
      <c r="N5529" s="475">
        <f t="shared" si="192"/>
        <v>219329</v>
      </c>
    </row>
    <row r="5530" spans="7:14" ht="11.25" customHeight="1" x14ac:dyDescent="0.3">
      <c r="G5530" s="470"/>
      <c r="H5530" s="470">
        <v>5523</v>
      </c>
      <c r="I5530" s="455">
        <f t="shared" ca="1" si="190"/>
        <v>-4042538373078470.5</v>
      </c>
      <c r="J5530" s="455">
        <f t="array" ref="J5530">IFERROR(INDEX('Retirement Calculator'!K:K,MATCH('Lorri 401b'!N5530,'Retirement Calculator'!A:A,0),0),0)</f>
        <v>0</v>
      </c>
      <c r="K5530" s="455">
        <f t="shared" ca="1" si="188"/>
        <v>-16843909887826.963</v>
      </c>
      <c r="L5530" s="455">
        <f t="shared" ca="1" si="189"/>
        <v>-4059382282966297.5</v>
      </c>
      <c r="M5530" s="471">
        <f t="shared" si="191"/>
        <v>0.05</v>
      </c>
      <c r="N5530" s="475">
        <f t="shared" si="192"/>
        <v>219360</v>
      </c>
    </row>
    <row r="5531" spans="7:14" ht="11.25" customHeight="1" x14ac:dyDescent="0.3">
      <c r="G5531" s="470"/>
      <c r="H5531" s="470">
        <v>5524</v>
      </c>
      <c r="I5531" s="455">
        <f t="shared" ca="1" si="190"/>
        <v>-4059382282966297.5</v>
      </c>
      <c r="J5531" s="455">
        <f t="array" ref="J5531">IFERROR(INDEX('Retirement Calculator'!K:K,MATCH('Lorri 401b'!N5531,'Retirement Calculator'!A:A,0),0),0)</f>
        <v>0</v>
      </c>
      <c r="K5531" s="455">
        <f t="shared" ca="1" si="188"/>
        <v>-16914092845692.904</v>
      </c>
      <c r="L5531" s="455">
        <f t="shared" ca="1" si="189"/>
        <v>-4076296375811990.5</v>
      </c>
      <c r="M5531" s="471">
        <f t="shared" si="191"/>
        <v>0.05</v>
      </c>
      <c r="N5531" s="475">
        <f t="shared" si="192"/>
        <v>219391</v>
      </c>
    </row>
    <row r="5532" spans="7:14" ht="11.25" customHeight="1" x14ac:dyDescent="0.3">
      <c r="G5532" s="470"/>
      <c r="H5532" s="470">
        <v>5525</v>
      </c>
      <c r="I5532" s="455">
        <f t="shared" ca="1" si="190"/>
        <v>-4076296375811990.5</v>
      </c>
      <c r="J5532" s="455">
        <f t="array" ref="J5532">IFERROR(INDEX('Retirement Calculator'!K:K,MATCH('Lorri 401b'!N5532,'Retirement Calculator'!A:A,0),0),0)</f>
        <v>0</v>
      </c>
      <c r="K5532" s="455">
        <f t="shared" ca="1" si="188"/>
        <v>-16984568232549.961</v>
      </c>
      <c r="L5532" s="455">
        <f t="shared" ca="1" si="189"/>
        <v>-4093280944044540.5</v>
      </c>
      <c r="M5532" s="471">
        <f t="shared" si="191"/>
        <v>0.05</v>
      </c>
      <c r="N5532" s="475">
        <f t="shared" si="192"/>
        <v>219421</v>
      </c>
    </row>
    <row r="5533" spans="7:14" ht="11.25" customHeight="1" x14ac:dyDescent="0.3">
      <c r="G5533" s="470"/>
      <c r="H5533" s="470">
        <v>5526</v>
      </c>
      <c r="I5533" s="455">
        <f t="shared" ca="1" si="190"/>
        <v>-4093280944044540.5</v>
      </c>
      <c r="J5533" s="455">
        <f t="array" ref="J5533">IFERROR(INDEX('Retirement Calculator'!K:K,MATCH('Lorri 401b'!N5533,'Retirement Calculator'!A:A,0),0),0)</f>
        <v>0</v>
      </c>
      <c r="K5533" s="455">
        <f t="shared" ca="1" si="188"/>
        <v>-17055337266852.252</v>
      </c>
      <c r="L5533" s="455">
        <f t="shared" ca="1" si="189"/>
        <v>-4110336281311393</v>
      </c>
      <c r="M5533" s="471">
        <f t="shared" si="191"/>
        <v>0.05</v>
      </c>
      <c r="N5533" s="475">
        <f t="shared" si="192"/>
        <v>219452</v>
      </c>
    </row>
    <row r="5534" spans="7:14" ht="11.25" customHeight="1" x14ac:dyDescent="0.3">
      <c r="G5534" s="470"/>
      <c r="H5534" s="470">
        <v>5527</v>
      </c>
      <c r="I5534" s="455">
        <f t="shared" ca="1" si="190"/>
        <v>-4110336281311393</v>
      </c>
      <c r="J5534" s="455">
        <f t="array" ref="J5534">IFERROR(INDEX('Retirement Calculator'!K:K,MATCH('Lorri 401b'!N5534,'Retirement Calculator'!A:A,0),0),0)</f>
        <v>0</v>
      </c>
      <c r="K5534" s="455">
        <f t="shared" ca="1" si="188"/>
        <v>-17126401172130.805</v>
      </c>
      <c r="L5534" s="455">
        <f t="shared" ca="1" si="189"/>
        <v>-4127462682483524</v>
      </c>
      <c r="M5534" s="471">
        <f t="shared" si="191"/>
        <v>0.05</v>
      </c>
      <c r="N5534" s="475">
        <f t="shared" si="192"/>
        <v>219482</v>
      </c>
    </row>
    <row r="5535" spans="7:14" ht="11.25" customHeight="1" x14ac:dyDescent="0.3">
      <c r="G5535" s="470"/>
      <c r="H5535" s="470">
        <v>5528</v>
      </c>
      <c r="I5535" s="455">
        <f t="shared" ca="1" si="190"/>
        <v>-4127462682483524</v>
      </c>
      <c r="J5535" s="455">
        <f t="array" ref="J5535">IFERROR(INDEX('Retirement Calculator'!K:K,MATCH('Lorri 401b'!N5535,'Retirement Calculator'!A:A,0),0),0)</f>
        <v>0</v>
      </c>
      <c r="K5535" s="455">
        <f t="shared" ca="1" si="188"/>
        <v>-17197761177014.686</v>
      </c>
      <c r="L5535" s="455">
        <f t="shared" ca="1" si="189"/>
        <v>-4144660443660538.5</v>
      </c>
      <c r="M5535" s="471">
        <f t="shared" si="191"/>
        <v>0.05</v>
      </c>
      <c r="N5535" s="475">
        <f t="shared" si="192"/>
        <v>219513</v>
      </c>
    </row>
    <row r="5536" spans="7:14" ht="11.25" customHeight="1" x14ac:dyDescent="0.3">
      <c r="G5536" s="470"/>
      <c r="H5536" s="470">
        <v>5529</v>
      </c>
      <c r="I5536" s="455">
        <f t="shared" ca="1" si="190"/>
        <v>-4144660443660538.5</v>
      </c>
      <c r="J5536" s="455">
        <f t="array" ref="J5536">IFERROR(INDEX('Retirement Calculator'!K:K,MATCH('Lorri 401b'!N5536,'Retirement Calculator'!A:A,0),0),0)</f>
        <v>0</v>
      </c>
      <c r="K5536" s="455">
        <f t="shared" ca="1" si="188"/>
        <v>-17269418515252.246</v>
      </c>
      <c r="L5536" s="455">
        <f t="shared" ca="1" si="189"/>
        <v>-4161929862175790.5</v>
      </c>
      <c r="M5536" s="471">
        <f t="shared" si="191"/>
        <v>0.05</v>
      </c>
      <c r="N5536" s="475">
        <f t="shared" si="192"/>
        <v>219544</v>
      </c>
    </row>
    <row r="5537" spans="7:14" ht="11.25" customHeight="1" x14ac:dyDescent="0.3">
      <c r="G5537" s="470"/>
      <c r="H5537" s="470">
        <v>5530</v>
      </c>
      <c r="I5537" s="455">
        <f t="shared" ca="1" si="190"/>
        <v>-4161929862175790.5</v>
      </c>
      <c r="J5537" s="455">
        <f t="array" ref="J5537">IFERROR(INDEX('Retirement Calculator'!K:K,MATCH('Lorri 401b'!N5537,'Retirement Calculator'!A:A,0),0),0)</f>
        <v>0</v>
      </c>
      <c r="K5537" s="455">
        <f t="shared" ca="1" si="188"/>
        <v>-17341374425732.459</v>
      </c>
      <c r="L5537" s="455">
        <f t="shared" ca="1" si="189"/>
        <v>-4179271236601523</v>
      </c>
      <c r="M5537" s="471">
        <f t="shared" si="191"/>
        <v>0.05</v>
      </c>
      <c r="N5537" s="475">
        <f t="shared" si="192"/>
        <v>219572</v>
      </c>
    </row>
    <row r="5538" spans="7:14" ht="11.25" customHeight="1" x14ac:dyDescent="0.3">
      <c r="G5538" s="470"/>
      <c r="H5538" s="470">
        <v>5531</v>
      </c>
      <c r="I5538" s="455">
        <f t="shared" ca="1" si="190"/>
        <v>-4179271236601523</v>
      </c>
      <c r="J5538" s="455">
        <f t="array" ref="J5538">IFERROR(INDEX('Retirement Calculator'!K:K,MATCH('Lorri 401b'!N5538,'Retirement Calculator'!A:A,0),0),0)</f>
        <v>0</v>
      </c>
      <c r="K5538" s="455">
        <f t="shared" ca="1" si="188"/>
        <v>-17413630152506.346</v>
      </c>
      <c r="L5538" s="455">
        <f t="shared" ca="1" si="189"/>
        <v>-4196684866754029.5</v>
      </c>
      <c r="M5538" s="471">
        <f t="shared" si="191"/>
        <v>0.05</v>
      </c>
      <c r="N5538" s="475">
        <f t="shared" si="192"/>
        <v>219603</v>
      </c>
    </row>
    <row r="5539" spans="7:14" ht="11.25" customHeight="1" x14ac:dyDescent="0.3">
      <c r="G5539" s="470"/>
      <c r="H5539" s="470">
        <v>5532</v>
      </c>
      <c r="I5539" s="455">
        <f t="shared" ca="1" si="190"/>
        <v>-4196684866754029.5</v>
      </c>
      <c r="J5539" s="455">
        <f t="array" ref="J5539">IFERROR(INDEX('Retirement Calculator'!K:K,MATCH('Lorri 401b'!N5539,'Retirement Calculator'!A:A,0),0),0)</f>
        <v>0</v>
      </c>
      <c r="K5539" s="455">
        <f t="shared" ca="1" si="188"/>
        <v>-17486186944808.455</v>
      </c>
      <c r="L5539" s="455">
        <f t="shared" ca="1" si="189"/>
        <v>-4214171053698838</v>
      </c>
      <c r="M5539" s="471">
        <f t="shared" si="191"/>
        <v>0.05</v>
      </c>
      <c r="N5539" s="475">
        <f t="shared" si="192"/>
        <v>219633</v>
      </c>
    </row>
    <row r="5540" spans="7:14" ht="11.25" customHeight="1" x14ac:dyDescent="0.3">
      <c r="G5540" s="470"/>
      <c r="H5540" s="470">
        <v>5533</v>
      </c>
      <c r="I5540" s="455">
        <f t="shared" ca="1" si="190"/>
        <v>-4214171053698838</v>
      </c>
      <c r="J5540" s="455">
        <f t="array" ref="J5540">IFERROR(INDEX('Retirement Calculator'!K:K,MATCH('Lorri 401b'!N5540,'Retirement Calculator'!A:A,0),0),0)</f>
        <v>0</v>
      </c>
      <c r="K5540" s="455">
        <f t="shared" ca="1" si="188"/>
        <v>-17559046057078.492</v>
      </c>
      <c r="L5540" s="455">
        <f t="shared" ca="1" si="189"/>
        <v>-4231730099755916.5</v>
      </c>
      <c r="M5540" s="471">
        <f t="shared" si="191"/>
        <v>0.05</v>
      </c>
      <c r="N5540" s="475">
        <f t="shared" si="192"/>
        <v>219664</v>
      </c>
    </row>
    <row r="5541" spans="7:14" ht="11.25" customHeight="1" x14ac:dyDescent="0.3">
      <c r="G5541" s="470"/>
      <c r="H5541" s="470">
        <v>5534</v>
      </c>
      <c r="I5541" s="455">
        <f t="shared" ca="1" si="190"/>
        <v>-4231730099755916.5</v>
      </c>
      <c r="J5541" s="455">
        <f t="array" ref="J5541">IFERROR(INDEX('Retirement Calculator'!K:K,MATCH('Lorri 401b'!N5541,'Retirement Calculator'!A:A,0),0),0)</f>
        <v>0</v>
      </c>
      <c r="K5541" s="455">
        <f t="shared" ca="1" si="188"/>
        <v>-17632208748982.984</v>
      </c>
      <c r="L5541" s="455">
        <f t="shared" ca="1" si="189"/>
        <v>-4249362308504899.5</v>
      </c>
      <c r="M5541" s="471">
        <f t="shared" si="191"/>
        <v>0.05</v>
      </c>
      <c r="N5541" s="475">
        <f t="shared" si="192"/>
        <v>219694</v>
      </c>
    </row>
    <row r="5542" spans="7:14" ht="11.25" customHeight="1" x14ac:dyDescent="0.3">
      <c r="G5542" s="470"/>
      <c r="H5542" s="470">
        <v>5535</v>
      </c>
      <c r="I5542" s="455">
        <f t="shared" ca="1" si="190"/>
        <v>-4249362308504899.5</v>
      </c>
      <c r="J5542" s="455">
        <f t="array" ref="J5542">IFERROR(INDEX('Retirement Calculator'!K:K,MATCH('Lorri 401b'!N5542,'Retirement Calculator'!A:A,0),0),0)</f>
        <v>0</v>
      </c>
      <c r="K5542" s="455">
        <f t="shared" ca="1" si="188"/>
        <v>-17705676285437.078</v>
      </c>
      <c r="L5542" s="455">
        <f t="shared" ca="1" si="189"/>
        <v>-4267067984790336.5</v>
      </c>
      <c r="M5542" s="471">
        <f t="shared" si="191"/>
        <v>0.05</v>
      </c>
      <c r="N5542" s="475">
        <f t="shared" si="192"/>
        <v>219725</v>
      </c>
    </row>
    <row r="5543" spans="7:14" ht="11.25" customHeight="1" x14ac:dyDescent="0.3">
      <c r="G5543" s="470"/>
      <c r="H5543" s="470">
        <v>5536</v>
      </c>
      <c r="I5543" s="455">
        <f t="shared" ca="1" si="190"/>
        <v>-4267067984790336.5</v>
      </c>
      <c r="J5543" s="455">
        <f t="array" ref="J5543">IFERROR(INDEX('Retirement Calculator'!K:K,MATCH('Lorri 401b'!N5543,'Retirement Calculator'!A:A,0),0),0)</f>
        <v>0</v>
      </c>
      <c r="K5543" s="455">
        <f t="shared" ca="1" si="188"/>
        <v>-17779449936626.402</v>
      </c>
      <c r="L5543" s="455">
        <f t="shared" ca="1" si="189"/>
        <v>-4284847434726963</v>
      </c>
      <c r="M5543" s="471">
        <f t="shared" si="191"/>
        <v>0.05</v>
      </c>
      <c r="N5543" s="475">
        <f t="shared" si="192"/>
        <v>219756</v>
      </c>
    </row>
    <row r="5544" spans="7:14" ht="11.25" customHeight="1" x14ac:dyDescent="0.3">
      <c r="G5544" s="470"/>
      <c r="H5544" s="470">
        <v>5537</v>
      </c>
      <c r="I5544" s="455">
        <f t="shared" ca="1" si="190"/>
        <v>-4284847434726963</v>
      </c>
      <c r="J5544" s="455">
        <f t="array" ref="J5544">IFERROR(INDEX('Retirement Calculator'!K:K,MATCH('Lorri 401b'!N5544,'Retirement Calculator'!A:A,0),0),0)</f>
        <v>0</v>
      </c>
      <c r="K5544" s="455">
        <f t="shared" ca="1" si="188"/>
        <v>-17853530978029.012</v>
      </c>
      <c r="L5544" s="455">
        <f t="shared" ca="1" si="189"/>
        <v>-4302700965704992</v>
      </c>
      <c r="M5544" s="471">
        <f t="shared" si="191"/>
        <v>0.05</v>
      </c>
      <c r="N5544" s="475">
        <f t="shared" si="192"/>
        <v>219786</v>
      </c>
    </row>
    <row r="5545" spans="7:14" ht="11.25" customHeight="1" x14ac:dyDescent="0.3">
      <c r="G5545" s="470"/>
      <c r="H5545" s="470">
        <v>5538</v>
      </c>
      <c r="I5545" s="455">
        <f t="shared" ca="1" si="190"/>
        <v>-4302700965704992</v>
      </c>
      <c r="J5545" s="455">
        <f t="array" ref="J5545">IFERROR(INDEX('Retirement Calculator'!K:K,MATCH('Lorri 401b'!N5545,'Retirement Calculator'!A:A,0),0),0)</f>
        <v>0</v>
      </c>
      <c r="K5545" s="455">
        <f t="shared" ca="1" si="188"/>
        <v>-17927920690437.469</v>
      </c>
      <c r="L5545" s="455">
        <f t="shared" ca="1" si="189"/>
        <v>-4320628886395429.5</v>
      </c>
      <c r="M5545" s="471">
        <f t="shared" si="191"/>
        <v>0.05</v>
      </c>
      <c r="N5545" s="475">
        <f t="shared" si="192"/>
        <v>219817</v>
      </c>
    </row>
    <row r="5546" spans="7:14" ht="11.25" customHeight="1" x14ac:dyDescent="0.3">
      <c r="G5546" s="470"/>
      <c r="H5546" s="470">
        <v>5539</v>
      </c>
      <c r="I5546" s="455">
        <f t="shared" ca="1" si="190"/>
        <v>-4320628886395429.5</v>
      </c>
      <c r="J5546" s="455">
        <f t="array" ref="J5546">IFERROR(INDEX('Retirement Calculator'!K:K,MATCH('Lorri 401b'!N5546,'Retirement Calculator'!A:A,0),0),0)</f>
        <v>0</v>
      </c>
      <c r="K5546" s="455">
        <f t="shared" ca="1" si="188"/>
        <v>-18002620359980.957</v>
      </c>
      <c r="L5546" s="455">
        <f t="shared" ca="1" si="189"/>
        <v>-4338631506755410.5</v>
      </c>
      <c r="M5546" s="471">
        <f t="shared" si="191"/>
        <v>0.05</v>
      </c>
      <c r="N5546" s="475">
        <f t="shared" si="192"/>
        <v>219847</v>
      </c>
    </row>
    <row r="5547" spans="7:14" ht="11.25" customHeight="1" x14ac:dyDescent="0.3">
      <c r="G5547" s="470"/>
      <c r="H5547" s="470">
        <v>5540</v>
      </c>
      <c r="I5547" s="455">
        <f t="shared" ca="1" si="190"/>
        <v>-4338631506755410.5</v>
      </c>
      <c r="J5547" s="455">
        <f t="array" ref="J5547">IFERROR(INDEX('Retirement Calculator'!K:K,MATCH('Lorri 401b'!N5547,'Retirement Calculator'!A:A,0),0),0)</f>
        <v>0</v>
      </c>
      <c r="K5547" s="455">
        <f t="shared" ca="1" si="188"/>
        <v>-18077631278147.547</v>
      </c>
      <c r="L5547" s="455">
        <f t="shared" ca="1" si="189"/>
        <v>-4356709138033558</v>
      </c>
      <c r="M5547" s="471">
        <f t="shared" si="191"/>
        <v>0.05</v>
      </c>
      <c r="N5547" s="475">
        <f t="shared" si="192"/>
        <v>219878</v>
      </c>
    </row>
    <row r="5548" spans="7:14" ht="11.25" customHeight="1" x14ac:dyDescent="0.3">
      <c r="G5548" s="470"/>
      <c r="H5548" s="470">
        <v>5541</v>
      </c>
      <c r="I5548" s="455">
        <f t="shared" ca="1" si="190"/>
        <v>-4356709138033558</v>
      </c>
      <c r="J5548" s="455">
        <f t="array" ref="J5548">IFERROR(INDEX('Retirement Calculator'!K:K,MATCH('Lorri 401b'!N5548,'Retirement Calculator'!A:A,0),0),0)</f>
        <v>0</v>
      </c>
      <c r="K5548" s="455">
        <f t="shared" ca="1" si="188"/>
        <v>-18152954741806.492</v>
      </c>
      <c r="L5548" s="455">
        <f t="shared" ca="1" si="189"/>
        <v>-4374862092775364.5</v>
      </c>
      <c r="M5548" s="471">
        <f t="shared" si="191"/>
        <v>0.05</v>
      </c>
      <c r="N5548" s="475">
        <f t="shared" si="192"/>
        <v>219909</v>
      </c>
    </row>
    <row r="5549" spans="7:14" ht="11.25" customHeight="1" x14ac:dyDescent="0.3">
      <c r="G5549" s="470"/>
      <c r="H5549" s="470">
        <v>5542</v>
      </c>
      <c r="I5549" s="455">
        <f t="shared" ca="1" si="190"/>
        <v>-4374862092775364.5</v>
      </c>
      <c r="J5549" s="455">
        <f t="array" ref="J5549">IFERROR(INDEX('Retirement Calculator'!K:K,MATCH('Lorri 401b'!N5549,'Retirement Calculator'!A:A,0),0),0)</f>
        <v>0</v>
      </c>
      <c r="K5549" s="455">
        <f t="shared" ca="1" si="188"/>
        <v>-18228592053230.684</v>
      </c>
      <c r="L5549" s="455">
        <f t="shared" ca="1" si="189"/>
        <v>-4393090684828595</v>
      </c>
      <c r="M5549" s="471">
        <f t="shared" si="191"/>
        <v>0.05</v>
      </c>
      <c r="N5549" s="475">
        <f t="shared" si="192"/>
        <v>219937</v>
      </c>
    </row>
    <row r="5550" spans="7:14" ht="11.25" customHeight="1" x14ac:dyDescent="0.3">
      <c r="G5550" s="470"/>
      <c r="H5550" s="470">
        <v>5543</v>
      </c>
      <c r="I5550" s="455">
        <f t="shared" ca="1" si="190"/>
        <v>-4393090684828595</v>
      </c>
      <c r="J5550" s="455">
        <f t="array" ref="J5550">IFERROR(INDEX('Retirement Calculator'!K:K,MATCH('Lorri 401b'!N5550,'Retirement Calculator'!A:A,0),0),0)</f>
        <v>0</v>
      </c>
      <c r="K5550" s="455">
        <f t="shared" ca="1" si="188"/>
        <v>-18304544520119.145</v>
      </c>
      <c r="L5550" s="455">
        <f t="shared" ca="1" si="189"/>
        <v>-4411395229348714</v>
      </c>
      <c r="M5550" s="471">
        <f t="shared" si="191"/>
        <v>0.05</v>
      </c>
      <c r="N5550" s="475">
        <f t="shared" si="192"/>
        <v>219968</v>
      </c>
    </row>
    <row r="5551" spans="7:14" ht="11.25" customHeight="1" x14ac:dyDescent="0.3">
      <c r="G5551" s="470"/>
      <c r="H5551" s="470">
        <v>5544</v>
      </c>
      <c r="I5551" s="455">
        <f t="shared" ca="1" si="190"/>
        <v>-4411395229348714</v>
      </c>
      <c r="J5551" s="455">
        <f t="array" ref="J5551">IFERROR(INDEX('Retirement Calculator'!K:K,MATCH('Lorri 401b'!N5551,'Retirement Calculator'!A:A,0),0),0)</f>
        <v>0</v>
      </c>
      <c r="K5551" s="455">
        <f t="shared" ca="1" si="188"/>
        <v>-18380813455619.641</v>
      </c>
      <c r="L5551" s="455">
        <f t="shared" ca="1" si="189"/>
        <v>-4429776042804333.5</v>
      </c>
      <c r="M5551" s="471">
        <f t="shared" si="191"/>
        <v>0.05</v>
      </c>
      <c r="N5551" s="475">
        <f t="shared" si="192"/>
        <v>219998</v>
      </c>
    </row>
    <row r="5552" spans="7:14" ht="11.25" customHeight="1" x14ac:dyDescent="0.3">
      <c r="G5552" s="470"/>
      <c r="H5552" s="470">
        <v>5545</v>
      </c>
      <c r="I5552" s="455">
        <f t="shared" ca="1" si="190"/>
        <v>-4429776042804333.5</v>
      </c>
      <c r="J5552" s="455">
        <f t="array" ref="J5552">IFERROR(INDEX('Retirement Calculator'!K:K,MATCH('Lorri 401b'!N5552,'Retirement Calculator'!A:A,0),0),0)</f>
        <v>0</v>
      </c>
      <c r="K5552" s="455">
        <f t="shared" ca="1" si="188"/>
        <v>-18457400178351.391</v>
      </c>
      <c r="L5552" s="455">
        <f t="shared" ca="1" si="189"/>
        <v>-4448233442982685</v>
      </c>
      <c r="M5552" s="471">
        <f t="shared" si="191"/>
        <v>0.05</v>
      </c>
      <c r="N5552" s="475">
        <f t="shared" si="192"/>
        <v>220029</v>
      </c>
    </row>
    <row r="5553" spans="7:14" ht="11.25" customHeight="1" x14ac:dyDescent="0.3">
      <c r="G5553" s="470"/>
      <c r="H5553" s="470">
        <v>5546</v>
      </c>
      <c r="I5553" s="455">
        <f t="shared" ca="1" si="190"/>
        <v>-4448233442982685</v>
      </c>
      <c r="J5553" s="455">
        <f t="array" ref="J5553">IFERROR(INDEX('Retirement Calculator'!K:K,MATCH('Lorri 401b'!N5553,'Retirement Calculator'!A:A,0),0),0)</f>
        <v>0</v>
      </c>
      <c r="K5553" s="455">
        <f t="shared" ca="1" si="188"/>
        <v>-18534306012427.855</v>
      </c>
      <c r="L5553" s="455">
        <f t="shared" ca="1" si="189"/>
        <v>-4466767748995113</v>
      </c>
      <c r="M5553" s="471">
        <f t="shared" si="191"/>
        <v>0.05</v>
      </c>
      <c r="N5553" s="475">
        <f t="shared" si="192"/>
        <v>220059</v>
      </c>
    </row>
    <row r="5554" spans="7:14" ht="11.25" customHeight="1" x14ac:dyDescent="0.3">
      <c r="G5554" s="470"/>
      <c r="H5554" s="470">
        <v>5547</v>
      </c>
      <c r="I5554" s="455">
        <f t="shared" ca="1" si="190"/>
        <v>-4466767748995113</v>
      </c>
      <c r="J5554" s="455">
        <f t="array" ref="J5554">IFERROR(INDEX('Retirement Calculator'!K:K,MATCH('Lorri 401b'!N5554,'Retirement Calculator'!A:A,0),0),0)</f>
        <v>0</v>
      </c>
      <c r="K5554" s="455">
        <f t="shared" ca="1" si="188"/>
        <v>-18611532287479.637</v>
      </c>
      <c r="L5554" s="455">
        <f t="shared" ca="1" si="189"/>
        <v>-4485379281282592.5</v>
      </c>
      <c r="M5554" s="471">
        <f t="shared" si="191"/>
        <v>0.05</v>
      </c>
      <c r="N5554" s="475">
        <f t="shared" si="192"/>
        <v>220090</v>
      </c>
    </row>
    <row r="5555" spans="7:14" ht="11.25" customHeight="1" x14ac:dyDescent="0.3">
      <c r="G5555" s="470"/>
      <c r="H5555" s="470">
        <v>5548</v>
      </c>
      <c r="I5555" s="455">
        <f t="shared" ca="1" si="190"/>
        <v>-4485379281282592.5</v>
      </c>
      <c r="J5555" s="455">
        <f t="array" ref="J5555">IFERROR(INDEX('Retirement Calculator'!K:K,MATCH('Lorri 401b'!N5555,'Retirement Calculator'!A:A,0),0),0)</f>
        <v>0</v>
      </c>
      <c r="K5555" s="455">
        <f t="shared" ca="1" si="188"/>
        <v>-18689080338677.469</v>
      </c>
      <c r="L5555" s="455">
        <f t="shared" ca="1" si="189"/>
        <v>-4504068361621270</v>
      </c>
      <c r="M5555" s="471">
        <f t="shared" si="191"/>
        <v>0.05</v>
      </c>
      <c r="N5555" s="475">
        <f t="shared" si="192"/>
        <v>220121</v>
      </c>
    </row>
    <row r="5556" spans="7:14" ht="11.25" customHeight="1" x14ac:dyDescent="0.3">
      <c r="G5556" s="470"/>
      <c r="H5556" s="470">
        <v>5549</v>
      </c>
      <c r="I5556" s="455">
        <f t="shared" ca="1" si="190"/>
        <v>-4504068361621270</v>
      </c>
      <c r="J5556" s="455">
        <f t="array" ref="J5556">IFERROR(INDEX('Retirement Calculator'!K:K,MATCH('Lorri 401b'!N5556,'Retirement Calculator'!A:A,0),0),0)</f>
        <v>0</v>
      </c>
      <c r="K5556" s="455">
        <f t="shared" ca="1" si="188"/>
        <v>-18766951506755.293</v>
      </c>
      <c r="L5556" s="455">
        <f t="shared" ca="1" si="189"/>
        <v>-4522835313128025</v>
      </c>
      <c r="M5556" s="471">
        <f t="shared" si="191"/>
        <v>0.05</v>
      </c>
      <c r="N5556" s="475">
        <f t="shared" si="192"/>
        <v>220151</v>
      </c>
    </row>
    <row r="5557" spans="7:14" ht="11.25" customHeight="1" x14ac:dyDescent="0.3">
      <c r="G5557" s="470"/>
      <c r="H5557" s="470">
        <v>5550</v>
      </c>
      <c r="I5557" s="455">
        <f t="shared" ca="1" si="190"/>
        <v>-4522835313128025</v>
      </c>
      <c r="J5557" s="455">
        <f t="array" ref="J5557">IFERROR(INDEX('Retirement Calculator'!K:K,MATCH('Lorri 401b'!N5557,'Retirement Calculator'!A:A,0),0),0)</f>
        <v>0</v>
      </c>
      <c r="K5557" s="455">
        <f t="shared" ca="1" si="188"/>
        <v>-18845147138033.438</v>
      </c>
      <c r="L5557" s="455">
        <f t="shared" ca="1" si="189"/>
        <v>-4541680460266058</v>
      </c>
      <c r="M5557" s="471">
        <f t="shared" si="191"/>
        <v>0.05</v>
      </c>
      <c r="N5557" s="475">
        <f t="shared" si="192"/>
        <v>220182</v>
      </c>
    </row>
    <row r="5558" spans="7:14" ht="11.25" customHeight="1" x14ac:dyDescent="0.3">
      <c r="G5558" s="470"/>
      <c r="H5558" s="470">
        <v>5551</v>
      </c>
      <c r="I5558" s="455">
        <f t="shared" ca="1" si="190"/>
        <v>-4541680460266058</v>
      </c>
      <c r="J5558" s="455">
        <f t="array" ref="J5558">IFERROR(INDEX('Retirement Calculator'!K:K,MATCH('Lorri 401b'!N5558,'Retirement Calculator'!A:A,0),0),0)</f>
        <v>0</v>
      </c>
      <c r="K5558" s="455">
        <f t="shared" ca="1" si="188"/>
        <v>-18923668584441.906</v>
      </c>
      <c r="L5558" s="455">
        <f t="shared" ca="1" si="189"/>
        <v>-4560604128850500</v>
      </c>
      <c r="M5558" s="471">
        <f t="shared" si="191"/>
        <v>0.05</v>
      </c>
      <c r="N5558" s="475">
        <f t="shared" si="192"/>
        <v>220212</v>
      </c>
    </row>
    <row r="5559" spans="7:14" ht="11.25" customHeight="1" x14ac:dyDescent="0.3">
      <c r="G5559" s="470"/>
      <c r="H5559" s="470">
        <v>5552</v>
      </c>
      <c r="I5559" s="455">
        <f t="shared" ca="1" si="190"/>
        <v>-4560604128850500</v>
      </c>
      <c r="J5559" s="455">
        <f t="array" ref="J5559">IFERROR(INDEX('Retirement Calculator'!K:K,MATCH('Lorri 401b'!N5559,'Retirement Calculator'!A:A,0),0),0)</f>
        <v>0</v>
      </c>
      <c r="K5559" s="455">
        <f t="shared" ca="1" si="188"/>
        <v>-19002517203543.75</v>
      </c>
      <c r="L5559" s="455">
        <f t="shared" ca="1" si="189"/>
        <v>-4579606646054044</v>
      </c>
      <c r="M5559" s="471">
        <f t="shared" si="191"/>
        <v>0.05</v>
      </c>
      <c r="N5559" s="475">
        <f t="shared" si="192"/>
        <v>220243</v>
      </c>
    </row>
    <row r="5560" spans="7:14" ht="11.25" customHeight="1" x14ac:dyDescent="0.3">
      <c r="G5560" s="470"/>
      <c r="H5560" s="470">
        <v>5553</v>
      </c>
      <c r="I5560" s="455">
        <f t="shared" ca="1" si="190"/>
        <v>-4579606646054044</v>
      </c>
      <c r="J5560" s="455">
        <f t="array" ref="J5560">IFERROR(INDEX('Retirement Calculator'!K:K,MATCH('Lorri 401b'!N5560,'Retirement Calculator'!A:A,0),0),0)</f>
        <v>0</v>
      </c>
      <c r="K5560" s="455">
        <f t="shared" ca="1" si="188"/>
        <v>-19081694358558.516</v>
      </c>
      <c r="L5560" s="455">
        <f t="shared" ca="1" si="189"/>
        <v>-4598688340412603</v>
      </c>
      <c r="M5560" s="471">
        <f t="shared" si="191"/>
        <v>0.05</v>
      </c>
      <c r="N5560" s="475">
        <f t="shared" si="192"/>
        <v>220274</v>
      </c>
    </row>
    <row r="5561" spans="7:14" ht="11.25" customHeight="1" x14ac:dyDescent="0.3">
      <c r="G5561" s="470"/>
      <c r="H5561" s="470">
        <v>5554</v>
      </c>
      <c r="I5561" s="455">
        <f t="shared" ca="1" si="190"/>
        <v>-4598688340412603</v>
      </c>
      <c r="J5561" s="455">
        <f t="array" ref="J5561">IFERROR(INDEX('Retirement Calculator'!K:K,MATCH('Lorri 401b'!N5561,'Retirement Calculator'!A:A,0),0),0)</f>
        <v>0</v>
      </c>
      <c r="K5561" s="455">
        <f t="shared" ca="1" si="188"/>
        <v>-19161201418385.844</v>
      </c>
      <c r="L5561" s="455">
        <f t="shared" ca="1" si="189"/>
        <v>-4617849541830989</v>
      </c>
      <c r="M5561" s="471">
        <f t="shared" si="191"/>
        <v>0.05</v>
      </c>
      <c r="N5561" s="475">
        <f t="shared" si="192"/>
        <v>220302</v>
      </c>
    </row>
    <row r="5562" spans="7:14" ht="11.25" customHeight="1" x14ac:dyDescent="0.3">
      <c r="G5562" s="470"/>
      <c r="H5562" s="470">
        <v>5555</v>
      </c>
      <c r="I5562" s="455">
        <f t="shared" ca="1" si="190"/>
        <v>-4617849541830989</v>
      </c>
      <c r="J5562" s="455">
        <f t="array" ref="J5562">IFERROR(INDEX('Retirement Calculator'!K:K,MATCH('Lorri 401b'!N5562,'Retirement Calculator'!A:A,0),0),0)</f>
        <v>0</v>
      </c>
      <c r="K5562" s="455">
        <f t="shared" ca="1" si="188"/>
        <v>-19241039757629.121</v>
      </c>
      <c r="L5562" s="455">
        <f t="shared" ca="1" si="189"/>
        <v>-4637090581588618</v>
      </c>
      <c r="M5562" s="471">
        <f t="shared" si="191"/>
        <v>0.05</v>
      </c>
      <c r="N5562" s="475">
        <f t="shared" si="192"/>
        <v>220333</v>
      </c>
    </row>
    <row r="5563" spans="7:14" ht="11.25" customHeight="1" x14ac:dyDescent="0.3">
      <c r="G5563" s="470"/>
      <c r="H5563" s="470">
        <v>5556</v>
      </c>
      <c r="I5563" s="455">
        <f t="shared" ca="1" si="190"/>
        <v>-4637090581588618</v>
      </c>
      <c r="J5563" s="455">
        <f t="array" ref="J5563">IFERROR(INDEX('Retirement Calculator'!K:K,MATCH('Lorri 401b'!N5563,'Retirement Calculator'!A:A,0),0),0)</f>
        <v>0</v>
      </c>
      <c r="K5563" s="455">
        <f t="shared" ca="1" si="188"/>
        <v>-19321210756619.242</v>
      </c>
      <c r="L5563" s="455">
        <f t="shared" ca="1" si="189"/>
        <v>-4656411792345237</v>
      </c>
      <c r="M5563" s="471">
        <f t="shared" si="191"/>
        <v>0.05</v>
      </c>
      <c r="N5563" s="475">
        <f t="shared" si="192"/>
        <v>220363</v>
      </c>
    </row>
    <row r="5564" spans="7:14" ht="11.25" customHeight="1" x14ac:dyDescent="0.3">
      <c r="G5564" s="470"/>
      <c r="H5564" s="470">
        <v>5557</v>
      </c>
      <c r="I5564" s="455">
        <f t="shared" ca="1" si="190"/>
        <v>-4656411792345237</v>
      </c>
      <c r="J5564" s="455">
        <f t="array" ref="J5564">IFERROR(INDEX('Retirement Calculator'!K:K,MATCH('Lorri 401b'!N5564,'Retirement Calculator'!A:A,0),0),0)</f>
        <v>0</v>
      </c>
      <c r="K5564" s="455">
        <f t="shared" ca="1" si="188"/>
        <v>-19401715801438.488</v>
      </c>
      <c r="L5564" s="455">
        <f t="shared" ca="1" si="189"/>
        <v>-4675813508146675</v>
      </c>
      <c r="M5564" s="471">
        <f t="shared" si="191"/>
        <v>0.05</v>
      </c>
      <c r="N5564" s="475">
        <f t="shared" si="192"/>
        <v>220394</v>
      </c>
    </row>
    <row r="5565" spans="7:14" ht="11.25" customHeight="1" x14ac:dyDescent="0.3">
      <c r="G5565" s="470"/>
      <c r="H5565" s="470">
        <v>5558</v>
      </c>
      <c r="I5565" s="455">
        <f t="shared" ca="1" si="190"/>
        <v>-4675813508146675</v>
      </c>
      <c r="J5565" s="455">
        <f t="array" ref="J5565">IFERROR(INDEX('Retirement Calculator'!K:K,MATCH('Lorri 401b'!N5565,'Retirement Calculator'!A:A,0),0),0)</f>
        <v>0</v>
      </c>
      <c r="K5565" s="455">
        <f t="shared" ca="1" si="188"/>
        <v>-19482556283944.48</v>
      </c>
      <c r="L5565" s="455">
        <f t="shared" ca="1" si="189"/>
        <v>-4695296064430619</v>
      </c>
      <c r="M5565" s="471">
        <f t="shared" si="191"/>
        <v>0.05</v>
      </c>
      <c r="N5565" s="475">
        <f t="shared" si="192"/>
        <v>220424</v>
      </c>
    </row>
    <row r="5566" spans="7:14" ht="11.25" customHeight="1" x14ac:dyDescent="0.3">
      <c r="G5566" s="470"/>
      <c r="H5566" s="470">
        <v>5559</v>
      </c>
      <c r="I5566" s="455">
        <f t="shared" ca="1" si="190"/>
        <v>-4695296064430619</v>
      </c>
      <c r="J5566" s="455">
        <f t="array" ref="J5566">IFERROR(INDEX('Retirement Calculator'!K:K,MATCH('Lorri 401b'!N5566,'Retirement Calculator'!A:A,0),0),0)</f>
        <v>0</v>
      </c>
      <c r="K5566" s="455">
        <f t="shared" ca="1" si="188"/>
        <v>-19563733601794.246</v>
      </c>
      <c r="L5566" s="455">
        <f t="shared" ca="1" si="189"/>
        <v>-4714859798032413</v>
      </c>
      <c r="M5566" s="471">
        <f t="shared" si="191"/>
        <v>0.05</v>
      </c>
      <c r="N5566" s="475">
        <f t="shared" si="192"/>
        <v>220455</v>
      </c>
    </row>
    <row r="5567" spans="7:14" ht="11.25" customHeight="1" x14ac:dyDescent="0.3">
      <c r="G5567" s="470"/>
      <c r="H5567" s="470">
        <v>5560</v>
      </c>
      <c r="I5567" s="455">
        <f t="shared" ca="1" si="190"/>
        <v>-4714859798032413</v>
      </c>
      <c r="J5567" s="455">
        <f t="array" ref="J5567">IFERROR(INDEX('Retirement Calculator'!K:K,MATCH('Lorri 401b'!N5567,'Retirement Calculator'!A:A,0),0),0)</f>
        <v>0</v>
      </c>
      <c r="K5567" s="455">
        <f t="shared" ca="1" si="188"/>
        <v>-19645249158468.387</v>
      </c>
      <c r="L5567" s="455">
        <f t="shared" ca="1" si="189"/>
        <v>-4734505047190881</v>
      </c>
      <c r="M5567" s="471">
        <f t="shared" si="191"/>
        <v>0.05</v>
      </c>
      <c r="N5567" s="475">
        <f t="shared" si="192"/>
        <v>220486</v>
      </c>
    </row>
    <row r="5568" spans="7:14" ht="11.25" customHeight="1" x14ac:dyDescent="0.3">
      <c r="G5568" s="470"/>
      <c r="H5568" s="470">
        <v>5561</v>
      </c>
      <c r="I5568" s="455">
        <f t="shared" ca="1" si="190"/>
        <v>-4734505047190881</v>
      </c>
      <c r="J5568" s="455">
        <f t="array" ref="J5568">IFERROR(INDEX('Retirement Calculator'!K:K,MATCH('Lorri 401b'!N5568,'Retirement Calculator'!A:A,0),0),0)</f>
        <v>0</v>
      </c>
      <c r="K5568" s="455">
        <f t="shared" ca="1" si="188"/>
        <v>-19727104363295.336</v>
      </c>
      <c r="L5568" s="455">
        <f t="shared" ca="1" si="189"/>
        <v>-4754232151554176</v>
      </c>
      <c r="M5568" s="471">
        <f t="shared" si="191"/>
        <v>0.05</v>
      </c>
      <c r="N5568" s="475">
        <f t="shared" si="192"/>
        <v>220516</v>
      </c>
    </row>
    <row r="5569" spans="7:14" ht="11.25" customHeight="1" x14ac:dyDescent="0.3">
      <c r="G5569" s="470"/>
      <c r="H5569" s="470">
        <v>5562</v>
      </c>
      <c r="I5569" s="455">
        <f t="shared" ca="1" si="190"/>
        <v>-4754232151554176</v>
      </c>
      <c r="J5569" s="455">
        <f t="array" ref="J5569">IFERROR(INDEX('Retirement Calculator'!K:K,MATCH('Lorri 401b'!N5569,'Retirement Calculator'!A:A,0),0),0)</f>
        <v>0</v>
      </c>
      <c r="K5569" s="455">
        <f t="shared" ca="1" si="188"/>
        <v>-19809300631475.734</v>
      </c>
      <c r="L5569" s="455">
        <f t="shared" ca="1" si="189"/>
        <v>-4774041452185652</v>
      </c>
      <c r="M5569" s="471">
        <f t="shared" si="191"/>
        <v>0.05</v>
      </c>
      <c r="N5569" s="475">
        <f t="shared" si="192"/>
        <v>220547</v>
      </c>
    </row>
    <row r="5570" spans="7:14" ht="11.25" customHeight="1" x14ac:dyDescent="0.3">
      <c r="G5570" s="470"/>
      <c r="H5570" s="470">
        <v>5563</v>
      </c>
      <c r="I5570" s="455">
        <f t="shared" ca="1" si="190"/>
        <v>-4774041452185652</v>
      </c>
      <c r="J5570" s="455">
        <f t="array" ref="J5570">IFERROR(INDEX('Retirement Calculator'!K:K,MATCH('Lorri 401b'!N5570,'Retirement Calculator'!A:A,0),0),0)</f>
        <v>0</v>
      </c>
      <c r="K5570" s="455">
        <f t="shared" ca="1" si="188"/>
        <v>-19891839384106.883</v>
      </c>
      <c r="L5570" s="455">
        <f t="shared" ca="1" si="189"/>
        <v>-4793933291569759</v>
      </c>
      <c r="M5570" s="471">
        <f t="shared" si="191"/>
        <v>0.05</v>
      </c>
      <c r="N5570" s="475">
        <f t="shared" si="192"/>
        <v>220577</v>
      </c>
    </row>
    <row r="5571" spans="7:14" ht="11.25" customHeight="1" x14ac:dyDescent="0.3">
      <c r="G5571" s="470"/>
      <c r="H5571" s="470">
        <v>5564</v>
      </c>
      <c r="I5571" s="455">
        <f t="shared" ca="1" si="190"/>
        <v>-4793933291569759</v>
      </c>
      <c r="J5571" s="455">
        <f t="array" ref="J5571">IFERROR(INDEX('Retirement Calculator'!K:K,MATCH('Lorri 401b'!N5571,'Retirement Calculator'!A:A,0),0),0)</f>
        <v>0</v>
      </c>
      <c r="K5571" s="455">
        <f t="shared" ca="1" si="188"/>
        <v>-19974722048207.328</v>
      </c>
      <c r="L5571" s="455">
        <f t="shared" ca="1" si="189"/>
        <v>-4813908013617966</v>
      </c>
      <c r="M5571" s="471">
        <f t="shared" si="191"/>
        <v>0.05</v>
      </c>
      <c r="N5571" s="475">
        <f t="shared" si="192"/>
        <v>220608</v>
      </c>
    </row>
    <row r="5572" spans="7:14" ht="11.25" customHeight="1" x14ac:dyDescent="0.3">
      <c r="G5572" s="470"/>
      <c r="H5572" s="470">
        <v>5565</v>
      </c>
      <c r="I5572" s="455">
        <f t="shared" ca="1" si="190"/>
        <v>-4813908013617966</v>
      </c>
      <c r="J5572" s="455">
        <f t="array" ref="J5572">IFERROR(INDEX('Retirement Calculator'!K:K,MATCH('Lorri 401b'!N5572,'Retirement Calculator'!A:A,0),0),0)</f>
        <v>0</v>
      </c>
      <c r="K5572" s="455">
        <f t="shared" ca="1" si="188"/>
        <v>-20057950056741.523</v>
      </c>
      <c r="L5572" s="455">
        <f t="shared" ca="1" si="189"/>
        <v>-4833965963674708</v>
      </c>
      <c r="M5572" s="471">
        <f t="shared" si="191"/>
        <v>0.05</v>
      </c>
      <c r="N5572" s="475">
        <f t="shared" si="192"/>
        <v>220639</v>
      </c>
    </row>
    <row r="5573" spans="7:14" ht="11.25" customHeight="1" x14ac:dyDescent="0.3">
      <c r="G5573" s="470"/>
      <c r="H5573" s="470">
        <v>5566</v>
      </c>
      <c r="I5573" s="455">
        <f t="shared" ca="1" si="190"/>
        <v>-4833965963674708</v>
      </c>
      <c r="J5573" s="455">
        <f t="array" ref="J5573">IFERROR(INDEX('Retirement Calculator'!K:K,MATCH('Lorri 401b'!N5573,'Retirement Calculator'!A:A,0),0),0)</f>
        <v>0</v>
      </c>
      <c r="K5573" s="455">
        <f t="shared" ca="1" si="188"/>
        <v>-20141524848644.617</v>
      </c>
      <c r="L5573" s="455">
        <f t="shared" ca="1" si="189"/>
        <v>-4854107488523353</v>
      </c>
      <c r="M5573" s="471">
        <f t="shared" si="191"/>
        <v>0.05</v>
      </c>
      <c r="N5573" s="475">
        <f t="shared" si="192"/>
        <v>220668</v>
      </c>
    </row>
    <row r="5574" spans="7:14" ht="11.25" customHeight="1" x14ac:dyDescent="0.3">
      <c r="G5574" s="470"/>
      <c r="H5574" s="470">
        <v>5567</v>
      </c>
      <c r="I5574" s="455">
        <f t="shared" ca="1" si="190"/>
        <v>-4854107488523353</v>
      </c>
      <c r="J5574" s="455">
        <f t="array" ref="J5574">IFERROR(INDEX('Retirement Calculator'!K:K,MATCH('Lorri 401b'!N5574,'Retirement Calculator'!A:A,0),0),0)</f>
        <v>0</v>
      </c>
      <c r="K5574" s="455">
        <f t="shared" ca="1" si="188"/>
        <v>-20225447868847.305</v>
      </c>
      <c r="L5574" s="455">
        <f t="shared" ca="1" si="189"/>
        <v>-4874332936392200</v>
      </c>
      <c r="M5574" s="471">
        <f t="shared" si="191"/>
        <v>0.05</v>
      </c>
      <c r="N5574" s="475">
        <f t="shared" si="192"/>
        <v>220699</v>
      </c>
    </row>
    <row r="5575" spans="7:14" ht="11.25" customHeight="1" x14ac:dyDescent="0.3">
      <c r="G5575" s="470"/>
      <c r="H5575" s="470">
        <v>5568</v>
      </c>
      <c r="I5575" s="455">
        <f t="shared" ca="1" si="190"/>
        <v>-4874332936392200</v>
      </c>
      <c r="J5575" s="455">
        <f t="array" ref="J5575">IFERROR(INDEX('Retirement Calculator'!K:K,MATCH('Lorri 401b'!N5575,'Retirement Calculator'!A:A,0),0),0)</f>
        <v>0</v>
      </c>
      <c r="K5575" s="455">
        <f t="shared" ca="1" si="188"/>
        <v>-20309720568300.832</v>
      </c>
      <c r="L5575" s="455">
        <f t="shared" ca="1" si="189"/>
        <v>-4894642656960501</v>
      </c>
      <c r="M5575" s="471">
        <f t="shared" si="191"/>
        <v>0.05</v>
      </c>
      <c r="N5575" s="475">
        <f t="shared" si="192"/>
        <v>220729</v>
      </c>
    </row>
    <row r="5576" spans="7:14" ht="11.25" customHeight="1" x14ac:dyDescent="0.3">
      <c r="G5576" s="470"/>
      <c r="H5576" s="470">
        <v>5569</v>
      </c>
      <c r="I5576" s="455">
        <f t="shared" ca="1" si="190"/>
        <v>-4894642656960501</v>
      </c>
      <c r="J5576" s="455">
        <f t="array" ref="J5576">IFERROR(INDEX('Retirement Calculator'!K:K,MATCH('Lorri 401b'!N5576,'Retirement Calculator'!A:A,0),0),0)</f>
        <v>0</v>
      </c>
      <c r="K5576" s="455">
        <f t="shared" ca="1" si="188"/>
        <v>-20394344404002.086</v>
      </c>
      <c r="L5576" s="455">
        <f t="shared" ca="1" si="189"/>
        <v>-4915037001364503</v>
      </c>
      <c r="M5576" s="471">
        <f t="shared" si="191"/>
        <v>0.05</v>
      </c>
      <c r="N5576" s="475">
        <f t="shared" si="192"/>
        <v>220760</v>
      </c>
    </row>
    <row r="5577" spans="7:14" ht="11.25" customHeight="1" x14ac:dyDescent="0.3">
      <c r="G5577" s="470"/>
      <c r="H5577" s="470">
        <v>5570</v>
      </c>
      <c r="I5577" s="455">
        <f t="shared" ca="1" si="190"/>
        <v>-4915037001364503</v>
      </c>
      <c r="J5577" s="455">
        <f t="array" ref="J5577">IFERROR(INDEX('Retirement Calculator'!K:K,MATCH('Lorri 401b'!N5577,'Retirement Calculator'!A:A,0),0),0)</f>
        <v>0</v>
      </c>
      <c r="K5577" s="455">
        <f t="shared" ca="1" si="188"/>
        <v>-20479320839018.762</v>
      </c>
      <c r="L5577" s="455">
        <f t="shared" ca="1" si="189"/>
        <v>-4935516322203522</v>
      </c>
      <c r="M5577" s="471">
        <f t="shared" si="191"/>
        <v>0.05</v>
      </c>
      <c r="N5577" s="475">
        <f t="shared" si="192"/>
        <v>220790</v>
      </c>
    </row>
    <row r="5578" spans="7:14" ht="11.25" customHeight="1" x14ac:dyDescent="0.3">
      <c r="G5578" s="470"/>
      <c r="H5578" s="470">
        <v>5571</v>
      </c>
      <c r="I5578" s="455">
        <f t="shared" ca="1" si="190"/>
        <v>-4935516322203522</v>
      </c>
      <c r="J5578" s="455">
        <f t="array" ref="J5578">IFERROR(INDEX('Retirement Calculator'!K:K,MATCH('Lorri 401b'!N5578,'Retirement Calculator'!A:A,0),0),0)</f>
        <v>0</v>
      </c>
      <c r="K5578" s="455">
        <f t="shared" ca="1" si="188"/>
        <v>-20564651342514.676</v>
      </c>
      <c r="L5578" s="455">
        <f t="shared" ca="1" si="189"/>
        <v>-4956080973546037</v>
      </c>
      <c r="M5578" s="471">
        <f t="shared" si="191"/>
        <v>0.05</v>
      </c>
      <c r="N5578" s="475">
        <f t="shared" si="192"/>
        <v>220821</v>
      </c>
    </row>
    <row r="5579" spans="7:14" ht="11.25" customHeight="1" x14ac:dyDescent="0.3">
      <c r="G5579" s="470"/>
      <c r="H5579" s="470">
        <v>5572</v>
      </c>
      <c r="I5579" s="455">
        <f t="shared" ca="1" si="190"/>
        <v>-4956080973546037</v>
      </c>
      <c r="J5579" s="455">
        <f t="array" ref="J5579">IFERROR(INDEX('Retirement Calculator'!K:K,MATCH('Lorri 401b'!N5579,'Retirement Calculator'!A:A,0),0),0)</f>
        <v>0</v>
      </c>
      <c r="K5579" s="455">
        <f t="shared" ca="1" si="188"/>
        <v>-20650337389775.152</v>
      </c>
      <c r="L5579" s="455">
        <f t="shared" ca="1" si="189"/>
        <v>-4976731310935812</v>
      </c>
      <c r="M5579" s="471">
        <f t="shared" si="191"/>
        <v>0.05</v>
      </c>
      <c r="N5579" s="475">
        <f t="shared" si="192"/>
        <v>220852</v>
      </c>
    </row>
    <row r="5580" spans="7:14" ht="11.25" customHeight="1" x14ac:dyDescent="0.3">
      <c r="G5580" s="470"/>
      <c r="H5580" s="470">
        <v>5573</v>
      </c>
      <c r="I5580" s="455">
        <f t="shared" ca="1" si="190"/>
        <v>-4976731310935812</v>
      </c>
      <c r="J5580" s="455">
        <f t="array" ref="J5580">IFERROR(INDEX('Retirement Calculator'!K:K,MATCH('Lorri 401b'!N5580,'Retirement Calculator'!A:A,0),0),0)</f>
        <v>0</v>
      </c>
      <c r="K5580" s="455">
        <f t="shared" ca="1" si="188"/>
        <v>-20736380462232.551</v>
      </c>
      <c r="L5580" s="455">
        <f t="shared" ca="1" si="189"/>
        <v>-4997467691398045</v>
      </c>
      <c r="M5580" s="471">
        <f t="shared" si="191"/>
        <v>0.05</v>
      </c>
      <c r="N5580" s="475">
        <f t="shared" si="192"/>
        <v>220882</v>
      </c>
    </row>
    <row r="5581" spans="7:14" ht="11.25" customHeight="1" x14ac:dyDescent="0.3">
      <c r="G5581" s="470"/>
      <c r="H5581" s="470">
        <v>5574</v>
      </c>
      <c r="I5581" s="455">
        <f t="shared" ca="1" si="190"/>
        <v>-4997467691398045</v>
      </c>
      <c r="J5581" s="455">
        <f t="array" ref="J5581">IFERROR(INDEX('Retirement Calculator'!K:K,MATCH('Lorri 401b'!N5581,'Retirement Calculator'!A:A,0),0),0)</f>
        <v>0</v>
      </c>
      <c r="K5581" s="455">
        <f t="shared" ca="1" si="188"/>
        <v>-20822782047491.855</v>
      </c>
      <c r="L5581" s="455">
        <f t="shared" ca="1" si="189"/>
        <v>-5018290473445537</v>
      </c>
      <c r="M5581" s="471">
        <f t="shared" si="191"/>
        <v>0.05</v>
      </c>
      <c r="N5581" s="475">
        <f t="shared" si="192"/>
        <v>220913</v>
      </c>
    </row>
    <row r="5582" spans="7:14" ht="11.25" customHeight="1" x14ac:dyDescent="0.3">
      <c r="G5582" s="470"/>
      <c r="H5582" s="470">
        <v>5575</v>
      </c>
      <c r="I5582" s="455">
        <f t="shared" ca="1" si="190"/>
        <v>-5018290473445537</v>
      </c>
      <c r="J5582" s="455">
        <f t="array" ref="J5582">IFERROR(INDEX('Retirement Calculator'!K:K,MATCH('Lorri 401b'!N5582,'Retirement Calculator'!A:A,0),0),0)</f>
        <v>0</v>
      </c>
      <c r="K5582" s="455">
        <f t="shared" ca="1" si="188"/>
        <v>-20909543639356.402</v>
      </c>
      <c r="L5582" s="455">
        <f t="shared" ca="1" si="189"/>
        <v>-5039200017084893</v>
      </c>
      <c r="M5582" s="471">
        <f t="shared" si="191"/>
        <v>0.05</v>
      </c>
      <c r="N5582" s="475">
        <f t="shared" si="192"/>
        <v>220943</v>
      </c>
    </row>
    <row r="5583" spans="7:14" ht="11.25" customHeight="1" x14ac:dyDescent="0.3">
      <c r="G5583" s="470"/>
      <c r="H5583" s="470">
        <v>5576</v>
      </c>
      <c r="I5583" s="455">
        <f t="shared" ca="1" si="190"/>
        <v>-5039200017084893</v>
      </c>
      <c r="J5583" s="455">
        <f t="array" ref="J5583">IFERROR(INDEX('Retirement Calculator'!K:K,MATCH('Lorri 401b'!N5583,'Retirement Calculator'!A:A,0),0),0)</f>
        <v>0</v>
      </c>
      <c r="K5583" s="455">
        <f t="shared" ca="1" si="188"/>
        <v>-20996666737853.719</v>
      </c>
      <c r="L5583" s="455">
        <f t="shared" ca="1" si="189"/>
        <v>-5060196683822747</v>
      </c>
      <c r="M5583" s="471">
        <f t="shared" si="191"/>
        <v>0.05</v>
      </c>
      <c r="N5583" s="475">
        <f t="shared" si="192"/>
        <v>220974</v>
      </c>
    </row>
    <row r="5584" spans="7:14" ht="11.25" customHeight="1" x14ac:dyDescent="0.3">
      <c r="G5584" s="470"/>
      <c r="H5584" s="470">
        <v>5577</v>
      </c>
      <c r="I5584" s="455">
        <f t="shared" ca="1" si="190"/>
        <v>-5060196683822747</v>
      </c>
      <c r="J5584" s="455">
        <f t="array" ref="J5584">IFERROR(INDEX('Retirement Calculator'!K:K,MATCH('Lorri 401b'!N5584,'Retirement Calculator'!A:A,0),0),0)</f>
        <v>0</v>
      </c>
      <c r="K5584" s="455">
        <f t="shared" ca="1" si="188"/>
        <v>-21084152849261.445</v>
      </c>
      <c r="L5584" s="455">
        <f t="shared" ca="1" si="189"/>
        <v>-5081280836672008</v>
      </c>
      <c r="M5584" s="471">
        <f t="shared" si="191"/>
        <v>0.05</v>
      </c>
      <c r="N5584" s="475">
        <f t="shared" si="192"/>
        <v>221005</v>
      </c>
    </row>
    <row r="5585" spans="7:14" ht="11.25" customHeight="1" x14ac:dyDescent="0.3">
      <c r="G5585" s="470"/>
      <c r="H5585" s="470">
        <v>5578</v>
      </c>
      <c r="I5585" s="455">
        <f t="shared" ca="1" si="190"/>
        <v>-5081280836672008</v>
      </c>
      <c r="J5585" s="455">
        <f t="array" ref="J5585">IFERROR(INDEX('Retirement Calculator'!K:K,MATCH('Lorri 401b'!N5585,'Retirement Calculator'!A:A,0),0),0)</f>
        <v>0</v>
      </c>
      <c r="K5585" s="455">
        <f t="shared" ca="1" si="188"/>
        <v>-21172003486133.367</v>
      </c>
      <c r="L5585" s="455">
        <f t="shared" ca="1" si="189"/>
        <v>-5102452840158141</v>
      </c>
      <c r="M5585" s="471">
        <f t="shared" si="191"/>
        <v>0.05</v>
      </c>
      <c r="N5585" s="475">
        <f t="shared" si="192"/>
        <v>221033</v>
      </c>
    </row>
    <row r="5586" spans="7:14" ht="11.25" customHeight="1" x14ac:dyDescent="0.3">
      <c r="G5586" s="470"/>
      <c r="H5586" s="470">
        <v>5579</v>
      </c>
      <c r="I5586" s="455">
        <f t="shared" ca="1" si="190"/>
        <v>-5102452840158141</v>
      </c>
      <c r="J5586" s="455">
        <f t="array" ref="J5586">IFERROR(INDEX('Retirement Calculator'!K:K,MATCH('Lorri 401b'!N5586,'Retirement Calculator'!A:A,0),0),0)</f>
        <v>0</v>
      </c>
      <c r="K5586" s="455">
        <f t="shared" ca="1" si="188"/>
        <v>-21260220167325.586</v>
      </c>
      <c r="L5586" s="455">
        <f t="shared" ca="1" si="189"/>
        <v>-5123713060325467</v>
      </c>
      <c r="M5586" s="471">
        <f t="shared" si="191"/>
        <v>0.05</v>
      </c>
      <c r="N5586" s="475">
        <f t="shared" si="192"/>
        <v>221064</v>
      </c>
    </row>
    <row r="5587" spans="7:14" ht="11.25" customHeight="1" x14ac:dyDescent="0.3">
      <c r="G5587" s="470"/>
      <c r="H5587" s="470">
        <v>5580</v>
      </c>
      <c r="I5587" s="455">
        <f t="shared" ca="1" si="190"/>
        <v>-5123713060325467</v>
      </c>
      <c r="J5587" s="455">
        <f t="array" ref="J5587">IFERROR(INDEX('Retirement Calculator'!K:K,MATCH('Lorri 401b'!N5587,'Retirement Calculator'!A:A,0),0),0)</f>
        <v>0</v>
      </c>
      <c r="K5587" s="455">
        <f t="shared" ca="1" si="188"/>
        <v>-21348804418022.777</v>
      </c>
      <c r="L5587" s="455">
        <f t="shared" ca="1" si="189"/>
        <v>-5145061864743490</v>
      </c>
      <c r="M5587" s="471">
        <f t="shared" si="191"/>
        <v>0.05</v>
      </c>
      <c r="N5587" s="475">
        <f t="shared" si="192"/>
        <v>221094</v>
      </c>
    </row>
    <row r="5588" spans="7:14" ht="11.25" customHeight="1" x14ac:dyDescent="0.3">
      <c r="G5588" s="470"/>
      <c r="H5588" s="470">
        <v>5581</v>
      </c>
      <c r="I5588" s="455">
        <f t="shared" ca="1" si="190"/>
        <v>-5145061864743490</v>
      </c>
      <c r="J5588" s="455">
        <f t="array" ref="J5588">IFERROR(INDEX('Retirement Calculator'!K:K,MATCH('Lorri 401b'!N5588,'Retirement Calculator'!A:A,0),0),0)</f>
        <v>0</v>
      </c>
      <c r="K5588" s="455">
        <f t="shared" ca="1" si="188"/>
        <v>-21437757769764.543</v>
      </c>
      <c r="L5588" s="455">
        <f t="shared" ca="1" si="189"/>
        <v>-5166499622513255</v>
      </c>
      <c r="M5588" s="471">
        <f t="shared" si="191"/>
        <v>0.05</v>
      </c>
      <c r="N5588" s="475">
        <f t="shared" si="192"/>
        <v>221125</v>
      </c>
    </row>
    <row r="5589" spans="7:14" ht="11.25" customHeight="1" x14ac:dyDescent="0.3">
      <c r="G5589" s="470"/>
      <c r="H5589" s="470">
        <v>5582</v>
      </c>
      <c r="I5589" s="455">
        <f t="shared" ca="1" si="190"/>
        <v>-5166499622513255</v>
      </c>
      <c r="J5589" s="455">
        <f t="array" ref="J5589">IFERROR(INDEX('Retirement Calculator'!K:K,MATCH('Lorri 401b'!N5589,'Retirement Calculator'!A:A,0),0),0)</f>
        <v>0</v>
      </c>
      <c r="K5589" s="455">
        <f t="shared" ca="1" si="188"/>
        <v>-21527081760471.895</v>
      </c>
      <c r="L5589" s="455">
        <f t="shared" ca="1" si="189"/>
        <v>-5188026704273727</v>
      </c>
      <c r="M5589" s="471">
        <f t="shared" si="191"/>
        <v>0.05</v>
      </c>
      <c r="N5589" s="475">
        <f t="shared" si="192"/>
        <v>221155</v>
      </c>
    </row>
    <row r="5590" spans="7:14" ht="11.25" customHeight="1" x14ac:dyDescent="0.3">
      <c r="G5590" s="470"/>
      <c r="H5590" s="470">
        <v>5583</v>
      </c>
      <c r="I5590" s="455">
        <f t="shared" ca="1" si="190"/>
        <v>-5188026704273727</v>
      </c>
      <c r="J5590" s="455">
        <f t="array" ref="J5590">IFERROR(INDEX('Retirement Calculator'!K:K,MATCH('Lorri 401b'!N5590,'Retirement Calculator'!A:A,0),0),0)</f>
        <v>0</v>
      </c>
      <c r="K5590" s="455">
        <f t="shared" ca="1" si="188"/>
        <v>-21616777934473.863</v>
      </c>
      <c r="L5590" s="455">
        <f t="shared" ca="1" si="189"/>
        <v>-5209643482208201</v>
      </c>
      <c r="M5590" s="471">
        <f t="shared" si="191"/>
        <v>0.05</v>
      </c>
      <c r="N5590" s="475">
        <f t="shared" si="192"/>
        <v>221186</v>
      </c>
    </row>
    <row r="5591" spans="7:14" ht="11.25" customHeight="1" x14ac:dyDescent="0.3">
      <c r="G5591" s="470"/>
      <c r="H5591" s="470">
        <v>5584</v>
      </c>
      <c r="I5591" s="455">
        <f t="shared" ca="1" si="190"/>
        <v>-5209643482208201</v>
      </c>
      <c r="J5591" s="455">
        <f t="array" ref="J5591">IFERROR(INDEX('Retirement Calculator'!K:K,MATCH('Lorri 401b'!N5591,'Retirement Calculator'!A:A,0),0),0)</f>
        <v>0</v>
      </c>
      <c r="K5591" s="455">
        <f t="shared" ca="1" si="188"/>
        <v>-21706847842534.172</v>
      </c>
      <c r="L5591" s="455">
        <f t="shared" ca="1" si="189"/>
        <v>-5231350330050735</v>
      </c>
      <c r="M5591" s="471">
        <f t="shared" si="191"/>
        <v>0.05</v>
      </c>
      <c r="N5591" s="475">
        <f t="shared" si="192"/>
        <v>221217</v>
      </c>
    </row>
    <row r="5592" spans="7:14" ht="11.25" customHeight="1" x14ac:dyDescent="0.3">
      <c r="G5592" s="470"/>
      <c r="H5592" s="470">
        <v>5585</v>
      </c>
      <c r="I5592" s="455">
        <f t="shared" ca="1" si="190"/>
        <v>-5231350330050735</v>
      </c>
      <c r="J5592" s="455">
        <f t="array" ref="J5592">IFERROR(INDEX('Retirement Calculator'!K:K,MATCH('Lorri 401b'!N5592,'Retirement Calculator'!A:A,0),0),0)</f>
        <v>0</v>
      </c>
      <c r="K5592" s="455">
        <f t="shared" ca="1" si="188"/>
        <v>-21797293041878.063</v>
      </c>
      <c r="L5592" s="455">
        <f t="shared" ca="1" si="189"/>
        <v>-5253147623092613</v>
      </c>
      <c r="M5592" s="471">
        <f t="shared" si="191"/>
        <v>0.05</v>
      </c>
      <c r="N5592" s="475">
        <f t="shared" si="192"/>
        <v>221247</v>
      </c>
    </row>
    <row r="5593" spans="7:14" ht="11.25" customHeight="1" x14ac:dyDescent="0.3">
      <c r="G5593" s="470"/>
      <c r="H5593" s="470">
        <v>5586</v>
      </c>
      <c r="I5593" s="455">
        <f t="shared" ca="1" si="190"/>
        <v>-5253147623092613</v>
      </c>
      <c r="J5593" s="455">
        <f t="array" ref="J5593">IFERROR(INDEX('Retirement Calculator'!K:K,MATCH('Lorri 401b'!N5593,'Retirement Calculator'!A:A,0),0),0)</f>
        <v>0</v>
      </c>
      <c r="K5593" s="455">
        <f t="shared" ca="1" si="188"/>
        <v>-21888115096219.219</v>
      </c>
      <c r="L5593" s="455">
        <f t="shared" ca="1" si="189"/>
        <v>-5275035738188832</v>
      </c>
      <c r="M5593" s="471">
        <f t="shared" si="191"/>
        <v>0.05</v>
      </c>
      <c r="N5593" s="475">
        <f t="shared" si="192"/>
        <v>221278</v>
      </c>
    </row>
    <row r="5594" spans="7:14" ht="11.25" customHeight="1" x14ac:dyDescent="0.3">
      <c r="G5594" s="470"/>
      <c r="H5594" s="470">
        <v>5587</v>
      </c>
      <c r="I5594" s="455">
        <f t="shared" ca="1" si="190"/>
        <v>-5275035738188832</v>
      </c>
      <c r="J5594" s="455">
        <f t="array" ref="J5594">IFERROR(INDEX('Retirement Calculator'!K:K,MATCH('Lorri 401b'!N5594,'Retirement Calculator'!A:A,0),0),0)</f>
        <v>0</v>
      </c>
      <c r="K5594" s="455">
        <f t="shared" ca="1" si="188"/>
        <v>-21979315575786.801</v>
      </c>
      <c r="L5594" s="455">
        <f t="shared" ca="1" si="189"/>
        <v>-5297015053764619</v>
      </c>
      <c r="M5594" s="471">
        <f t="shared" si="191"/>
        <v>0.05</v>
      </c>
      <c r="N5594" s="475">
        <f t="shared" si="192"/>
        <v>221308</v>
      </c>
    </row>
    <row r="5595" spans="7:14" ht="11.25" customHeight="1" x14ac:dyDescent="0.3">
      <c r="G5595" s="470"/>
      <c r="H5595" s="470">
        <v>5588</v>
      </c>
      <c r="I5595" s="455">
        <f t="shared" ca="1" si="190"/>
        <v>-5297015053764619</v>
      </c>
      <c r="J5595" s="455">
        <f t="array" ref="J5595">IFERROR(INDEX('Retirement Calculator'!K:K,MATCH('Lorri 401b'!N5595,'Retirement Calculator'!A:A,0),0),0)</f>
        <v>0</v>
      </c>
      <c r="K5595" s="455">
        <f t="shared" ca="1" si="188"/>
        <v>-22070896057352.578</v>
      </c>
      <c r="L5595" s="455">
        <f t="shared" ca="1" si="189"/>
        <v>-5319085949821972</v>
      </c>
      <c r="M5595" s="471">
        <f t="shared" si="191"/>
        <v>0.05</v>
      </c>
      <c r="N5595" s="475">
        <f t="shared" si="192"/>
        <v>221339</v>
      </c>
    </row>
    <row r="5596" spans="7:14" ht="11.25" customHeight="1" x14ac:dyDescent="0.3">
      <c r="G5596" s="470"/>
      <c r="H5596" s="470">
        <v>5589</v>
      </c>
      <c r="I5596" s="455">
        <f t="shared" ca="1" si="190"/>
        <v>-5319085949821972</v>
      </c>
      <c r="J5596" s="455">
        <f t="array" ref="J5596">IFERROR(INDEX('Retirement Calculator'!K:K,MATCH('Lorri 401b'!N5596,'Retirement Calculator'!A:A,0),0),0)</f>
        <v>0</v>
      </c>
      <c r="K5596" s="455">
        <f t="shared" ca="1" si="188"/>
        <v>-22162858124258.215</v>
      </c>
      <c r="L5596" s="455">
        <f t="shared" ca="1" si="189"/>
        <v>-5341248807946230</v>
      </c>
      <c r="M5596" s="471">
        <f t="shared" si="191"/>
        <v>0.05</v>
      </c>
      <c r="N5596" s="475">
        <f t="shared" si="192"/>
        <v>221370</v>
      </c>
    </row>
    <row r="5597" spans="7:14" ht="11.25" customHeight="1" x14ac:dyDescent="0.3">
      <c r="G5597" s="470"/>
      <c r="H5597" s="470">
        <v>5590</v>
      </c>
      <c r="I5597" s="455">
        <f t="shared" ca="1" si="190"/>
        <v>-5341248807946230</v>
      </c>
      <c r="J5597" s="455">
        <f t="array" ref="J5597">IFERROR(INDEX('Retirement Calculator'!K:K,MATCH('Lorri 401b'!N5597,'Retirement Calculator'!A:A,0),0),0)</f>
        <v>0</v>
      </c>
      <c r="K5597" s="455">
        <f t="shared" ca="1" si="188"/>
        <v>-22255203366442.625</v>
      </c>
      <c r="L5597" s="455">
        <f t="shared" ca="1" si="189"/>
        <v>-5363504011312673</v>
      </c>
      <c r="M5597" s="471">
        <f t="shared" si="191"/>
        <v>0.05</v>
      </c>
      <c r="N5597" s="475">
        <f t="shared" si="192"/>
        <v>221398</v>
      </c>
    </row>
    <row r="5598" spans="7:14" ht="11.25" customHeight="1" x14ac:dyDescent="0.3">
      <c r="G5598" s="470"/>
      <c r="H5598" s="470">
        <v>5591</v>
      </c>
      <c r="I5598" s="455">
        <f t="shared" ca="1" si="190"/>
        <v>-5363504011312673</v>
      </c>
      <c r="J5598" s="455">
        <f t="array" ref="J5598">IFERROR(INDEX('Retirement Calculator'!K:K,MATCH('Lorri 401b'!N5598,'Retirement Calculator'!A:A,0),0),0)</f>
        <v>0</v>
      </c>
      <c r="K5598" s="455">
        <f t="shared" ca="1" si="188"/>
        <v>-22347933380469.469</v>
      </c>
      <c r="L5598" s="455">
        <f t="shared" ca="1" si="189"/>
        <v>-5385851944693142</v>
      </c>
      <c r="M5598" s="471">
        <f t="shared" si="191"/>
        <v>0.05</v>
      </c>
      <c r="N5598" s="475">
        <f t="shared" si="192"/>
        <v>221429</v>
      </c>
    </row>
    <row r="5599" spans="7:14" ht="11.25" customHeight="1" x14ac:dyDescent="0.3">
      <c r="G5599" s="470"/>
      <c r="H5599" s="470">
        <v>5592</v>
      </c>
      <c r="I5599" s="455">
        <f t="shared" ca="1" si="190"/>
        <v>-5385851944693142</v>
      </c>
      <c r="J5599" s="455">
        <f t="array" ref="J5599">IFERROR(INDEX('Retirement Calculator'!K:K,MATCH('Lorri 401b'!N5599,'Retirement Calculator'!A:A,0),0),0)</f>
        <v>0</v>
      </c>
      <c r="K5599" s="455">
        <f t="shared" ca="1" si="188"/>
        <v>-22441049769554.758</v>
      </c>
      <c r="L5599" s="455">
        <f t="shared" ca="1" si="189"/>
        <v>-5408292994462697</v>
      </c>
      <c r="M5599" s="471">
        <f t="shared" si="191"/>
        <v>0.05</v>
      </c>
      <c r="N5599" s="475">
        <f t="shared" si="192"/>
        <v>221459</v>
      </c>
    </row>
    <row r="5600" spans="7:14" ht="11.25" customHeight="1" x14ac:dyDescent="0.3">
      <c r="G5600" s="470"/>
      <c r="H5600" s="470">
        <v>5593</v>
      </c>
      <c r="I5600" s="455">
        <f t="shared" ca="1" si="190"/>
        <v>-5408292994462697</v>
      </c>
      <c r="J5600" s="455">
        <f t="array" ref="J5600">IFERROR(INDEX('Retirement Calculator'!K:K,MATCH('Lorri 401b'!N5600,'Retirement Calculator'!A:A,0),0),0)</f>
        <v>0</v>
      </c>
      <c r="K5600" s="455">
        <f t="shared" ca="1" si="188"/>
        <v>-22534554143594.57</v>
      </c>
      <c r="L5600" s="455">
        <f t="shared" ca="1" si="189"/>
        <v>-5430827548606292</v>
      </c>
      <c r="M5600" s="471">
        <f t="shared" si="191"/>
        <v>0.05</v>
      </c>
      <c r="N5600" s="475">
        <f t="shared" si="192"/>
        <v>221490</v>
      </c>
    </row>
    <row r="5601" spans="7:14" ht="11.25" customHeight="1" x14ac:dyDescent="0.3">
      <c r="G5601" s="470"/>
      <c r="H5601" s="470">
        <v>5594</v>
      </c>
      <c r="I5601" s="455">
        <f t="shared" ca="1" si="190"/>
        <v>-5430827548606292</v>
      </c>
      <c r="J5601" s="455">
        <f t="array" ref="J5601">IFERROR(INDEX('Retirement Calculator'!K:K,MATCH('Lorri 401b'!N5601,'Retirement Calculator'!A:A,0),0),0)</f>
        <v>0</v>
      </c>
      <c r="K5601" s="455">
        <f t="shared" ca="1" si="188"/>
        <v>-22628448119192.883</v>
      </c>
      <c r="L5601" s="455">
        <f t="shared" ca="1" si="189"/>
        <v>-5453455996725485</v>
      </c>
      <c r="M5601" s="471">
        <f t="shared" si="191"/>
        <v>0.05</v>
      </c>
      <c r="N5601" s="475">
        <f t="shared" si="192"/>
        <v>221520</v>
      </c>
    </row>
    <row r="5602" spans="7:14" ht="11.25" customHeight="1" x14ac:dyDescent="0.3">
      <c r="G5602" s="470"/>
      <c r="H5602" s="470">
        <v>5595</v>
      </c>
      <c r="I5602" s="455">
        <f t="shared" ca="1" si="190"/>
        <v>-5453455996725485</v>
      </c>
      <c r="J5602" s="455">
        <f t="array" ref="J5602">IFERROR(INDEX('Retirement Calculator'!K:K,MATCH('Lorri 401b'!N5602,'Retirement Calculator'!A:A,0),0),0)</f>
        <v>0</v>
      </c>
      <c r="K5602" s="455">
        <f t="shared" ca="1" si="188"/>
        <v>-22722733319689.52</v>
      </c>
      <c r="L5602" s="455">
        <f t="shared" ca="1" si="189"/>
        <v>-5476178730045175</v>
      </c>
      <c r="M5602" s="471">
        <f t="shared" si="191"/>
        <v>0.05</v>
      </c>
      <c r="N5602" s="475">
        <f t="shared" si="192"/>
        <v>221551</v>
      </c>
    </row>
    <row r="5603" spans="7:14" ht="11.25" customHeight="1" x14ac:dyDescent="0.3">
      <c r="G5603" s="470"/>
      <c r="H5603" s="470">
        <v>5596</v>
      </c>
      <c r="I5603" s="455">
        <f t="shared" ca="1" si="190"/>
        <v>-5476178730045175</v>
      </c>
      <c r="J5603" s="455">
        <f t="array" ref="J5603">IFERROR(INDEX('Retirement Calculator'!K:K,MATCH('Lorri 401b'!N5603,'Retirement Calculator'!A:A,0),0),0)</f>
        <v>0</v>
      </c>
      <c r="K5603" s="455">
        <f t="shared" ca="1" si="188"/>
        <v>-22817411375188.23</v>
      </c>
      <c r="L5603" s="455">
        <f t="shared" ca="1" si="189"/>
        <v>-5498996141420363</v>
      </c>
      <c r="M5603" s="471">
        <f t="shared" si="191"/>
        <v>0.05</v>
      </c>
      <c r="N5603" s="475">
        <f t="shared" si="192"/>
        <v>221582</v>
      </c>
    </row>
    <row r="5604" spans="7:14" ht="11.25" customHeight="1" x14ac:dyDescent="0.3">
      <c r="G5604" s="470"/>
      <c r="H5604" s="470">
        <v>5597</v>
      </c>
      <c r="I5604" s="455">
        <f t="shared" ca="1" si="190"/>
        <v>-5498996141420363</v>
      </c>
      <c r="J5604" s="455">
        <f t="array" ref="J5604">IFERROR(INDEX('Retirement Calculator'!K:K,MATCH('Lorri 401b'!N5604,'Retirement Calculator'!A:A,0),0),0)</f>
        <v>0</v>
      </c>
      <c r="K5604" s="455">
        <f t="shared" ca="1" si="188"/>
        <v>-22912483922584.844</v>
      </c>
      <c r="L5604" s="455">
        <f t="shared" ca="1" si="189"/>
        <v>-5521908625342948</v>
      </c>
      <c r="M5604" s="471">
        <f t="shared" si="191"/>
        <v>0.05</v>
      </c>
      <c r="N5604" s="475">
        <f t="shared" si="192"/>
        <v>221612</v>
      </c>
    </row>
    <row r="5605" spans="7:14" ht="11.25" customHeight="1" x14ac:dyDescent="0.3">
      <c r="G5605" s="470"/>
      <c r="H5605" s="470">
        <v>5598</v>
      </c>
      <c r="I5605" s="455">
        <f t="shared" ca="1" si="190"/>
        <v>-5521908625342948</v>
      </c>
      <c r="J5605" s="455">
        <f t="array" ref="J5605">IFERROR(INDEX('Retirement Calculator'!K:K,MATCH('Lorri 401b'!N5605,'Retirement Calculator'!A:A,0),0),0)</f>
        <v>0</v>
      </c>
      <c r="K5605" s="455">
        <f t="shared" ca="1" si="188"/>
        <v>-23007952605595.617</v>
      </c>
      <c r="L5605" s="455">
        <f t="shared" ca="1" si="189"/>
        <v>-5544916577948544</v>
      </c>
      <c r="M5605" s="471">
        <f t="shared" si="191"/>
        <v>0.05</v>
      </c>
      <c r="N5605" s="475">
        <f t="shared" si="192"/>
        <v>221643</v>
      </c>
    </row>
    <row r="5606" spans="7:14" ht="11.25" customHeight="1" x14ac:dyDescent="0.3">
      <c r="G5606" s="470"/>
      <c r="H5606" s="470">
        <v>5599</v>
      </c>
      <c r="I5606" s="455">
        <f t="shared" ca="1" si="190"/>
        <v>-5544916577948544</v>
      </c>
      <c r="J5606" s="455">
        <f t="array" ref="J5606">IFERROR(INDEX('Retirement Calculator'!K:K,MATCH('Lorri 401b'!N5606,'Retirement Calculator'!A:A,0),0),0)</f>
        <v>0</v>
      </c>
      <c r="K5606" s="455">
        <f t="shared" ca="1" si="188"/>
        <v>-23103819074785.602</v>
      </c>
      <c r="L5606" s="455">
        <f t="shared" ca="1" si="189"/>
        <v>-5568020397023330</v>
      </c>
      <c r="M5606" s="471">
        <f t="shared" si="191"/>
        <v>0.05</v>
      </c>
      <c r="N5606" s="475">
        <f t="shared" si="192"/>
        <v>221673</v>
      </c>
    </row>
    <row r="5607" spans="7:14" ht="11.25" customHeight="1" x14ac:dyDescent="0.3">
      <c r="G5607" s="470"/>
      <c r="H5607" s="470">
        <v>5600</v>
      </c>
      <c r="I5607" s="455">
        <f t="shared" ca="1" si="190"/>
        <v>-5568020397023330</v>
      </c>
      <c r="J5607" s="455">
        <f t="array" ref="J5607">IFERROR(INDEX('Retirement Calculator'!K:K,MATCH('Lorri 401b'!N5607,'Retirement Calculator'!A:A,0),0),0)</f>
        <v>0</v>
      </c>
      <c r="K5607" s="455">
        <f t="shared" ca="1" si="188"/>
        <v>-23200084987597.207</v>
      </c>
      <c r="L5607" s="455">
        <f t="shared" ca="1" si="189"/>
        <v>-5591220482010927</v>
      </c>
      <c r="M5607" s="471">
        <f t="shared" si="191"/>
        <v>0.05</v>
      </c>
      <c r="N5607" s="475">
        <f t="shared" si="192"/>
        <v>221704</v>
      </c>
    </row>
    <row r="5608" spans="7:14" ht="11.25" customHeight="1" x14ac:dyDescent="0.3">
      <c r="G5608" s="470"/>
      <c r="H5608" s="470">
        <v>5601</v>
      </c>
      <c r="I5608" s="455">
        <f t="shared" ca="1" si="190"/>
        <v>-5591220482010927</v>
      </c>
      <c r="J5608" s="455">
        <f t="array" ref="J5608">IFERROR(INDEX('Retirement Calculator'!K:K,MATCH('Lorri 401b'!N5608,'Retirement Calculator'!A:A,0),0),0)</f>
        <v>0</v>
      </c>
      <c r="K5608" s="455">
        <f t="shared" ca="1" si="188"/>
        <v>-23296752008378.863</v>
      </c>
      <c r="L5608" s="455">
        <f t="shared" ca="1" si="189"/>
        <v>-5614517234019306</v>
      </c>
      <c r="M5608" s="471">
        <f t="shared" si="191"/>
        <v>0.05</v>
      </c>
      <c r="N5608" s="475">
        <f t="shared" si="192"/>
        <v>221735</v>
      </c>
    </row>
    <row r="5609" spans="7:14" ht="11.25" customHeight="1" x14ac:dyDescent="0.3">
      <c r="G5609" s="470"/>
      <c r="H5609" s="470">
        <v>5602</v>
      </c>
      <c r="I5609" s="455">
        <f t="shared" ca="1" si="190"/>
        <v>-5614517234019306</v>
      </c>
      <c r="J5609" s="455">
        <f t="array" ref="J5609">IFERROR(INDEX('Retirement Calculator'!K:K,MATCH('Lorri 401b'!N5609,'Retirement Calculator'!A:A,0),0),0)</f>
        <v>0</v>
      </c>
      <c r="K5609" s="455">
        <f t="shared" ca="1" si="188"/>
        <v>-23393821808413.773</v>
      </c>
      <c r="L5609" s="455">
        <f t="shared" ca="1" si="189"/>
        <v>-5637911055827720</v>
      </c>
      <c r="M5609" s="471">
        <f t="shared" si="191"/>
        <v>0.05</v>
      </c>
      <c r="N5609" s="475">
        <f t="shared" si="192"/>
        <v>221763</v>
      </c>
    </row>
    <row r="5610" spans="7:14" ht="11.25" customHeight="1" x14ac:dyDescent="0.3">
      <c r="G5610" s="470"/>
      <c r="H5610" s="470">
        <v>5603</v>
      </c>
      <c r="I5610" s="455">
        <f t="shared" ca="1" si="190"/>
        <v>-5637911055827720</v>
      </c>
      <c r="J5610" s="455">
        <f t="array" ref="J5610">IFERROR(INDEX('Retirement Calculator'!K:K,MATCH('Lorri 401b'!N5610,'Retirement Calculator'!A:A,0),0),0)</f>
        <v>0</v>
      </c>
      <c r="K5610" s="455">
        <f t="shared" ca="1" si="188"/>
        <v>-23491296065948.832</v>
      </c>
      <c r="L5610" s="455">
        <f t="shared" ca="1" si="189"/>
        <v>-5661402351893669</v>
      </c>
      <c r="M5610" s="471">
        <f t="shared" si="191"/>
        <v>0.05</v>
      </c>
      <c r="N5610" s="475">
        <f t="shared" si="192"/>
        <v>221794</v>
      </c>
    </row>
    <row r="5611" spans="7:14" ht="11.25" customHeight="1" x14ac:dyDescent="0.3">
      <c r="G5611" s="470"/>
      <c r="H5611" s="470">
        <v>5604</v>
      </c>
      <c r="I5611" s="455">
        <f t="shared" ca="1" si="190"/>
        <v>-5661402351893669</v>
      </c>
      <c r="J5611" s="455">
        <f t="array" ref="J5611">IFERROR(INDEX('Retirement Calculator'!K:K,MATCH('Lorri 401b'!N5611,'Retirement Calculator'!A:A,0),0),0)</f>
        <v>0</v>
      </c>
      <c r="K5611" s="455">
        <f t="shared" ca="1" si="188"/>
        <v>-23589176466223.621</v>
      </c>
      <c r="L5611" s="455">
        <f t="shared" ca="1" si="189"/>
        <v>-5684991528359893</v>
      </c>
      <c r="M5611" s="471">
        <f t="shared" si="191"/>
        <v>0.05</v>
      </c>
      <c r="N5611" s="475">
        <f t="shared" si="192"/>
        <v>221824</v>
      </c>
    </row>
    <row r="5612" spans="7:14" ht="11.25" customHeight="1" x14ac:dyDescent="0.3">
      <c r="G5612" s="470"/>
      <c r="H5612" s="470">
        <v>5605</v>
      </c>
      <c r="I5612" s="455">
        <f t="shared" ca="1" si="190"/>
        <v>-5684991528359893</v>
      </c>
      <c r="J5612" s="455">
        <f t="array" ref="J5612">IFERROR(INDEX('Retirement Calculator'!K:K,MATCH('Lorri 401b'!N5612,'Retirement Calculator'!A:A,0),0),0)</f>
        <v>0</v>
      </c>
      <c r="K5612" s="455">
        <f t="shared" ca="1" si="188"/>
        <v>-23687464701499.555</v>
      </c>
      <c r="L5612" s="455">
        <f t="shared" ca="1" si="189"/>
        <v>-5708678993061393</v>
      </c>
      <c r="M5612" s="471">
        <f t="shared" si="191"/>
        <v>0.05</v>
      </c>
      <c r="N5612" s="475">
        <f t="shared" si="192"/>
        <v>221855</v>
      </c>
    </row>
    <row r="5613" spans="7:14" ht="11.25" customHeight="1" x14ac:dyDescent="0.3">
      <c r="G5613" s="470"/>
      <c r="H5613" s="470">
        <v>5606</v>
      </c>
      <c r="I5613" s="455">
        <f t="shared" ca="1" si="190"/>
        <v>-5708678993061393</v>
      </c>
      <c r="J5613" s="455">
        <f t="array" ref="J5613">IFERROR(INDEX('Retirement Calculator'!K:K,MATCH('Lorri 401b'!N5613,'Retirement Calculator'!A:A,0),0),0)</f>
        <v>0</v>
      </c>
      <c r="K5613" s="455">
        <f t="shared" ca="1" si="188"/>
        <v>-23786162471089.137</v>
      </c>
      <c r="L5613" s="455">
        <f t="shared" ca="1" si="189"/>
        <v>-5732465155532482</v>
      </c>
      <c r="M5613" s="471">
        <f t="shared" si="191"/>
        <v>0.05</v>
      </c>
      <c r="N5613" s="475">
        <f t="shared" si="192"/>
        <v>221885</v>
      </c>
    </row>
    <row r="5614" spans="7:14" ht="11.25" customHeight="1" x14ac:dyDescent="0.3">
      <c r="G5614" s="470"/>
      <c r="H5614" s="470">
        <v>5607</v>
      </c>
      <c r="I5614" s="455">
        <f t="shared" ca="1" si="190"/>
        <v>-5732465155532482</v>
      </c>
      <c r="J5614" s="455">
        <f t="array" ref="J5614">IFERROR(INDEX('Retirement Calculator'!K:K,MATCH('Lorri 401b'!N5614,'Retirement Calculator'!A:A,0),0),0)</f>
        <v>0</v>
      </c>
      <c r="K5614" s="455">
        <f t="shared" ca="1" si="188"/>
        <v>-23885271481385.34</v>
      </c>
      <c r="L5614" s="455">
        <f t="shared" ca="1" si="189"/>
        <v>-5756350427013867</v>
      </c>
      <c r="M5614" s="471">
        <f t="shared" si="191"/>
        <v>0.05</v>
      </c>
      <c r="N5614" s="475">
        <f t="shared" si="192"/>
        <v>221916</v>
      </c>
    </row>
    <row r="5615" spans="7:14" ht="11.25" customHeight="1" x14ac:dyDescent="0.3">
      <c r="G5615" s="470"/>
      <c r="H5615" s="470">
        <v>5608</v>
      </c>
      <c r="I5615" s="455">
        <f t="shared" ca="1" si="190"/>
        <v>-5756350427013867</v>
      </c>
      <c r="J5615" s="455">
        <f t="array" ref="J5615">IFERROR(INDEX('Retirement Calculator'!K:K,MATCH('Lorri 401b'!N5615,'Retirement Calculator'!A:A,0),0),0)</f>
        <v>0</v>
      </c>
      <c r="K5615" s="455">
        <f t="shared" ca="1" si="188"/>
        <v>-23984793445891.113</v>
      </c>
      <c r="L5615" s="455">
        <f t="shared" ca="1" si="189"/>
        <v>-5780335220459758</v>
      </c>
      <c r="M5615" s="471">
        <f t="shared" si="191"/>
        <v>0.05</v>
      </c>
      <c r="N5615" s="475">
        <f t="shared" si="192"/>
        <v>221947</v>
      </c>
    </row>
    <row r="5616" spans="7:14" ht="11.25" customHeight="1" x14ac:dyDescent="0.3">
      <c r="G5616" s="470"/>
      <c r="H5616" s="470">
        <v>5609</v>
      </c>
      <c r="I5616" s="455">
        <f t="shared" ca="1" si="190"/>
        <v>-5780335220459758</v>
      </c>
      <c r="J5616" s="455">
        <f t="array" ref="J5616">IFERROR(INDEX('Retirement Calculator'!K:K,MATCH('Lorri 401b'!N5616,'Retirement Calculator'!A:A,0),0),0)</f>
        <v>0</v>
      </c>
      <c r="K5616" s="455">
        <f t="shared" ca="1" si="188"/>
        <v>-24084730085248.992</v>
      </c>
      <c r="L5616" s="455">
        <f t="shared" ca="1" si="189"/>
        <v>-5804419950545007</v>
      </c>
      <c r="M5616" s="471">
        <f t="shared" si="191"/>
        <v>0.05</v>
      </c>
      <c r="N5616" s="475">
        <f t="shared" si="192"/>
        <v>221977</v>
      </c>
    </row>
    <row r="5617" spans="7:14" ht="11.25" customHeight="1" x14ac:dyDescent="0.3">
      <c r="G5617" s="470"/>
      <c r="H5617" s="470">
        <v>5610</v>
      </c>
      <c r="I5617" s="455">
        <f t="shared" ca="1" si="190"/>
        <v>-5804419950545007</v>
      </c>
      <c r="J5617" s="455">
        <f t="array" ref="J5617">IFERROR(INDEX('Retirement Calculator'!K:K,MATCH('Lorri 401b'!N5617,'Retirement Calculator'!A:A,0),0),0)</f>
        <v>0</v>
      </c>
      <c r="K5617" s="455">
        <f t="shared" ca="1" si="188"/>
        <v>-24185083127270.863</v>
      </c>
      <c r="L5617" s="455">
        <f t="shared" ca="1" si="189"/>
        <v>-5828605033672278</v>
      </c>
      <c r="M5617" s="471">
        <f t="shared" si="191"/>
        <v>0.05</v>
      </c>
      <c r="N5617" s="475">
        <f t="shared" si="192"/>
        <v>222008</v>
      </c>
    </row>
    <row r="5618" spans="7:14" ht="11.25" customHeight="1" x14ac:dyDescent="0.3">
      <c r="G5618" s="470"/>
      <c r="H5618" s="470">
        <v>5611</v>
      </c>
      <c r="I5618" s="455">
        <f t="shared" ca="1" si="190"/>
        <v>-5828605033672278</v>
      </c>
      <c r="J5618" s="455">
        <f t="array" ref="J5618">IFERROR(INDEX('Retirement Calculator'!K:K,MATCH('Lorri 401b'!N5618,'Retirement Calculator'!A:A,0),0),0)</f>
        <v>0</v>
      </c>
      <c r="K5618" s="455">
        <f t="shared" ref="K5618:K5872" ca="1" si="193">IPMT(M5618/12,1,12,-I5618+J5618,,0)</f>
        <v>-24285854306967.824</v>
      </c>
      <c r="L5618" s="455">
        <f t="shared" ref="L5618:L5872" ca="1" si="194">I5618-J5618+K5618</f>
        <v>-5852890887979246</v>
      </c>
      <c r="M5618" s="471">
        <f t="shared" si="191"/>
        <v>0.05</v>
      </c>
      <c r="N5618" s="475">
        <f t="shared" si="192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195">L5618</f>
        <v>-5852890887979246</v>
      </c>
      <c r="J5619" s="455">
        <f t="array" ref="J5619">IFERROR(INDEX('Retirement Calculator'!K:K,MATCH('Lorri 401b'!N5619,'Retirement Calculator'!A:A,0),0),0)</f>
        <v>0</v>
      </c>
      <c r="K5619" s="455">
        <f t="shared" ca="1" si="193"/>
        <v>-24387045366580.191</v>
      </c>
      <c r="L5619" s="455">
        <f t="shared" ca="1" si="194"/>
        <v>-5877277933345826</v>
      </c>
      <c r="M5619" s="471">
        <f t="shared" ref="M5619:M5873" si="196">M5618</f>
        <v>0.05</v>
      </c>
      <c r="N5619" s="475">
        <f t="shared" ref="N5619:N5873" si="197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195"/>
        <v>-5877277933345826</v>
      </c>
      <c r="J5620" s="455">
        <f t="array" ref="J5620">IFERROR(INDEX('Retirement Calculator'!K:K,MATCH('Lorri 401b'!N5620,'Retirement Calculator'!A:A,0),0),0)</f>
        <v>0</v>
      </c>
      <c r="K5620" s="455">
        <f t="shared" ca="1" si="193"/>
        <v>-24488658055607.609</v>
      </c>
      <c r="L5620" s="455">
        <f t="shared" ca="1" si="194"/>
        <v>-5901766591401434</v>
      </c>
      <c r="M5620" s="471">
        <f t="shared" si="196"/>
        <v>0.05</v>
      </c>
      <c r="N5620" s="475">
        <f t="shared" si="197"/>
        <v>222100</v>
      </c>
    </row>
    <row r="5621" spans="7:14" ht="11.25" customHeight="1" x14ac:dyDescent="0.3">
      <c r="G5621" s="470"/>
      <c r="H5621" s="470">
        <v>5614</v>
      </c>
      <c r="I5621" s="455">
        <f t="shared" ca="1" si="195"/>
        <v>-5901766591401434</v>
      </c>
      <c r="J5621" s="455">
        <f t="array" ref="J5621">IFERROR(INDEX('Retirement Calculator'!K:K,MATCH('Lorri 401b'!N5621,'Retirement Calculator'!A:A,0),0),0)</f>
        <v>0</v>
      </c>
      <c r="K5621" s="455">
        <f t="shared" ca="1" si="193"/>
        <v>-24590694130839.309</v>
      </c>
      <c r="L5621" s="455">
        <f t="shared" ca="1" si="194"/>
        <v>-5926357285532273</v>
      </c>
      <c r="M5621" s="471">
        <f t="shared" si="196"/>
        <v>0.05</v>
      </c>
      <c r="N5621" s="475">
        <f t="shared" si="197"/>
        <v>222129</v>
      </c>
    </row>
    <row r="5622" spans="7:14" ht="11.25" customHeight="1" x14ac:dyDescent="0.3">
      <c r="G5622" s="470"/>
      <c r="H5622" s="470">
        <v>5615</v>
      </c>
      <c r="I5622" s="455">
        <f t="shared" ca="1" si="195"/>
        <v>-5926357285532273</v>
      </c>
      <c r="J5622" s="455">
        <f t="array" ref="J5622">IFERROR(INDEX('Retirement Calculator'!K:K,MATCH('Lorri 401b'!N5622,'Retirement Calculator'!A:A,0),0),0)</f>
        <v>0</v>
      </c>
      <c r="K5622" s="455">
        <f t="shared" ca="1" si="193"/>
        <v>-24693155356384.469</v>
      </c>
      <c r="L5622" s="455">
        <f t="shared" ca="1" si="194"/>
        <v>-5951050440888657</v>
      </c>
      <c r="M5622" s="471">
        <f t="shared" si="196"/>
        <v>0.05</v>
      </c>
      <c r="N5622" s="475">
        <f t="shared" si="197"/>
        <v>222160</v>
      </c>
    </row>
    <row r="5623" spans="7:14" ht="11.25" customHeight="1" x14ac:dyDescent="0.3">
      <c r="G5623" s="470"/>
      <c r="H5623" s="470">
        <v>5616</v>
      </c>
      <c r="I5623" s="455">
        <f t="shared" ca="1" si="195"/>
        <v>-5951050440888657</v>
      </c>
      <c r="J5623" s="455">
        <f t="array" ref="J5623">IFERROR(INDEX('Retirement Calculator'!K:K,MATCH('Lorri 401b'!N5623,'Retirement Calculator'!A:A,0),0),0)</f>
        <v>0</v>
      </c>
      <c r="K5623" s="455">
        <f t="shared" ca="1" si="193"/>
        <v>-24796043503702.738</v>
      </c>
      <c r="L5623" s="455">
        <f t="shared" ca="1" si="194"/>
        <v>-5975846484392360</v>
      </c>
      <c r="M5623" s="471">
        <f t="shared" si="196"/>
        <v>0.05</v>
      </c>
      <c r="N5623" s="475">
        <f t="shared" si="197"/>
        <v>222190</v>
      </c>
    </row>
    <row r="5624" spans="7:14" ht="11.25" customHeight="1" x14ac:dyDescent="0.3">
      <c r="G5624" s="470"/>
      <c r="H5624" s="470">
        <v>5617</v>
      </c>
      <c r="I5624" s="455">
        <f t="shared" ca="1" si="195"/>
        <v>-5975846484392360</v>
      </c>
      <c r="J5624" s="455">
        <f t="array" ref="J5624">IFERROR(INDEX('Retirement Calculator'!K:K,MATCH('Lorri 401b'!N5624,'Retirement Calculator'!A:A,0),0),0)</f>
        <v>0</v>
      </c>
      <c r="K5624" s="455">
        <f t="shared" ca="1" si="193"/>
        <v>-24899360351634.832</v>
      </c>
      <c r="L5624" s="455">
        <f t="shared" ca="1" si="194"/>
        <v>-6000745844743995</v>
      </c>
      <c r="M5624" s="471">
        <f t="shared" si="196"/>
        <v>0.05</v>
      </c>
      <c r="N5624" s="475">
        <f t="shared" si="197"/>
        <v>222221</v>
      </c>
    </row>
    <row r="5625" spans="7:14" ht="11.25" customHeight="1" x14ac:dyDescent="0.3">
      <c r="G5625" s="470"/>
      <c r="H5625" s="470">
        <v>5618</v>
      </c>
      <c r="I5625" s="455">
        <f t="shared" ca="1" si="195"/>
        <v>-6000745844743995</v>
      </c>
      <c r="J5625" s="455">
        <f t="array" ref="J5625">IFERROR(INDEX('Retirement Calculator'!K:K,MATCH('Lorri 401b'!N5625,'Retirement Calculator'!A:A,0),0),0)</f>
        <v>0</v>
      </c>
      <c r="K5625" s="455">
        <f t="shared" ca="1" si="193"/>
        <v>-25003107686433.313</v>
      </c>
      <c r="L5625" s="455">
        <f t="shared" ca="1" si="194"/>
        <v>-6025748952430428</v>
      </c>
      <c r="M5625" s="471">
        <f t="shared" si="196"/>
        <v>0.05</v>
      </c>
      <c r="N5625" s="475">
        <f t="shared" si="197"/>
        <v>222251</v>
      </c>
    </row>
    <row r="5626" spans="7:14" ht="11.25" customHeight="1" x14ac:dyDescent="0.3">
      <c r="G5626" s="470"/>
      <c r="H5626" s="470">
        <v>5619</v>
      </c>
      <c r="I5626" s="455">
        <f t="shared" ca="1" si="195"/>
        <v>-6025748952430428</v>
      </c>
      <c r="J5626" s="455">
        <f t="array" ref="J5626">IFERROR(INDEX('Retirement Calculator'!K:K,MATCH('Lorri 401b'!N5626,'Retirement Calculator'!A:A,0),0),0)</f>
        <v>0</v>
      </c>
      <c r="K5626" s="455">
        <f t="shared" ca="1" si="193"/>
        <v>-25107287301793.449</v>
      </c>
      <c r="L5626" s="455">
        <f t="shared" ca="1" si="194"/>
        <v>-6050856239732221</v>
      </c>
      <c r="M5626" s="471">
        <f t="shared" si="196"/>
        <v>0.05</v>
      </c>
      <c r="N5626" s="475">
        <f t="shared" si="197"/>
        <v>222282</v>
      </c>
    </row>
    <row r="5627" spans="7:14" ht="11.25" customHeight="1" x14ac:dyDescent="0.3">
      <c r="G5627" s="470"/>
      <c r="H5627" s="470">
        <v>5620</v>
      </c>
      <c r="I5627" s="455">
        <f t="shared" ca="1" si="195"/>
        <v>-6050856239732221</v>
      </c>
      <c r="J5627" s="455">
        <f t="array" ref="J5627">IFERROR(INDEX('Retirement Calculator'!K:K,MATCH('Lorri 401b'!N5627,'Retirement Calculator'!A:A,0),0),0)</f>
        <v>0</v>
      </c>
      <c r="K5627" s="455">
        <f t="shared" ca="1" si="193"/>
        <v>-25211900998884.254</v>
      </c>
      <c r="L5627" s="455">
        <f t="shared" ca="1" si="194"/>
        <v>-6076068140731105</v>
      </c>
      <c r="M5627" s="471">
        <f t="shared" si="196"/>
        <v>0.05</v>
      </c>
      <c r="N5627" s="475">
        <f t="shared" si="197"/>
        <v>222313</v>
      </c>
    </row>
    <row r="5628" spans="7:14" ht="11.25" customHeight="1" x14ac:dyDescent="0.3">
      <c r="G5628" s="470"/>
      <c r="H5628" s="470">
        <v>5621</v>
      </c>
      <c r="I5628" s="455">
        <f t="shared" ca="1" si="195"/>
        <v>-6076068140731105</v>
      </c>
      <c r="J5628" s="455">
        <f t="array" ref="J5628">IFERROR(INDEX('Retirement Calculator'!K:K,MATCH('Lorri 401b'!N5628,'Retirement Calculator'!A:A,0),0),0)</f>
        <v>0</v>
      </c>
      <c r="K5628" s="455">
        <f t="shared" ca="1" si="193"/>
        <v>-25316950586379.605</v>
      </c>
      <c r="L5628" s="455">
        <f t="shared" ca="1" si="194"/>
        <v>-6101385091317485</v>
      </c>
      <c r="M5628" s="471">
        <f t="shared" si="196"/>
        <v>0.05</v>
      </c>
      <c r="N5628" s="475">
        <f t="shared" si="197"/>
        <v>222343</v>
      </c>
    </row>
    <row r="5629" spans="7:14" ht="11.25" customHeight="1" x14ac:dyDescent="0.3">
      <c r="G5629" s="470"/>
      <c r="H5629" s="470">
        <v>5622</v>
      </c>
      <c r="I5629" s="455">
        <f t="shared" ca="1" si="195"/>
        <v>-6101385091317485</v>
      </c>
      <c r="J5629" s="455">
        <f t="array" ref="J5629">IFERROR(INDEX('Retirement Calculator'!K:K,MATCH('Lorri 401b'!N5629,'Retirement Calculator'!A:A,0),0),0)</f>
        <v>0</v>
      </c>
      <c r="K5629" s="455">
        <f t="shared" ca="1" si="193"/>
        <v>-25422437880489.52</v>
      </c>
      <c r="L5629" s="455">
        <f t="shared" ca="1" si="194"/>
        <v>-6126807529197975</v>
      </c>
      <c r="M5629" s="471">
        <f t="shared" si="196"/>
        <v>0.05</v>
      </c>
      <c r="N5629" s="475">
        <f t="shared" si="197"/>
        <v>222374</v>
      </c>
    </row>
    <row r="5630" spans="7:14" ht="11.25" customHeight="1" x14ac:dyDescent="0.3">
      <c r="G5630" s="470"/>
      <c r="H5630" s="470">
        <v>5623</v>
      </c>
      <c r="I5630" s="455">
        <f t="shared" ca="1" si="195"/>
        <v>-6126807529197975</v>
      </c>
      <c r="J5630" s="455">
        <f t="array" ref="J5630">IFERROR(INDEX('Retirement Calculator'!K:K,MATCH('Lorri 401b'!N5630,'Retirement Calculator'!A:A,0),0),0)</f>
        <v>0</v>
      </c>
      <c r="K5630" s="455">
        <f t="shared" ca="1" si="193"/>
        <v>-25528364704991.563</v>
      </c>
      <c r="L5630" s="455">
        <f t="shared" ca="1" si="194"/>
        <v>-6152335893902967</v>
      </c>
      <c r="M5630" s="471">
        <f t="shared" si="196"/>
        <v>0.05</v>
      </c>
      <c r="N5630" s="475">
        <f t="shared" si="197"/>
        <v>222404</v>
      </c>
    </row>
    <row r="5631" spans="7:14" ht="11.25" customHeight="1" x14ac:dyDescent="0.3">
      <c r="G5631" s="470"/>
      <c r="H5631" s="470">
        <v>5624</v>
      </c>
      <c r="I5631" s="455">
        <f t="shared" ca="1" si="195"/>
        <v>-6152335893902967</v>
      </c>
      <c r="J5631" s="455">
        <f t="array" ref="J5631">IFERROR(INDEX('Retirement Calculator'!K:K,MATCH('Lorri 401b'!N5631,'Retirement Calculator'!A:A,0),0),0)</f>
        <v>0</v>
      </c>
      <c r="K5631" s="455">
        <f t="shared" ca="1" si="193"/>
        <v>-25634732891262.363</v>
      </c>
      <c r="L5631" s="455">
        <f t="shared" ca="1" si="194"/>
        <v>-6177970626794229</v>
      </c>
      <c r="M5631" s="471">
        <f t="shared" si="196"/>
        <v>0.05</v>
      </c>
      <c r="N5631" s="475">
        <f t="shared" si="197"/>
        <v>222435</v>
      </c>
    </row>
    <row r="5632" spans="7:14" ht="11.25" customHeight="1" x14ac:dyDescent="0.3">
      <c r="G5632" s="470"/>
      <c r="H5632" s="470">
        <v>5625</v>
      </c>
      <c r="I5632" s="455">
        <f t="shared" ca="1" si="195"/>
        <v>-6177970626794229</v>
      </c>
      <c r="J5632" s="455">
        <f t="array" ref="J5632">IFERROR(INDEX('Retirement Calculator'!K:K,MATCH('Lorri 401b'!N5632,'Retirement Calculator'!A:A,0),0),0)</f>
        <v>0</v>
      </c>
      <c r="K5632" s="455">
        <f t="shared" ca="1" si="193"/>
        <v>-25741544278309.289</v>
      </c>
      <c r="L5632" s="455">
        <f t="shared" ca="1" si="194"/>
        <v>-6203712171072538</v>
      </c>
      <c r="M5632" s="471">
        <f t="shared" si="196"/>
        <v>0.05</v>
      </c>
      <c r="N5632" s="475">
        <f t="shared" si="197"/>
        <v>222466</v>
      </c>
    </row>
    <row r="5633" spans="7:14" ht="11.25" customHeight="1" x14ac:dyDescent="0.3">
      <c r="G5633" s="470"/>
      <c r="H5633" s="470">
        <v>5626</v>
      </c>
      <c r="I5633" s="455">
        <f t="shared" ca="1" si="195"/>
        <v>-6203712171072538</v>
      </c>
      <c r="J5633" s="455">
        <f t="array" ref="J5633">IFERROR(INDEX('Retirement Calculator'!K:K,MATCH('Lorri 401b'!N5633,'Retirement Calculator'!A:A,0),0),0)</f>
        <v>0</v>
      </c>
      <c r="K5633" s="455">
        <f t="shared" ca="1" si="193"/>
        <v>-25848800712802.242</v>
      </c>
      <c r="L5633" s="455">
        <f t="shared" ca="1" si="194"/>
        <v>-6229560971785340</v>
      </c>
      <c r="M5633" s="471">
        <f t="shared" si="196"/>
        <v>0.05</v>
      </c>
      <c r="N5633" s="475">
        <f t="shared" si="197"/>
        <v>222494</v>
      </c>
    </row>
    <row r="5634" spans="7:14" ht="11.25" customHeight="1" x14ac:dyDescent="0.3">
      <c r="G5634" s="470"/>
      <c r="H5634" s="470">
        <v>5627</v>
      </c>
      <c r="I5634" s="455">
        <f t="shared" ca="1" si="195"/>
        <v>-6229560971785340</v>
      </c>
      <c r="J5634" s="455">
        <f t="array" ref="J5634">IFERROR(INDEX('Retirement Calculator'!K:K,MATCH('Lorri 401b'!N5634,'Retirement Calculator'!A:A,0),0),0)</f>
        <v>0</v>
      </c>
      <c r="K5634" s="455">
        <f t="shared" ca="1" si="193"/>
        <v>-25956504049105.582</v>
      </c>
      <c r="L5634" s="455">
        <f t="shared" ca="1" si="194"/>
        <v>-6255517475834446</v>
      </c>
      <c r="M5634" s="471">
        <f t="shared" si="196"/>
        <v>0.05</v>
      </c>
      <c r="N5634" s="475">
        <f t="shared" si="197"/>
        <v>222525</v>
      </c>
    </row>
    <row r="5635" spans="7:14" ht="11.25" customHeight="1" x14ac:dyDescent="0.3">
      <c r="G5635" s="470"/>
      <c r="H5635" s="470">
        <v>5628</v>
      </c>
      <c r="I5635" s="455">
        <f t="shared" ca="1" si="195"/>
        <v>-6255517475834446</v>
      </c>
      <c r="J5635" s="455">
        <f t="array" ref="J5635">IFERROR(INDEX('Retirement Calculator'!K:K,MATCH('Lorri 401b'!N5635,'Retirement Calculator'!A:A,0),0),0)</f>
        <v>0</v>
      </c>
      <c r="K5635" s="455">
        <f t="shared" ca="1" si="193"/>
        <v>-26064656149310.191</v>
      </c>
      <c r="L5635" s="455">
        <f t="shared" ca="1" si="194"/>
        <v>-6281582131983756</v>
      </c>
      <c r="M5635" s="471">
        <f t="shared" si="196"/>
        <v>0.05</v>
      </c>
      <c r="N5635" s="475">
        <f t="shared" si="197"/>
        <v>222555</v>
      </c>
    </row>
    <row r="5636" spans="7:14" ht="11.25" customHeight="1" x14ac:dyDescent="0.3">
      <c r="G5636" s="470"/>
      <c r="H5636" s="470">
        <v>5629</v>
      </c>
      <c r="I5636" s="455">
        <f t="shared" ca="1" si="195"/>
        <v>-6281582131983756</v>
      </c>
      <c r="J5636" s="455">
        <f t="array" ref="J5636">IFERROR(INDEX('Retirement Calculator'!K:K,MATCH('Lorri 401b'!N5636,'Retirement Calculator'!A:A,0),0),0)</f>
        <v>0</v>
      </c>
      <c r="K5636" s="455">
        <f t="shared" ca="1" si="193"/>
        <v>-26173258883265.648</v>
      </c>
      <c r="L5636" s="455">
        <f t="shared" ca="1" si="194"/>
        <v>-6307755390867022</v>
      </c>
      <c r="M5636" s="471">
        <f t="shared" si="196"/>
        <v>0.05</v>
      </c>
      <c r="N5636" s="475">
        <f t="shared" si="197"/>
        <v>222586</v>
      </c>
    </row>
    <row r="5637" spans="7:14" ht="11.25" customHeight="1" x14ac:dyDescent="0.3">
      <c r="G5637" s="470"/>
      <c r="H5637" s="470">
        <v>5630</v>
      </c>
      <c r="I5637" s="455">
        <f t="shared" ca="1" si="195"/>
        <v>-6307755390867022</v>
      </c>
      <c r="J5637" s="455">
        <f t="array" ref="J5637">IFERROR(INDEX('Retirement Calculator'!K:K,MATCH('Lorri 401b'!N5637,'Retirement Calculator'!A:A,0),0),0)</f>
        <v>0</v>
      </c>
      <c r="K5637" s="455">
        <f t="shared" ca="1" si="193"/>
        <v>-26282314128612.59</v>
      </c>
      <c r="L5637" s="455">
        <f t="shared" ca="1" si="194"/>
        <v>-6334037704995635</v>
      </c>
      <c r="M5637" s="471">
        <f t="shared" si="196"/>
        <v>0.05</v>
      </c>
      <c r="N5637" s="475">
        <f t="shared" si="197"/>
        <v>222616</v>
      </c>
    </row>
    <row r="5638" spans="7:14" ht="11.25" customHeight="1" x14ac:dyDescent="0.3">
      <c r="G5638" s="470"/>
      <c r="H5638" s="470">
        <v>5631</v>
      </c>
      <c r="I5638" s="455">
        <f t="shared" ca="1" si="195"/>
        <v>-6334037704995635</v>
      </c>
      <c r="J5638" s="455">
        <f t="array" ref="J5638">IFERROR(INDEX('Retirement Calculator'!K:K,MATCH('Lorri 401b'!N5638,'Retirement Calculator'!A:A,0),0),0)</f>
        <v>0</v>
      </c>
      <c r="K5638" s="455">
        <f t="shared" ca="1" si="193"/>
        <v>-26391823770815.145</v>
      </c>
      <c r="L5638" s="455">
        <f t="shared" ca="1" si="194"/>
        <v>-6360429528766450</v>
      </c>
      <c r="M5638" s="471">
        <f t="shared" si="196"/>
        <v>0.05</v>
      </c>
      <c r="N5638" s="475">
        <f t="shared" si="197"/>
        <v>222647</v>
      </c>
    </row>
    <row r="5639" spans="7:14" ht="11.25" customHeight="1" x14ac:dyDescent="0.3">
      <c r="G5639" s="470"/>
      <c r="H5639" s="470">
        <v>5632</v>
      </c>
      <c r="I5639" s="455">
        <f t="shared" ca="1" si="195"/>
        <v>-6360429528766450</v>
      </c>
      <c r="J5639" s="455">
        <f t="array" ref="J5639">IFERROR(INDEX('Retirement Calculator'!K:K,MATCH('Lorri 401b'!N5639,'Retirement Calculator'!A:A,0),0),0)</f>
        <v>0</v>
      </c>
      <c r="K5639" s="455">
        <f t="shared" ca="1" si="193"/>
        <v>-26501789703193.543</v>
      </c>
      <c r="L5639" s="455">
        <f t="shared" ca="1" si="194"/>
        <v>-6386931318469644</v>
      </c>
      <c r="M5639" s="471">
        <f t="shared" si="196"/>
        <v>0.05</v>
      </c>
      <c r="N5639" s="475">
        <f t="shared" si="197"/>
        <v>222678</v>
      </c>
    </row>
    <row r="5640" spans="7:14" ht="11.25" customHeight="1" x14ac:dyDescent="0.3">
      <c r="G5640" s="470"/>
      <c r="H5640" s="470">
        <v>5633</v>
      </c>
      <c r="I5640" s="455">
        <f t="shared" ca="1" si="195"/>
        <v>-6386931318469644</v>
      </c>
      <c r="J5640" s="455">
        <f t="array" ref="J5640">IFERROR(INDEX('Retirement Calculator'!K:K,MATCH('Lorri 401b'!N5640,'Retirement Calculator'!A:A,0),0),0)</f>
        <v>0</v>
      </c>
      <c r="K5640" s="455">
        <f t="shared" ca="1" si="193"/>
        <v>-26612213826956.852</v>
      </c>
      <c r="L5640" s="455">
        <f t="shared" ca="1" si="194"/>
        <v>-6413543532296601</v>
      </c>
      <c r="M5640" s="471">
        <f t="shared" si="196"/>
        <v>0.05</v>
      </c>
      <c r="N5640" s="475">
        <f t="shared" si="197"/>
        <v>222708</v>
      </c>
    </row>
    <row r="5641" spans="7:14" ht="11.25" customHeight="1" x14ac:dyDescent="0.3">
      <c r="G5641" s="470"/>
      <c r="H5641" s="470">
        <v>5634</v>
      </c>
      <c r="I5641" s="455">
        <f t="shared" ca="1" si="195"/>
        <v>-6413543532296601</v>
      </c>
      <c r="J5641" s="455">
        <f t="array" ref="J5641">IFERROR(INDEX('Retirement Calculator'!K:K,MATCH('Lorri 401b'!N5641,'Retirement Calculator'!A:A,0),0),0)</f>
        <v>0</v>
      </c>
      <c r="K5641" s="455">
        <f t="shared" ca="1" si="193"/>
        <v>-26723098051235.836</v>
      </c>
      <c r="L5641" s="455">
        <f t="shared" ca="1" si="194"/>
        <v>-6440266630347837</v>
      </c>
      <c r="M5641" s="471">
        <f t="shared" si="196"/>
        <v>0.05</v>
      </c>
      <c r="N5641" s="475">
        <f t="shared" si="197"/>
        <v>222739</v>
      </c>
    </row>
    <row r="5642" spans="7:14" ht="11.25" customHeight="1" x14ac:dyDescent="0.3">
      <c r="G5642" s="470"/>
      <c r="H5642" s="470">
        <v>5635</v>
      </c>
      <c r="I5642" s="455">
        <f t="shared" ca="1" si="195"/>
        <v>-6440266630347837</v>
      </c>
      <c r="J5642" s="455">
        <f t="array" ref="J5642">IFERROR(INDEX('Retirement Calculator'!K:K,MATCH('Lorri 401b'!N5642,'Retirement Calculator'!A:A,0),0),0)</f>
        <v>0</v>
      </c>
      <c r="K5642" s="455">
        <f t="shared" ca="1" si="193"/>
        <v>-26834444293115.988</v>
      </c>
      <c r="L5642" s="455">
        <f t="shared" ca="1" si="194"/>
        <v>-6467101074640953</v>
      </c>
      <c r="M5642" s="471">
        <f t="shared" si="196"/>
        <v>0.05</v>
      </c>
      <c r="N5642" s="475">
        <f t="shared" si="197"/>
        <v>222769</v>
      </c>
    </row>
    <row r="5643" spans="7:14" ht="11.25" customHeight="1" x14ac:dyDescent="0.3">
      <c r="G5643" s="470"/>
      <c r="H5643" s="470">
        <v>5636</v>
      </c>
      <c r="I5643" s="455">
        <f t="shared" ca="1" si="195"/>
        <v>-6467101074640953</v>
      </c>
      <c r="J5643" s="455">
        <f t="array" ref="J5643">IFERROR(INDEX('Retirement Calculator'!K:K,MATCH('Lorri 401b'!N5643,'Retirement Calculator'!A:A,0),0),0)</f>
        <v>0</v>
      </c>
      <c r="K5643" s="455">
        <f t="shared" ca="1" si="193"/>
        <v>-26946254477670.637</v>
      </c>
      <c r="L5643" s="455">
        <f t="shared" ca="1" si="194"/>
        <v>-6494047329118624</v>
      </c>
      <c r="M5643" s="471">
        <f t="shared" si="196"/>
        <v>0.05</v>
      </c>
      <c r="N5643" s="475">
        <f t="shared" si="197"/>
        <v>222800</v>
      </c>
    </row>
    <row r="5644" spans="7:14" ht="11.25" customHeight="1" x14ac:dyDescent="0.3">
      <c r="G5644" s="470"/>
      <c r="H5644" s="470">
        <v>5637</v>
      </c>
      <c r="I5644" s="455">
        <f t="shared" ca="1" si="195"/>
        <v>-6494047329118624</v>
      </c>
      <c r="J5644" s="455">
        <f t="array" ref="J5644">IFERROR(INDEX('Retirement Calculator'!K:K,MATCH('Lorri 401b'!N5644,'Retirement Calculator'!A:A,0),0),0)</f>
        <v>0</v>
      </c>
      <c r="K5644" s="455">
        <f t="shared" ca="1" si="193"/>
        <v>-27058530537994.266</v>
      </c>
      <c r="L5644" s="455">
        <f t="shared" ca="1" si="194"/>
        <v>-6521105859656618</v>
      </c>
      <c r="M5644" s="471">
        <f t="shared" si="196"/>
        <v>0.05</v>
      </c>
      <c r="N5644" s="475">
        <f t="shared" si="197"/>
        <v>222831</v>
      </c>
    </row>
    <row r="5645" spans="7:14" ht="11.25" customHeight="1" x14ac:dyDescent="0.3">
      <c r="G5645" s="470"/>
      <c r="H5645" s="470">
        <v>5638</v>
      </c>
      <c r="I5645" s="455">
        <f t="shared" ca="1" si="195"/>
        <v>-6521105859656618</v>
      </c>
      <c r="J5645" s="455">
        <f t="array" ref="J5645">IFERROR(INDEX('Retirement Calculator'!K:K,MATCH('Lorri 401b'!N5645,'Retirement Calculator'!A:A,0),0),0)</f>
        <v>0</v>
      </c>
      <c r="K5645" s="455">
        <f t="shared" ca="1" si="193"/>
        <v>-27171274415235.906</v>
      </c>
      <c r="L5645" s="455">
        <f t="shared" ca="1" si="194"/>
        <v>-6548277134071854</v>
      </c>
      <c r="M5645" s="471">
        <f t="shared" si="196"/>
        <v>0.05</v>
      </c>
      <c r="N5645" s="475">
        <f t="shared" si="197"/>
        <v>222859</v>
      </c>
    </row>
    <row r="5646" spans="7:14" ht="11.25" customHeight="1" x14ac:dyDescent="0.3">
      <c r="G5646" s="470"/>
      <c r="H5646" s="470">
        <v>5639</v>
      </c>
      <c r="I5646" s="455">
        <f t="shared" ca="1" si="195"/>
        <v>-6548277134071854</v>
      </c>
      <c r="J5646" s="455">
        <f t="array" ref="J5646">IFERROR(INDEX('Retirement Calculator'!K:K,MATCH('Lorri 401b'!N5646,'Retirement Calculator'!A:A,0),0),0)</f>
        <v>0</v>
      </c>
      <c r="K5646" s="455">
        <f t="shared" ca="1" si="193"/>
        <v>-27284488058632.727</v>
      </c>
      <c r="L5646" s="455">
        <f t="shared" ca="1" si="194"/>
        <v>-6575561622130487</v>
      </c>
      <c r="M5646" s="471">
        <f t="shared" si="196"/>
        <v>0.05</v>
      </c>
      <c r="N5646" s="475">
        <f t="shared" si="197"/>
        <v>222890</v>
      </c>
    </row>
    <row r="5647" spans="7:14" ht="11.25" customHeight="1" x14ac:dyDescent="0.3">
      <c r="G5647" s="470"/>
      <c r="H5647" s="470">
        <v>5640</v>
      </c>
      <c r="I5647" s="455">
        <f t="shared" ca="1" si="195"/>
        <v>-6575561622130487</v>
      </c>
      <c r="J5647" s="455">
        <f t="array" ref="J5647">IFERROR(INDEX('Retirement Calculator'!K:K,MATCH('Lorri 401b'!N5647,'Retirement Calculator'!A:A,0),0),0)</f>
        <v>0</v>
      </c>
      <c r="K5647" s="455">
        <f t="shared" ca="1" si="193"/>
        <v>-27398173425543.695</v>
      </c>
      <c r="L5647" s="455">
        <f t="shared" ca="1" si="194"/>
        <v>-6602959795556031</v>
      </c>
      <c r="M5647" s="471">
        <f t="shared" si="196"/>
        <v>0.05</v>
      </c>
      <c r="N5647" s="475">
        <f t="shared" si="197"/>
        <v>222920</v>
      </c>
    </row>
    <row r="5648" spans="7:14" ht="11.25" customHeight="1" x14ac:dyDescent="0.3">
      <c r="G5648" s="470"/>
      <c r="H5648" s="470">
        <v>5641</v>
      </c>
      <c r="I5648" s="455">
        <f t="shared" ca="1" si="195"/>
        <v>-6602959795556031</v>
      </c>
      <c r="J5648" s="455">
        <f t="array" ref="J5648">IFERROR(INDEX('Retirement Calculator'!K:K,MATCH('Lorri 401b'!N5648,'Retirement Calculator'!A:A,0),0),0)</f>
        <v>0</v>
      </c>
      <c r="K5648" s="455">
        <f t="shared" ca="1" si="193"/>
        <v>-27512332481483.461</v>
      </c>
      <c r="L5648" s="455">
        <f t="shared" ca="1" si="194"/>
        <v>-6630472128037514</v>
      </c>
      <c r="M5648" s="471">
        <f t="shared" si="196"/>
        <v>0.05</v>
      </c>
      <c r="N5648" s="475">
        <f t="shared" si="197"/>
        <v>222951</v>
      </c>
    </row>
    <row r="5649" spans="7:14" ht="11.25" customHeight="1" x14ac:dyDescent="0.3">
      <c r="G5649" s="470"/>
      <c r="H5649" s="470">
        <v>5642</v>
      </c>
      <c r="I5649" s="455">
        <f t="shared" ca="1" si="195"/>
        <v>-6630472128037514</v>
      </c>
      <c r="J5649" s="455">
        <f t="array" ref="J5649">IFERROR(INDEX('Retirement Calculator'!K:K,MATCH('Lorri 401b'!N5649,'Retirement Calculator'!A:A,0),0),0)</f>
        <v>0</v>
      </c>
      <c r="K5649" s="455">
        <f t="shared" ca="1" si="193"/>
        <v>-27626967200156.309</v>
      </c>
      <c r="L5649" s="455">
        <f t="shared" ca="1" si="194"/>
        <v>-6658099095237670</v>
      </c>
      <c r="M5649" s="471">
        <f t="shared" si="196"/>
        <v>0.05</v>
      </c>
      <c r="N5649" s="475">
        <f t="shared" si="197"/>
        <v>222981</v>
      </c>
    </row>
    <row r="5650" spans="7:14" ht="11.25" customHeight="1" x14ac:dyDescent="0.3">
      <c r="G5650" s="470"/>
      <c r="H5650" s="470">
        <v>5643</v>
      </c>
      <c r="I5650" s="455">
        <f t="shared" ca="1" si="195"/>
        <v>-6658099095237670</v>
      </c>
      <c r="J5650" s="455">
        <f t="array" ref="J5650">IFERROR(INDEX('Retirement Calculator'!K:K,MATCH('Lorri 401b'!N5650,'Retirement Calculator'!A:A,0),0),0)</f>
        <v>0</v>
      </c>
      <c r="K5650" s="455">
        <f t="shared" ca="1" si="193"/>
        <v>-27742079563490.293</v>
      </c>
      <c r="L5650" s="455">
        <f t="shared" ca="1" si="194"/>
        <v>-6685841174801160</v>
      </c>
      <c r="M5650" s="471">
        <f t="shared" si="196"/>
        <v>0.05</v>
      </c>
      <c r="N5650" s="475">
        <f t="shared" si="197"/>
        <v>223012</v>
      </c>
    </row>
    <row r="5651" spans="7:14" ht="11.25" customHeight="1" x14ac:dyDescent="0.3">
      <c r="G5651" s="470"/>
      <c r="H5651" s="470">
        <v>5644</v>
      </c>
      <c r="I5651" s="455">
        <f t="shared" ca="1" si="195"/>
        <v>-6685841174801160</v>
      </c>
      <c r="J5651" s="455">
        <f t="array" ref="J5651">IFERROR(INDEX('Retirement Calculator'!K:K,MATCH('Lorri 401b'!N5651,'Retirement Calculator'!A:A,0),0),0)</f>
        <v>0</v>
      </c>
      <c r="K5651" s="455">
        <f t="shared" ca="1" si="193"/>
        <v>-27857671561671.5</v>
      </c>
      <c r="L5651" s="455">
        <f t="shared" ca="1" si="194"/>
        <v>-6713698846362832</v>
      </c>
      <c r="M5651" s="471">
        <f t="shared" si="196"/>
        <v>0.05</v>
      </c>
      <c r="N5651" s="475">
        <f t="shared" si="197"/>
        <v>223043</v>
      </c>
    </row>
    <row r="5652" spans="7:14" ht="11.25" customHeight="1" x14ac:dyDescent="0.3">
      <c r="G5652" s="470"/>
      <c r="H5652" s="470">
        <v>5645</v>
      </c>
      <c r="I5652" s="455">
        <f t="shared" ca="1" si="195"/>
        <v>-6713698846362832</v>
      </c>
      <c r="J5652" s="455">
        <f t="array" ref="J5652">IFERROR(INDEX('Retirement Calculator'!K:K,MATCH('Lorri 401b'!N5652,'Retirement Calculator'!A:A,0),0),0)</f>
        <v>0</v>
      </c>
      <c r="K5652" s="455">
        <f t="shared" ca="1" si="193"/>
        <v>-27973745193178.465</v>
      </c>
      <c r="L5652" s="455">
        <f t="shared" ca="1" si="194"/>
        <v>-6741672591556010</v>
      </c>
      <c r="M5652" s="471">
        <f t="shared" si="196"/>
        <v>0.05</v>
      </c>
      <c r="N5652" s="475">
        <f t="shared" si="197"/>
        <v>223073</v>
      </c>
    </row>
    <row r="5653" spans="7:14" ht="11.25" customHeight="1" x14ac:dyDescent="0.3">
      <c r="G5653" s="470"/>
      <c r="H5653" s="470">
        <v>5646</v>
      </c>
      <c r="I5653" s="455">
        <f t="shared" ca="1" si="195"/>
        <v>-6741672591556010</v>
      </c>
      <c r="J5653" s="455">
        <f t="array" ref="J5653">IFERROR(INDEX('Retirement Calculator'!K:K,MATCH('Lorri 401b'!N5653,'Retirement Calculator'!A:A,0),0),0)</f>
        <v>0</v>
      </c>
      <c r="K5653" s="455">
        <f t="shared" ca="1" si="193"/>
        <v>-28090302464816.707</v>
      </c>
      <c r="L5653" s="455">
        <f t="shared" ca="1" si="194"/>
        <v>-6769762894020827</v>
      </c>
      <c r="M5653" s="471">
        <f t="shared" si="196"/>
        <v>0.05</v>
      </c>
      <c r="N5653" s="475">
        <f t="shared" si="197"/>
        <v>223104</v>
      </c>
    </row>
    <row r="5654" spans="7:14" ht="11.25" customHeight="1" x14ac:dyDescent="0.3">
      <c r="G5654" s="470"/>
      <c r="H5654" s="470">
        <v>5647</v>
      </c>
      <c r="I5654" s="455">
        <f t="shared" ca="1" si="195"/>
        <v>-6769762894020827</v>
      </c>
      <c r="J5654" s="455">
        <f t="array" ref="J5654">IFERROR(INDEX('Retirement Calculator'!K:K,MATCH('Lorri 401b'!N5654,'Retirement Calculator'!A:A,0),0),0)</f>
        <v>0</v>
      </c>
      <c r="K5654" s="455">
        <f t="shared" ca="1" si="193"/>
        <v>-28207345391753.445</v>
      </c>
      <c r="L5654" s="455">
        <f t="shared" ca="1" si="194"/>
        <v>-6797970239412580</v>
      </c>
      <c r="M5654" s="471">
        <f t="shared" si="196"/>
        <v>0.05</v>
      </c>
      <c r="N5654" s="475">
        <f t="shared" si="197"/>
        <v>223134</v>
      </c>
    </row>
    <row r="5655" spans="7:14" ht="11.25" customHeight="1" x14ac:dyDescent="0.3">
      <c r="G5655" s="470"/>
      <c r="H5655" s="470">
        <v>5648</v>
      </c>
      <c r="I5655" s="455">
        <f t="shared" ca="1" si="195"/>
        <v>-6797970239412580</v>
      </c>
      <c r="J5655" s="455">
        <f t="array" ref="J5655">IFERROR(INDEX('Retirement Calculator'!K:K,MATCH('Lorri 401b'!N5655,'Retirement Calculator'!A:A,0),0),0)</f>
        <v>0</v>
      </c>
      <c r="K5655" s="455">
        <f t="shared" ca="1" si="193"/>
        <v>-28324875997552.418</v>
      </c>
      <c r="L5655" s="455">
        <f t="shared" ca="1" si="194"/>
        <v>-6826295115410132</v>
      </c>
      <c r="M5655" s="471">
        <f t="shared" si="196"/>
        <v>0.05</v>
      </c>
      <c r="N5655" s="475">
        <f t="shared" si="197"/>
        <v>223165</v>
      </c>
    </row>
    <row r="5656" spans="7:14" ht="11.25" customHeight="1" x14ac:dyDescent="0.3">
      <c r="G5656" s="470"/>
      <c r="H5656" s="470">
        <v>5649</v>
      </c>
      <c r="I5656" s="455">
        <f t="shared" ca="1" si="195"/>
        <v>-6826295115410132</v>
      </c>
      <c r="J5656" s="455">
        <f t="array" ref="J5656">IFERROR(INDEX('Retirement Calculator'!K:K,MATCH('Lorri 401b'!N5656,'Retirement Calculator'!A:A,0),0),0)</f>
        <v>0</v>
      </c>
      <c r="K5656" s="455">
        <f t="shared" ca="1" si="193"/>
        <v>-28442896314208.883</v>
      </c>
      <c r="L5656" s="455">
        <f t="shared" ca="1" si="194"/>
        <v>-6854738011724341</v>
      </c>
      <c r="M5656" s="471">
        <f t="shared" si="196"/>
        <v>0.05</v>
      </c>
      <c r="N5656" s="475">
        <f t="shared" si="197"/>
        <v>223196</v>
      </c>
    </row>
    <row r="5657" spans="7:14" ht="11.25" customHeight="1" x14ac:dyDescent="0.3">
      <c r="G5657" s="470"/>
      <c r="H5657" s="470">
        <v>5650</v>
      </c>
      <c r="I5657" s="455">
        <f t="shared" ca="1" si="195"/>
        <v>-6854738011724341</v>
      </c>
      <c r="J5657" s="455">
        <f t="array" ref="J5657">IFERROR(INDEX('Retirement Calculator'!K:K,MATCH('Lorri 401b'!N5657,'Retirement Calculator'!A:A,0),0),0)</f>
        <v>0</v>
      </c>
      <c r="K5657" s="455">
        <f t="shared" ca="1" si="193"/>
        <v>-28561408382184.754</v>
      </c>
      <c r="L5657" s="455">
        <f t="shared" ca="1" si="194"/>
        <v>-6883299420106526</v>
      </c>
      <c r="M5657" s="471">
        <f t="shared" si="196"/>
        <v>0.05</v>
      </c>
      <c r="N5657" s="475">
        <f t="shared" si="197"/>
        <v>223224</v>
      </c>
    </row>
    <row r="5658" spans="7:14" ht="11.25" customHeight="1" x14ac:dyDescent="0.3">
      <c r="G5658" s="470"/>
      <c r="H5658" s="470">
        <v>5651</v>
      </c>
      <c r="I5658" s="455">
        <f t="shared" ca="1" si="195"/>
        <v>-6883299420106526</v>
      </c>
      <c r="J5658" s="455">
        <f t="array" ref="J5658">IFERROR(INDEX('Retirement Calculator'!K:K,MATCH('Lorri 401b'!N5658,'Retirement Calculator'!A:A,0),0),0)</f>
        <v>0</v>
      </c>
      <c r="K5658" s="455">
        <f t="shared" ca="1" si="193"/>
        <v>-28680414250443.859</v>
      </c>
      <c r="L5658" s="455">
        <f t="shared" ca="1" si="194"/>
        <v>-6911979834356970</v>
      </c>
      <c r="M5658" s="471">
        <f t="shared" si="196"/>
        <v>0.05</v>
      </c>
      <c r="N5658" s="475">
        <f t="shared" si="197"/>
        <v>223255</v>
      </c>
    </row>
    <row r="5659" spans="7:14" ht="11.25" customHeight="1" x14ac:dyDescent="0.3">
      <c r="G5659" s="470"/>
      <c r="H5659" s="470">
        <v>5652</v>
      </c>
      <c r="I5659" s="455">
        <f t="shared" ca="1" si="195"/>
        <v>-6911979834356970</v>
      </c>
      <c r="J5659" s="455">
        <f t="array" ref="J5659">IFERROR(INDEX('Retirement Calculator'!K:K,MATCH('Lorri 401b'!N5659,'Retirement Calculator'!A:A,0),0),0)</f>
        <v>0</v>
      </c>
      <c r="K5659" s="455">
        <f t="shared" ca="1" si="193"/>
        <v>-28799915976487.375</v>
      </c>
      <c r="L5659" s="455">
        <f t="shared" ca="1" si="194"/>
        <v>-6940779750333457</v>
      </c>
      <c r="M5659" s="471">
        <f t="shared" si="196"/>
        <v>0.05</v>
      </c>
      <c r="N5659" s="475">
        <f t="shared" si="197"/>
        <v>223285</v>
      </c>
    </row>
    <row r="5660" spans="7:14" ht="11.25" customHeight="1" x14ac:dyDescent="0.3">
      <c r="G5660" s="470"/>
      <c r="H5660" s="470">
        <v>5653</v>
      </c>
      <c r="I5660" s="455">
        <f t="shared" ca="1" si="195"/>
        <v>-6940779750333457</v>
      </c>
      <c r="J5660" s="455">
        <f t="array" ref="J5660">IFERROR(INDEX('Retirement Calculator'!K:K,MATCH('Lorri 401b'!N5660,'Retirement Calculator'!A:A,0),0),0)</f>
        <v>0</v>
      </c>
      <c r="K5660" s="455">
        <f t="shared" ca="1" si="193"/>
        <v>-28919915626389.402</v>
      </c>
      <c r="L5660" s="455">
        <f t="shared" ca="1" si="194"/>
        <v>-6969699665959846</v>
      </c>
      <c r="M5660" s="471">
        <f t="shared" si="196"/>
        <v>0.05</v>
      </c>
      <c r="N5660" s="475">
        <f t="shared" si="197"/>
        <v>223316</v>
      </c>
    </row>
    <row r="5661" spans="7:14" ht="11.25" customHeight="1" x14ac:dyDescent="0.3">
      <c r="G5661" s="470"/>
      <c r="H5661" s="470">
        <v>5654</v>
      </c>
      <c r="I5661" s="455">
        <f t="shared" ca="1" si="195"/>
        <v>-6969699665959846</v>
      </c>
      <c r="J5661" s="455">
        <f t="array" ref="J5661">IFERROR(INDEX('Retirement Calculator'!K:K,MATCH('Lorri 401b'!N5661,'Retirement Calculator'!A:A,0),0),0)</f>
        <v>0</v>
      </c>
      <c r="K5661" s="455">
        <f t="shared" ca="1" si="193"/>
        <v>-29040415274832.691</v>
      </c>
      <c r="L5661" s="455">
        <f t="shared" ca="1" si="194"/>
        <v>-6998740081234679</v>
      </c>
      <c r="M5661" s="471">
        <f t="shared" si="196"/>
        <v>0.05</v>
      </c>
      <c r="N5661" s="475">
        <f t="shared" si="197"/>
        <v>223346</v>
      </c>
    </row>
    <row r="5662" spans="7:14" ht="11.25" customHeight="1" x14ac:dyDescent="0.3">
      <c r="G5662" s="470"/>
      <c r="H5662" s="470">
        <v>5655</v>
      </c>
      <c r="I5662" s="455">
        <f t="shared" ca="1" si="195"/>
        <v>-6998740081234679</v>
      </c>
      <c r="J5662" s="455">
        <f t="array" ref="J5662">IFERROR(INDEX('Retirement Calculator'!K:K,MATCH('Lorri 401b'!N5662,'Retirement Calculator'!A:A,0),0),0)</f>
        <v>0</v>
      </c>
      <c r="K5662" s="455">
        <f t="shared" ca="1" si="193"/>
        <v>-29161417005144.496</v>
      </c>
      <c r="L5662" s="455">
        <f t="shared" ca="1" si="194"/>
        <v>-7027901498239823</v>
      </c>
      <c r="M5662" s="471">
        <f t="shared" si="196"/>
        <v>0.05</v>
      </c>
      <c r="N5662" s="475">
        <f t="shared" si="197"/>
        <v>223377</v>
      </c>
    </row>
    <row r="5663" spans="7:14" ht="11.25" customHeight="1" x14ac:dyDescent="0.3">
      <c r="G5663" s="470"/>
      <c r="H5663" s="470">
        <v>5656</v>
      </c>
      <c r="I5663" s="455">
        <f t="shared" ca="1" si="195"/>
        <v>-7027901498239823</v>
      </c>
      <c r="J5663" s="455">
        <f t="array" ref="J5663">IFERROR(INDEX('Retirement Calculator'!K:K,MATCH('Lorri 401b'!N5663,'Retirement Calculator'!A:A,0),0),0)</f>
        <v>0</v>
      </c>
      <c r="K5663" s="455">
        <f t="shared" ca="1" si="193"/>
        <v>-29282922909332.594</v>
      </c>
      <c r="L5663" s="455">
        <f t="shared" ca="1" si="194"/>
        <v>-7057184421149156</v>
      </c>
      <c r="M5663" s="471">
        <f t="shared" si="196"/>
        <v>0.05</v>
      </c>
      <c r="N5663" s="475">
        <f t="shared" si="197"/>
        <v>223408</v>
      </c>
    </row>
    <row r="5664" spans="7:14" ht="11.25" customHeight="1" x14ac:dyDescent="0.3">
      <c r="G5664" s="470"/>
      <c r="H5664" s="470">
        <v>5657</v>
      </c>
      <c r="I5664" s="455">
        <f t="shared" ca="1" si="195"/>
        <v>-7057184421149156</v>
      </c>
      <c r="J5664" s="455">
        <f t="array" ref="J5664">IFERROR(INDEX('Retirement Calculator'!K:K,MATCH('Lorri 401b'!N5664,'Retirement Calculator'!A:A,0),0),0)</f>
        <v>0</v>
      </c>
      <c r="K5664" s="455">
        <f t="shared" ca="1" si="193"/>
        <v>-29404935088121.48</v>
      </c>
      <c r="L5664" s="455">
        <f t="shared" ca="1" si="194"/>
        <v>-7086589356237277</v>
      </c>
      <c r="M5664" s="471">
        <f t="shared" si="196"/>
        <v>0.05</v>
      </c>
      <c r="N5664" s="475">
        <f t="shared" si="197"/>
        <v>223438</v>
      </c>
    </row>
    <row r="5665" spans="7:14" ht="11.25" customHeight="1" x14ac:dyDescent="0.3">
      <c r="G5665" s="470"/>
      <c r="H5665" s="470">
        <v>5658</v>
      </c>
      <c r="I5665" s="455">
        <f t="shared" ca="1" si="195"/>
        <v>-7086589356237277</v>
      </c>
      <c r="J5665" s="455">
        <f t="array" ref="J5665">IFERROR(INDEX('Retirement Calculator'!K:K,MATCH('Lorri 401b'!N5665,'Retirement Calculator'!A:A,0),0),0)</f>
        <v>0</v>
      </c>
      <c r="K5665" s="455">
        <f t="shared" ca="1" si="193"/>
        <v>-29527455650988.656</v>
      </c>
      <c r="L5665" s="455">
        <f t="shared" ca="1" si="194"/>
        <v>-7116116811888266</v>
      </c>
      <c r="M5665" s="471">
        <f t="shared" si="196"/>
        <v>0.05</v>
      </c>
      <c r="N5665" s="475">
        <f t="shared" si="197"/>
        <v>223469</v>
      </c>
    </row>
    <row r="5666" spans="7:14" ht="11.25" customHeight="1" x14ac:dyDescent="0.3">
      <c r="G5666" s="470"/>
      <c r="H5666" s="470">
        <v>5659</v>
      </c>
      <c r="I5666" s="455">
        <f t="shared" ca="1" si="195"/>
        <v>-7116116811888266</v>
      </c>
      <c r="J5666" s="455">
        <f t="array" ref="J5666">IFERROR(INDEX('Retirement Calculator'!K:K,MATCH('Lorri 401b'!N5666,'Retirement Calculator'!A:A,0),0),0)</f>
        <v>0</v>
      </c>
      <c r="K5666" s="455">
        <f t="shared" ca="1" si="193"/>
        <v>-29650486716201.109</v>
      </c>
      <c r="L5666" s="455">
        <f t="shared" ca="1" si="194"/>
        <v>-7145767298604467</v>
      </c>
      <c r="M5666" s="471">
        <f t="shared" si="196"/>
        <v>0.05</v>
      </c>
      <c r="N5666" s="475">
        <f t="shared" si="197"/>
        <v>223499</v>
      </c>
    </row>
    <row r="5667" spans="7:14" ht="11.25" customHeight="1" x14ac:dyDescent="0.3">
      <c r="G5667" s="470"/>
      <c r="H5667" s="470">
        <v>5660</v>
      </c>
      <c r="I5667" s="455">
        <f t="shared" ca="1" si="195"/>
        <v>-7145767298604467</v>
      </c>
      <c r="J5667" s="455">
        <f t="array" ref="J5667">IFERROR(INDEX('Retirement Calculator'!K:K,MATCH('Lorri 401b'!N5667,'Retirement Calculator'!A:A,0),0),0)</f>
        <v>0</v>
      </c>
      <c r="K5667" s="455">
        <f t="shared" ca="1" si="193"/>
        <v>-29774030410851.945</v>
      </c>
      <c r="L5667" s="455">
        <f t="shared" ca="1" si="194"/>
        <v>-7175541329015319</v>
      </c>
      <c r="M5667" s="471">
        <f t="shared" si="196"/>
        <v>0.05</v>
      </c>
      <c r="N5667" s="475">
        <f t="shared" si="197"/>
        <v>223530</v>
      </c>
    </row>
    <row r="5668" spans="7:14" ht="11.25" customHeight="1" x14ac:dyDescent="0.3">
      <c r="G5668" s="470"/>
      <c r="H5668" s="470">
        <v>5661</v>
      </c>
      <c r="I5668" s="455">
        <f t="shared" ca="1" si="195"/>
        <v>-7175541329015319</v>
      </c>
      <c r="J5668" s="455">
        <f t="array" ref="J5668">IFERROR(INDEX('Retirement Calculator'!K:K,MATCH('Lorri 401b'!N5668,'Retirement Calculator'!A:A,0),0),0)</f>
        <v>0</v>
      </c>
      <c r="K5668" s="455">
        <f t="shared" ca="1" si="193"/>
        <v>-29898088870897.16</v>
      </c>
      <c r="L5668" s="455">
        <f t="shared" ca="1" si="194"/>
        <v>-7205439417886216</v>
      </c>
      <c r="M5668" s="471">
        <f t="shared" si="196"/>
        <v>0.05</v>
      </c>
      <c r="N5668" s="475">
        <f t="shared" si="197"/>
        <v>223561</v>
      </c>
    </row>
    <row r="5669" spans="7:14" ht="11.25" customHeight="1" x14ac:dyDescent="0.3">
      <c r="G5669" s="470"/>
      <c r="H5669" s="470">
        <v>5662</v>
      </c>
      <c r="I5669" s="455">
        <f t="shared" ca="1" si="195"/>
        <v>-7205439417886216</v>
      </c>
      <c r="J5669" s="455">
        <f t="array" ref="J5669">IFERROR(INDEX('Retirement Calculator'!K:K,MATCH('Lorri 401b'!N5669,'Retirement Calculator'!A:A,0),0),0)</f>
        <v>0</v>
      </c>
      <c r="K5669" s="455">
        <f t="shared" ca="1" si="193"/>
        <v>-30022664241192.566</v>
      </c>
      <c r="L5669" s="455">
        <f t="shared" ca="1" si="194"/>
        <v>-7235462082127409</v>
      </c>
      <c r="M5669" s="471">
        <f t="shared" si="196"/>
        <v>0.05</v>
      </c>
      <c r="N5669" s="475">
        <f t="shared" si="197"/>
        <v>223590</v>
      </c>
    </row>
    <row r="5670" spans="7:14" ht="11.25" customHeight="1" x14ac:dyDescent="0.3">
      <c r="G5670" s="470"/>
      <c r="H5670" s="470">
        <v>5663</v>
      </c>
      <c r="I5670" s="455">
        <f t="shared" ca="1" si="195"/>
        <v>-7235462082127409</v>
      </c>
      <c r="J5670" s="455">
        <f t="array" ref="J5670">IFERROR(INDEX('Retirement Calculator'!K:K,MATCH('Lorri 401b'!N5670,'Retirement Calculator'!A:A,0),0),0)</f>
        <v>0</v>
      </c>
      <c r="K5670" s="455">
        <f t="shared" ca="1" si="193"/>
        <v>-30147758675530.875</v>
      </c>
      <c r="L5670" s="455">
        <f t="shared" ca="1" si="194"/>
        <v>-7265609840802940</v>
      </c>
      <c r="M5670" s="471">
        <f t="shared" si="196"/>
        <v>0.05</v>
      </c>
      <c r="N5670" s="475">
        <f t="shared" si="197"/>
        <v>223621</v>
      </c>
    </row>
    <row r="5671" spans="7:14" ht="11.25" customHeight="1" x14ac:dyDescent="0.3">
      <c r="G5671" s="470"/>
      <c r="H5671" s="470">
        <v>5664</v>
      </c>
      <c r="I5671" s="455">
        <f t="shared" ca="1" si="195"/>
        <v>-7265609840802940</v>
      </c>
      <c r="J5671" s="455">
        <f t="array" ref="J5671">IFERROR(INDEX('Retirement Calculator'!K:K,MATCH('Lorri 401b'!N5671,'Retirement Calculator'!A:A,0),0),0)</f>
        <v>0</v>
      </c>
      <c r="K5671" s="455">
        <f t="shared" ca="1" si="193"/>
        <v>-30273374336678.91</v>
      </c>
      <c r="L5671" s="455">
        <f t="shared" ca="1" si="194"/>
        <v>-7295883215139619</v>
      </c>
      <c r="M5671" s="471">
        <f t="shared" si="196"/>
        <v>0.05</v>
      </c>
      <c r="N5671" s="475">
        <f t="shared" si="197"/>
        <v>223651</v>
      </c>
    </row>
    <row r="5672" spans="7:14" ht="11.25" customHeight="1" x14ac:dyDescent="0.3">
      <c r="G5672" s="470"/>
      <c r="H5672" s="470">
        <v>5665</v>
      </c>
      <c r="I5672" s="455">
        <f t="shared" ca="1" si="195"/>
        <v>-7295883215139619</v>
      </c>
      <c r="J5672" s="455">
        <f t="array" ref="J5672">IFERROR(INDEX('Retirement Calculator'!K:K,MATCH('Lorri 401b'!N5672,'Retirement Calculator'!A:A,0),0),0)</f>
        <v>0</v>
      </c>
      <c r="K5672" s="455">
        <f t="shared" ca="1" si="193"/>
        <v>-30399513396415.082</v>
      </c>
      <c r="L5672" s="455">
        <f t="shared" ca="1" si="194"/>
        <v>-7326282728536034</v>
      </c>
      <c r="M5672" s="471">
        <f t="shared" si="196"/>
        <v>0.05</v>
      </c>
      <c r="N5672" s="475">
        <f t="shared" si="197"/>
        <v>223682</v>
      </c>
    </row>
    <row r="5673" spans="7:14" ht="11.25" customHeight="1" x14ac:dyDescent="0.3">
      <c r="G5673" s="470"/>
      <c r="H5673" s="470">
        <v>5666</v>
      </c>
      <c r="I5673" s="455">
        <f t="shared" ca="1" si="195"/>
        <v>-7326282728536034</v>
      </c>
      <c r="J5673" s="455">
        <f t="array" ref="J5673">IFERROR(INDEX('Retirement Calculator'!K:K,MATCH('Lorri 401b'!N5673,'Retirement Calculator'!A:A,0),0),0)</f>
        <v>0</v>
      </c>
      <c r="K5673" s="455">
        <f t="shared" ca="1" si="193"/>
        <v>-30526178035566.813</v>
      </c>
      <c r="L5673" s="455">
        <f t="shared" ca="1" si="194"/>
        <v>-7356808906571601</v>
      </c>
      <c r="M5673" s="471">
        <f t="shared" si="196"/>
        <v>0.05</v>
      </c>
      <c r="N5673" s="475">
        <f t="shared" si="197"/>
        <v>223712</v>
      </c>
    </row>
    <row r="5674" spans="7:14" ht="11.25" customHeight="1" x14ac:dyDescent="0.3">
      <c r="G5674" s="470"/>
      <c r="H5674" s="470">
        <v>5667</v>
      </c>
      <c r="I5674" s="455">
        <f t="shared" ca="1" si="195"/>
        <v>-7356808906571601</v>
      </c>
      <c r="J5674" s="455">
        <f t="array" ref="J5674">IFERROR(INDEX('Retirement Calculator'!K:K,MATCH('Lorri 401b'!N5674,'Retirement Calculator'!A:A,0),0),0)</f>
        <v>0</v>
      </c>
      <c r="K5674" s="455">
        <f t="shared" ca="1" si="193"/>
        <v>-30653370444048.336</v>
      </c>
      <c r="L5674" s="455">
        <f t="shared" ca="1" si="194"/>
        <v>-7387462277015649</v>
      </c>
      <c r="M5674" s="471">
        <f t="shared" si="196"/>
        <v>0.05</v>
      </c>
      <c r="N5674" s="475">
        <f t="shared" si="197"/>
        <v>223743</v>
      </c>
    </row>
    <row r="5675" spans="7:14" ht="11.25" customHeight="1" x14ac:dyDescent="0.3">
      <c r="G5675" s="470"/>
      <c r="H5675" s="470">
        <v>5668</v>
      </c>
      <c r="I5675" s="455">
        <f t="shared" ca="1" si="195"/>
        <v>-7387462277015649</v>
      </c>
      <c r="J5675" s="455">
        <f t="array" ref="J5675">IFERROR(INDEX('Retirement Calculator'!K:K,MATCH('Lorri 401b'!N5675,'Retirement Calculator'!A:A,0),0),0)</f>
        <v>0</v>
      </c>
      <c r="K5675" s="455">
        <f t="shared" ca="1" si="193"/>
        <v>-30781092820898.535</v>
      </c>
      <c r="L5675" s="455">
        <f t="shared" ca="1" si="194"/>
        <v>-7418243369836548</v>
      </c>
      <c r="M5675" s="471">
        <f t="shared" si="196"/>
        <v>0.05</v>
      </c>
      <c r="N5675" s="475">
        <f t="shared" si="197"/>
        <v>223774</v>
      </c>
    </row>
    <row r="5676" spans="7:14" ht="11.25" customHeight="1" x14ac:dyDescent="0.3">
      <c r="G5676" s="470"/>
      <c r="H5676" s="470">
        <v>5669</v>
      </c>
      <c r="I5676" s="455">
        <f t="shared" ca="1" si="195"/>
        <v>-7418243369836548</v>
      </c>
      <c r="J5676" s="455">
        <f t="array" ref="J5676">IFERROR(INDEX('Retirement Calculator'!K:K,MATCH('Lorri 401b'!N5676,'Retirement Calculator'!A:A,0),0),0)</f>
        <v>0</v>
      </c>
      <c r="K5676" s="455">
        <f t="shared" ca="1" si="193"/>
        <v>-30909347374318.949</v>
      </c>
      <c r="L5676" s="455">
        <f t="shared" ca="1" si="194"/>
        <v>-7449152717210867</v>
      </c>
      <c r="M5676" s="471">
        <f t="shared" si="196"/>
        <v>0.05</v>
      </c>
      <c r="N5676" s="475">
        <f t="shared" si="197"/>
        <v>223804</v>
      </c>
    </row>
    <row r="5677" spans="7:14" ht="11.25" customHeight="1" x14ac:dyDescent="0.3">
      <c r="G5677" s="470"/>
      <c r="H5677" s="470">
        <v>5670</v>
      </c>
      <c r="I5677" s="455">
        <f t="shared" ca="1" si="195"/>
        <v>-7449152717210867</v>
      </c>
      <c r="J5677" s="455">
        <f t="array" ref="J5677">IFERROR(INDEX('Retirement Calculator'!K:K,MATCH('Lorri 401b'!N5677,'Retirement Calculator'!A:A,0),0),0)</f>
        <v>0</v>
      </c>
      <c r="K5677" s="455">
        <f t="shared" ca="1" si="193"/>
        <v>-31038136321711.945</v>
      </c>
      <c r="L5677" s="455">
        <f t="shared" ca="1" si="194"/>
        <v>-7480190853532579</v>
      </c>
      <c r="M5677" s="471">
        <f t="shared" si="196"/>
        <v>0.05</v>
      </c>
      <c r="N5677" s="475">
        <f t="shared" si="197"/>
        <v>223835</v>
      </c>
    </row>
    <row r="5678" spans="7:14" ht="11.25" customHeight="1" x14ac:dyDescent="0.3">
      <c r="G5678" s="470"/>
      <c r="H5678" s="470">
        <v>5671</v>
      </c>
      <c r="I5678" s="455">
        <f t="shared" ca="1" si="195"/>
        <v>-7480190853532579</v>
      </c>
      <c r="J5678" s="455">
        <f t="array" ref="J5678">IFERROR(INDEX('Retirement Calculator'!K:K,MATCH('Lorri 401b'!N5678,'Retirement Calculator'!A:A,0),0),0)</f>
        <v>0</v>
      </c>
      <c r="K5678" s="455">
        <f t="shared" ca="1" si="193"/>
        <v>-31167461889719.078</v>
      </c>
      <c r="L5678" s="455">
        <f t="shared" ca="1" si="194"/>
        <v>-7511358315422298</v>
      </c>
      <c r="M5678" s="471">
        <f t="shared" si="196"/>
        <v>0.05</v>
      </c>
      <c r="N5678" s="475">
        <f t="shared" si="197"/>
        <v>223865</v>
      </c>
    </row>
    <row r="5679" spans="7:14" ht="11.25" customHeight="1" x14ac:dyDescent="0.3">
      <c r="G5679" s="470"/>
      <c r="H5679" s="470">
        <v>5672</v>
      </c>
      <c r="I5679" s="455">
        <f t="shared" ca="1" si="195"/>
        <v>-7511358315422298</v>
      </c>
      <c r="J5679" s="455">
        <f t="array" ref="J5679">IFERROR(INDEX('Retirement Calculator'!K:K,MATCH('Lorri 401b'!N5679,'Retirement Calculator'!A:A,0),0),0)</f>
        <v>0</v>
      </c>
      <c r="K5679" s="455">
        <f t="shared" ca="1" si="193"/>
        <v>-31297326314259.57</v>
      </c>
      <c r="L5679" s="455">
        <f t="shared" ca="1" si="194"/>
        <v>-7542655641736558</v>
      </c>
      <c r="M5679" s="471">
        <f t="shared" si="196"/>
        <v>0.05</v>
      </c>
      <c r="N5679" s="475">
        <f t="shared" si="197"/>
        <v>223896</v>
      </c>
    </row>
    <row r="5680" spans="7:14" ht="11.25" customHeight="1" x14ac:dyDescent="0.3">
      <c r="G5680" s="470"/>
      <c r="H5680" s="470">
        <v>5673</v>
      </c>
      <c r="I5680" s="455">
        <f t="shared" ca="1" si="195"/>
        <v>-7542655641736558</v>
      </c>
      <c r="J5680" s="455">
        <f t="array" ref="J5680">IFERROR(INDEX('Retirement Calculator'!K:K,MATCH('Lorri 401b'!N5680,'Retirement Calculator'!A:A,0),0),0)</f>
        <v>0</v>
      </c>
      <c r="K5680" s="455">
        <f t="shared" ca="1" si="193"/>
        <v>-31427731840568.992</v>
      </c>
      <c r="L5680" s="455">
        <f t="shared" ca="1" si="194"/>
        <v>-7574083373577127</v>
      </c>
      <c r="M5680" s="471">
        <f t="shared" si="196"/>
        <v>0.05</v>
      </c>
      <c r="N5680" s="475">
        <f t="shared" si="197"/>
        <v>223927</v>
      </c>
    </row>
    <row r="5681" spans="7:14" ht="11.25" customHeight="1" x14ac:dyDescent="0.3">
      <c r="G5681" s="470"/>
      <c r="H5681" s="470">
        <v>5674</v>
      </c>
      <c r="I5681" s="455">
        <f t="shared" ca="1" si="195"/>
        <v>-7574083373577127</v>
      </c>
      <c r="J5681" s="455">
        <f t="array" ref="J5681">IFERROR(INDEX('Retirement Calculator'!K:K,MATCH('Lorri 401b'!N5681,'Retirement Calculator'!A:A,0),0),0)</f>
        <v>0</v>
      </c>
      <c r="K5681" s="455">
        <f t="shared" ca="1" si="193"/>
        <v>-31558680723238.027</v>
      </c>
      <c r="L5681" s="455">
        <f t="shared" ca="1" si="194"/>
        <v>-7605642054300365</v>
      </c>
      <c r="M5681" s="471">
        <f t="shared" si="196"/>
        <v>0.05</v>
      </c>
      <c r="N5681" s="475">
        <f t="shared" si="197"/>
        <v>223955</v>
      </c>
    </row>
    <row r="5682" spans="7:14" ht="11.25" customHeight="1" x14ac:dyDescent="0.3">
      <c r="G5682" s="470"/>
      <c r="H5682" s="470">
        <v>5675</v>
      </c>
      <c r="I5682" s="455">
        <f t="shared" ca="1" si="195"/>
        <v>-7605642054300365</v>
      </c>
      <c r="J5682" s="455">
        <f t="array" ref="J5682">IFERROR(INDEX('Retirement Calculator'!K:K,MATCH('Lorri 401b'!N5682,'Retirement Calculator'!A:A,0),0),0)</f>
        <v>0</v>
      </c>
      <c r="K5682" s="455">
        <f t="shared" ca="1" si="193"/>
        <v>-31690175226251.523</v>
      </c>
      <c r="L5682" s="455">
        <f t="shared" ca="1" si="194"/>
        <v>-7637332229526617</v>
      </c>
      <c r="M5682" s="471">
        <f t="shared" si="196"/>
        <v>0.05</v>
      </c>
      <c r="N5682" s="475">
        <f t="shared" si="197"/>
        <v>223986</v>
      </c>
    </row>
    <row r="5683" spans="7:14" ht="11.25" customHeight="1" x14ac:dyDescent="0.3">
      <c r="G5683" s="470"/>
      <c r="H5683" s="470">
        <v>5676</v>
      </c>
      <c r="I5683" s="455">
        <f t="shared" ca="1" si="195"/>
        <v>-7637332229526617</v>
      </c>
      <c r="J5683" s="455">
        <f t="array" ref="J5683">IFERROR(INDEX('Retirement Calculator'!K:K,MATCH('Lorri 401b'!N5683,'Retirement Calculator'!A:A,0),0),0)</f>
        <v>0</v>
      </c>
      <c r="K5683" s="455">
        <f t="shared" ca="1" si="193"/>
        <v>-31822217623027.57</v>
      </c>
      <c r="L5683" s="455">
        <f t="shared" ca="1" si="194"/>
        <v>-7669154447149645</v>
      </c>
      <c r="M5683" s="471">
        <f t="shared" si="196"/>
        <v>0.05</v>
      </c>
      <c r="N5683" s="475">
        <f t="shared" si="197"/>
        <v>224016</v>
      </c>
    </row>
    <row r="5684" spans="7:14" ht="11.25" customHeight="1" x14ac:dyDescent="0.3">
      <c r="G5684" s="470"/>
      <c r="H5684" s="470">
        <v>5677</v>
      </c>
      <c r="I5684" s="455">
        <f t="shared" ca="1" si="195"/>
        <v>-7669154447149645</v>
      </c>
      <c r="J5684" s="455">
        <f t="array" ref="J5684">IFERROR(INDEX('Retirement Calculator'!K:K,MATCH('Lorri 401b'!N5684,'Retirement Calculator'!A:A,0),0),0)</f>
        <v>0</v>
      </c>
      <c r="K5684" s="455">
        <f t="shared" ca="1" si="193"/>
        <v>-31954810196456.855</v>
      </c>
      <c r="L5684" s="455">
        <f t="shared" ca="1" si="194"/>
        <v>-7701109257346102</v>
      </c>
      <c r="M5684" s="471">
        <f t="shared" si="196"/>
        <v>0.05</v>
      </c>
      <c r="N5684" s="475">
        <f t="shared" si="197"/>
        <v>224047</v>
      </c>
    </row>
    <row r="5685" spans="7:14" ht="11.25" customHeight="1" x14ac:dyDescent="0.3">
      <c r="G5685" s="470"/>
      <c r="H5685" s="470">
        <v>5678</v>
      </c>
      <c r="I5685" s="455">
        <f t="shared" ca="1" si="195"/>
        <v>-7701109257346102</v>
      </c>
      <c r="J5685" s="455">
        <f t="array" ref="J5685">IFERROR(INDEX('Retirement Calculator'!K:K,MATCH('Lorri 401b'!N5685,'Retirement Calculator'!A:A,0),0),0)</f>
        <v>0</v>
      </c>
      <c r="K5685" s="455">
        <f t="shared" ca="1" si="193"/>
        <v>-32087955238942.086</v>
      </c>
      <c r="L5685" s="455">
        <f t="shared" ca="1" si="194"/>
        <v>-7733197212585044</v>
      </c>
      <c r="M5685" s="471">
        <f t="shared" si="196"/>
        <v>0.05</v>
      </c>
      <c r="N5685" s="475">
        <f t="shared" si="197"/>
        <v>224077</v>
      </c>
    </row>
    <row r="5686" spans="7:14" ht="11.25" customHeight="1" x14ac:dyDescent="0.3">
      <c r="G5686" s="470"/>
      <c r="H5686" s="470">
        <v>5679</v>
      </c>
      <c r="I5686" s="455">
        <f t="shared" ca="1" si="195"/>
        <v>-7733197212585044</v>
      </c>
      <c r="J5686" s="455">
        <f t="array" ref="J5686">IFERROR(INDEX('Retirement Calculator'!K:K,MATCH('Lorri 401b'!N5686,'Retirement Calculator'!A:A,0),0),0)</f>
        <v>0</v>
      </c>
      <c r="K5686" s="455">
        <f t="shared" ca="1" si="193"/>
        <v>-32221655052437.684</v>
      </c>
      <c r="L5686" s="455">
        <f t="shared" ca="1" si="194"/>
        <v>-7765418867637482</v>
      </c>
      <c r="M5686" s="471">
        <f t="shared" si="196"/>
        <v>0.05</v>
      </c>
      <c r="N5686" s="475">
        <f t="shared" si="197"/>
        <v>224108</v>
      </c>
    </row>
    <row r="5687" spans="7:14" ht="11.25" customHeight="1" x14ac:dyDescent="0.3">
      <c r="G5687" s="470"/>
      <c r="H5687" s="470">
        <v>5680</v>
      </c>
      <c r="I5687" s="455">
        <f t="shared" ca="1" si="195"/>
        <v>-7765418867637482</v>
      </c>
      <c r="J5687" s="455">
        <f t="array" ref="J5687">IFERROR(INDEX('Retirement Calculator'!K:K,MATCH('Lorri 401b'!N5687,'Retirement Calculator'!A:A,0),0),0)</f>
        <v>0</v>
      </c>
      <c r="K5687" s="455">
        <f t="shared" ca="1" si="193"/>
        <v>-32355911948489.508</v>
      </c>
      <c r="L5687" s="455">
        <f t="shared" ca="1" si="194"/>
        <v>-7797774779585972</v>
      </c>
      <c r="M5687" s="471">
        <f t="shared" si="196"/>
        <v>0.05</v>
      </c>
      <c r="N5687" s="475">
        <f t="shared" si="197"/>
        <v>224139</v>
      </c>
    </row>
    <row r="5688" spans="7:14" ht="11.25" customHeight="1" x14ac:dyDescent="0.3">
      <c r="G5688" s="470"/>
      <c r="H5688" s="470">
        <v>5681</v>
      </c>
      <c r="I5688" s="455">
        <f t="shared" ca="1" si="195"/>
        <v>-7797774779585972</v>
      </c>
      <c r="J5688" s="455">
        <f t="array" ref="J5688">IFERROR(INDEX('Retirement Calculator'!K:K,MATCH('Lorri 401b'!N5688,'Retirement Calculator'!A:A,0),0),0)</f>
        <v>0</v>
      </c>
      <c r="K5688" s="455">
        <f t="shared" ca="1" si="193"/>
        <v>-32490728248274.883</v>
      </c>
      <c r="L5688" s="455">
        <f t="shared" ca="1" si="194"/>
        <v>-7830265507834247</v>
      </c>
      <c r="M5688" s="471">
        <f t="shared" si="196"/>
        <v>0.05</v>
      </c>
      <c r="N5688" s="475">
        <f t="shared" si="197"/>
        <v>224169</v>
      </c>
    </row>
    <row r="5689" spans="7:14" ht="11.25" customHeight="1" x14ac:dyDescent="0.3">
      <c r="G5689" s="470"/>
      <c r="H5689" s="470">
        <v>5682</v>
      </c>
      <c r="I5689" s="455">
        <f t="shared" ca="1" si="195"/>
        <v>-7830265507834247</v>
      </c>
      <c r="J5689" s="455">
        <f t="array" ref="J5689">IFERROR(INDEX('Retirement Calculator'!K:K,MATCH('Lorri 401b'!N5689,'Retirement Calculator'!A:A,0),0),0)</f>
        <v>0</v>
      </c>
      <c r="K5689" s="455">
        <f t="shared" ca="1" si="193"/>
        <v>-32626106282642.699</v>
      </c>
      <c r="L5689" s="455">
        <f t="shared" ca="1" si="194"/>
        <v>-7862891614116890</v>
      </c>
      <c r="M5689" s="471">
        <f t="shared" si="196"/>
        <v>0.05</v>
      </c>
      <c r="N5689" s="475">
        <f t="shared" si="197"/>
        <v>224200</v>
      </c>
    </row>
    <row r="5690" spans="7:14" ht="11.25" customHeight="1" x14ac:dyDescent="0.3">
      <c r="G5690" s="470"/>
      <c r="H5690" s="470">
        <v>5683</v>
      </c>
      <c r="I5690" s="455">
        <f t="shared" ca="1" si="195"/>
        <v>-7862891614116890</v>
      </c>
      <c r="J5690" s="455">
        <f t="array" ref="J5690">IFERROR(INDEX('Retirement Calculator'!K:K,MATCH('Lorri 401b'!N5690,'Retirement Calculator'!A:A,0),0),0)</f>
        <v>0</v>
      </c>
      <c r="K5690" s="455">
        <f t="shared" ca="1" si="193"/>
        <v>-32762048392153.707</v>
      </c>
      <c r="L5690" s="455">
        <f t="shared" ca="1" si="194"/>
        <v>-7895653662509044</v>
      </c>
      <c r="M5690" s="471">
        <f t="shared" si="196"/>
        <v>0.05</v>
      </c>
      <c r="N5690" s="475">
        <f t="shared" si="197"/>
        <v>224230</v>
      </c>
    </row>
    <row r="5691" spans="7:14" ht="11.25" customHeight="1" x14ac:dyDescent="0.3">
      <c r="G5691" s="470"/>
      <c r="H5691" s="470">
        <v>5684</v>
      </c>
      <c r="I5691" s="455">
        <f t="shared" ca="1" si="195"/>
        <v>-7895653662509044</v>
      </c>
      <c r="J5691" s="455">
        <f t="array" ref="J5691">IFERROR(INDEX('Retirement Calculator'!K:K,MATCH('Lorri 401b'!N5691,'Retirement Calculator'!A:A,0),0),0)</f>
        <v>0</v>
      </c>
      <c r="K5691" s="455">
        <f t="shared" ca="1" si="193"/>
        <v>-32898556927121.016</v>
      </c>
      <c r="L5691" s="455">
        <f t="shared" ca="1" si="194"/>
        <v>-7928552219436165</v>
      </c>
      <c r="M5691" s="471">
        <f t="shared" si="196"/>
        <v>0.05</v>
      </c>
      <c r="N5691" s="475">
        <f t="shared" si="197"/>
        <v>224261</v>
      </c>
    </row>
    <row r="5692" spans="7:14" ht="11.25" customHeight="1" x14ac:dyDescent="0.3">
      <c r="G5692" s="470"/>
      <c r="H5692" s="470">
        <v>5685</v>
      </c>
      <c r="I5692" s="455">
        <f t="shared" ca="1" si="195"/>
        <v>-7928552219436165</v>
      </c>
      <c r="J5692" s="455">
        <f t="array" ref="J5692">IFERROR(INDEX('Retirement Calculator'!K:K,MATCH('Lorri 401b'!N5692,'Retirement Calculator'!A:A,0),0),0)</f>
        <v>0</v>
      </c>
      <c r="K5692" s="455">
        <f t="shared" ca="1" si="193"/>
        <v>-33035634247650.688</v>
      </c>
      <c r="L5692" s="455">
        <f t="shared" ca="1" si="194"/>
        <v>-7961587853683816</v>
      </c>
      <c r="M5692" s="471">
        <f t="shared" si="196"/>
        <v>0.05</v>
      </c>
      <c r="N5692" s="475">
        <f t="shared" si="197"/>
        <v>224292</v>
      </c>
    </row>
    <row r="5693" spans="7:14" ht="11.25" customHeight="1" x14ac:dyDescent="0.3">
      <c r="G5693" s="470"/>
      <c r="H5693" s="470">
        <v>5686</v>
      </c>
      <c r="I5693" s="455">
        <f t="shared" ca="1" si="195"/>
        <v>-7961587853683816</v>
      </c>
      <c r="J5693" s="455">
        <f t="array" ref="J5693">IFERROR(INDEX('Retirement Calculator'!K:K,MATCH('Lorri 401b'!N5693,'Retirement Calculator'!A:A,0),0),0)</f>
        <v>0</v>
      </c>
      <c r="K5693" s="455">
        <f t="shared" ca="1" si="193"/>
        <v>-33173282723682.566</v>
      </c>
      <c r="L5693" s="455">
        <f t="shared" ca="1" si="194"/>
        <v>-7994761136407499</v>
      </c>
      <c r="M5693" s="471">
        <f t="shared" si="196"/>
        <v>0.05</v>
      </c>
      <c r="N5693" s="475">
        <f t="shared" si="197"/>
        <v>224320</v>
      </c>
    </row>
    <row r="5694" spans="7:14" ht="11.25" customHeight="1" x14ac:dyDescent="0.3">
      <c r="G5694" s="470"/>
      <c r="H5694" s="470">
        <v>5687</v>
      </c>
      <c r="I5694" s="455">
        <f t="shared" ca="1" si="195"/>
        <v>-7994761136407499</v>
      </c>
      <c r="J5694" s="455">
        <f t="array" ref="J5694">IFERROR(INDEX('Retirement Calculator'!K:K,MATCH('Lorri 401b'!N5694,'Retirement Calculator'!A:A,0),0),0)</f>
        <v>0</v>
      </c>
      <c r="K5694" s="455">
        <f t="shared" ca="1" si="193"/>
        <v>-33311504735031.246</v>
      </c>
      <c r="L5694" s="455">
        <f t="shared" ca="1" si="194"/>
        <v>-8028072641142530</v>
      </c>
      <c r="M5694" s="471">
        <f t="shared" si="196"/>
        <v>0.05</v>
      </c>
      <c r="N5694" s="475">
        <f t="shared" si="197"/>
        <v>224351</v>
      </c>
    </row>
    <row r="5695" spans="7:14" ht="11.25" customHeight="1" x14ac:dyDescent="0.3">
      <c r="G5695" s="470"/>
      <c r="H5695" s="470">
        <v>5688</v>
      </c>
      <c r="I5695" s="455">
        <f t="shared" ca="1" si="195"/>
        <v>-8028072641142530</v>
      </c>
      <c r="J5695" s="455">
        <f t="array" ref="J5695">IFERROR(INDEX('Retirement Calculator'!K:K,MATCH('Lorri 401b'!N5695,'Retirement Calculator'!A:A,0),0),0)</f>
        <v>0</v>
      </c>
      <c r="K5695" s="455">
        <f t="shared" ca="1" si="193"/>
        <v>-33450302671427.211</v>
      </c>
      <c r="L5695" s="455">
        <f t="shared" ca="1" si="194"/>
        <v>-8061522943813957</v>
      </c>
      <c r="M5695" s="471">
        <f t="shared" si="196"/>
        <v>0.05</v>
      </c>
      <c r="N5695" s="475">
        <f t="shared" si="197"/>
        <v>224381</v>
      </c>
    </row>
    <row r="5696" spans="7:14" ht="11.25" customHeight="1" x14ac:dyDescent="0.3">
      <c r="G5696" s="470"/>
      <c r="H5696" s="470">
        <v>5689</v>
      </c>
      <c r="I5696" s="455">
        <f t="shared" ca="1" si="195"/>
        <v>-8061522943813957</v>
      </c>
      <c r="J5696" s="455">
        <f t="array" ref="J5696">IFERROR(INDEX('Retirement Calculator'!K:K,MATCH('Lorri 401b'!N5696,'Retirement Calculator'!A:A,0),0),0)</f>
        <v>0</v>
      </c>
      <c r="K5696" s="455">
        <f t="shared" ca="1" si="193"/>
        <v>-33589678932558.148</v>
      </c>
      <c r="L5696" s="455">
        <f t="shared" ca="1" si="194"/>
        <v>-8095112622746515</v>
      </c>
      <c r="M5696" s="471">
        <f t="shared" si="196"/>
        <v>0.05</v>
      </c>
      <c r="N5696" s="475">
        <f t="shared" si="197"/>
        <v>224412</v>
      </c>
    </row>
    <row r="5697" spans="7:14" ht="11.25" customHeight="1" x14ac:dyDescent="0.3">
      <c r="G5697" s="470"/>
      <c r="H5697" s="470">
        <v>5690</v>
      </c>
      <c r="I5697" s="455">
        <f t="shared" ca="1" si="195"/>
        <v>-8095112622746515</v>
      </c>
      <c r="J5697" s="455">
        <f t="array" ref="J5697">IFERROR(INDEX('Retirement Calculator'!K:K,MATCH('Lorri 401b'!N5697,'Retirement Calculator'!A:A,0),0),0)</f>
        <v>0</v>
      </c>
      <c r="K5697" s="455">
        <f t="shared" ca="1" si="193"/>
        <v>-33729635928110.48</v>
      </c>
      <c r="L5697" s="455">
        <f t="shared" ca="1" si="194"/>
        <v>-8128842258674625</v>
      </c>
      <c r="M5697" s="471">
        <f t="shared" si="196"/>
        <v>0.05</v>
      </c>
      <c r="N5697" s="475">
        <f t="shared" si="197"/>
        <v>224442</v>
      </c>
    </row>
    <row r="5698" spans="7:14" ht="11.25" customHeight="1" x14ac:dyDescent="0.3">
      <c r="G5698" s="470"/>
      <c r="H5698" s="470">
        <v>5691</v>
      </c>
      <c r="I5698" s="455">
        <f t="shared" ca="1" si="195"/>
        <v>-8128842258674625</v>
      </c>
      <c r="J5698" s="455">
        <f t="array" ref="J5698">IFERROR(INDEX('Retirement Calculator'!K:K,MATCH('Lorri 401b'!N5698,'Retirement Calculator'!A:A,0),0),0)</f>
        <v>0</v>
      </c>
      <c r="K5698" s="455">
        <f t="shared" ca="1" si="193"/>
        <v>-33870176077810.938</v>
      </c>
      <c r="L5698" s="455">
        <f t="shared" ca="1" si="194"/>
        <v>-8162712434752436</v>
      </c>
      <c r="M5698" s="471">
        <f t="shared" si="196"/>
        <v>0.05</v>
      </c>
      <c r="N5698" s="475">
        <f t="shared" si="197"/>
        <v>224473</v>
      </c>
    </row>
    <row r="5699" spans="7:14" ht="11.25" customHeight="1" x14ac:dyDescent="0.3">
      <c r="G5699" s="470"/>
      <c r="H5699" s="470">
        <v>5692</v>
      </c>
      <c r="I5699" s="455">
        <f t="shared" ca="1" si="195"/>
        <v>-8162712434752436</v>
      </c>
      <c r="J5699" s="455">
        <f t="array" ref="J5699">IFERROR(INDEX('Retirement Calculator'!K:K,MATCH('Lorri 401b'!N5699,'Retirement Calculator'!A:A,0),0),0)</f>
        <v>0</v>
      </c>
      <c r="K5699" s="455">
        <f t="shared" ca="1" si="193"/>
        <v>-34011301811468.484</v>
      </c>
      <c r="L5699" s="455">
        <f t="shared" ca="1" si="194"/>
        <v>-8196723736563904</v>
      </c>
      <c r="M5699" s="471">
        <f t="shared" si="196"/>
        <v>0.05</v>
      </c>
      <c r="N5699" s="475">
        <f t="shared" si="197"/>
        <v>224504</v>
      </c>
    </row>
    <row r="5700" spans="7:14" ht="11.25" customHeight="1" x14ac:dyDescent="0.3">
      <c r="G5700" s="470"/>
      <c r="H5700" s="470">
        <v>5693</v>
      </c>
      <c r="I5700" s="455">
        <f t="shared" ca="1" si="195"/>
        <v>-8196723736563904</v>
      </c>
      <c r="J5700" s="455">
        <f t="array" ref="J5700">IFERROR(INDEX('Retirement Calculator'!K:K,MATCH('Lorri 401b'!N5700,'Retirement Calculator'!A:A,0),0),0)</f>
        <v>0</v>
      </c>
      <c r="K5700" s="455">
        <f t="shared" ca="1" si="193"/>
        <v>-34153015569016.266</v>
      </c>
      <c r="L5700" s="455">
        <f t="shared" ca="1" si="194"/>
        <v>-8230876752132920</v>
      </c>
      <c r="M5700" s="471">
        <f t="shared" si="196"/>
        <v>0.05</v>
      </c>
      <c r="N5700" s="475">
        <f t="shared" si="197"/>
        <v>224534</v>
      </c>
    </row>
    <row r="5701" spans="7:14" ht="11.25" customHeight="1" x14ac:dyDescent="0.3">
      <c r="G5701" s="470"/>
      <c r="H5701" s="470">
        <v>5694</v>
      </c>
      <c r="I5701" s="455">
        <f t="shared" ca="1" si="195"/>
        <v>-8230876752132920</v>
      </c>
      <c r="J5701" s="455">
        <f t="array" ref="J5701">IFERROR(INDEX('Retirement Calculator'!K:K,MATCH('Lorri 401b'!N5701,'Retirement Calculator'!A:A,0),0),0)</f>
        <v>0</v>
      </c>
      <c r="K5701" s="455">
        <f t="shared" ca="1" si="193"/>
        <v>-34295319800553.832</v>
      </c>
      <c r="L5701" s="455">
        <f t="shared" ca="1" si="194"/>
        <v>-8265172071933474</v>
      </c>
      <c r="M5701" s="471">
        <f t="shared" si="196"/>
        <v>0.05</v>
      </c>
      <c r="N5701" s="475">
        <f t="shared" si="197"/>
        <v>224565</v>
      </c>
    </row>
    <row r="5702" spans="7:14" ht="11.25" customHeight="1" x14ac:dyDescent="0.3">
      <c r="G5702" s="470"/>
      <c r="H5702" s="470">
        <v>5695</v>
      </c>
      <c r="I5702" s="455">
        <f t="shared" ca="1" si="195"/>
        <v>-8265172071933474</v>
      </c>
      <c r="J5702" s="455">
        <f t="array" ref="J5702">IFERROR(INDEX('Retirement Calculator'!K:K,MATCH('Lorri 401b'!N5702,'Retirement Calculator'!A:A,0),0),0)</f>
        <v>0</v>
      </c>
      <c r="K5702" s="455">
        <f t="shared" ca="1" si="193"/>
        <v>-34438216966389.473</v>
      </c>
      <c r="L5702" s="455">
        <f t="shared" ca="1" si="194"/>
        <v>-8299610288899863</v>
      </c>
      <c r="M5702" s="471">
        <f t="shared" si="196"/>
        <v>0.05</v>
      </c>
      <c r="N5702" s="475">
        <f t="shared" si="197"/>
        <v>224595</v>
      </c>
    </row>
    <row r="5703" spans="7:14" ht="11.25" customHeight="1" x14ac:dyDescent="0.3">
      <c r="G5703" s="470"/>
      <c r="H5703" s="470">
        <v>5696</v>
      </c>
      <c r="I5703" s="455">
        <f t="shared" ca="1" si="195"/>
        <v>-8299610288899863</v>
      </c>
      <c r="J5703" s="455">
        <f t="array" ref="J5703">IFERROR(INDEX('Retirement Calculator'!K:K,MATCH('Lorri 401b'!N5703,'Retirement Calculator'!A:A,0),0),0)</f>
        <v>0</v>
      </c>
      <c r="K5703" s="455">
        <f t="shared" ca="1" si="193"/>
        <v>-34581709537082.762</v>
      </c>
      <c r="L5703" s="455">
        <f t="shared" ca="1" si="194"/>
        <v>-8334191998436946</v>
      </c>
      <c r="M5703" s="471">
        <f t="shared" si="196"/>
        <v>0.05</v>
      </c>
      <c r="N5703" s="475">
        <f t="shared" si="197"/>
        <v>224626</v>
      </c>
    </row>
    <row r="5704" spans="7:14" ht="11.25" customHeight="1" x14ac:dyDescent="0.3">
      <c r="G5704" s="470"/>
      <c r="H5704" s="470">
        <v>5697</v>
      </c>
      <c r="I5704" s="455">
        <f t="shared" ca="1" si="195"/>
        <v>-8334191998436946</v>
      </c>
      <c r="J5704" s="455">
        <f t="array" ref="J5704">IFERROR(INDEX('Retirement Calculator'!K:K,MATCH('Lorri 401b'!N5704,'Retirement Calculator'!A:A,0),0),0)</f>
        <v>0</v>
      </c>
      <c r="K5704" s="455">
        <f t="shared" ca="1" si="193"/>
        <v>-34725799993487.273</v>
      </c>
      <c r="L5704" s="455">
        <f t="shared" ca="1" si="194"/>
        <v>-8368917798430433</v>
      </c>
      <c r="M5704" s="471">
        <f t="shared" si="196"/>
        <v>0.05</v>
      </c>
      <c r="N5704" s="475">
        <f t="shared" si="197"/>
        <v>224657</v>
      </c>
    </row>
    <row r="5705" spans="7:14" ht="11.25" customHeight="1" x14ac:dyDescent="0.3">
      <c r="G5705" s="470"/>
      <c r="H5705" s="470">
        <v>5698</v>
      </c>
      <c r="I5705" s="455">
        <f t="shared" ca="1" si="195"/>
        <v>-8368917798430433</v>
      </c>
      <c r="J5705" s="455">
        <f t="array" ref="J5705">IFERROR(INDEX('Retirement Calculator'!K:K,MATCH('Lorri 401b'!N5705,'Retirement Calculator'!A:A,0),0),0)</f>
        <v>0</v>
      </c>
      <c r="K5705" s="455">
        <f t="shared" ca="1" si="193"/>
        <v>-34870490826793.469</v>
      </c>
      <c r="L5705" s="455">
        <f t="shared" ca="1" si="194"/>
        <v>-8403788289257226</v>
      </c>
      <c r="M5705" s="471">
        <f t="shared" si="196"/>
        <v>0.05</v>
      </c>
      <c r="N5705" s="475">
        <f t="shared" si="197"/>
        <v>224685</v>
      </c>
    </row>
    <row r="5706" spans="7:14" ht="11.25" customHeight="1" x14ac:dyDescent="0.3">
      <c r="G5706" s="470"/>
      <c r="H5706" s="470">
        <v>5699</v>
      </c>
      <c r="I5706" s="455">
        <f t="shared" ca="1" si="195"/>
        <v>-8403788289257226</v>
      </c>
      <c r="J5706" s="455">
        <f t="array" ref="J5706">IFERROR(INDEX('Retirement Calculator'!K:K,MATCH('Lorri 401b'!N5706,'Retirement Calculator'!A:A,0),0),0)</f>
        <v>0</v>
      </c>
      <c r="K5706" s="455">
        <f t="shared" ca="1" si="193"/>
        <v>-35015784538571.773</v>
      </c>
      <c r="L5706" s="455">
        <f t="shared" ca="1" si="194"/>
        <v>-8438804073795798</v>
      </c>
      <c r="M5706" s="471">
        <f t="shared" si="196"/>
        <v>0.05</v>
      </c>
      <c r="N5706" s="475">
        <f t="shared" si="197"/>
        <v>224716</v>
      </c>
    </row>
    <row r="5707" spans="7:14" ht="11.25" customHeight="1" x14ac:dyDescent="0.3">
      <c r="G5707" s="470"/>
      <c r="H5707" s="470">
        <v>5700</v>
      </c>
      <c r="I5707" s="455">
        <f t="shared" ca="1" si="195"/>
        <v>-8438804073795798</v>
      </c>
      <c r="J5707" s="455">
        <f t="array" ref="J5707">IFERROR(INDEX('Retirement Calculator'!K:K,MATCH('Lorri 401b'!N5707,'Retirement Calculator'!A:A,0),0),0)</f>
        <v>0</v>
      </c>
      <c r="K5707" s="455">
        <f t="shared" ca="1" si="193"/>
        <v>-35161683640815.824</v>
      </c>
      <c r="L5707" s="455">
        <f t="shared" ca="1" si="194"/>
        <v>-8473965757436614</v>
      </c>
      <c r="M5707" s="471">
        <f t="shared" si="196"/>
        <v>0.05</v>
      </c>
      <c r="N5707" s="475">
        <f t="shared" si="197"/>
        <v>224746</v>
      </c>
    </row>
    <row r="5708" spans="7:14" ht="11.25" customHeight="1" x14ac:dyDescent="0.3">
      <c r="G5708" s="470"/>
      <c r="H5708" s="470">
        <v>5701</v>
      </c>
      <c r="I5708" s="455">
        <f t="shared" ca="1" si="195"/>
        <v>-8473965757436614</v>
      </c>
      <c r="J5708" s="455">
        <f t="array" ref="J5708">IFERROR(INDEX('Retirement Calculator'!K:K,MATCH('Lorri 401b'!N5708,'Retirement Calculator'!A:A,0),0),0)</f>
        <v>0</v>
      </c>
      <c r="K5708" s="455">
        <f t="shared" ca="1" si="193"/>
        <v>-35308190655985.891</v>
      </c>
      <c r="L5708" s="455">
        <f t="shared" ca="1" si="194"/>
        <v>-8509273948092600</v>
      </c>
      <c r="M5708" s="471">
        <f t="shared" si="196"/>
        <v>0.05</v>
      </c>
      <c r="N5708" s="475">
        <f t="shared" si="197"/>
        <v>224777</v>
      </c>
    </row>
    <row r="5709" spans="7:14" ht="11.25" customHeight="1" x14ac:dyDescent="0.3">
      <c r="G5709" s="470"/>
      <c r="H5709" s="470">
        <v>5702</v>
      </c>
      <c r="I5709" s="455">
        <f t="shared" ca="1" si="195"/>
        <v>-8509273948092600</v>
      </c>
      <c r="J5709" s="455">
        <f t="array" ref="J5709">IFERROR(INDEX('Retirement Calculator'!K:K,MATCH('Lorri 401b'!N5709,'Retirement Calculator'!A:A,0),0),0)</f>
        <v>0</v>
      </c>
      <c r="K5709" s="455">
        <f t="shared" ca="1" si="193"/>
        <v>-35455308117052.5</v>
      </c>
      <c r="L5709" s="455">
        <f t="shared" ca="1" si="194"/>
        <v>-8544729256209652</v>
      </c>
      <c r="M5709" s="471">
        <f t="shared" si="196"/>
        <v>0.05</v>
      </c>
      <c r="N5709" s="475">
        <f t="shared" si="197"/>
        <v>224807</v>
      </c>
    </row>
    <row r="5710" spans="7:14" ht="11.25" customHeight="1" x14ac:dyDescent="0.3">
      <c r="G5710" s="470"/>
      <c r="H5710" s="470">
        <v>5703</v>
      </c>
      <c r="I5710" s="455">
        <f t="shared" ca="1" si="195"/>
        <v>-8544729256209652</v>
      </c>
      <c r="J5710" s="455">
        <f t="array" ref="J5710">IFERROR(INDEX('Retirement Calculator'!K:K,MATCH('Lorri 401b'!N5710,'Retirement Calculator'!A:A,0),0),0)</f>
        <v>0</v>
      </c>
      <c r="K5710" s="455">
        <f t="shared" ca="1" si="193"/>
        <v>-35603038567540.211</v>
      </c>
      <c r="L5710" s="455">
        <f t="shared" ca="1" si="194"/>
        <v>-8580332294777192</v>
      </c>
      <c r="M5710" s="471">
        <f t="shared" si="196"/>
        <v>0.05</v>
      </c>
      <c r="N5710" s="475">
        <f t="shared" si="197"/>
        <v>224838</v>
      </c>
    </row>
    <row r="5711" spans="7:14" ht="11.25" customHeight="1" x14ac:dyDescent="0.3">
      <c r="G5711" s="470"/>
      <c r="H5711" s="470">
        <v>5704</v>
      </c>
      <c r="I5711" s="455">
        <f t="shared" ca="1" si="195"/>
        <v>-8580332294777192</v>
      </c>
      <c r="J5711" s="455">
        <f t="array" ref="J5711">IFERROR(INDEX('Retirement Calculator'!K:K,MATCH('Lorri 401b'!N5711,'Retirement Calculator'!A:A,0),0),0)</f>
        <v>0</v>
      </c>
      <c r="K5711" s="455">
        <f t="shared" ca="1" si="193"/>
        <v>-35751384561571.633</v>
      </c>
      <c r="L5711" s="455">
        <f t="shared" ca="1" si="194"/>
        <v>-8616083679338764</v>
      </c>
      <c r="M5711" s="471">
        <f t="shared" si="196"/>
        <v>0.05</v>
      </c>
      <c r="N5711" s="475">
        <f t="shared" si="197"/>
        <v>224869</v>
      </c>
    </row>
    <row r="5712" spans="7:14" ht="11.25" customHeight="1" x14ac:dyDescent="0.3">
      <c r="G5712" s="470"/>
      <c r="H5712" s="470">
        <v>5705</v>
      </c>
      <c r="I5712" s="455">
        <f t="shared" ca="1" si="195"/>
        <v>-8616083679338764</v>
      </c>
      <c r="J5712" s="455">
        <f t="array" ref="J5712">IFERROR(INDEX('Retirement Calculator'!K:K,MATCH('Lorri 401b'!N5712,'Retirement Calculator'!A:A,0),0),0)</f>
        <v>0</v>
      </c>
      <c r="K5712" s="455">
        <f t="shared" ca="1" si="193"/>
        <v>-35900348663911.516</v>
      </c>
      <c r="L5712" s="455">
        <f t="shared" ca="1" si="194"/>
        <v>-8651984028002676</v>
      </c>
      <c r="M5712" s="471">
        <f t="shared" si="196"/>
        <v>0.05</v>
      </c>
      <c r="N5712" s="475">
        <f t="shared" si="197"/>
        <v>224899</v>
      </c>
    </row>
    <row r="5713" spans="7:14" ht="11.25" customHeight="1" x14ac:dyDescent="0.3">
      <c r="G5713" s="470"/>
      <c r="H5713" s="470">
        <v>5706</v>
      </c>
      <c r="I5713" s="455">
        <f t="shared" ca="1" si="195"/>
        <v>-8651984028002676</v>
      </c>
      <c r="J5713" s="455">
        <f t="array" ref="J5713">IFERROR(INDEX('Retirement Calculator'!K:K,MATCH('Lorri 401b'!N5713,'Retirement Calculator'!A:A,0),0),0)</f>
        <v>0</v>
      </c>
      <c r="K5713" s="455">
        <f t="shared" ca="1" si="193"/>
        <v>-36049933450011.148</v>
      </c>
      <c r="L5713" s="455">
        <f t="shared" ca="1" si="194"/>
        <v>-8688033961452687</v>
      </c>
      <c r="M5713" s="471">
        <f t="shared" si="196"/>
        <v>0.05</v>
      </c>
      <c r="N5713" s="475">
        <f t="shared" si="197"/>
        <v>224930</v>
      </c>
    </row>
    <row r="5714" spans="7:14" ht="11.25" customHeight="1" x14ac:dyDescent="0.3">
      <c r="G5714" s="470"/>
      <c r="H5714" s="470">
        <v>5707</v>
      </c>
      <c r="I5714" s="455">
        <f t="shared" ca="1" si="195"/>
        <v>-8688033961452687</v>
      </c>
      <c r="J5714" s="455">
        <f t="array" ref="J5714">IFERROR(INDEX('Retirement Calculator'!K:K,MATCH('Lorri 401b'!N5714,'Retirement Calculator'!A:A,0),0),0)</f>
        <v>0</v>
      </c>
      <c r="K5714" s="455">
        <f t="shared" ca="1" si="193"/>
        <v>-36200141506052.859</v>
      </c>
      <c r="L5714" s="455">
        <f t="shared" ca="1" si="194"/>
        <v>-8724234102958740</v>
      </c>
      <c r="M5714" s="471">
        <f t="shared" si="196"/>
        <v>0.05</v>
      </c>
      <c r="N5714" s="475">
        <f t="shared" si="197"/>
        <v>224960</v>
      </c>
    </row>
    <row r="5715" spans="7:14" ht="11.25" customHeight="1" x14ac:dyDescent="0.3">
      <c r="G5715" s="470"/>
      <c r="H5715" s="470">
        <v>5708</v>
      </c>
      <c r="I5715" s="455">
        <f t="shared" ca="1" si="195"/>
        <v>-8724234102958740</v>
      </c>
      <c r="J5715" s="455">
        <f t="array" ref="J5715">IFERROR(INDEX('Retirement Calculator'!K:K,MATCH('Lorri 401b'!N5715,'Retirement Calculator'!A:A,0),0),0)</f>
        <v>0</v>
      </c>
      <c r="K5715" s="455">
        <f t="shared" ca="1" si="193"/>
        <v>-36350975428994.742</v>
      </c>
      <c r="L5715" s="455">
        <f t="shared" ca="1" si="194"/>
        <v>-8760585078387735</v>
      </c>
      <c r="M5715" s="471">
        <f t="shared" si="196"/>
        <v>0.05</v>
      </c>
      <c r="N5715" s="475">
        <f t="shared" si="197"/>
        <v>224991</v>
      </c>
    </row>
    <row r="5716" spans="7:14" ht="11.25" customHeight="1" x14ac:dyDescent="0.3">
      <c r="G5716" s="470"/>
      <c r="H5716" s="470">
        <v>5709</v>
      </c>
      <c r="I5716" s="455">
        <f t="shared" ca="1" si="195"/>
        <v>-8760585078387735</v>
      </c>
      <c r="J5716" s="455">
        <f t="array" ref="J5716">IFERROR(INDEX('Retirement Calculator'!K:K,MATCH('Lorri 401b'!N5716,'Retirement Calculator'!A:A,0),0),0)</f>
        <v>0</v>
      </c>
      <c r="K5716" s="455">
        <f t="shared" ca="1" si="193"/>
        <v>-36502437826615.563</v>
      </c>
      <c r="L5716" s="455">
        <f t="shared" ca="1" si="194"/>
        <v>-8797087516214351</v>
      </c>
      <c r="M5716" s="471">
        <f t="shared" si="196"/>
        <v>0.05</v>
      </c>
      <c r="N5716" s="475">
        <f t="shared" si="197"/>
        <v>225022</v>
      </c>
    </row>
    <row r="5717" spans="7:14" ht="11.25" customHeight="1" x14ac:dyDescent="0.3">
      <c r="G5717" s="470"/>
      <c r="H5717" s="470">
        <v>5710</v>
      </c>
      <c r="I5717" s="455">
        <f t="shared" ca="1" si="195"/>
        <v>-8797087516214351</v>
      </c>
      <c r="J5717" s="455">
        <f t="array" ref="J5717">IFERROR(INDEX('Retirement Calculator'!K:K,MATCH('Lorri 401b'!N5717,'Retirement Calculator'!A:A,0),0),0)</f>
        <v>0</v>
      </c>
      <c r="K5717" s="455">
        <f t="shared" ca="1" si="193"/>
        <v>-36654531317559.797</v>
      </c>
      <c r="L5717" s="455">
        <f t="shared" ca="1" si="194"/>
        <v>-8833742047531911</v>
      </c>
      <c r="M5717" s="471">
        <f t="shared" si="196"/>
        <v>0.05</v>
      </c>
      <c r="N5717" s="475">
        <f t="shared" si="197"/>
        <v>225051</v>
      </c>
    </row>
    <row r="5718" spans="7:14" ht="11.25" customHeight="1" x14ac:dyDescent="0.3">
      <c r="G5718" s="470"/>
      <c r="H5718" s="470">
        <v>5711</v>
      </c>
      <c r="I5718" s="455">
        <f t="shared" ca="1" si="195"/>
        <v>-8833742047531911</v>
      </c>
      <c r="J5718" s="455">
        <f t="array" ref="J5718">IFERROR(INDEX('Retirement Calculator'!K:K,MATCH('Lorri 401b'!N5718,'Retirement Calculator'!A:A,0),0),0)</f>
        <v>0</v>
      </c>
      <c r="K5718" s="455">
        <f t="shared" ca="1" si="193"/>
        <v>-36807258531382.961</v>
      </c>
      <c r="L5718" s="455">
        <f t="shared" ca="1" si="194"/>
        <v>-8870549306063294</v>
      </c>
      <c r="M5718" s="471">
        <f t="shared" si="196"/>
        <v>0.05</v>
      </c>
      <c r="N5718" s="475">
        <f t="shared" si="197"/>
        <v>225082</v>
      </c>
    </row>
    <row r="5719" spans="7:14" ht="11.25" customHeight="1" x14ac:dyDescent="0.3">
      <c r="G5719" s="470"/>
      <c r="H5719" s="470">
        <v>5712</v>
      </c>
      <c r="I5719" s="455">
        <f t="shared" ca="1" si="195"/>
        <v>-8870549306063294</v>
      </c>
      <c r="J5719" s="455">
        <f t="array" ref="J5719">IFERROR(INDEX('Retirement Calculator'!K:K,MATCH('Lorri 401b'!N5719,'Retirement Calculator'!A:A,0),0),0)</f>
        <v>0</v>
      </c>
      <c r="K5719" s="455">
        <f t="shared" ca="1" si="193"/>
        <v>-36960622108597.055</v>
      </c>
      <c r="L5719" s="455">
        <f t="shared" ca="1" si="194"/>
        <v>-8907509928171891</v>
      </c>
      <c r="M5719" s="471">
        <f t="shared" si="196"/>
        <v>0.05</v>
      </c>
      <c r="N5719" s="475">
        <f t="shared" si="197"/>
        <v>225112</v>
      </c>
    </row>
    <row r="5720" spans="7:14" ht="11.25" customHeight="1" x14ac:dyDescent="0.3">
      <c r="G5720" s="470"/>
      <c r="H5720" s="470">
        <v>5713</v>
      </c>
      <c r="I5720" s="455">
        <f t="shared" ca="1" si="195"/>
        <v>-8907509928171891</v>
      </c>
      <c r="J5720" s="455">
        <f t="array" ref="J5720">IFERROR(INDEX('Retirement Calculator'!K:K,MATCH('Lorri 401b'!N5720,'Retirement Calculator'!A:A,0),0),0)</f>
        <v>0</v>
      </c>
      <c r="K5720" s="455">
        <f t="shared" ca="1" si="193"/>
        <v>-37114624700716.211</v>
      </c>
      <c r="L5720" s="455">
        <f t="shared" ca="1" si="194"/>
        <v>-8944624552872607</v>
      </c>
      <c r="M5720" s="471">
        <f t="shared" si="196"/>
        <v>0.05</v>
      </c>
      <c r="N5720" s="475">
        <f t="shared" si="197"/>
        <v>225143</v>
      </c>
    </row>
    <row r="5721" spans="7:14" ht="11.25" customHeight="1" x14ac:dyDescent="0.3">
      <c r="G5721" s="470"/>
      <c r="H5721" s="470">
        <v>5714</v>
      </c>
      <c r="I5721" s="455">
        <f t="shared" ca="1" si="195"/>
        <v>-8944624552872607</v>
      </c>
      <c r="J5721" s="455">
        <f t="array" ref="J5721">IFERROR(INDEX('Retirement Calculator'!K:K,MATCH('Lorri 401b'!N5721,'Retirement Calculator'!A:A,0),0),0)</f>
        <v>0</v>
      </c>
      <c r="K5721" s="455">
        <f t="shared" ca="1" si="193"/>
        <v>-37269268970302.523</v>
      </c>
      <c r="L5721" s="455">
        <f t="shared" ca="1" si="194"/>
        <v>-8981893821842910</v>
      </c>
      <c r="M5721" s="471">
        <f t="shared" si="196"/>
        <v>0.05</v>
      </c>
      <c r="N5721" s="475">
        <f t="shared" si="197"/>
        <v>225173</v>
      </c>
    </row>
    <row r="5722" spans="7:14" ht="11.25" customHeight="1" x14ac:dyDescent="0.3">
      <c r="G5722" s="470"/>
      <c r="H5722" s="470">
        <v>5715</v>
      </c>
      <c r="I5722" s="455">
        <f t="shared" ca="1" si="195"/>
        <v>-8981893821842910</v>
      </c>
      <c r="J5722" s="455">
        <f t="array" ref="J5722">IFERROR(INDEX('Retirement Calculator'!K:K,MATCH('Lorri 401b'!N5722,'Retirement Calculator'!A:A,0),0),0)</f>
        <v>0</v>
      </c>
      <c r="K5722" s="455">
        <f t="shared" ca="1" si="193"/>
        <v>-37424557591012.125</v>
      </c>
      <c r="L5722" s="455">
        <f t="shared" ca="1" si="194"/>
        <v>-9019318379433922</v>
      </c>
      <c r="M5722" s="471">
        <f t="shared" si="196"/>
        <v>0.05</v>
      </c>
      <c r="N5722" s="475">
        <f t="shared" si="197"/>
        <v>225204</v>
      </c>
    </row>
    <row r="5723" spans="7:14" ht="11.25" customHeight="1" x14ac:dyDescent="0.3">
      <c r="G5723" s="470"/>
      <c r="H5723" s="470">
        <v>5716</v>
      </c>
      <c r="I5723" s="455">
        <f t="shared" ca="1" si="195"/>
        <v>-9019318379433922</v>
      </c>
      <c r="J5723" s="455">
        <f t="array" ref="J5723">IFERROR(INDEX('Retirement Calculator'!K:K,MATCH('Lorri 401b'!N5723,'Retirement Calculator'!A:A,0),0),0)</f>
        <v>0</v>
      </c>
      <c r="K5723" s="455">
        <f t="shared" ca="1" si="193"/>
        <v>-37580493247641.344</v>
      </c>
      <c r="L5723" s="455">
        <f t="shared" ca="1" si="194"/>
        <v>-9056898872681564</v>
      </c>
      <c r="M5723" s="471">
        <f t="shared" si="196"/>
        <v>0.05</v>
      </c>
      <c r="N5723" s="475">
        <f t="shared" si="197"/>
        <v>225235</v>
      </c>
    </row>
    <row r="5724" spans="7:14" ht="11.25" customHeight="1" x14ac:dyDescent="0.3">
      <c r="G5724" s="470"/>
      <c r="H5724" s="470">
        <v>5717</v>
      </c>
      <c r="I5724" s="455">
        <f t="shared" ca="1" si="195"/>
        <v>-9056898872681564</v>
      </c>
      <c r="J5724" s="455">
        <f t="array" ref="J5724">IFERROR(INDEX('Retirement Calculator'!K:K,MATCH('Lorri 401b'!N5724,'Retirement Calculator'!A:A,0),0),0)</f>
        <v>0</v>
      </c>
      <c r="K5724" s="455">
        <f t="shared" ca="1" si="193"/>
        <v>-37737078636173.18</v>
      </c>
      <c r="L5724" s="455">
        <f t="shared" ca="1" si="194"/>
        <v>-9094635951317738</v>
      </c>
      <c r="M5724" s="471">
        <f t="shared" si="196"/>
        <v>0.05</v>
      </c>
      <c r="N5724" s="475">
        <f t="shared" si="197"/>
        <v>225265</v>
      </c>
    </row>
    <row r="5725" spans="7:14" ht="11.25" customHeight="1" x14ac:dyDescent="0.3">
      <c r="G5725" s="470"/>
      <c r="H5725" s="470">
        <v>5718</v>
      </c>
      <c r="I5725" s="455">
        <f t="shared" ca="1" si="195"/>
        <v>-9094635951317738</v>
      </c>
      <c r="J5725" s="455">
        <f t="array" ref="J5725">IFERROR(INDEX('Retirement Calculator'!K:K,MATCH('Lorri 401b'!N5725,'Retirement Calculator'!A:A,0),0),0)</f>
        <v>0</v>
      </c>
      <c r="K5725" s="455">
        <f t="shared" ca="1" si="193"/>
        <v>-37894316463823.906</v>
      </c>
      <c r="L5725" s="455">
        <f t="shared" ca="1" si="194"/>
        <v>-9132530267781562</v>
      </c>
      <c r="M5725" s="471">
        <f t="shared" si="196"/>
        <v>0.05</v>
      </c>
      <c r="N5725" s="475">
        <f t="shared" si="197"/>
        <v>225296</v>
      </c>
    </row>
    <row r="5726" spans="7:14" ht="11.25" customHeight="1" x14ac:dyDescent="0.3">
      <c r="G5726" s="470"/>
      <c r="H5726" s="470">
        <v>5719</v>
      </c>
      <c r="I5726" s="455">
        <f t="shared" ca="1" si="195"/>
        <v>-9132530267781562</v>
      </c>
      <c r="J5726" s="455">
        <f t="array" ref="J5726">IFERROR(INDEX('Retirement Calculator'!K:K,MATCH('Lorri 401b'!N5726,'Retirement Calculator'!A:A,0),0),0)</f>
        <v>0</v>
      </c>
      <c r="K5726" s="455">
        <f t="shared" ca="1" si="193"/>
        <v>-38052209449089.844</v>
      </c>
      <c r="L5726" s="455">
        <f t="shared" ca="1" si="194"/>
        <v>-9170582477230652</v>
      </c>
      <c r="M5726" s="471">
        <f t="shared" si="196"/>
        <v>0.05</v>
      </c>
      <c r="N5726" s="475">
        <f t="shared" si="197"/>
        <v>225326</v>
      </c>
    </row>
    <row r="5727" spans="7:14" ht="11.25" customHeight="1" x14ac:dyDescent="0.3">
      <c r="G5727" s="470"/>
      <c r="H5727" s="470">
        <v>5720</v>
      </c>
      <c r="I5727" s="455">
        <f t="shared" ca="1" si="195"/>
        <v>-9170582477230652</v>
      </c>
      <c r="J5727" s="455">
        <f t="array" ref="J5727">IFERROR(INDEX('Retirement Calculator'!K:K,MATCH('Lorri 401b'!N5727,'Retirement Calculator'!A:A,0),0),0)</f>
        <v>0</v>
      </c>
      <c r="K5727" s="455">
        <f t="shared" ca="1" si="193"/>
        <v>-38210760321794.383</v>
      </c>
      <c r="L5727" s="455">
        <f t="shared" ca="1" si="194"/>
        <v>-9208793237552446</v>
      </c>
      <c r="M5727" s="471">
        <f t="shared" si="196"/>
        <v>0.05</v>
      </c>
      <c r="N5727" s="475">
        <f t="shared" si="197"/>
        <v>225357</v>
      </c>
    </row>
    <row r="5728" spans="7:14" ht="11.25" customHeight="1" x14ac:dyDescent="0.3">
      <c r="G5728" s="470"/>
      <c r="H5728" s="470">
        <v>5721</v>
      </c>
      <c r="I5728" s="455">
        <f t="shared" ca="1" si="195"/>
        <v>-9208793237552446</v>
      </c>
      <c r="J5728" s="455">
        <f t="array" ref="J5728">IFERROR(INDEX('Retirement Calculator'!K:K,MATCH('Lorri 401b'!N5728,'Retirement Calculator'!A:A,0),0),0)</f>
        <v>0</v>
      </c>
      <c r="K5728" s="455">
        <f t="shared" ca="1" si="193"/>
        <v>-38369971823135.188</v>
      </c>
      <c r="L5728" s="455">
        <f t="shared" ca="1" si="194"/>
        <v>-9247163209375582</v>
      </c>
      <c r="M5728" s="471">
        <f t="shared" si="196"/>
        <v>0.05</v>
      </c>
      <c r="N5728" s="475">
        <f t="shared" si="197"/>
        <v>225388</v>
      </c>
    </row>
    <row r="5729" spans="7:14" ht="11.25" customHeight="1" x14ac:dyDescent="0.3">
      <c r="G5729" s="470"/>
      <c r="H5729" s="470">
        <v>5722</v>
      </c>
      <c r="I5729" s="455">
        <f t="shared" ca="1" si="195"/>
        <v>-9247163209375582</v>
      </c>
      <c r="J5729" s="455">
        <f t="array" ref="J5729">IFERROR(INDEX('Retirement Calculator'!K:K,MATCH('Lorri 401b'!N5729,'Retirement Calculator'!A:A,0),0),0)</f>
        <v>0</v>
      </c>
      <c r="K5729" s="455">
        <f t="shared" ca="1" si="193"/>
        <v>-38529846705731.594</v>
      </c>
      <c r="L5729" s="455">
        <f t="shared" ca="1" si="194"/>
        <v>-9285693056081314</v>
      </c>
      <c r="M5729" s="471">
        <f t="shared" si="196"/>
        <v>0.05</v>
      </c>
      <c r="N5729" s="475">
        <f t="shared" si="197"/>
        <v>225416</v>
      </c>
    </row>
    <row r="5730" spans="7:14" ht="11.25" customHeight="1" x14ac:dyDescent="0.3">
      <c r="G5730" s="470"/>
      <c r="H5730" s="470">
        <v>5723</v>
      </c>
      <c r="I5730" s="455">
        <f t="shared" ca="1" si="195"/>
        <v>-9285693056081314</v>
      </c>
      <c r="J5730" s="455">
        <f t="array" ref="J5730">IFERROR(INDEX('Retirement Calculator'!K:K,MATCH('Lorri 401b'!N5730,'Retirement Calculator'!A:A,0),0),0)</f>
        <v>0</v>
      </c>
      <c r="K5730" s="455">
        <f t="shared" ca="1" si="193"/>
        <v>-38690387733672.141</v>
      </c>
      <c r="L5730" s="455">
        <f t="shared" ca="1" si="194"/>
        <v>-9324383443814986</v>
      </c>
      <c r="M5730" s="471">
        <f t="shared" si="196"/>
        <v>0.05</v>
      </c>
      <c r="N5730" s="475">
        <f t="shared" si="197"/>
        <v>225447</v>
      </c>
    </row>
    <row r="5731" spans="7:14" ht="11.25" customHeight="1" x14ac:dyDescent="0.3">
      <c r="G5731" s="470"/>
      <c r="H5731" s="470">
        <v>5724</v>
      </c>
      <c r="I5731" s="455">
        <f t="shared" ca="1" si="195"/>
        <v>-9324383443814986</v>
      </c>
      <c r="J5731" s="455">
        <f t="array" ref="J5731">IFERROR(INDEX('Retirement Calculator'!K:K,MATCH('Lorri 401b'!N5731,'Retirement Calculator'!A:A,0),0),0)</f>
        <v>0</v>
      </c>
      <c r="K5731" s="455">
        <f t="shared" ca="1" si="193"/>
        <v>-38851597682562.438</v>
      </c>
      <c r="L5731" s="455">
        <f t="shared" ca="1" si="194"/>
        <v>-9363235041497548</v>
      </c>
      <c r="M5731" s="471">
        <f t="shared" si="196"/>
        <v>0.05</v>
      </c>
      <c r="N5731" s="475">
        <f t="shared" si="197"/>
        <v>225477</v>
      </c>
    </row>
    <row r="5732" spans="7:14" ht="11.25" customHeight="1" x14ac:dyDescent="0.3">
      <c r="G5732" s="470"/>
      <c r="H5732" s="470">
        <v>5725</v>
      </c>
      <c r="I5732" s="455">
        <f t="shared" ca="1" si="195"/>
        <v>-9363235041497548</v>
      </c>
      <c r="J5732" s="455">
        <f t="array" ref="J5732">IFERROR(INDEX('Retirement Calculator'!K:K,MATCH('Lorri 401b'!N5732,'Retirement Calculator'!A:A,0),0),0)</f>
        <v>0</v>
      </c>
      <c r="K5732" s="455">
        <f t="shared" ca="1" si="193"/>
        <v>-39013479339573.117</v>
      </c>
      <c r="L5732" s="455">
        <f t="shared" ca="1" si="194"/>
        <v>-9402248520837122</v>
      </c>
      <c r="M5732" s="471">
        <f t="shared" si="196"/>
        <v>0.05</v>
      </c>
      <c r="N5732" s="475">
        <f t="shared" si="197"/>
        <v>225508</v>
      </c>
    </row>
    <row r="5733" spans="7:14" ht="11.25" customHeight="1" x14ac:dyDescent="0.3">
      <c r="G5733" s="470"/>
      <c r="H5733" s="470">
        <v>5726</v>
      </c>
      <c r="I5733" s="455">
        <f t="shared" ca="1" si="195"/>
        <v>-9402248520837122</v>
      </c>
      <c r="J5733" s="455">
        <f t="array" ref="J5733">IFERROR(INDEX('Retirement Calculator'!K:K,MATCH('Lorri 401b'!N5733,'Retirement Calculator'!A:A,0),0),0)</f>
        <v>0</v>
      </c>
      <c r="K5733" s="455">
        <f t="shared" ca="1" si="193"/>
        <v>-39176035503488.008</v>
      </c>
      <c r="L5733" s="455">
        <f t="shared" ca="1" si="194"/>
        <v>-9441424556340610</v>
      </c>
      <c r="M5733" s="471">
        <f t="shared" si="196"/>
        <v>0.05</v>
      </c>
      <c r="N5733" s="475">
        <f t="shared" si="197"/>
        <v>225538</v>
      </c>
    </row>
    <row r="5734" spans="7:14" ht="11.25" customHeight="1" x14ac:dyDescent="0.3">
      <c r="G5734" s="470"/>
      <c r="H5734" s="470">
        <v>5727</v>
      </c>
      <c r="I5734" s="455">
        <f t="shared" ca="1" si="195"/>
        <v>-9441424556340610</v>
      </c>
      <c r="J5734" s="455">
        <f t="array" ref="J5734">IFERROR(INDEX('Retirement Calculator'!K:K,MATCH('Lorri 401b'!N5734,'Retirement Calculator'!A:A,0),0),0)</f>
        <v>0</v>
      </c>
      <c r="K5734" s="455">
        <f t="shared" ca="1" si="193"/>
        <v>-39339268984752.539</v>
      </c>
      <c r="L5734" s="455">
        <f t="shared" ca="1" si="194"/>
        <v>-9480763825325362</v>
      </c>
      <c r="M5734" s="471">
        <f t="shared" si="196"/>
        <v>0.05</v>
      </c>
      <c r="N5734" s="475">
        <f t="shared" si="197"/>
        <v>225569</v>
      </c>
    </row>
    <row r="5735" spans="7:14" ht="11.25" customHeight="1" x14ac:dyDescent="0.3">
      <c r="G5735" s="470"/>
      <c r="H5735" s="470">
        <v>5728</v>
      </c>
      <c r="I5735" s="455">
        <f t="shared" ca="1" si="195"/>
        <v>-9480763825325362</v>
      </c>
      <c r="J5735" s="455">
        <f t="array" ref="J5735">IFERROR(INDEX('Retirement Calculator'!K:K,MATCH('Lorri 401b'!N5735,'Retirement Calculator'!A:A,0),0),0)</f>
        <v>0</v>
      </c>
      <c r="K5735" s="455">
        <f t="shared" ca="1" si="193"/>
        <v>-39503182605522.344</v>
      </c>
      <c r="L5735" s="455">
        <f t="shared" ca="1" si="194"/>
        <v>-9520267007930884</v>
      </c>
      <c r="M5735" s="471">
        <f t="shared" si="196"/>
        <v>0.05</v>
      </c>
      <c r="N5735" s="475">
        <f t="shared" si="197"/>
        <v>225600</v>
      </c>
    </row>
    <row r="5736" spans="7:14" ht="11.25" customHeight="1" x14ac:dyDescent="0.3">
      <c r="G5736" s="470"/>
      <c r="H5736" s="470">
        <v>5729</v>
      </c>
      <c r="I5736" s="455">
        <f t="shared" ca="1" si="195"/>
        <v>-9520267007930884</v>
      </c>
      <c r="J5736" s="455">
        <f t="array" ref="J5736">IFERROR(INDEX('Retirement Calculator'!K:K,MATCH('Lorri 401b'!N5736,'Retirement Calculator'!A:A,0),0),0)</f>
        <v>0</v>
      </c>
      <c r="K5736" s="455">
        <f t="shared" ca="1" si="193"/>
        <v>-39667779199712.016</v>
      </c>
      <c r="L5736" s="455">
        <f t="shared" ca="1" si="194"/>
        <v>-9559934787130596</v>
      </c>
      <c r="M5736" s="471">
        <f t="shared" si="196"/>
        <v>0.05</v>
      </c>
      <c r="N5736" s="475">
        <f t="shared" si="197"/>
        <v>225630</v>
      </c>
    </row>
    <row r="5737" spans="7:14" ht="11.25" customHeight="1" x14ac:dyDescent="0.3">
      <c r="G5737" s="470"/>
      <c r="H5737" s="470">
        <v>5730</v>
      </c>
      <c r="I5737" s="455">
        <f t="shared" ca="1" si="195"/>
        <v>-9559934787130596</v>
      </c>
      <c r="J5737" s="455">
        <f t="array" ref="J5737">IFERROR(INDEX('Retirement Calculator'!K:K,MATCH('Lorri 401b'!N5737,'Retirement Calculator'!A:A,0),0),0)</f>
        <v>0</v>
      </c>
      <c r="K5737" s="455">
        <f t="shared" ca="1" si="193"/>
        <v>-39833061613044.148</v>
      </c>
      <c r="L5737" s="455">
        <f t="shared" ca="1" si="194"/>
        <v>-9599767848743640</v>
      </c>
      <c r="M5737" s="471">
        <f t="shared" si="196"/>
        <v>0.05</v>
      </c>
      <c r="N5737" s="475">
        <f t="shared" si="197"/>
        <v>225661</v>
      </c>
    </row>
    <row r="5738" spans="7:14" ht="11.25" customHeight="1" x14ac:dyDescent="0.3">
      <c r="G5738" s="470"/>
      <c r="H5738" s="470">
        <v>5731</v>
      </c>
      <c r="I5738" s="455">
        <f t="shared" ca="1" si="195"/>
        <v>-9599767848743640</v>
      </c>
      <c r="J5738" s="455">
        <f t="array" ref="J5738">IFERROR(INDEX('Retirement Calculator'!K:K,MATCH('Lorri 401b'!N5738,'Retirement Calculator'!A:A,0),0),0)</f>
        <v>0</v>
      </c>
      <c r="K5738" s="455">
        <f t="shared" ca="1" si="193"/>
        <v>-39999032703098.5</v>
      </c>
      <c r="L5738" s="455">
        <f t="shared" ca="1" si="194"/>
        <v>-9639766881446738</v>
      </c>
      <c r="M5738" s="471">
        <f t="shared" si="196"/>
        <v>0.05</v>
      </c>
      <c r="N5738" s="475">
        <f t="shared" si="197"/>
        <v>225691</v>
      </c>
    </row>
    <row r="5739" spans="7:14" ht="11.25" customHeight="1" x14ac:dyDescent="0.3">
      <c r="G5739" s="470"/>
      <c r="H5739" s="470">
        <v>5732</v>
      </c>
      <c r="I5739" s="455">
        <f t="shared" ca="1" si="195"/>
        <v>-9639766881446738</v>
      </c>
      <c r="J5739" s="455">
        <f t="array" ref="J5739">IFERROR(INDEX('Retirement Calculator'!K:K,MATCH('Lorri 401b'!N5739,'Retirement Calculator'!A:A,0),0),0)</f>
        <v>0</v>
      </c>
      <c r="K5739" s="455">
        <f t="shared" ca="1" si="193"/>
        <v>-40165695339361.406</v>
      </c>
      <c r="L5739" s="455">
        <f t="shared" ca="1" si="194"/>
        <v>-9679932576786100</v>
      </c>
      <c r="M5739" s="471">
        <f t="shared" si="196"/>
        <v>0.05</v>
      </c>
      <c r="N5739" s="475">
        <f t="shared" si="197"/>
        <v>225722</v>
      </c>
    </row>
    <row r="5740" spans="7:14" ht="11.25" customHeight="1" x14ac:dyDescent="0.3">
      <c r="G5740" s="470"/>
      <c r="H5740" s="470">
        <v>5733</v>
      </c>
      <c r="I5740" s="455">
        <f t="shared" ca="1" si="195"/>
        <v>-9679932576786100</v>
      </c>
      <c r="J5740" s="455">
        <f t="array" ref="J5740">IFERROR(INDEX('Retirement Calculator'!K:K,MATCH('Lorri 401b'!N5740,'Retirement Calculator'!A:A,0),0),0)</f>
        <v>0</v>
      </c>
      <c r="K5740" s="455">
        <f t="shared" ca="1" si="193"/>
        <v>-40333052403275.414</v>
      </c>
      <c r="L5740" s="455">
        <f t="shared" ca="1" si="194"/>
        <v>-9720265629189376</v>
      </c>
      <c r="M5740" s="471">
        <f t="shared" si="196"/>
        <v>0.05</v>
      </c>
      <c r="N5740" s="475">
        <f t="shared" si="197"/>
        <v>225753</v>
      </c>
    </row>
    <row r="5741" spans="7:14" ht="11.25" customHeight="1" x14ac:dyDescent="0.3">
      <c r="G5741" s="470"/>
      <c r="H5741" s="470">
        <v>5734</v>
      </c>
      <c r="I5741" s="455">
        <f t="shared" ca="1" si="195"/>
        <v>-9720265629189376</v>
      </c>
      <c r="J5741" s="455">
        <f t="array" ref="J5741">IFERROR(INDEX('Retirement Calculator'!K:K,MATCH('Lorri 401b'!N5741,'Retirement Calculator'!A:A,0),0),0)</f>
        <v>0</v>
      </c>
      <c r="K5741" s="455">
        <f t="shared" ca="1" si="193"/>
        <v>-40501106788289.063</v>
      </c>
      <c r="L5741" s="455">
        <f t="shared" ca="1" si="194"/>
        <v>-9760766735977666</v>
      </c>
      <c r="M5741" s="471">
        <f t="shared" si="196"/>
        <v>0.05</v>
      </c>
      <c r="N5741" s="475">
        <f t="shared" si="197"/>
        <v>225781</v>
      </c>
    </row>
    <row r="5742" spans="7:14" ht="11.25" customHeight="1" x14ac:dyDescent="0.3">
      <c r="G5742" s="470"/>
      <c r="H5742" s="470">
        <v>5735</v>
      </c>
      <c r="I5742" s="455">
        <f t="shared" ca="1" si="195"/>
        <v>-9760766735977666</v>
      </c>
      <c r="J5742" s="455">
        <f t="array" ref="J5742">IFERROR(INDEX('Retirement Calculator'!K:K,MATCH('Lorri 401b'!N5742,'Retirement Calculator'!A:A,0),0),0)</f>
        <v>0</v>
      </c>
      <c r="K5742" s="455">
        <f t="shared" ca="1" si="193"/>
        <v>-40669861399906.938</v>
      </c>
      <c r="L5742" s="455">
        <f t="shared" ca="1" si="194"/>
        <v>-9801436597377572</v>
      </c>
      <c r="M5742" s="471">
        <f t="shared" si="196"/>
        <v>0.05</v>
      </c>
      <c r="N5742" s="475">
        <f t="shared" si="197"/>
        <v>225812</v>
      </c>
    </row>
    <row r="5743" spans="7:14" ht="11.25" customHeight="1" x14ac:dyDescent="0.3">
      <c r="G5743" s="470"/>
      <c r="H5743" s="470">
        <v>5736</v>
      </c>
      <c r="I5743" s="455">
        <f t="shared" ca="1" si="195"/>
        <v>-9801436597377572</v>
      </c>
      <c r="J5743" s="455">
        <f t="array" ref="J5743">IFERROR(INDEX('Retirement Calculator'!K:K,MATCH('Lorri 401b'!N5743,'Retirement Calculator'!A:A,0),0),0)</f>
        <v>0</v>
      </c>
      <c r="K5743" s="455">
        <f t="shared" ca="1" si="193"/>
        <v>-40839319155739.883</v>
      </c>
      <c r="L5743" s="455">
        <f t="shared" ca="1" si="194"/>
        <v>-9842275916533312</v>
      </c>
      <c r="M5743" s="471">
        <f t="shared" si="196"/>
        <v>0.05</v>
      </c>
      <c r="N5743" s="475">
        <f t="shared" si="197"/>
        <v>225842</v>
      </c>
    </row>
    <row r="5744" spans="7:14" ht="11.25" customHeight="1" x14ac:dyDescent="0.3">
      <c r="G5744" s="470"/>
      <c r="H5744" s="470">
        <v>5737</v>
      </c>
      <c r="I5744" s="455">
        <f t="shared" ca="1" si="195"/>
        <v>-9842275916533312</v>
      </c>
      <c r="J5744" s="455">
        <f t="array" ref="J5744">IFERROR(INDEX('Retirement Calculator'!K:K,MATCH('Lorri 401b'!N5744,'Retirement Calculator'!A:A,0),0),0)</f>
        <v>0</v>
      </c>
      <c r="K5744" s="455">
        <f t="shared" ca="1" si="193"/>
        <v>-41009482985555.469</v>
      </c>
      <c r="L5744" s="455">
        <f t="shared" ca="1" si="194"/>
        <v>-9883285399518868</v>
      </c>
      <c r="M5744" s="471">
        <f t="shared" si="196"/>
        <v>0.05</v>
      </c>
      <c r="N5744" s="475">
        <f t="shared" si="197"/>
        <v>225873</v>
      </c>
    </row>
    <row r="5745" spans="7:14" ht="11.25" customHeight="1" x14ac:dyDescent="0.3">
      <c r="G5745" s="470"/>
      <c r="H5745" s="470">
        <v>5738</v>
      </c>
      <c r="I5745" s="455">
        <f t="shared" ca="1" si="195"/>
        <v>-9883285399518868</v>
      </c>
      <c r="J5745" s="455">
        <f t="array" ref="J5745">IFERROR(INDEX('Retirement Calculator'!K:K,MATCH('Lorri 401b'!N5745,'Retirement Calculator'!A:A,0),0),0)</f>
        <v>0</v>
      </c>
      <c r="K5745" s="455">
        <f t="shared" ca="1" si="193"/>
        <v>-41180355831328.617</v>
      </c>
      <c r="L5745" s="455">
        <f t="shared" ca="1" si="194"/>
        <v>-9924465755350196</v>
      </c>
      <c r="M5745" s="471">
        <f t="shared" si="196"/>
        <v>0.05</v>
      </c>
      <c r="N5745" s="475">
        <f t="shared" si="197"/>
        <v>225903</v>
      </c>
    </row>
    <row r="5746" spans="7:14" ht="11.25" customHeight="1" x14ac:dyDescent="0.3">
      <c r="G5746" s="470"/>
      <c r="H5746" s="470">
        <v>5739</v>
      </c>
      <c r="I5746" s="455">
        <f t="shared" ca="1" si="195"/>
        <v>-9924465755350196</v>
      </c>
      <c r="J5746" s="455">
        <f t="array" ref="J5746">IFERROR(INDEX('Retirement Calculator'!K:K,MATCH('Lorri 401b'!N5746,'Retirement Calculator'!A:A,0),0),0)</f>
        <v>0</v>
      </c>
      <c r="K5746" s="455">
        <f t="shared" ca="1" si="193"/>
        <v>-41351940647292.484</v>
      </c>
      <c r="L5746" s="455">
        <f t="shared" ca="1" si="194"/>
        <v>-9965817695997488</v>
      </c>
      <c r="M5746" s="471">
        <f t="shared" si="196"/>
        <v>0.05</v>
      </c>
      <c r="N5746" s="475">
        <f t="shared" si="197"/>
        <v>225934</v>
      </c>
    </row>
    <row r="5747" spans="7:14" ht="11.25" customHeight="1" x14ac:dyDescent="0.3">
      <c r="G5747" s="470"/>
      <c r="H5747" s="470">
        <v>5740</v>
      </c>
      <c r="I5747" s="455">
        <f t="shared" ca="1" si="195"/>
        <v>-9965817695997488</v>
      </c>
      <c r="J5747" s="455">
        <f t="array" ref="J5747">IFERROR(INDEX('Retirement Calculator'!K:K,MATCH('Lorri 401b'!N5747,'Retirement Calculator'!A:A,0),0),0)</f>
        <v>0</v>
      </c>
      <c r="K5747" s="455">
        <f t="shared" ca="1" si="193"/>
        <v>-41524240399989.531</v>
      </c>
      <c r="L5747" s="455">
        <f t="shared" ca="1" si="194"/>
        <v>-1.0007341936397478E+16</v>
      </c>
      <c r="M5747" s="471">
        <f t="shared" si="196"/>
        <v>0.05</v>
      </c>
      <c r="N5747" s="475">
        <f t="shared" si="197"/>
        <v>225965</v>
      </c>
    </row>
    <row r="5748" spans="7:14" ht="11.25" customHeight="1" x14ac:dyDescent="0.3">
      <c r="G5748" s="470"/>
      <c r="H5748" s="470">
        <v>5741</v>
      </c>
      <c r="I5748" s="455">
        <f t="shared" ca="1" si="195"/>
        <v>-1.0007341936397478E+16</v>
      </c>
      <c r="J5748" s="455">
        <f t="array" ref="J5748">IFERROR(INDEX('Retirement Calculator'!K:K,MATCH('Lorri 401b'!N5748,'Retirement Calculator'!A:A,0),0),0)</f>
        <v>0</v>
      </c>
      <c r="K5748" s="455">
        <f t="shared" ca="1" si="193"/>
        <v>-41697258068322.828</v>
      </c>
      <c r="L5748" s="455">
        <f t="shared" ca="1" si="194"/>
        <v>-1.00490391944658E+16</v>
      </c>
      <c r="M5748" s="471">
        <f t="shared" si="196"/>
        <v>0.05</v>
      </c>
      <c r="N5748" s="475">
        <f t="shared" si="197"/>
        <v>225995</v>
      </c>
    </row>
    <row r="5749" spans="7:14" ht="11.25" customHeight="1" x14ac:dyDescent="0.3">
      <c r="G5749" s="470"/>
      <c r="H5749" s="470">
        <v>5742</v>
      </c>
      <c r="I5749" s="455">
        <f t="shared" ca="1" si="195"/>
        <v>-1.00490391944658E+16</v>
      </c>
      <c r="J5749" s="455">
        <f t="array" ref="J5749">IFERROR(INDEX('Retirement Calculator'!K:K,MATCH('Lorri 401b'!N5749,'Retirement Calculator'!A:A,0),0),0)</f>
        <v>0</v>
      </c>
      <c r="K5749" s="455">
        <f t="shared" ca="1" si="193"/>
        <v>-41870996643607.5</v>
      </c>
      <c r="L5749" s="455">
        <f t="shared" ca="1" si="194"/>
        <v>-1.0090910191109408E+16</v>
      </c>
      <c r="M5749" s="471">
        <f t="shared" si="196"/>
        <v>0.05</v>
      </c>
      <c r="N5749" s="475">
        <f t="shared" si="197"/>
        <v>226026</v>
      </c>
    </row>
    <row r="5750" spans="7:14" ht="11.25" customHeight="1" x14ac:dyDescent="0.3">
      <c r="G5750" s="470"/>
      <c r="H5750" s="470">
        <v>5743</v>
      </c>
      <c r="I5750" s="455">
        <f t="shared" ca="1" si="195"/>
        <v>-1.0090910191109408E+16</v>
      </c>
      <c r="J5750" s="455">
        <f t="array" ref="J5750">IFERROR(INDEX('Retirement Calculator'!K:K,MATCH('Lorri 401b'!N5750,'Retirement Calculator'!A:A,0),0),0)</f>
        <v>0</v>
      </c>
      <c r="K5750" s="455">
        <f t="shared" ca="1" si="193"/>
        <v>-42045459129622.531</v>
      </c>
      <c r="L5750" s="455">
        <f t="shared" ca="1" si="194"/>
        <v>-1.013295565023903E+16</v>
      </c>
      <c r="M5750" s="471">
        <f t="shared" si="196"/>
        <v>0.05</v>
      </c>
      <c r="N5750" s="475">
        <f t="shared" si="197"/>
        <v>226056</v>
      </c>
    </row>
    <row r="5751" spans="7:14" ht="11.25" customHeight="1" x14ac:dyDescent="0.3">
      <c r="G5751" s="470"/>
      <c r="H5751" s="470">
        <v>5744</v>
      </c>
      <c r="I5751" s="455">
        <f t="shared" ca="1" si="195"/>
        <v>-1.013295565023903E+16</v>
      </c>
      <c r="J5751" s="455">
        <f t="array" ref="J5751">IFERROR(INDEX('Retirement Calculator'!K:K,MATCH('Lorri 401b'!N5751,'Retirement Calculator'!A:A,0),0),0)</f>
        <v>0</v>
      </c>
      <c r="K5751" s="455">
        <f t="shared" ca="1" si="193"/>
        <v>-42220648542662.625</v>
      </c>
      <c r="L5751" s="455">
        <f t="shared" ca="1" si="194"/>
        <v>-1.0175176298781692E+16</v>
      </c>
      <c r="M5751" s="471">
        <f t="shared" si="196"/>
        <v>0.05</v>
      </c>
      <c r="N5751" s="475">
        <f t="shared" si="197"/>
        <v>226087</v>
      </c>
    </row>
    <row r="5752" spans="7:14" ht="11.25" customHeight="1" x14ac:dyDescent="0.3">
      <c r="G5752" s="470"/>
      <c r="H5752" s="470">
        <v>5745</v>
      </c>
      <c r="I5752" s="455">
        <f t="shared" ca="1" si="195"/>
        <v>-1.0175176298781692E+16</v>
      </c>
      <c r="J5752" s="455">
        <f t="array" ref="J5752">IFERROR(INDEX('Retirement Calculator'!K:K,MATCH('Lorri 401b'!N5752,'Retirement Calculator'!A:A,0),0),0)</f>
        <v>0</v>
      </c>
      <c r="K5752" s="455">
        <f t="shared" ca="1" si="193"/>
        <v>-42396567911590.383</v>
      </c>
      <c r="L5752" s="455">
        <f t="shared" ca="1" si="194"/>
        <v>-1.0217572866693282E+16</v>
      </c>
      <c r="M5752" s="471">
        <f t="shared" si="196"/>
        <v>0.05</v>
      </c>
      <c r="N5752" s="475">
        <f t="shared" si="197"/>
        <v>226118</v>
      </c>
    </row>
    <row r="5753" spans="7:14" ht="11.25" customHeight="1" x14ac:dyDescent="0.3">
      <c r="G5753" s="470"/>
      <c r="H5753" s="470">
        <v>5746</v>
      </c>
      <c r="I5753" s="455">
        <f t="shared" ca="1" si="195"/>
        <v>-1.0217572866693282E+16</v>
      </c>
      <c r="J5753" s="455">
        <f t="array" ref="J5753">IFERROR(INDEX('Retirement Calculator'!K:K,MATCH('Lorri 401b'!N5753,'Retirement Calculator'!A:A,0),0),0)</f>
        <v>0</v>
      </c>
      <c r="K5753" s="455">
        <f t="shared" ca="1" si="193"/>
        <v>-42573220277888.672</v>
      </c>
      <c r="L5753" s="455">
        <f t="shared" ca="1" si="194"/>
        <v>-1.026014608697117E+16</v>
      </c>
      <c r="M5753" s="471">
        <f t="shared" si="196"/>
        <v>0.05</v>
      </c>
      <c r="N5753" s="475">
        <f t="shared" si="197"/>
        <v>226146</v>
      </c>
    </row>
    <row r="5754" spans="7:14" ht="11.25" customHeight="1" x14ac:dyDescent="0.3">
      <c r="G5754" s="470"/>
      <c r="H5754" s="470">
        <v>5747</v>
      </c>
      <c r="I5754" s="455">
        <f t="shared" ca="1" si="195"/>
        <v>-1.026014608697117E+16</v>
      </c>
      <c r="J5754" s="455">
        <f t="array" ref="J5754">IFERROR(INDEX('Retirement Calculator'!K:K,MATCH('Lorri 401b'!N5754,'Retirement Calculator'!A:A,0),0),0)</f>
        <v>0</v>
      </c>
      <c r="K5754" s="455">
        <f t="shared" ca="1" si="193"/>
        <v>-42750608695713.211</v>
      </c>
      <c r="L5754" s="455">
        <f t="shared" ca="1" si="194"/>
        <v>-1.0302896695666884E+16</v>
      </c>
      <c r="M5754" s="471">
        <f t="shared" si="196"/>
        <v>0.05</v>
      </c>
      <c r="N5754" s="475">
        <f t="shared" si="197"/>
        <v>226177</v>
      </c>
    </row>
    <row r="5755" spans="7:14" ht="11.25" customHeight="1" x14ac:dyDescent="0.3">
      <c r="G5755" s="470"/>
      <c r="H5755" s="470">
        <v>5748</v>
      </c>
      <c r="I5755" s="455">
        <f t="shared" ca="1" si="195"/>
        <v>-1.0302896695666884E+16</v>
      </c>
      <c r="J5755" s="455">
        <f t="array" ref="J5755">IFERROR(INDEX('Retirement Calculator'!K:K,MATCH('Lorri 401b'!N5755,'Retirement Calculator'!A:A,0),0),0)</f>
        <v>0</v>
      </c>
      <c r="K5755" s="455">
        <f t="shared" ca="1" si="193"/>
        <v>-42928736231945.352</v>
      </c>
      <c r="L5755" s="455">
        <f t="shared" ca="1" si="194"/>
        <v>-1.034582543189883E+16</v>
      </c>
      <c r="M5755" s="471">
        <f t="shared" si="196"/>
        <v>0.05</v>
      </c>
      <c r="N5755" s="475">
        <f t="shared" si="197"/>
        <v>226207</v>
      </c>
    </row>
    <row r="5756" spans="7:14" ht="11.25" customHeight="1" x14ac:dyDescent="0.3">
      <c r="G5756" s="470"/>
      <c r="H5756" s="470">
        <v>5749</v>
      </c>
      <c r="I5756" s="455">
        <f t="shared" ca="1" si="195"/>
        <v>-1.034582543189883E+16</v>
      </c>
      <c r="J5756" s="455">
        <f t="array" ref="J5756">IFERROR(INDEX('Retirement Calculator'!K:K,MATCH('Lorri 401b'!N5756,'Retirement Calculator'!A:A,0),0),0)</f>
        <v>0</v>
      </c>
      <c r="K5756" s="455">
        <f t="shared" ca="1" si="193"/>
        <v>-43107605966245.125</v>
      </c>
      <c r="L5756" s="455">
        <f t="shared" ca="1" si="194"/>
        <v>-1.0388933037865076E+16</v>
      </c>
      <c r="M5756" s="471">
        <f t="shared" si="196"/>
        <v>0.05</v>
      </c>
      <c r="N5756" s="475">
        <f t="shared" si="197"/>
        <v>226238</v>
      </c>
    </row>
    <row r="5757" spans="7:14" ht="11.25" customHeight="1" x14ac:dyDescent="0.3">
      <c r="G5757" s="470"/>
      <c r="H5757" s="470">
        <v>5750</v>
      </c>
      <c r="I5757" s="455">
        <f t="shared" ca="1" si="195"/>
        <v>-1.0388933037865076E+16</v>
      </c>
      <c r="J5757" s="455">
        <f t="array" ref="J5757">IFERROR(INDEX('Retirement Calculator'!K:K,MATCH('Lorri 401b'!N5757,'Retirement Calculator'!A:A,0),0),0)</f>
        <v>0</v>
      </c>
      <c r="K5757" s="455">
        <f t="shared" ca="1" si="193"/>
        <v>-43287220991104.484</v>
      </c>
      <c r="L5757" s="455">
        <f t="shared" ca="1" si="194"/>
        <v>-1.043222025885618E+16</v>
      </c>
      <c r="M5757" s="471">
        <f t="shared" si="196"/>
        <v>0.05</v>
      </c>
      <c r="N5757" s="475">
        <f t="shared" si="197"/>
        <v>226268</v>
      </c>
    </row>
    <row r="5758" spans="7:14" ht="11.25" customHeight="1" x14ac:dyDescent="0.3">
      <c r="G5758" s="470"/>
      <c r="H5758" s="470">
        <v>5751</v>
      </c>
      <c r="I5758" s="455">
        <f t="shared" ca="1" si="195"/>
        <v>-1.043222025885618E+16</v>
      </c>
      <c r="J5758" s="455">
        <f t="array" ref="J5758">IFERROR(INDEX('Retirement Calculator'!K:K,MATCH('Lorri 401b'!N5758,'Retirement Calculator'!A:A,0),0),0)</f>
        <v>0</v>
      </c>
      <c r="K5758" s="455">
        <f t="shared" ca="1" si="193"/>
        <v>-43467584411900.75</v>
      </c>
      <c r="L5758" s="455">
        <f t="shared" ca="1" si="194"/>
        <v>-1.047568784326808E+16</v>
      </c>
      <c r="M5758" s="471">
        <f t="shared" si="196"/>
        <v>0.05</v>
      </c>
      <c r="N5758" s="475">
        <f t="shared" si="197"/>
        <v>226299</v>
      </c>
    </row>
    <row r="5759" spans="7:14" ht="11.25" customHeight="1" x14ac:dyDescent="0.3">
      <c r="G5759" s="470"/>
      <c r="H5759" s="470">
        <v>5752</v>
      </c>
      <c r="I5759" s="455">
        <f t="shared" ca="1" si="195"/>
        <v>-1.047568784326808E+16</v>
      </c>
      <c r="J5759" s="455">
        <f t="array" ref="J5759">IFERROR(INDEX('Retirement Calculator'!K:K,MATCH('Lorri 401b'!N5759,'Retirement Calculator'!A:A,0),0),0)</f>
        <v>0</v>
      </c>
      <c r="K5759" s="455">
        <f t="shared" ca="1" si="193"/>
        <v>-43648699346950.336</v>
      </c>
      <c r="L5759" s="455">
        <f t="shared" ca="1" si="194"/>
        <v>-1.051933654261503E+16</v>
      </c>
      <c r="M5759" s="471">
        <f t="shared" si="196"/>
        <v>0.05</v>
      </c>
      <c r="N5759" s="475">
        <f t="shared" si="197"/>
        <v>226330</v>
      </c>
    </row>
    <row r="5760" spans="7:14" ht="11.25" customHeight="1" x14ac:dyDescent="0.3">
      <c r="G5760" s="470"/>
      <c r="H5760" s="470">
        <v>5753</v>
      </c>
      <c r="I5760" s="455">
        <f t="shared" ca="1" si="195"/>
        <v>-1.051933654261503E+16</v>
      </c>
      <c r="J5760" s="455">
        <f t="array" ref="J5760">IFERROR(INDEX('Retirement Calculator'!K:K,MATCH('Lorri 401b'!N5760,'Retirement Calculator'!A:A,0),0),0)</f>
        <v>0</v>
      </c>
      <c r="K5760" s="455">
        <f t="shared" ca="1" si="193"/>
        <v>-43830568927562.625</v>
      </c>
      <c r="L5760" s="455">
        <f t="shared" ca="1" si="194"/>
        <v>-1.0563167111542592E+16</v>
      </c>
      <c r="M5760" s="471">
        <f t="shared" si="196"/>
        <v>0.05</v>
      </c>
      <c r="N5760" s="475">
        <f t="shared" si="197"/>
        <v>226360</v>
      </c>
    </row>
    <row r="5761" spans="7:14" ht="11.25" customHeight="1" x14ac:dyDescent="0.3">
      <c r="G5761" s="470"/>
      <c r="H5761" s="470">
        <v>5754</v>
      </c>
      <c r="I5761" s="455">
        <f t="shared" ca="1" si="195"/>
        <v>-1.0563167111542592E+16</v>
      </c>
      <c r="J5761" s="455">
        <f t="array" ref="J5761">IFERROR(INDEX('Retirement Calculator'!K:K,MATCH('Lorri 401b'!N5761,'Retirement Calculator'!A:A,0),0),0)</f>
        <v>0</v>
      </c>
      <c r="K5761" s="455">
        <f t="shared" ca="1" si="193"/>
        <v>-44013196298094.133</v>
      </c>
      <c r="L5761" s="455">
        <f t="shared" ca="1" si="194"/>
        <v>-1.0607180307840686E+16</v>
      </c>
      <c r="M5761" s="471">
        <f t="shared" si="196"/>
        <v>0.05</v>
      </c>
      <c r="N5761" s="475">
        <f t="shared" si="197"/>
        <v>226391</v>
      </c>
    </row>
    <row r="5762" spans="7:14" ht="11.25" customHeight="1" x14ac:dyDescent="0.3">
      <c r="G5762" s="470"/>
      <c r="H5762" s="470">
        <v>5755</v>
      </c>
      <c r="I5762" s="455">
        <f t="shared" ca="1" si="195"/>
        <v>-1.0607180307840686E+16</v>
      </c>
      <c r="J5762" s="455">
        <f t="array" ref="J5762">IFERROR(INDEX('Retirement Calculator'!K:K,MATCH('Lorri 401b'!N5762,'Retirement Calculator'!A:A,0),0),0)</f>
        <v>0</v>
      </c>
      <c r="K5762" s="455">
        <f t="shared" ca="1" si="193"/>
        <v>-44196584616002.859</v>
      </c>
      <c r="L5762" s="455">
        <f t="shared" ca="1" si="194"/>
        <v>-1.0651376892456688E+16</v>
      </c>
      <c r="M5762" s="471">
        <f t="shared" si="196"/>
        <v>0.05</v>
      </c>
      <c r="N5762" s="475">
        <f t="shared" si="197"/>
        <v>226421</v>
      </c>
    </row>
    <row r="5763" spans="7:14" ht="11.25" customHeight="1" x14ac:dyDescent="0.3">
      <c r="G5763" s="470"/>
      <c r="H5763" s="470">
        <v>5756</v>
      </c>
      <c r="I5763" s="455">
        <f t="shared" ca="1" si="195"/>
        <v>-1.0651376892456688E+16</v>
      </c>
      <c r="J5763" s="455">
        <f t="array" ref="J5763">IFERROR(INDEX('Retirement Calculator'!K:K,MATCH('Lorri 401b'!N5763,'Retirement Calculator'!A:A,0),0),0)</f>
        <v>0</v>
      </c>
      <c r="K5763" s="455">
        <f t="shared" ca="1" si="193"/>
        <v>-44380737051902.867</v>
      </c>
      <c r="L5763" s="455">
        <f t="shared" ca="1" si="194"/>
        <v>-1.069575762950859E+16</v>
      </c>
      <c r="M5763" s="471">
        <f t="shared" si="196"/>
        <v>0.05</v>
      </c>
      <c r="N5763" s="475">
        <f t="shared" si="197"/>
        <v>226452</v>
      </c>
    </row>
    <row r="5764" spans="7:14" ht="11.25" customHeight="1" x14ac:dyDescent="0.3">
      <c r="G5764" s="470"/>
      <c r="H5764" s="470">
        <v>5757</v>
      </c>
      <c r="I5764" s="455">
        <f t="shared" ca="1" si="195"/>
        <v>-1.069575762950859E+16</v>
      </c>
      <c r="J5764" s="455">
        <f t="array" ref="J5764">IFERROR(INDEX('Retirement Calculator'!K:K,MATCH('Lorri 401b'!N5764,'Retirement Calculator'!A:A,0),0),0)</f>
        <v>0</v>
      </c>
      <c r="K5764" s="455">
        <f t="shared" ca="1" si="193"/>
        <v>-44565656789619.125</v>
      </c>
      <c r="L5764" s="455">
        <f t="shared" ca="1" si="194"/>
        <v>-1.074032328629821E+16</v>
      </c>
      <c r="M5764" s="471">
        <f t="shared" si="196"/>
        <v>0.05</v>
      </c>
      <c r="N5764" s="475">
        <f t="shared" si="197"/>
        <v>226483</v>
      </c>
    </row>
    <row r="5765" spans="7:14" ht="11.25" customHeight="1" x14ac:dyDescent="0.3">
      <c r="G5765" s="470"/>
      <c r="H5765" s="470">
        <v>5758</v>
      </c>
      <c r="I5765" s="455">
        <f t="shared" ca="1" si="195"/>
        <v>-1.074032328629821E+16</v>
      </c>
      <c r="J5765" s="455">
        <f t="array" ref="J5765">IFERROR(INDEX('Retirement Calculator'!K:K,MATCH('Lorri 401b'!N5765,'Retirement Calculator'!A:A,0),0),0)</f>
        <v>0</v>
      </c>
      <c r="K5765" s="455">
        <f t="shared" ca="1" si="193"/>
        <v>-44751347026242.539</v>
      </c>
      <c r="L5765" s="455">
        <f t="shared" ca="1" si="194"/>
        <v>-1.0785074633324452E+16</v>
      </c>
      <c r="M5765" s="471">
        <f t="shared" si="196"/>
        <v>0.05</v>
      </c>
      <c r="N5765" s="475">
        <f t="shared" si="197"/>
        <v>226512</v>
      </c>
    </row>
    <row r="5766" spans="7:14" ht="11.25" customHeight="1" x14ac:dyDescent="0.3">
      <c r="G5766" s="470"/>
      <c r="H5766" s="470">
        <v>5759</v>
      </c>
      <c r="I5766" s="455">
        <f t="shared" ca="1" si="195"/>
        <v>-1.0785074633324452E+16</v>
      </c>
      <c r="J5766" s="455">
        <f t="array" ref="J5766">IFERROR(INDEX('Retirement Calculator'!K:K,MATCH('Lorri 401b'!N5766,'Retirement Calculator'!A:A,0),0),0)</f>
        <v>0</v>
      </c>
      <c r="K5766" s="455">
        <f t="shared" ca="1" si="193"/>
        <v>-44937810972185.219</v>
      </c>
      <c r="L5766" s="455">
        <f t="shared" ca="1" si="194"/>
        <v>-1.0830012444296638E+16</v>
      </c>
      <c r="M5766" s="471">
        <f t="shared" si="196"/>
        <v>0.05</v>
      </c>
      <c r="N5766" s="475">
        <f t="shared" si="197"/>
        <v>226543</v>
      </c>
    </row>
    <row r="5767" spans="7:14" ht="11.25" customHeight="1" x14ac:dyDescent="0.3">
      <c r="G5767" s="470"/>
      <c r="H5767" s="470">
        <v>5760</v>
      </c>
      <c r="I5767" s="455">
        <f t="shared" ca="1" si="195"/>
        <v>-1.0830012444296638E+16</v>
      </c>
      <c r="J5767" s="455">
        <f t="array" ref="J5767">IFERROR(INDEX('Retirement Calculator'!K:K,MATCH('Lorri 401b'!N5767,'Retirement Calculator'!A:A,0),0),0)</f>
        <v>0</v>
      </c>
      <c r="K5767" s="455">
        <f t="shared" ca="1" si="193"/>
        <v>-45125051851235.992</v>
      </c>
      <c r="L5767" s="455">
        <f t="shared" ca="1" si="194"/>
        <v>-1.0875137496147874E+16</v>
      </c>
      <c r="M5767" s="471">
        <f t="shared" si="196"/>
        <v>0.05</v>
      </c>
      <c r="N5767" s="475">
        <f t="shared" si="197"/>
        <v>226573</v>
      </c>
    </row>
    <row r="5768" spans="7:14" ht="11.25" customHeight="1" x14ac:dyDescent="0.3">
      <c r="G5768" s="470"/>
      <c r="H5768" s="470">
        <v>5761</v>
      </c>
      <c r="I5768" s="455">
        <f t="shared" ca="1" si="195"/>
        <v>-1.0875137496147874E+16</v>
      </c>
      <c r="J5768" s="455">
        <f t="array" ref="J5768">IFERROR(INDEX('Retirement Calculator'!K:K,MATCH('Lorri 401b'!N5768,'Retirement Calculator'!A:A,0),0),0)</f>
        <v>0</v>
      </c>
      <c r="K5768" s="455">
        <f t="shared" ca="1" si="193"/>
        <v>-45313072900616.141</v>
      </c>
      <c r="L5768" s="455">
        <f t="shared" ca="1" si="194"/>
        <v>-1.092045056904849E+16</v>
      </c>
      <c r="M5768" s="471">
        <f t="shared" si="196"/>
        <v>0.05</v>
      </c>
      <c r="N5768" s="475">
        <f t="shared" si="197"/>
        <v>226604</v>
      </c>
    </row>
    <row r="5769" spans="7:14" ht="11.25" customHeight="1" x14ac:dyDescent="0.3">
      <c r="G5769" s="470"/>
      <c r="H5769" s="470">
        <v>5762</v>
      </c>
      <c r="I5769" s="455">
        <f t="shared" ca="1" si="195"/>
        <v>-1.092045056904849E+16</v>
      </c>
      <c r="J5769" s="455">
        <f t="array" ref="J5769">IFERROR(INDEX('Retirement Calculator'!K:K,MATCH('Lorri 401b'!N5769,'Retirement Calculator'!A:A,0),0),0)</f>
        <v>0</v>
      </c>
      <c r="K5769" s="455">
        <f t="shared" ca="1" si="193"/>
        <v>-45501877371035.375</v>
      </c>
      <c r="L5769" s="455">
        <f t="shared" ca="1" si="194"/>
        <v>-1.0965952446419526E+16</v>
      </c>
      <c r="M5769" s="471">
        <f t="shared" si="196"/>
        <v>0.05</v>
      </c>
      <c r="N5769" s="475">
        <f t="shared" si="197"/>
        <v>226634</v>
      </c>
    </row>
    <row r="5770" spans="7:14" ht="11.25" customHeight="1" x14ac:dyDescent="0.3">
      <c r="G5770" s="470"/>
      <c r="H5770" s="470">
        <v>5763</v>
      </c>
      <c r="I5770" s="455">
        <f t="shared" ca="1" si="195"/>
        <v>-1.0965952446419526E+16</v>
      </c>
      <c r="J5770" s="455">
        <f t="array" ref="J5770">IFERROR(INDEX('Retirement Calculator'!K:K,MATCH('Lorri 401b'!N5770,'Retirement Calculator'!A:A,0),0),0)</f>
        <v>0</v>
      </c>
      <c r="K5770" s="455">
        <f t="shared" ca="1" si="193"/>
        <v>-45691468526748.023</v>
      </c>
      <c r="L5770" s="455">
        <f t="shared" ca="1" si="194"/>
        <v>-1.1011643914946274E+16</v>
      </c>
      <c r="M5770" s="471">
        <f t="shared" si="196"/>
        <v>0.05</v>
      </c>
      <c r="N5770" s="475">
        <f t="shared" si="197"/>
        <v>226665</v>
      </c>
    </row>
    <row r="5771" spans="7:14" ht="11.25" customHeight="1" x14ac:dyDescent="0.3">
      <c r="G5771" s="470"/>
      <c r="H5771" s="470">
        <v>5764</v>
      </c>
      <c r="I5771" s="455">
        <f t="shared" ca="1" si="195"/>
        <v>-1.1011643914946274E+16</v>
      </c>
      <c r="J5771" s="455">
        <f t="array" ref="J5771">IFERROR(INDEX('Retirement Calculator'!K:K,MATCH('Lorri 401b'!N5771,'Retirement Calculator'!A:A,0),0),0)</f>
        <v>0</v>
      </c>
      <c r="K5771" s="455">
        <f t="shared" ca="1" si="193"/>
        <v>-45881849645609.477</v>
      </c>
      <c r="L5771" s="455">
        <f t="shared" ca="1" si="194"/>
        <v>-1.1057525764591884E+16</v>
      </c>
      <c r="M5771" s="471">
        <f t="shared" si="196"/>
        <v>0.05</v>
      </c>
      <c r="N5771" s="475">
        <f t="shared" si="197"/>
        <v>226696</v>
      </c>
    </row>
    <row r="5772" spans="7:14" ht="11.25" customHeight="1" x14ac:dyDescent="0.3">
      <c r="G5772" s="470"/>
      <c r="H5772" s="470">
        <v>5765</v>
      </c>
      <c r="I5772" s="455">
        <f t="shared" ca="1" si="195"/>
        <v>-1.1057525764591884E+16</v>
      </c>
      <c r="J5772" s="455">
        <f t="array" ref="J5772">IFERROR(INDEX('Retirement Calculator'!K:K,MATCH('Lorri 401b'!N5772,'Retirement Calculator'!A:A,0),0),0)</f>
        <v>0</v>
      </c>
      <c r="K5772" s="455">
        <f t="shared" ca="1" si="193"/>
        <v>-46073024019132.852</v>
      </c>
      <c r="L5772" s="455">
        <f t="shared" ca="1" si="194"/>
        <v>-1.1103598788611016E+16</v>
      </c>
      <c r="M5772" s="471">
        <f t="shared" si="196"/>
        <v>0.05</v>
      </c>
      <c r="N5772" s="475">
        <f t="shared" si="197"/>
        <v>226726</v>
      </c>
    </row>
    <row r="5773" spans="7:14" ht="11.25" customHeight="1" x14ac:dyDescent="0.3">
      <c r="G5773" s="470"/>
      <c r="H5773" s="470">
        <v>5766</v>
      </c>
      <c r="I5773" s="455">
        <f t="shared" ca="1" si="195"/>
        <v>-1.1103598788611016E+16</v>
      </c>
      <c r="J5773" s="455">
        <f t="array" ref="J5773">IFERROR(INDEX('Retirement Calculator'!K:K,MATCH('Lorri 401b'!N5773,'Retirement Calculator'!A:A,0),0),0)</f>
        <v>0</v>
      </c>
      <c r="K5773" s="455">
        <f t="shared" ca="1" si="193"/>
        <v>-46264994952545.898</v>
      </c>
      <c r="L5773" s="455">
        <f t="shared" ca="1" si="194"/>
        <v>-1.1149863783563562E+16</v>
      </c>
      <c r="M5773" s="471">
        <f t="shared" si="196"/>
        <v>0.05</v>
      </c>
      <c r="N5773" s="475">
        <f t="shared" si="197"/>
        <v>226757</v>
      </c>
    </row>
    <row r="5774" spans="7:14" ht="11.25" customHeight="1" x14ac:dyDescent="0.3">
      <c r="G5774" s="470"/>
      <c r="H5774" s="470">
        <v>5767</v>
      </c>
      <c r="I5774" s="455">
        <f t="shared" ca="1" si="195"/>
        <v>-1.1149863783563562E+16</v>
      </c>
      <c r="J5774" s="455">
        <f t="array" ref="J5774">IFERROR(INDEX('Retirement Calculator'!K:K,MATCH('Lorri 401b'!N5774,'Retirement Calculator'!A:A,0),0),0)</f>
        <v>0</v>
      </c>
      <c r="K5774" s="455">
        <f t="shared" ca="1" si="193"/>
        <v>-46457765764848.172</v>
      </c>
      <c r="L5774" s="455">
        <f t="shared" ca="1" si="194"/>
        <v>-1.119632154932841E+16</v>
      </c>
      <c r="M5774" s="471">
        <f t="shared" si="196"/>
        <v>0.05</v>
      </c>
      <c r="N5774" s="475">
        <f t="shared" si="197"/>
        <v>226787</v>
      </c>
    </row>
    <row r="5775" spans="7:14" ht="11.25" customHeight="1" x14ac:dyDescent="0.3">
      <c r="G5775" s="470"/>
      <c r="H5775" s="470">
        <v>5768</v>
      </c>
      <c r="I5775" s="455">
        <f t="shared" ca="1" si="195"/>
        <v>-1.119632154932841E+16</v>
      </c>
      <c r="J5775" s="455">
        <f t="array" ref="J5775">IFERROR(INDEX('Retirement Calculator'!K:K,MATCH('Lorri 401b'!N5775,'Retirement Calculator'!A:A,0),0),0)</f>
        <v>0</v>
      </c>
      <c r="K5775" s="455">
        <f t="shared" ca="1" si="193"/>
        <v>-46651339788868.375</v>
      </c>
      <c r="L5775" s="455">
        <f t="shared" ca="1" si="194"/>
        <v>-1.1242972889117278E+16</v>
      </c>
      <c r="M5775" s="471">
        <f t="shared" si="196"/>
        <v>0.05</v>
      </c>
      <c r="N5775" s="475">
        <f t="shared" si="197"/>
        <v>226818</v>
      </c>
    </row>
    <row r="5776" spans="7:14" ht="11.25" customHeight="1" x14ac:dyDescent="0.3">
      <c r="G5776" s="470"/>
      <c r="H5776" s="470">
        <v>5769</v>
      </c>
      <c r="I5776" s="455">
        <f t="shared" ca="1" si="195"/>
        <v>-1.1242972889117278E+16</v>
      </c>
      <c r="J5776" s="455">
        <f t="array" ref="J5776">IFERROR(INDEX('Retirement Calculator'!K:K,MATCH('Lorri 401b'!N5776,'Retirement Calculator'!A:A,0),0),0)</f>
        <v>0</v>
      </c>
      <c r="K5776" s="455">
        <f t="shared" ca="1" si="193"/>
        <v>-46845720371321.992</v>
      </c>
      <c r="L5776" s="455">
        <f t="shared" ca="1" si="194"/>
        <v>-1.12898186094886E+16</v>
      </c>
      <c r="M5776" s="471">
        <f t="shared" si="196"/>
        <v>0.05</v>
      </c>
      <c r="N5776" s="475">
        <f t="shared" si="197"/>
        <v>226849</v>
      </c>
    </row>
    <row r="5777" spans="7:14" ht="11.25" customHeight="1" x14ac:dyDescent="0.3">
      <c r="G5777" s="470"/>
      <c r="H5777" s="470">
        <v>5770</v>
      </c>
      <c r="I5777" s="455">
        <f t="shared" ca="1" si="195"/>
        <v>-1.12898186094886E+16</v>
      </c>
      <c r="J5777" s="455">
        <f t="array" ref="J5777">IFERROR(INDEX('Retirement Calculator'!K:K,MATCH('Lorri 401b'!N5777,'Retirement Calculator'!A:A,0),0),0)</f>
        <v>0</v>
      </c>
      <c r="K5777" s="455">
        <f t="shared" ca="1" si="193"/>
        <v>-47040910872869.164</v>
      </c>
      <c r="L5777" s="455">
        <f t="shared" ca="1" si="194"/>
        <v>-1.133685952036147E+16</v>
      </c>
      <c r="M5777" s="471">
        <f t="shared" si="196"/>
        <v>0.05</v>
      </c>
      <c r="N5777" s="475">
        <f t="shared" si="197"/>
        <v>226877</v>
      </c>
    </row>
    <row r="5778" spans="7:14" ht="11.25" customHeight="1" x14ac:dyDescent="0.3">
      <c r="G5778" s="470"/>
      <c r="H5778" s="470">
        <v>5771</v>
      </c>
      <c r="I5778" s="455">
        <f t="shared" ca="1" si="195"/>
        <v>-1.133685952036147E+16</v>
      </c>
      <c r="J5778" s="455">
        <f t="array" ref="J5778">IFERROR(INDEX('Retirement Calculator'!K:K,MATCH('Lorri 401b'!N5778,'Retirement Calculator'!A:A,0),0),0)</f>
        <v>0</v>
      </c>
      <c r="K5778" s="455">
        <f t="shared" ca="1" si="193"/>
        <v>-47236914668172.789</v>
      </c>
      <c r="L5778" s="455">
        <f t="shared" ca="1" si="194"/>
        <v>-1.1384096435029642E+16</v>
      </c>
      <c r="M5778" s="471">
        <f t="shared" si="196"/>
        <v>0.05</v>
      </c>
      <c r="N5778" s="475">
        <f t="shared" si="197"/>
        <v>226908</v>
      </c>
    </row>
    <row r="5779" spans="7:14" ht="11.25" customHeight="1" x14ac:dyDescent="0.3">
      <c r="G5779" s="470"/>
      <c r="H5779" s="470">
        <v>5772</v>
      </c>
      <c r="I5779" s="455">
        <f t="shared" ca="1" si="195"/>
        <v>-1.1384096435029642E+16</v>
      </c>
      <c r="J5779" s="455">
        <f t="array" ref="J5779">IFERROR(INDEX('Retirement Calculator'!K:K,MATCH('Lorri 401b'!N5779,'Retirement Calculator'!A:A,0),0),0)</f>
        <v>0</v>
      </c>
      <c r="K5779" s="455">
        <f t="shared" ca="1" si="193"/>
        <v>-47433735145956.844</v>
      </c>
      <c r="L5779" s="455">
        <f t="shared" ca="1" si="194"/>
        <v>-1.1431530170175598E+16</v>
      </c>
      <c r="M5779" s="471">
        <f t="shared" si="196"/>
        <v>0.05</v>
      </c>
      <c r="N5779" s="475">
        <f t="shared" si="197"/>
        <v>226938</v>
      </c>
    </row>
    <row r="5780" spans="7:14" ht="11.25" customHeight="1" x14ac:dyDescent="0.3">
      <c r="G5780" s="470"/>
      <c r="H5780" s="470">
        <v>5773</v>
      </c>
      <c r="I5780" s="455">
        <f t="shared" ca="1" si="195"/>
        <v>-1.1431530170175598E+16</v>
      </c>
      <c r="J5780" s="455">
        <f t="array" ref="J5780">IFERROR(INDEX('Retirement Calculator'!K:K,MATCH('Lorri 401b'!N5780,'Retirement Calculator'!A:A,0),0),0)</f>
        <v>0</v>
      </c>
      <c r="K5780" s="455">
        <f t="shared" ca="1" si="193"/>
        <v>-47631375709064.992</v>
      </c>
      <c r="L5780" s="455">
        <f t="shared" ca="1" si="194"/>
        <v>-1.1479161545884662E+16</v>
      </c>
      <c r="M5780" s="471">
        <f t="shared" si="196"/>
        <v>0.05</v>
      </c>
      <c r="N5780" s="475">
        <f t="shared" si="197"/>
        <v>226969</v>
      </c>
    </row>
    <row r="5781" spans="7:14" ht="11.25" customHeight="1" x14ac:dyDescent="0.3">
      <c r="G5781" s="470"/>
      <c r="H5781" s="470">
        <v>5774</v>
      </c>
      <c r="I5781" s="455">
        <f t="shared" ca="1" si="195"/>
        <v>-1.1479161545884662E+16</v>
      </c>
      <c r="J5781" s="455">
        <f t="array" ref="J5781">IFERROR(INDEX('Retirement Calculator'!K:K,MATCH('Lorri 401b'!N5781,'Retirement Calculator'!A:A,0),0),0)</f>
        <v>0</v>
      </c>
      <c r="K5781" s="455">
        <f t="shared" ca="1" si="193"/>
        <v>-47829839774519.422</v>
      </c>
      <c r="L5781" s="455">
        <f t="shared" ca="1" si="194"/>
        <v>-1.1526991385659182E+16</v>
      </c>
      <c r="M5781" s="471">
        <f t="shared" si="196"/>
        <v>0.05</v>
      </c>
      <c r="N5781" s="475">
        <f t="shared" si="197"/>
        <v>226999</v>
      </c>
    </row>
    <row r="5782" spans="7:14" ht="11.25" customHeight="1" x14ac:dyDescent="0.3">
      <c r="G5782" s="470"/>
      <c r="H5782" s="470">
        <v>5775</v>
      </c>
      <c r="I5782" s="455">
        <f t="shared" ca="1" si="195"/>
        <v>-1.1526991385659182E+16</v>
      </c>
      <c r="J5782" s="455">
        <f t="array" ref="J5782">IFERROR(INDEX('Retirement Calculator'!K:K,MATCH('Lorri 401b'!N5782,'Retirement Calculator'!A:A,0),0),0)</f>
        <v>0</v>
      </c>
      <c r="K5782" s="455">
        <f t="shared" ca="1" si="193"/>
        <v>-48029130773579.922</v>
      </c>
      <c r="L5782" s="455">
        <f t="shared" ca="1" si="194"/>
        <v>-1.1575020516432762E+16</v>
      </c>
      <c r="M5782" s="471">
        <f t="shared" si="196"/>
        <v>0.05</v>
      </c>
      <c r="N5782" s="475">
        <f t="shared" si="197"/>
        <v>227030</v>
      </c>
    </row>
    <row r="5783" spans="7:14" ht="11.25" customHeight="1" x14ac:dyDescent="0.3">
      <c r="G5783" s="470"/>
      <c r="H5783" s="470">
        <v>5776</v>
      </c>
      <c r="I5783" s="455">
        <f t="shared" ca="1" si="195"/>
        <v>-1.1575020516432762E+16</v>
      </c>
      <c r="J5783" s="455">
        <f t="array" ref="J5783">IFERROR(INDEX('Retirement Calculator'!K:K,MATCH('Lorri 401b'!N5783,'Retirement Calculator'!A:A,0),0),0)</f>
        <v>0</v>
      </c>
      <c r="K5783" s="455">
        <f t="shared" ca="1" si="193"/>
        <v>-48229252151803.172</v>
      </c>
      <c r="L5783" s="455">
        <f t="shared" ca="1" si="194"/>
        <v>-1.1623249768584566E+16</v>
      </c>
      <c r="M5783" s="471">
        <f t="shared" si="196"/>
        <v>0.05</v>
      </c>
      <c r="N5783" s="475">
        <f t="shared" si="197"/>
        <v>227061</v>
      </c>
    </row>
    <row r="5784" spans="7:14" ht="11.25" customHeight="1" x14ac:dyDescent="0.3">
      <c r="G5784" s="470"/>
      <c r="H5784" s="470">
        <v>5777</v>
      </c>
      <c r="I5784" s="455">
        <f t="shared" ca="1" si="195"/>
        <v>-1.1623249768584566E+16</v>
      </c>
      <c r="J5784" s="455">
        <f t="array" ref="J5784">IFERROR(INDEX('Retirement Calculator'!K:K,MATCH('Lorri 401b'!N5784,'Retirement Calculator'!A:A,0),0),0)</f>
        <v>0</v>
      </c>
      <c r="K5784" s="455">
        <f t="shared" ca="1" si="193"/>
        <v>-48430207369102.359</v>
      </c>
      <c r="L5784" s="455">
        <f t="shared" ca="1" si="194"/>
        <v>-1.1671679975953668E+16</v>
      </c>
      <c r="M5784" s="471">
        <f t="shared" si="196"/>
        <v>0.05</v>
      </c>
      <c r="N5784" s="475">
        <f t="shared" si="197"/>
        <v>227091</v>
      </c>
    </row>
    <row r="5785" spans="7:14" ht="11.25" customHeight="1" x14ac:dyDescent="0.3">
      <c r="G5785" s="470"/>
      <c r="H5785" s="470">
        <v>5778</v>
      </c>
      <c r="I5785" s="455">
        <f t="shared" ca="1" si="195"/>
        <v>-1.1671679975953668E+16</v>
      </c>
      <c r="J5785" s="455">
        <f t="array" ref="J5785">IFERROR(INDEX('Retirement Calculator'!K:K,MATCH('Lorri 401b'!N5785,'Retirement Calculator'!A:A,0),0),0)</f>
        <v>0</v>
      </c>
      <c r="K5785" s="455">
        <f t="shared" ca="1" si="193"/>
        <v>-48631999899806.953</v>
      </c>
      <c r="L5785" s="455">
        <f t="shared" ca="1" si="194"/>
        <v>-1.1720311975853474E+16</v>
      </c>
      <c r="M5785" s="471">
        <f t="shared" si="196"/>
        <v>0.05</v>
      </c>
      <c r="N5785" s="475">
        <f t="shared" si="197"/>
        <v>227122</v>
      </c>
    </row>
    <row r="5786" spans="7:14" ht="11.25" customHeight="1" x14ac:dyDescent="0.3">
      <c r="G5786" s="470"/>
      <c r="H5786" s="470">
        <v>5779</v>
      </c>
      <c r="I5786" s="455">
        <f t="shared" ca="1" si="195"/>
        <v>-1.1720311975853474E+16</v>
      </c>
      <c r="J5786" s="455">
        <f t="array" ref="J5786">IFERROR(INDEX('Retirement Calculator'!K:K,MATCH('Lorri 401b'!N5786,'Retirement Calculator'!A:A,0),0),0)</f>
        <v>0</v>
      </c>
      <c r="K5786" s="455">
        <f t="shared" ca="1" si="193"/>
        <v>-48834633232722.805</v>
      </c>
      <c r="L5786" s="455">
        <f t="shared" ca="1" si="194"/>
        <v>-1.1769146609086196E+16</v>
      </c>
      <c r="M5786" s="471">
        <f t="shared" si="196"/>
        <v>0.05</v>
      </c>
      <c r="N5786" s="475">
        <f t="shared" si="197"/>
        <v>227152</v>
      </c>
    </row>
    <row r="5787" spans="7:14" ht="11.25" customHeight="1" x14ac:dyDescent="0.3">
      <c r="G5787" s="470"/>
      <c r="H5787" s="470">
        <v>5780</v>
      </c>
      <c r="I5787" s="455">
        <f t="shared" ca="1" si="195"/>
        <v>-1.1769146609086196E+16</v>
      </c>
      <c r="J5787" s="455">
        <f t="array" ref="J5787">IFERROR(INDEX('Retirement Calculator'!K:K,MATCH('Lorri 401b'!N5787,'Retirement Calculator'!A:A,0),0),0)</f>
        <v>0</v>
      </c>
      <c r="K5787" s="455">
        <f t="shared" ca="1" si="193"/>
        <v>-49038110871192.484</v>
      </c>
      <c r="L5787" s="455">
        <f t="shared" ca="1" si="194"/>
        <v>-1.1818184719957388E+16</v>
      </c>
      <c r="M5787" s="471">
        <f t="shared" si="196"/>
        <v>0.05</v>
      </c>
      <c r="N5787" s="475">
        <f t="shared" si="197"/>
        <v>227183</v>
      </c>
    </row>
    <row r="5788" spans="7:14" ht="11.25" customHeight="1" x14ac:dyDescent="0.3">
      <c r="G5788" s="470"/>
      <c r="H5788" s="470">
        <v>5781</v>
      </c>
      <c r="I5788" s="455">
        <f t="shared" ca="1" si="195"/>
        <v>-1.1818184719957388E+16</v>
      </c>
      <c r="J5788" s="455">
        <f t="array" ref="J5788">IFERROR(INDEX('Retirement Calculator'!K:K,MATCH('Lorri 401b'!N5788,'Retirement Calculator'!A:A,0),0),0)</f>
        <v>0</v>
      </c>
      <c r="K5788" s="455">
        <f t="shared" ca="1" si="193"/>
        <v>-49242436333155.781</v>
      </c>
      <c r="L5788" s="455">
        <f t="shared" ca="1" si="194"/>
        <v>-1.1867427156290544E+16</v>
      </c>
      <c r="M5788" s="471">
        <f t="shared" si="196"/>
        <v>0.05</v>
      </c>
      <c r="N5788" s="475">
        <f t="shared" si="197"/>
        <v>227214</v>
      </c>
    </row>
    <row r="5789" spans="7:14" ht="11.25" customHeight="1" x14ac:dyDescent="0.3">
      <c r="G5789" s="470"/>
      <c r="H5789" s="470">
        <v>5782</v>
      </c>
      <c r="I5789" s="455">
        <f t="shared" ca="1" si="195"/>
        <v>-1.1867427156290544E+16</v>
      </c>
      <c r="J5789" s="455">
        <f t="array" ref="J5789">IFERROR(INDEX('Retirement Calculator'!K:K,MATCH('Lorri 401b'!N5789,'Retirement Calculator'!A:A,0),0),0)</f>
        <v>0</v>
      </c>
      <c r="K5789" s="455">
        <f t="shared" ca="1" si="193"/>
        <v>-49447613151210.602</v>
      </c>
      <c r="L5789" s="455">
        <f t="shared" ca="1" si="194"/>
        <v>-1.1916874769441754E+16</v>
      </c>
      <c r="M5789" s="471">
        <f t="shared" si="196"/>
        <v>0.05</v>
      </c>
      <c r="N5789" s="475">
        <f t="shared" si="197"/>
        <v>227242</v>
      </c>
    </row>
    <row r="5790" spans="7:14" ht="11.25" customHeight="1" x14ac:dyDescent="0.3">
      <c r="G5790" s="470"/>
      <c r="H5790" s="470">
        <v>5783</v>
      </c>
      <c r="I5790" s="455">
        <f t="shared" ca="1" si="195"/>
        <v>-1.1916874769441754E+16</v>
      </c>
      <c r="J5790" s="455">
        <f t="array" ref="J5790">IFERROR(INDEX('Retirement Calculator'!K:K,MATCH('Lorri 401b'!N5790,'Retirement Calculator'!A:A,0),0),0)</f>
        <v>0</v>
      </c>
      <c r="K5790" s="455">
        <f t="shared" ca="1" si="193"/>
        <v>-49653644872673.977</v>
      </c>
      <c r="L5790" s="455">
        <f t="shared" ca="1" si="194"/>
        <v>-1.1966528414314428E+16</v>
      </c>
      <c r="M5790" s="471">
        <f t="shared" si="196"/>
        <v>0.05</v>
      </c>
      <c r="N5790" s="475">
        <f t="shared" si="197"/>
        <v>227273</v>
      </c>
    </row>
    <row r="5791" spans="7:14" ht="11.25" customHeight="1" x14ac:dyDescent="0.3">
      <c r="G5791" s="470"/>
      <c r="H5791" s="470">
        <v>5784</v>
      </c>
      <c r="I5791" s="455">
        <f t="shared" ca="1" si="195"/>
        <v>-1.1966528414314428E+16</v>
      </c>
      <c r="J5791" s="455">
        <f t="array" ref="J5791">IFERROR(INDEX('Retirement Calculator'!K:K,MATCH('Lorri 401b'!N5791,'Retirement Calculator'!A:A,0),0),0)</f>
        <v>0</v>
      </c>
      <c r="K5791" s="455">
        <f t="shared" ca="1" si="193"/>
        <v>-49860535059643.453</v>
      </c>
      <c r="L5791" s="455">
        <f t="shared" ca="1" si="194"/>
        <v>-1.2016388949374072E+16</v>
      </c>
      <c r="M5791" s="471">
        <f t="shared" si="196"/>
        <v>0.05</v>
      </c>
      <c r="N5791" s="475">
        <f t="shared" si="197"/>
        <v>227303</v>
      </c>
    </row>
    <row r="5792" spans="7:14" ht="11.25" customHeight="1" x14ac:dyDescent="0.3">
      <c r="G5792" s="470"/>
      <c r="H5792" s="470">
        <v>5785</v>
      </c>
      <c r="I5792" s="455">
        <f t="shared" ca="1" si="195"/>
        <v>-1.2016388949374072E+16</v>
      </c>
      <c r="J5792" s="455">
        <f t="array" ref="J5792">IFERROR(INDEX('Retirement Calculator'!K:K,MATCH('Lorri 401b'!N5792,'Retirement Calculator'!A:A,0),0),0)</f>
        <v>0</v>
      </c>
      <c r="K5792" s="455">
        <f t="shared" ca="1" si="193"/>
        <v>-50068287289058.633</v>
      </c>
      <c r="L5792" s="455">
        <f t="shared" ca="1" si="194"/>
        <v>-1.206645723666313E+16</v>
      </c>
      <c r="M5792" s="471">
        <f t="shared" si="196"/>
        <v>0.05</v>
      </c>
      <c r="N5792" s="475">
        <f t="shared" si="197"/>
        <v>227334</v>
      </c>
    </row>
    <row r="5793" spans="7:14" ht="11.25" customHeight="1" x14ac:dyDescent="0.3">
      <c r="G5793" s="470"/>
      <c r="H5793" s="470">
        <v>5786</v>
      </c>
      <c r="I5793" s="455">
        <f t="shared" ca="1" si="195"/>
        <v>-1.206645723666313E+16</v>
      </c>
      <c r="J5793" s="455">
        <f t="array" ref="J5793">IFERROR(INDEX('Retirement Calculator'!K:K,MATCH('Lorri 401b'!N5793,'Retirement Calculator'!A:A,0),0),0)</f>
        <v>0</v>
      </c>
      <c r="K5793" s="455">
        <f t="shared" ca="1" si="193"/>
        <v>-50276905152763.039</v>
      </c>
      <c r="L5793" s="455">
        <f t="shared" ca="1" si="194"/>
        <v>-1.2116734141815894E+16</v>
      </c>
      <c r="M5793" s="471">
        <f t="shared" si="196"/>
        <v>0.05</v>
      </c>
      <c r="N5793" s="475">
        <f t="shared" si="197"/>
        <v>227364</v>
      </c>
    </row>
    <row r="5794" spans="7:14" ht="11.25" customHeight="1" x14ac:dyDescent="0.3">
      <c r="G5794" s="470"/>
      <c r="H5794" s="470">
        <v>5787</v>
      </c>
      <c r="I5794" s="455">
        <f t="shared" ca="1" si="195"/>
        <v>-1.2116734141815894E+16</v>
      </c>
      <c r="J5794" s="455">
        <f t="array" ref="J5794">IFERROR(INDEX('Retirement Calculator'!K:K,MATCH('Lorri 401b'!N5794,'Retirement Calculator'!A:A,0),0),0)</f>
        <v>0</v>
      </c>
      <c r="K5794" s="455">
        <f t="shared" ca="1" si="193"/>
        <v>-50486392257566.227</v>
      </c>
      <c r="L5794" s="455">
        <f t="shared" ca="1" si="194"/>
        <v>-1.216722053407346E+16</v>
      </c>
      <c r="M5794" s="471">
        <f t="shared" si="196"/>
        <v>0.05</v>
      </c>
      <c r="N5794" s="475">
        <f t="shared" si="197"/>
        <v>227395</v>
      </c>
    </row>
    <row r="5795" spans="7:14" ht="11.25" customHeight="1" x14ac:dyDescent="0.3">
      <c r="G5795" s="470"/>
      <c r="H5795" s="470">
        <v>5788</v>
      </c>
      <c r="I5795" s="455">
        <f t="shared" ca="1" si="195"/>
        <v>-1.216722053407346E+16</v>
      </c>
      <c r="J5795" s="455">
        <f t="array" ref="J5795">IFERROR(INDEX('Retirement Calculator'!K:K,MATCH('Lorri 401b'!N5795,'Retirement Calculator'!A:A,0),0),0)</f>
        <v>0</v>
      </c>
      <c r="K5795" s="455">
        <f t="shared" ca="1" si="193"/>
        <v>-50696752225306.086</v>
      </c>
      <c r="L5795" s="455">
        <f t="shared" ca="1" si="194"/>
        <v>-1.2217917286298766E+16</v>
      </c>
      <c r="M5795" s="471">
        <f t="shared" si="196"/>
        <v>0.05</v>
      </c>
      <c r="N5795" s="475">
        <f t="shared" si="197"/>
        <v>227426</v>
      </c>
    </row>
    <row r="5796" spans="7:14" ht="11.25" customHeight="1" x14ac:dyDescent="0.3">
      <c r="G5796" s="470"/>
      <c r="H5796" s="470">
        <v>5789</v>
      </c>
      <c r="I5796" s="455">
        <f t="shared" ca="1" si="195"/>
        <v>-1.2217917286298766E+16</v>
      </c>
      <c r="J5796" s="455">
        <f t="array" ref="J5796">IFERROR(INDEX('Retirement Calculator'!K:K,MATCH('Lorri 401b'!N5796,'Retirement Calculator'!A:A,0),0),0)</f>
        <v>0</v>
      </c>
      <c r="K5796" s="455">
        <f t="shared" ca="1" si="193"/>
        <v>-50907988692911.523</v>
      </c>
      <c r="L5796" s="455">
        <f t="shared" ca="1" si="194"/>
        <v>-1.2268825274991678E+16</v>
      </c>
      <c r="M5796" s="471">
        <f t="shared" si="196"/>
        <v>0.05</v>
      </c>
      <c r="N5796" s="475">
        <f t="shared" si="197"/>
        <v>227456</v>
      </c>
    </row>
    <row r="5797" spans="7:14" ht="11.25" customHeight="1" x14ac:dyDescent="0.3">
      <c r="G5797" s="470"/>
      <c r="H5797" s="470">
        <v>5790</v>
      </c>
      <c r="I5797" s="455">
        <f t="shared" ca="1" si="195"/>
        <v>-1.2268825274991678E+16</v>
      </c>
      <c r="J5797" s="455">
        <f t="array" ref="J5797">IFERROR(INDEX('Retirement Calculator'!K:K,MATCH('Lorri 401b'!N5797,'Retirement Calculator'!A:A,0),0),0)</f>
        <v>0</v>
      </c>
      <c r="K5797" s="455">
        <f t="shared" ca="1" si="193"/>
        <v>-51120105312465.328</v>
      </c>
      <c r="L5797" s="455">
        <f t="shared" ca="1" si="194"/>
        <v>-1.2319945380304144E+16</v>
      </c>
      <c r="M5797" s="471">
        <f t="shared" si="196"/>
        <v>0.05</v>
      </c>
      <c r="N5797" s="475">
        <f t="shared" si="197"/>
        <v>227487</v>
      </c>
    </row>
    <row r="5798" spans="7:14" ht="11.25" customHeight="1" x14ac:dyDescent="0.3">
      <c r="G5798" s="470"/>
      <c r="H5798" s="470">
        <v>5791</v>
      </c>
      <c r="I5798" s="455">
        <f t="shared" ca="1" si="195"/>
        <v>-1.2319945380304144E+16</v>
      </c>
      <c r="J5798" s="455">
        <f t="array" ref="J5798">IFERROR(INDEX('Retirement Calculator'!K:K,MATCH('Lorri 401b'!N5798,'Retirement Calculator'!A:A,0),0),0)</f>
        <v>0</v>
      </c>
      <c r="K5798" s="455">
        <f t="shared" ca="1" si="193"/>
        <v>-51333105751267.266</v>
      </c>
      <c r="L5798" s="455">
        <f t="shared" ca="1" si="194"/>
        <v>-1.2371278486055412E+16</v>
      </c>
      <c r="M5798" s="471">
        <f t="shared" si="196"/>
        <v>0.05</v>
      </c>
      <c r="N5798" s="475">
        <f t="shared" si="197"/>
        <v>227517</v>
      </c>
    </row>
    <row r="5799" spans="7:14" ht="11.25" customHeight="1" x14ac:dyDescent="0.3">
      <c r="G5799" s="470"/>
      <c r="H5799" s="470">
        <v>5792</v>
      </c>
      <c r="I5799" s="455">
        <f t="shared" ca="1" si="195"/>
        <v>-1.2371278486055412E+16</v>
      </c>
      <c r="J5799" s="455">
        <f t="array" ref="J5799">IFERROR(INDEX('Retirement Calculator'!K:K,MATCH('Lorri 401b'!N5799,'Retirement Calculator'!A:A,0),0),0)</f>
        <v>0</v>
      </c>
      <c r="K5799" s="455">
        <f t="shared" ca="1" si="193"/>
        <v>-51546993691897.547</v>
      </c>
      <c r="L5799" s="455">
        <f t="shared" ca="1" si="194"/>
        <v>-1.242282547974731E+16</v>
      </c>
      <c r="M5799" s="471">
        <f t="shared" si="196"/>
        <v>0.05</v>
      </c>
      <c r="N5799" s="475">
        <f t="shared" si="197"/>
        <v>227548</v>
      </c>
    </row>
    <row r="5800" spans="7:14" ht="11.25" customHeight="1" x14ac:dyDescent="0.3">
      <c r="G5800" s="470"/>
      <c r="H5800" s="470">
        <v>5793</v>
      </c>
      <c r="I5800" s="455">
        <f t="shared" ca="1" si="195"/>
        <v>-1.242282547974731E+16</v>
      </c>
      <c r="J5800" s="455">
        <f t="array" ref="J5800">IFERROR(INDEX('Retirement Calculator'!K:K,MATCH('Lorri 401b'!N5800,'Retirement Calculator'!A:A,0),0),0)</f>
        <v>0</v>
      </c>
      <c r="K5800" s="455">
        <f t="shared" ca="1" si="193"/>
        <v>-51761772832280.461</v>
      </c>
      <c r="L5800" s="455">
        <f t="shared" ca="1" si="194"/>
        <v>-1.247458725257959E+16</v>
      </c>
      <c r="M5800" s="471">
        <f t="shared" si="196"/>
        <v>0.05</v>
      </c>
      <c r="N5800" s="475">
        <f t="shared" si="197"/>
        <v>227579</v>
      </c>
    </row>
    <row r="5801" spans="7:14" ht="11.25" customHeight="1" x14ac:dyDescent="0.3">
      <c r="G5801" s="470"/>
      <c r="H5801" s="470">
        <v>5794</v>
      </c>
      <c r="I5801" s="455">
        <f t="shared" ca="1" si="195"/>
        <v>-1.247458725257959E+16</v>
      </c>
      <c r="J5801" s="455">
        <f t="array" ref="J5801">IFERROR(INDEX('Retirement Calculator'!K:K,MATCH('Lorri 401b'!N5801,'Retirement Calculator'!A:A,0),0),0)</f>
        <v>0</v>
      </c>
      <c r="K5801" s="455">
        <f t="shared" ca="1" si="193"/>
        <v>-51977446885748.289</v>
      </c>
      <c r="L5801" s="455">
        <f t="shared" ca="1" si="194"/>
        <v>-1.2526564699465338E+16</v>
      </c>
      <c r="M5801" s="471">
        <f t="shared" si="196"/>
        <v>0.05</v>
      </c>
      <c r="N5801" s="475">
        <f t="shared" si="197"/>
        <v>227607</v>
      </c>
    </row>
    <row r="5802" spans="7:14" ht="11.25" customHeight="1" x14ac:dyDescent="0.3">
      <c r="G5802" s="470"/>
      <c r="H5802" s="470">
        <v>5795</v>
      </c>
      <c r="I5802" s="455">
        <f t="shared" ca="1" si="195"/>
        <v>-1.2526564699465338E+16</v>
      </c>
      <c r="J5802" s="455">
        <f t="array" ref="J5802">IFERROR(INDEX('Retirement Calculator'!K:K,MATCH('Lorri 401b'!N5802,'Retirement Calculator'!A:A,0),0),0)</f>
        <v>0</v>
      </c>
      <c r="K5802" s="455">
        <f t="shared" ca="1" si="193"/>
        <v>-52194019581105.578</v>
      </c>
      <c r="L5802" s="455">
        <f t="shared" ca="1" si="194"/>
        <v>-1.2578758719046444E+16</v>
      </c>
      <c r="M5802" s="471">
        <f t="shared" si="196"/>
        <v>0.05</v>
      </c>
      <c r="N5802" s="475">
        <f t="shared" si="197"/>
        <v>227638</v>
      </c>
    </row>
    <row r="5803" spans="7:14" ht="11.25" customHeight="1" x14ac:dyDescent="0.3">
      <c r="G5803" s="470"/>
      <c r="H5803" s="470">
        <v>5796</v>
      </c>
      <c r="I5803" s="455">
        <f t="shared" ca="1" si="195"/>
        <v>-1.2578758719046444E+16</v>
      </c>
      <c r="J5803" s="455">
        <f t="array" ref="J5803">IFERROR(INDEX('Retirement Calculator'!K:K,MATCH('Lorri 401b'!N5803,'Retirement Calculator'!A:A,0),0),0)</f>
        <v>0</v>
      </c>
      <c r="K5803" s="455">
        <f t="shared" ca="1" si="193"/>
        <v>-52411494662693.516</v>
      </c>
      <c r="L5803" s="455">
        <f t="shared" ca="1" si="194"/>
        <v>-1.2631170213709138E+16</v>
      </c>
      <c r="M5803" s="471">
        <f t="shared" si="196"/>
        <v>0.05</v>
      </c>
      <c r="N5803" s="475">
        <f t="shared" si="197"/>
        <v>227668</v>
      </c>
    </row>
    <row r="5804" spans="7:14" ht="11.25" customHeight="1" x14ac:dyDescent="0.3">
      <c r="G5804" s="470"/>
      <c r="H5804" s="470">
        <v>5797</v>
      </c>
      <c r="I5804" s="455">
        <f t="shared" ca="1" si="195"/>
        <v>-1.2631170213709138E+16</v>
      </c>
      <c r="J5804" s="455">
        <f t="array" ref="J5804">IFERROR(INDEX('Retirement Calculator'!K:K,MATCH('Lorri 401b'!N5804,'Retirement Calculator'!A:A,0),0),0)</f>
        <v>0</v>
      </c>
      <c r="K5804" s="455">
        <f t="shared" ca="1" si="193"/>
        <v>-52629875890454.742</v>
      </c>
      <c r="L5804" s="455">
        <f t="shared" ca="1" si="194"/>
        <v>-1.2683800089599592E+16</v>
      </c>
      <c r="M5804" s="471">
        <f t="shared" si="196"/>
        <v>0.05</v>
      </c>
      <c r="N5804" s="475">
        <f t="shared" si="197"/>
        <v>227699</v>
      </c>
    </row>
    <row r="5805" spans="7:14" ht="11.25" customHeight="1" x14ac:dyDescent="0.3">
      <c r="G5805" s="470"/>
      <c r="H5805" s="470">
        <v>5798</v>
      </c>
      <c r="I5805" s="455">
        <f t="shared" ca="1" si="195"/>
        <v>-1.2683800089599592E+16</v>
      </c>
      <c r="J5805" s="455">
        <f t="array" ref="J5805">IFERROR(INDEX('Retirement Calculator'!K:K,MATCH('Lorri 401b'!N5805,'Retirement Calculator'!A:A,0),0),0)</f>
        <v>0</v>
      </c>
      <c r="K5805" s="455">
        <f t="shared" ca="1" si="193"/>
        <v>-52849167039998.297</v>
      </c>
      <c r="L5805" s="455">
        <f t="shared" ca="1" si="194"/>
        <v>-1.273664925663959E+16</v>
      </c>
      <c r="M5805" s="471">
        <f t="shared" si="196"/>
        <v>0.05</v>
      </c>
      <c r="N5805" s="475">
        <f t="shared" si="197"/>
        <v>227729</v>
      </c>
    </row>
    <row r="5806" spans="7:14" ht="11.25" customHeight="1" x14ac:dyDescent="0.3">
      <c r="G5806" s="470"/>
      <c r="H5806" s="470">
        <v>5799</v>
      </c>
      <c r="I5806" s="455">
        <f t="shared" ca="1" si="195"/>
        <v>-1.273664925663959E+16</v>
      </c>
      <c r="J5806" s="455">
        <f t="array" ref="J5806">IFERROR(INDEX('Retirement Calculator'!K:K,MATCH('Lorri 401b'!N5806,'Retirement Calculator'!A:A,0),0),0)</f>
        <v>0</v>
      </c>
      <c r="K5806" s="455">
        <f t="shared" ca="1" si="193"/>
        <v>-53069371902664.961</v>
      </c>
      <c r="L5806" s="455">
        <f t="shared" ca="1" si="194"/>
        <v>-1.2789718628542254E+16</v>
      </c>
      <c r="M5806" s="471">
        <f t="shared" si="196"/>
        <v>0.05</v>
      </c>
      <c r="N5806" s="475">
        <f t="shared" si="197"/>
        <v>227760</v>
      </c>
    </row>
    <row r="5807" spans="7:14" ht="11.25" customHeight="1" x14ac:dyDescent="0.3">
      <c r="G5807" s="470"/>
      <c r="H5807" s="470">
        <v>5800</v>
      </c>
      <c r="I5807" s="455">
        <f t="shared" ca="1" si="195"/>
        <v>-1.2789718628542254E+16</v>
      </c>
      <c r="J5807" s="455">
        <f t="array" ref="J5807">IFERROR(INDEX('Retirement Calculator'!K:K,MATCH('Lorri 401b'!N5807,'Retirement Calculator'!A:A,0),0),0)</f>
        <v>0</v>
      </c>
      <c r="K5807" s="455">
        <f t="shared" ca="1" si="193"/>
        <v>-53290494285592.727</v>
      </c>
      <c r="L5807" s="455">
        <f t="shared" ca="1" si="194"/>
        <v>-1.2843009122827846E+16</v>
      </c>
      <c r="M5807" s="471">
        <f t="shared" si="196"/>
        <v>0.05</v>
      </c>
      <c r="N5807" s="475">
        <f t="shared" si="197"/>
        <v>227791</v>
      </c>
    </row>
    <row r="5808" spans="7:14" ht="11.25" customHeight="1" x14ac:dyDescent="0.3">
      <c r="G5808" s="470"/>
      <c r="H5808" s="470">
        <v>5801</v>
      </c>
      <c r="I5808" s="455">
        <f t="shared" ca="1" si="195"/>
        <v>-1.2843009122827846E+16</v>
      </c>
      <c r="J5808" s="455">
        <f t="array" ref="J5808">IFERROR(INDEX('Retirement Calculator'!K:K,MATCH('Lorri 401b'!N5808,'Retirement Calculator'!A:A,0),0),0)</f>
        <v>0</v>
      </c>
      <c r="K5808" s="455">
        <f t="shared" ca="1" si="193"/>
        <v>-53512538011782.688</v>
      </c>
      <c r="L5808" s="455">
        <f t="shared" ca="1" si="194"/>
        <v>-1.2896521660839628E+16</v>
      </c>
      <c r="M5808" s="471">
        <f t="shared" si="196"/>
        <v>0.05</v>
      </c>
      <c r="N5808" s="475">
        <f t="shared" si="197"/>
        <v>227821</v>
      </c>
    </row>
    <row r="5809" spans="7:14" ht="11.25" customHeight="1" x14ac:dyDescent="0.3">
      <c r="G5809" s="470"/>
      <c r="H5809" s="470">
        <v>5802</v>
      </c>
      <c r="I5809" s="455">
        <f t="shared" ca="1" si="195"/>
        <v>-1.2896521660839628E+16</v>
      </c>
      <c r="J5809" s="455">
        <f t="array" ref="J5809">IFERROR(INDEX('Retirement Calculator'!K:K,MATCH('Lorri 401b'!N5809,'Retirement Calculator'!A:A,0),0),0)</f>
        <v>0</v>
      </c>
      <c r="K5809" s="455">
        <f t="shared" ca="1" si="193"/>
        <v>-53735506920165.117</v>
      </c>
      <c r="L5809" s="455">
        <f t="shared" ca="1" si="194"/>
        <v>-1.2950257167759794E+16</v>
      </c>
      <c r="M5809" s="471">
        <f t="shared" si="196"/>
        <v>0.05</v>
      </c>
      <c r="N5809" s="475">
        <f t="shared" si="197"/>
        <v>227852</v>
      </c>
    </row>
    <row r="5810" spans="7:14" ht="11.25" customHeight="1" x14ac:dyDescent="0.3">
      <c r="G5810" s="470"/>
      <c r="H5810" s="470">
        <v>5803</v>
      </c>
      <c r="I5810" s="455">
        <f t="shared" ca="1" si="195"/>
        <v>-1.2950257167759794E+16</v>
      </c>
      <c r="J5810" s="455">
        <f t="array" ref="J5810">IFERROR(INDEX('Retirement Calculator'!K:K,MATCH('Lorri 401b'!N5810,'Retirement Calculator'!A:A,0),0),0)</f>
        <v>0</v>
      </c>
      <c r="K5810" s="455">
        <f t="shared" ca="1" si="193"/>
        <v>-53959404865665.805</v>
      </c>
      <c r="L5810" s="455">
        <f t="shared" ca="1" si="194"/>
        <v>-1.300421657262546E+16</v>
      </c>
      <c r="M5810" s="471">
        <f t="shared" si="196"/>
        <v>0.05</v>
      </c>
      <c r="N5810" s="475">
        <f t="shared" si="197"/>
        <v>227882</v>
      </c>
    </row>
    <row r="5811" spans="7:14" ht="11.25" customHeight="1" x14ac:dyDescent="0.3">
      <c r="G5811" s="470"/>
      <c r="H5811" s="470">
        <v>5804</v>
      </c>
      <c r="I5811" s="455">
        <f t="shared" ca="1" si="195"/>
        <v>-1.300421657262546E+16</v>
      </c>
      <c r="J5811" s="455">
        <f t="array" ref="J5811">IFERROR(INDEX('Retirement Calculator'!K:K,MATCH('Lorri 401b'!N5811,'Retirement Calculator'!A:A,0),0),0)</f>
        <v>0</v>
      </c>
      <c r="K5811" s="455">
        <f t="shared" ca="1" si="193"/>
        <v>-54184235719272.75</v>
      </c>
      <c r="L5811" s="455">
        <f t="shared" ca="1" si="194"/>
        <v>-1.3058400808344732E+16</v>
      </c>
      <c r="M5811" s="471">
        <f t="shared" si="196"/>
        <v>0.05</v>
      </c>
      <c r="N5811" s="475">
        <f t="shared" si="197"/>
        <v>227913</v>
      </c>
    </row>
    <row r="5812" spans="7:14" ht="11.25" customHeight="1" x14ac:dyDescent="0.3">
      <c r="G5812" s="470"/>
      <c r="H5812" s="470">
        <v>5805</v>
      </c>
      <c r="I5812" s="455">
        <f t="shared" ca="1" si="195"/>
        <v>-1.3058400808344732E+16</v>
      </c>
      <c r="J5812" s="455">
        <f t="array" ref="J5812">IFERROR(INDEX('Retirement Calculator'!K:K,MATCH('Lorri 401b'!N5812,'Retirement Calculator'!A:A,0),0),0)</f>
        <v>0</v>
      </c>
      <c r="K5812" s="455">
        <f t="shared" ca="1" si="193"/>
        <v>-54410003368103.047</v>
      </c>
      <c r="L5812" s="455">
        <f t="shared" ca="1" si="194"/>
        <v>-1.3112810811712836E+16</v>
      </c>
      <c r="M5812" s="471">
        <f t="shared" si="196"/>
        <v>0.05</v>
      </c>
      <c r="N5812" s="475">
        <f t="shared" si="197"/>
        <v>227944</v>
      </c>
    </row>
    <row r="5813" spans="7:14" ht="11.25" customHeight="1" x14ac:dyDescent="0.3">
      <c r="G5813" s="470"/>
      <c r="H5813" s="470">
        <v>5806</v>
      </c>
      <c r="I5813" s="455">
        <f t="shared" ca="1" si="195"/>
        <v>-1.3112810811712836E+16</v>
      </c>
      <c r="J5813" s="455">
        <f t="array" ref="J5813">IFERROR(INDEX('Retirement Calculator'!K:K,MATCH('Lorri 401b'!N5813,'Retirement Calculator'!A:A,0),0),0)</f>
        <v>0</v>
      </c>
      <c r="K5813" s="455">
        <f t="shared" ca="1" si="193"/>
        <v>-54636711715470.148</v>
      </c>
      <c r="L5813" s="455">
        <f t="shared" ca="1" si="194"/>
        <v>-1.3167447523428306E+16</v>
      </c>
      <c r="M5813" s="471">
        <f t="shared" si="196"/>
        <v>0.05</v>
      </c>
      <c r="N5813" s="475">
        <f t="shared" si="197"/>
        <v>227973</v>
      </c>
    </row>
    <row r="5814" spans="7:14" ht="11.25" customHeight="1" x14ac:dyDescent="0.3">
      <c r="G5814" s="470"/>
      <c r="H5814" s="470">
        <v>5807</v>
      </c>
      <c r="I5814" s="455">
        <f t="shared" ca="1" si="195"/>
        <v>-1.3167447523428306E+16</v>
      </c>
      <c r="J5814" s="455">
        <f t="array" ref="J5814">IFERROR(INDEX('Retirement Calculator'!K:K,MATCH('Lorri 401b'!N5814,'Retirement Calculator'!A:A,0),0),0)</f>
        <v>0</v>
      </c>
      <c r="K5814" s="455">
        <f t="shared" ca="1" si="193"/>
        <v>-54864364680951.273</v>
      </c>
      <c r="L5814" s="455">
        <f t="shared" ca="1" si="194"/>
        <v>-1.3222311888109258E+16</v>
      </c>
      <c r="M5814" s="471">
        <f t="shared" si="196"/>
        <v>0.05</v>
      </c>
      <c r="N5814" s="475">
        <f t="shared" si="197"/>
        <v>228004</v>
      </c>
    </row>
    <row r="5815" spans="7:14" ht="11.25" customHeight="1" x14ac:dyDescent="0.3">
      <c r="G5815" s="470"/>
      <c r="H5815" s="470">
        <v>5808</v>
      </c>
      <c r="I5815" s="455">
        <f t="shared" ca="1" si="195"/>
        <v>-1.3222311888109258E+16</v>
      </c>
      <c r="J5815" s="455">
        <f t="array" ref="J5815">IFERROR(INDEX('Retirement Calculator'!K:K,MATCH('Lorri 401b'!N5815,'Retirement Calculator'!A:A,0),0),0)</f>
        <v>0</v>
      </c>
      <c r="K5815" s="455">
        <f t="shared" ca="1" si="193"/>
        <v>-55092966200455.242</v>
      </c>
      <c r="L5815" s="455">
        <f t="shared" ca="1" si="194"/>
        <v>-1.3277404854309714E+16</v>
      </c>
      <c r="M5815" s="471">
        <f t="shared" si="196"/>
        <v>0.05</v>
      </c>
      <c r="N5815" s="475">
        <f t="shared" si="197"/>
        <v>228034</v>
      </c>
    </row>
    <row r="5816" spans="7:14" ht="11.25" customHeight="1" x14ac:dyDescent="0.3">
      <c r="G5816" s="470"/>
      <c r="H5816" s="470">
        <v>5809</v>
      </c>
      <c r="I5816" s="455">
        <f t="shared" ca="1" si="195"/>
        <v>-1.3277404854309714E+16</v>
      </c>
      <c r="J5816" s="455">
        <f t="array" ref="J5816">IFERROR(INDEX('Retirement Calculator'!K:K,MATCH('Lorri 401b'!N5816,'Retirement Calculator'!A:A,0),0),0)</f>
        <v>0</v>
      </c>
      <c r="K5816" s="455">
        <f t="shared" ca="1" si="193"/>
        <v>-55322520226290.477</v>
      </c>
      <c r="L5816" s="455">
        <f t="shared" ca="1" si="194"/>
        <v>-1.3332727374536004E+16</v>
      </c>
      <c r="M5816" s="471">
        <f t="shared" si="196"/>
        <v>0.05</v>
      </c>
      <c r="N5816" s="475">
        <f t="shared" si="197"/>
        <v>228065</v>
      </c>
    </row>
    <row r="5817" spans="7:14" ht="11.25" customHeight="1" x14ac:dyDescent="0.3">
      <c r="G5817" s="470"/>
      <c r="H5817" s="470">
        <v>5810</v>
      </c>
      <c r="I5817" s="455">
        <f t="shared" ca="1" si="195"/>
        <v>-1.3332727374536004E+16</v>
      </c>
      <c r="J5817" s="455">
        <f t="array" ref="J5817">IFERROR(INDEX('Retirement Calculator'!K:K,MATCH('Lorri 401b'!N5817,'Retirement Calculator'!A:A,0),0),0)</f>
        <v>0</v>
      </c>
      <c r="K5817" s="455">
        <f t="shared" ca="1" si="193"/>
        <v>-55553030727233.352</v>
      </c>
      <c r="L5817" s="455">
        <f t="shared" ca="1" si="194"/>
        <v>-1.3388280405263238E+16</v>
      </c>
      <c r="M5817" s="471">
        <f t="shared" si="196"/>
        <v>0.05</v>
      </c>
      <c r="N5817" s="475">
        <f t="shared" si="197"/>
        <v>228095</v>
      </c>
    </row>
    <row r="5818" spans="7:14" ht="11.25" customHeight="1" x14ac:dyDescent="0.3">
      <c r="G5818" s="470"/>
      <c r="H5818" s="470">
        <v>5811</v>
      </c>
      <c r="I5818" s="455">
        <f t="shared" ca="1" si="195"/>
        <v>-1.3388280405263238E+16</v>
      </c>
      <c r="J5818" s="455">
        <f t="array" ref="J5818">IFERROR(INDEX('Retirement Calculator'!K:K,MATCH('Lorri 401b'!N5818,'Retirement Calculator'!A:A,0),0),0)</f>
        <v>0</v>
      </c>
      <c r="K5818" s="455">
        <f t="shared" ca="1" si="193"/>
        <v>-55784501688596.828</v>
      </c>
      <c r="L5818" s="455">
        <f t="shared" ca="1" si="194"/>
        <v>-1.3444064906951834E+16</v>
      </c>
      <c r="M5818" s="471">
        <f t="shared" si="196"/>
        <v>0.05</v>
      </c>
      <c r="N5818" s="475">
        <f t="shared" si="197"/>
        <v>228126</v>
      </c>
    </row>
    <row r="5819" spans="7:14" ht="11.25" customHeight="1" x14ac:dyDescent="0.3">
      <c r="G5819" s="470"/>
      <c r="H5819" s="470">
        <v>5812</v>
      </c>
      <c r="I5819" s="455">
        <f t="shared" ca="1" si="195"/>
        <v>-1.3444064906951834E+16</v>
      </c>
      <c r="J5819" s="455">
        <f t="array" ref="J5819">IFERROR(INDEX('Retirement Calculator'!K:K,MATCH('Lorri 401b'!N5819,'Retirement Calculator'!A:A,0),0),0)</f>
        <v>0</v>
      </c>
      <c r="K5819" s="455">
        <f t="shared" ca="1" si="193"/>
        <v>-56016937112299.305</v>
      </c>
      <c r="L5819" s="455">
        <f t="shared" ca="1" si="194"/>
        <v>-1.3500081844064134E+16</v>
      </c>
      <c r="M5819" s="471">
        <f t="shared" si="196"/>
        <v>0.05</v>
      </c>
      <c r="N5819" s="475">
        <f t="shared" si="197"/>
        <v>228157</v>
      </c>
    </row>
    <row r="5820" spans="7:14" ht="11.25" customHeight="1" x14ac:dyDescent="0.3">
      <c r="G5820" s="470"/>
      <c r="H5820" s="470">
        <v>5813</v>
      </c>
      <c r="I5820" s="455">
        <f t="shared" ca="1" si="195"/>
        <v>-1.3500081844064134E+16</v>
      </c>
      <c r="J5820" s="455">
        <f t="array" ref="J5820">IFERROR(INDEX('Retirement Calculator'!K:K,MATCH('Lorri 401b'!N5820,'Retirement Calculator'!A:A,0),0),0)</f>
        <v>0</v>
      </c>
      <c r="K5820" s="455">
        <f t="shared" ca="1" si="193"/>
        <v>-56250341016933.891</v>
      </c>
      <c r="L5820" s="455">
        <f t="shared" ca="1" si="194"/>
        <v>-1.3556332185081068E+16</v>
      </c>
      <c r="M5820" s="471">
        <f t="shared" si="196"/>
        <v>0.05</v>
      </c>
      <c r="N5820" s="475">
        <f t="shared" si="197"/>
        <v>228187</v>
      </c>
    </row>
    <row r="5821" spans="7:14" ht="11.25" customHeight="1" x14ac:dyDescent="0.3">
      <c r="G5821" s="470"/>
      <c r="H5821" s="470">
        <v>5814</v>
      </c>
      <c r="I5821" s="455">
        <f t="shared" ca="1" si="195"/>
        <v>-1.3556332185081068E+16</v>
      </c>
      <c r="J5821" s="455">
        <f t="array" ref="J5821">IFERROR(INDEX('Retirement Calculator'!K:K,MATCH('Lorri 401b'!N5821,'Retirement Calculator'!A:A,0),0),0)</f>
        <v>0</v>
      </c>
      <c r="K5821" s="455">
        <f t="shared" ca="1" si="193"/>
        <v>-56484717437837.781</v>
      </c>
      <c r="L5821" s="455">
        <f t="shared" ca="1" si="194"/>
        <v>-1.3612816902518906E+16</v>
      </c>
      <c r="M5821" s="471">
        <f t="shared" si="196"/>
        <v>0.05</v>
      </c>
      <c r="N5821" s="475">
        <f t="shared" si="197"/>
        <v>228218</v>
      </c>
    </row>
    <row r="5822" spans="7:14" ht="11.25" customHeight="1" x14ac:dyDescent="0.3">
      <c r="G5822" s="470"/>
      <c r="H5822" s="470">
        <v>5815</v>
      </c>
      <c r="I5822" s="455">
        <f t="shared" ca="1" si="195"/>
        <v>-1.3612816902518906E+16</v>
      </c>
      <c r="J5822" s="455">
        <f t="array" ref="J5822">IFERROR(INDEX('Retirement Calculator'!K:K,MATCH('Lorri 401b'!N5822,'Retirement Calculator'!A:A,0),0),0)</f>
        <v>0</v>
      </c>
      <c r="K5822" s="455">
        <f t="shared" ca="1" si="193"/>
        <v>-56720070427162.109</v>
      </c>
      <c r="L5822" s="455">
        <f t="shared" ca="1" si="194"/>
        <v>-1.3669536972946068E+16</v>
      </c>
      <c r="M5822" s="471">
        <f t="shared" si="196"/>
        <v>0.05</v>
      </c>
      <c r="N5822" s="475">
        <f t="shared" si="197"/>
        <v>228248</v>
      </c>
    </row>
    <row r="5823" spans="7:14" ht="11.25" customHeight="1" x14ac:dyDescent="0.3">
      <c r="G5823" s="470"/>
      <c r="H5823" s="470">
        <v>5816</v>
      </c>
      <c r="I5823" s="455">
        <f t="shared" ca="1" si="195"/>
        <v>-1.3669536972946068E+16</v>
      </c>
      <c r="J5823" s="455">
        <f t="array" ref="J5823">IFERROR(INDEX('Retirement Calculator'!K:K,MATCH('Lorri 401b'!N5823,'Retirement Calculator'!A:A,0),0),0)</f>
        <v>0</v>
      </c>
      <c r="K5823" s="455">
        <f t="shared" ca="1" si="193"/>
        <v>-56956404053941.945</v>
      </c>
      <c r="L5823" s="455">
        <f t="shared" ca="1" si="194"/>
        <v>-1.372649337700001E+16</v>
      </c>
      <c r="M5823" s="471">
        <f t="shared" si="196"/>
        <v>0.05</v>
      </c>
      <c r="N5823" s="475">
        <f t="shared" si="197"/>
        <v>228279</v>
      </c>
    </row>
    <row r="5824" spans="7:14" ht="11.25" customHeight="1" x14ac:dyDescent="0.3">
      <c r="G5824" s="470"/>
      <c r="H5824" s="470">
        <v>5817</v>
      </c>
      <c r="I5824" s="455">
        <f t="shared" ca="1" si="195"/>
        <v>-1.372649337700001E+16</v>
      </c>
      <c r="J5824" s="455">
        <f t="array" ref="J5824">IFERROR(INDEX('Retirement Calculator'!K:K,MATCH('Lorri 401b'!N5824,'Retirement Calculator'!A:A,0),0),0)</f>
        <v>0</v>
      </c>
      <c r="K5824" s="455">
        <f t="shared" ca="1" si="193"/>
        <v>-57193722404166.711</v>
      </c>
      <c r="L5824" s="455">
        <f t="shared" ca="1" si="194"/>
        <v>-1.3783687099404176E+16</v>
      </c>
      <c r="M5824" s="471">
        <f t="shared" si="196"/>
        <v>0.05</v>
      </c>
      <c r="N5824" s="475">
        <f t="shared" si="197"/>
        <v>228310</v>
      </c>
    </row>
    <row r="5825" spans="7:14" ht="11.25" customHeight="1" x14ac:dyDescent="0.3">
      <c r="G5825" s="470"/>
      <c r="H5825" s="470">
        <v>5818</v>
      </c>
      <c r="I5825" s="455">
        <f t="shared" ca="1" si="195"/>
        <v>-1.3783687099404176E+16</v>
      </c>
      <c r="J5825" s="455">
        <f t="array" ref="J5825">IFERROR(INDEX('Retirement Calculator'!K:K,MATCH('Lorri 401b'!N5825,'Retirement Calculator'!A:A,0),0),0)</f>
        <v>0</v>
      </c>
      <c r="K5825" s="455">
        <f t="shared" ca="1" si="193"/>
        <v>-57432029580850.734</v>
      </c>
      <c r="L5825" s="455">
        <f t="shared" ca="1" si="194"/>
        <v>-1.3841119128985026E+16</v>
      </c>
      <c r="M5825" s="471">
        <f t="shared" si="196"/>
        <v>0.05</v>
      </c>
      <c r="N5825" s="475">
        <f t="shared" si="197"/>
        <v>228338</v>
      </c>
    </row>
    <row r="5826" spans="7:14" ht="11.25" customHeight="1" x14ac:dyDescent="0.3">
      <c r="G5826" s="470"/>
      <c r="H5826" s="470">
        <v>5819</v>
      </c>
      <c r="I5826" s="455">
        <f t="shared" ca="1" si="195"/>
        <v>-1.3841119128985026E+16</v>
      </c>
      <c r="J5826" s="455">
        <f t="array" ref="J5826">IFERROR(INDEX('Retirement Calculator'!K:K,MATCH('Lorri 401b'!N5826,'Retirement Calculator'!A:A,0),0),0)</f>
        <v>0</v>
      </c>
      <c r="K5826" s="455">
        <f t="shared" ca="1" si="193"/>
        <v>-57671329704104.273</v>
      </c>
      <c r="L5826" s="455">
        <f t="shared" ca="1" si="194"/>
        <v>-1.389879045868913E+16</v>
      </c>
      <c r="M5826" s="471">
        <f t="shared" si="196"/>
        <v>0.05</v>
      </c>
      <c r="N5826" s="475">
        <f t="shared" si="197"/>
        <v>228369</v>
      </c>
    </row>
    <row r="5827" spans="7:14" ht="11.25" customHeight="1" x14ac:dyDescent="0.3">
      <c r="G5827" s="470"/>
      <c r="H5827" s="470">
        <v>5820</v>
      </c>
      <c r="I5827" s="455">
        <f t="shared" ca="1" si="195"/>
        <v>-1.389879045868913E+16</v>
      </c>
      <c r="J5827" s="455">
        <f t="array" ref="J5827">IFERROR(INDEX('Retirement Calculator'!K:K,MATCH('Lorri 401b'!N5827,'Retirement Calculator'!A:A,0),0),0)</f>
        <v>0</v>
      </c>
      <c r="K5827" s="455">
        <f t="shared" ca="1" si="193"/>
        <v>-57911626911204.711</v>
      </c>
      <c r="L5827" s="455">
        <f t="shared" ca="1" si="194"/>
        <v>-1.3956702085600334E+16</v>
      </c>
      <c r="M5827" s="471">
        <f t="shared" si="196"/>
        <v>0.05</v>
      </c>
      <c r="N5827" s="475">
        <f t="shared" si="197"/>
        <v>228399</v>
      </c>
    </row>
    <row r="5828" spans="7:14" ht="11.25" customHeight="1" x14ac:dyDescent="0.3">
      <c r="G5828" s="470"/>
      <c r="H5828" s="470">
        <v>5821</v>
      </c>
      <c r="I5828" s="455">
        <f t="shared" ca="1" si="195"/>
        <v>-1.3956702085600334E+16</v>
      </c>
      <c r="J5828" s="455">
        <f t="array" ref="J5828">IFERROR(INDEX('Retirement Calculator'!K:K,MATCH('Lorri 401b'!N5828,'Retirement Calculator'!A:A,0),0),0)</f>
        <v>0</v>
      </c>
      <c r="K5828" s="455">
        <f t="shared" ca="1" si="193"/>
        <v>-58152925356668.055</v>
      </c>
      <c r="L5828" s="455">
        <f t="shared" ca="1" si="194"/>
        <v>-1.4014855010957002E+16</v>
      </c>
      <c r="M5828" s="471">
        <f t="shared" si="196"/>
        <v>0.05</v>
      </c>
      <c r="N5828" s="475">
        <f t="shared" si="197"/>
        <v>228430</v>
      </c>
    </row>
    <row r="5829" spans="7:14" ht="11.25" customHeight="1" x14ac:dyDescent="0.3">
      <c r="G5829" s="470"/>
      <c r="H5829" s="470">
        <v>5822</v>
      </c>
      <c r="I5829" s="455">
        <f t="shared" ca="1" si="195"/>
        <v>-1.4014855010957002E+16</v>
      </c>
      <c r="J5829" s="455">
        <f t="array" ref="J5829">IFERROR(INDEX('Retirement Calculator'!K:K,MATCH('Lorri 401b'!N5829,'Retirement Calculator'!A:A,0),0),0)</f>
        <v>0</v>
      </c>
      <c r="K5829" s="455">
        <f t="shared" ca="1" si="193"/>
        <v>-58395229212320.844</v>
      </c>
      <c r="L5829" s="455">
        <f t="shared" ca="1" si="194"/>
        <v>-1.4073250240169322E+16</v>
      </c>
      <c r="M5829" s="471">
        <f t="shared" si="196"/>
        <v>0.05</v>
      </c>
      <c r="N5829" s="475">
        <f t="shared" si="197"/>
        <v>228460</v>
      </c>
    </row>
    <row r="5830" spans="7:14" ht="11.25" customHeight="1" x14ac:dyDescent="0.3">
      <c r="G5830" s="470"/>
      <c r="H5830" s="470">
        <v>5823</v>
      </c>
      <c r="I5830" s="455">
        <f t="shared" ca="1" si="195"/>
        <v>-1.4073250240169322E+16</v>
      </c>
      <c r="J5830" s="455">
        <f t="array" ref="J5830">IFERROR(INDEX('Retirement Calculator'!K:K,MATCH('Lorri 401b'!N5830,'Retirement Calculator'!A:A,0),0),0)</f>
        <v>0</v>
      </c>
      <c r="K5830" s="455">
        <f t="shared" ca="1" si="193"/>
        <v>-58638542667372.18</v>
      </c>
      <c r="L5830" s="455">
        <f t="shared" ca="1" si="194"/>
        <v>-1.4131888782836694E+16</v>
      </c>
      <c r="M5830" s="471">
        <f t="shared" si="196"/>
        <v>0.05</v>
      </c>
      <c r="N5830" s="475">
        <f t="shared" si="197"/>
        <v>228491</v>
      </c>
    </row>
    <row r="5831" spans="7:14" ht="11.25" customHeight="1" x14ac:dyDescent="0.3">
      <c r="G5831" s="470"/>
      <c r="H5831" s="470">
        <v>5824</v>
      </c>
      <c r="I5831" s="455">
        <f t="shared" ca="1" si="195"/>
        <v>-1.4131888782836694E+16</v>
      </c>
      <c r="J5831" s="455">
        <f t="array" ref="J5831">IFERROR(INDEX('Retirement Calculator'!K:K,MATCH('Lorri 401b'!N5831,'Retirement Calculator'!A:A,0),0),0)</f>
        <v>0</v>
      </c>
      <c r="K5831" s="455">
        <f t="shared" ca="1" si="193"/>
        <v>-58882869928486.227</v>
      </c>
      <c r="L5831" s="455">
        <f t="shared" ca="1" si="194"/>
        <v>-1.419077165276518E+16</v>
      </c>
      <c r="M5831" s="471">
        <f t="shared" si="196"/>
        <v>0.05</v>
      </c>
      <c r="N5831" s="475">
        <f t="shared" si="197"/>
        <v>228522</v>
      </c>
    </row>
    <row r="5832" spans="7:14" ht="11.25" customHeight="1" x14ac:dyDescent="0.3">
      <c r="G5832" s="470"/>
      <c r="H5832" s="470">
        <v>5825</v>
      </c>
      <c r="I5832" s="455">
        <f t="shared" ca="1" si="195"/>
        <v>-1.419077165276518E+16</v>
      </c>
      <c r="J5832" s="455">
        <f t="array" ref="J5832">IFERROR(INDEX('Retirement Calculator'!K:K,MATCH('Lorri 401b'!N5832,'Retirement Calculator'!A:A,0),0),0)</f>
        <v>0</v>
      </c>
      <c r="K5832" s="455">
        <f t="shared" ca="1" si="193"/>
        <v>-59128215219854.914</v>
      </c>
      <c r="L5832" s="455">
        <f t="shared" ca="1" si="194"/>
        <v>-1.4249899867985034E+16</v>
      </c>
      <c r="M5832" s="471">
        <f t="shared" si="196"/>
        <v>0.05</v>
      </c>
      <c r="N5832" s="475">
        <f t="shared" si="197"/>
        <v>228552</v>
      </c>
    </row>
    <row r="5833" spans="7:14" ht="11.25" customHeight="1" x14ac:dyDescent="0.3">
      <c r="G5833" s="470"/>
      <c r="H5833" s="470">
        <v>5826</v>
      </c>
      <c r="I5833" s="455">
        <f t="shared" ca="1" si="195"/>
        <v>-1.4249899867985034E+16</v>
      </c>
      <c r="J5833" s="455">
        <f t="array" ref="J5833">IFERROR(INDEX('Retirement Calculator'!K:K,MATCH('Lorri 401b'!N5833,'Retirement Calculator'!A:A,0),0),0)</f>
        <v>0</v>
      </c>
      <c r="K5833" s="455">
        <f t="shared" ca="1" si="193"/>
        <v>-59374582783270.984</v>
      </c>
      <c r="L5833" s="455">
        <f t="shared" ca="1" si="194"/>
        <v>-1.4309274450768304E+16</v>
      </c>
      <c r="M5833" s="471">
        <f t="shared" si="196"/>
        <v>0.05</v>
      </c>
      <c r="N5833" s="475">
        <f t="shared" si="197"/>
        <v>228583</v>
      </c>
    </row>
    <row r="5834" spans="7:14" ht="11.25" customHeight="1" x14ac:dyDescent="0.3">
      <c r="G5834" s="470"/>
      <c r="H5834" s="470">
        <v>5827</v>
      </c>
      <c r="I5834" s="455">
        <f t="shared" ca="1" si="195"/>
        <v>-1.4309274450768304E+16</v>
      </c>
      <c r="J5834" s="455">
        <f t="array" ref="J5834">IFERROR(INDEX('Retirement Calculator'!K:K,MATCH('Lorri 401b'!N5834,'Retirement Calculator'!A:A,0),0),0)</f>
        <v>0</v>
      </c>
      <c r="K5834" s="455">
        <f t="shared" ca="1" si="193"/>
        <v>-59621976878201.266</v>
      </c>
      <c r="L5834" s="455">
        <f t="shared" ca="1" si="194"/>
        <v>-1.4368896427646506E+16</v>
      </c>
      <c r="M5834" s="471">
        <f t="shared" si="196"/>
        <v>0.05</v>
      </c>
      <c r="N5834" s="475">
        <f t="shared" si="197"/>
        <v>228613</v>
      </c>
    </row>
    <row r="5835" spans="7:14" ht="11.25" customHeight="1" x14ac:dyDescent="0.3">
      <c r="G5835" s="470"/>
      <c r="H5835" s="470">
        <v>5828</v>
      </c>
      <c r="I5835" s="455">
        <f t="shared" ca="1" si="195"/>
        <v>-1.4368896427646506E+16</v>
      </c>
      <c r="J5835" s="455">
        <f t="array" ref="J5835">IFERROR(INDEX('Retirement Calculator'!K:K,MATCH('Lorri 401b'!N5835,'Retirement Calculator'!A:A,0),0),0)</f>
        <v>0</v>
      </c>
      <c r="K5835" s="455">
        <f t="shared" ca="1" si="193"/>
        <v>-59870401781860.438</v>
      </c>
      <c r="L5835" s="455">
        <f t="shared" ca="1" si="194"/>
        <v>-1.4428766829428366E+16</v>
      </c>
      <c r="M5835" s="471">
        <f t="shared" si="196"/>
        <v>0.05</v>
      </c>
      <c r="N5835" s="475">
        <f t="shared" si="197"/>
        <v>228644</v>
      </c>
    </row>
    <row r="5836" spans="7:14" ht="11.25" customHeight="1" x14ac:dyDescent="0.3">
      <c r="G5836" s="470"/>
      <c r="H5836" s="470">
        <v>5829</v>
      </c>
      <c r="I5836" s="455">
        <f t="shared" ca="1" si="195"/>
        <v>-1.4428766829428366E+16</v>
      </c>
      <c r="J5836" s="455">
        <f t="array" ref="J5836">IFERROR(INDEX('Retirement Calculator'!K:K,MATCH('Lorri 401b'!N5836,'Retirement Calculator'!A:A,0),0),0)</f>
        <v>0</v>
      </c>
      <c r="K5836" s="455">
        <f t="shared" ca="1" si="193"/>
        <v>-60119861789284.859</v>
      </c>
      <c r="L5836" s="455">
        <f t="shared" ca="1" si="194"/>
        <v>-1.448888669121765E+16</v>
      </c>
      <c r="M5836" s="471">
        <f t="shared" si="196"/>
        <v>0.05</v>
      </c>
      <c r="N5836" s="475">
        <f t="shared" si="197"/>
        <v>228675</v>
      </c>
    </row>
    <row r="5837" spans="7:14" ht="11.25" customHeight="1" x14ac:dyDescent="0.3">
      <c r="G5837" s="470"/>
      <c r="H5837" s="470">
        <v>5830</v>
      </c>
      <c r="I5837" s="455">
        <f t="shared" ca="1" si="195"/>
        <v>-1.448888669121765E+16</v>
      </c>
      <c r="J5837" s="455">
        <f t="array" ref="J5837">IFERROR(INDEX('Retirement Calculator'!K:K,MATCH('Lorri 401b'!N5837,'Retirement Calculator'!A:A,0),0),0)</f>
        <v>0</v>
      </c>
      <c r="K5837" s="455">
        <f t="shared" ca="1" si="193"/>
        <v>-60370361213406.875</v>
      </c>
      <c r="L5837" s="455">
        <f t="shared" ca="1" si="194"/>
        <v>-1.4549257052431056E+16</v>
      </c>
      <c r="M5837" s="471">
        <f t="shared" si="196"/>
        <v>0.05</v>
      </c>
      <c r="N5837" s="475">
        <f t="shared" si="197"/>
        <v>228703</v>
      </c>
    </row>
    <row r="5838" spans="7:14" ht="11.25" customHeight="1" x14ac:dyDescent="0.3">
      <c r="G5838" s="470"/>
      <c r="H5838" s="470">
        <v>5831</v>
      </c>
      <c r="I5838" s="455">
        <f t="shared" ca="1" si="195"/>
        <v>-1.4549257052431056E+16</v>
      </c>
      <c r="J5838" s="455">
        <f t="array" ref="J5838">IFERROR(INDEX('Retirement Calculator'!K:K,MATCH('Lorri 401b'!N5838,'Retirement Calculator'!A:A,0),0),0)</f>
        <v>0</v>
      </c>
      <c r="K5838" s="455">
        <f t="shared" ca="1" si="193"/>
        <v>-60621904385129.406</v>
      </c>
      <c r="L5838" s="455">
        <f t="shared" ca="1" si="194"/>
        <v>-1.4609878956816186E+16</v>
      </c>
      <c r="M5838" s="471">
        <f t="shared" si="196"/>
        <v>0.05</v>
      </c>
      <c r="N5838" s="475">
        <f t="shared" si="197"/>
        <v>228734</v>
      </c>
    </row>
    <row r="5839" spans="7:14" ht="11.25" customHeight="1" x14ac:dyDescent="0.3">
      <c r="G5839" s="470"/>
      <c r="H5839" s="470">
        <v>5832</v>
      </c>
      <c r="I5839" s="455">
        <f t="shared" ca="1" si="195"/>
        <v>-1.4609878956816186E+16</v>
      </c>
      <c r="J5839" s="455">
        <f t="array" ref="J5839">IFERROR(INDEX('Retirement Calculator'!K:K,MATCH('Lorri 401b'!N5839,'Retirement Calculator'!A:A,0),0),0)</f>
        <v>0</v>
      </c>
      <c r="K5839" s="455">
        <f t="shared" ca="1" si="193"/>
        <v>-60874495653400.766</v>
      </c>
      <c r="L5839" s="455">
        <f t="shared" ca="1" si="194"/>
        <v>-1.4670753452469586E+16</v>
      </c>
      <c r="M5839" s="471">
        <f t="shared" si="196"/>
        <v>0.05</v>
      </c>
      <c r="N5839" s="475">
        <f t="shared" si="197"/>
        <v>228764</v>
      </c>
    </row>
    <row r="5840" spans="7:14" ht="11.25" customHeight="1" x14ac:dyDescent="0.3">
      <c r="G5840" s="470"/>
      <c r="H5840" s="470">
        <v>5833</v>
      </c>
      <c r="I5840" s="455">
        <f t="shared" ca="1" si="195"/>
        <v>-1.4670753452469586E+16</v>
      </c>
      <c r="J5840" s="455">
        <f t="array" ref="J5840">IFERROR(INDEX('Retirement Calculator'!K:K,MATCH('Lorri 401b'!N5840,'Retirement Calculator'!A:A,0),0),0)</f>
        <v>0</v>
      </c>
      <c r="K5840" s="455">
        <f t="shared" ca="1" si="193"/>
        <v>-61128139385289.938</v>
      </c>
      <c r="L5840" s="455">
        <f t="shared" ca="1" si="194"/>
        <v>-1.4731881591854876E+16</v>
      </c>
      <c r="M5840" s="471">
        <f t="shared" si="196"/>
        <v>0.05</v>
      </c>
      <c r="N5840" s="475">
        <f t="shared" si="197"/>
        <v>228795</v>
      </c>
    </row>
    <row r="5841" spans="7:14" ht="11.25" customHeight="1" x14ac:dyDescent="0.3">
      <c r="G5841" s="470"/>
      <c r="H5841" s="470">
        <v>5834</v>
      </c>
      <c r="I5841" s="455">
        <f t="shared" ca="1" si="195"/>
        <v>-1.4731881591854876E+16</v>
      </c>
      <c r="J5841" s="455">
        <f t="array" ref="J5841">IFERROR(INDEX('Retirement Calculator'!K:K,MATCH('Lorri 401b'!N5841,'Retirement Calculator'!A:A,0),0),0)</f>
        <v>0</v>
      </c>
      <c r="K5841" s="455">
        <f t="shared" ca="1" si="193"/>
        <v>-61382839966061.984</v>
      </c>
      <c r="L5841" s="455">
        <f t="shared" ca="1" si="194"/>
        <v>-1.4793264431820938E+16</v>
      </c>
      <c r="M5841" s="471">
        <f t="shared" si="196"/>
        <v>0.05</v>
      </c>
      <c r="N5841" s="475">
        <f t="shared" si="197"/>
        <v>228825</v>
      </c>
    </row>
    <row r="5842" spans="7:14" ht="11.25" customHeight="1" x14ac:dyDescent="0.3">
      <c r="G5842" s="470"/>
      <c r="H5842" s="470">
        <v>5835</v>
      </c>
      <c r="I5842" s="455">
        <f t="shared" ca="1" si="195"/>
        <v>-1.4793264431820938E+16</v>
      </c>
      <c r="J5842" s="455">
        <f t="array" ref="J5842">IFERROR(INDEX('Retirement Calculator'!K:K,MATCH('Lorri 401b'!N5842,'Retirement Calculator'!A:A,0),0),0)</f>
        <v>0</v>
      </c>
      <c r="K5842" s="455">
        <f t="shared" ca="1" si="193"/>
        <v>-61638601799253.914</v>
      </c>
      <c r="L5842" s="455">
        <f t="shared" ca="1" si="194"/>
        <v>-1.4854903033620192E+16</v>
      </c>
      <c r="M5842" s="471">
        <f t="shared" si="196"/>
        <v>0.05</v>
      </c>
      <c r="N5842" s="475">
        <f t="shared" si="197"/>
        <v>228856</v>
      </c>
    </row>
    <row r="5843" spans="7:14" ht="11.25" customHeight="1" x14ac:dyDescent="0.3">
      <c r="G5843" s="470"/>
      <c r="H5843" s="470">
        <v>5836</v>
      </c>
      <c r="I5843" s="455">
        <f t="shared" ca="1" si="195"/>
        <v>-1.4854903033620192E+16</v>
      </c>
      <c r="J5843" s="455">
        <f t="array" ref="J5843">IFERROR(INDEX('Retirement Calculator'!K:K,MATCH('Lorri 401b'!N5843,'Retirement Calculator'!A:A,0),0),0)</f>
        <v>0</v>
      </c>
      <c r="K5843" s="455">
        <f t="shared" ca="1" si="193"/>
        <v>-61895429306750.789</v>
      </c>
      <c r="L5843" s="455">
        <f t="shared" ca="1" si="194"/>
        <v>-1.4916798462926942E+16</v>
      </c>
      <c r="M5843" s="471">
        <f t="shared" si="196"/>
        <v>0.05</v>
      </c>
      <c r="N5843" s="475">
        <f t="shared" si="197"/>
        <v>228887</v>
      </c>
    </row>
    <row r="5844" spans="7:14" ht="11.25" customHeight="1" x14ac:dyDescent="0.3">
      <c r="G5844" s="470"/>
      <c r="H5844" s="470">
        <v>5837</v>
      </c>
      <c r="I5844" s="455">
        <f t="shared" ca="1" si="195"/>
        <v>-1.4916798462926942E+16</v>
      </c>
      <c r="J5844" s="455">
        <f t="array" ref="J5844">IFERROR(INDEX('Retirement Calculator'!K:K,MATCH('Lorri 401b'!N5844,'Retirement Calculator'!A:A,0),0),0)</f>
        <v>0</v>
      </c>
      <c r="K5844" s="455">
        <f t="shared" ca="1" si="193"/>
        <v>-62153326928862.25</v>
      </c>
      <c r="L5844" s="455">
        <f t="shared" ca="1" si="194"/>
        <v>-1.4978951789855804E+16</v>
      </c>
      <c r="M5844" s="471">
        <f t="shared" si="196"/>
        <v>0.05</v>
      </c>
      <c r="N5844" s="475">
        <f t="shared" si="197"/>
        <v>228917</v>
      </c>
    </row>
    <row r="5845" spans="7:14" ht="11.25" customHeight="1" x14ac:dyDescent="0.3">
      <c r="G5845" s="470"/>
      <c r="H5845" s="470">
        <v>5838</v>
      </c>
      <c r="I5845" s="455">
        <f t="shared" ca="1" si="195"/>
        <v>-1.4978951789855804E+16</v>
      </c>
      <c r="J5845" s="455">
        <f t="array" ref="J5845">IFERROR(INDEX('Retirement Calculator'!K:K,MATCH('Lorri 401b'!N5845,'Retirement Calculator'!A:A,0),0),0)</f>
        <v>0</v>
      </c>
      <c r="K5845" s="455">
        <f t="shared" ca="1" si="193"/>
        <v>-62412299124399.172</v>
      </c>
      <c r="L5845" s="455">
        <f t="shared" ca="1" si="194"/>
        <v>-1.5041364088980204E+16</v>
      </c>
      <c r="M5845" s="471">
        <f t="shared" si="196"/>
        <v>0.05</v>
      </c>
      <c r="N5845" s="475">
        <f t="shared" si="197"/>
        <v>228948</v>
      </c>
    </row>
    <row r="5846" spans="7:14" ht="11.25" customHeight="1" x14ac:dyDescent="0.3">
      <c r="G5846" s="470"/>
      <c r="H5846" s="470">
        <v>5839</v>
      </c>
      <c r="I5846" s="455">
        <f t="shared" ca="1" si="195"/>
        <v>-1.5041364088980204E+16</v>
      </c>
      <c r="J5846" s="455">
        <f t="array" ref="J5846">IFERROR(INDEX('Retirement Calculator'!K:K,MATCH('Lorri 401b'!N5846,'Retirement Calculator'!A:A,0),0),0)</f>
        <v>0</v>
      </c>
      <c r="K5846" s="455">
        <f t="shared" ca="1" si="193"/>
        <v>-62672350370750.852</v>
      </c>
      <c r="L5846" s="455">
        <f t="shared" ca="1" si="194"/>
        <v>-1.5104036439350954E+16</v>
      </c>
      <c r="M5846" s="471">
        <f t="shared" si="196"/>
        <v>0.05</v>
      </c>
      <c r="N5846" s="475">
        <f t="shared" si="197"/>
        <v>228978</v>
      </c>
    </row>
    <row r="5847" spans="7:14" ht="11.25" customHeight="1" x14ac:dyDescent="0.3">
      <c r="G5847" s="470"/>
      <c r="H5847" s="470">
        <v>5840</v>
      </c>
      <c r="I5847" s="455">
        <f t="shared" ca="1" si="195"/>
        <v>-1.5104036439350954E+16</v>
      </c>
      <c r="J5847" s="455">
        <f t="array" ref="J5847">IFERROR(INDEX('Retirement Calculator'!K:K,MATCH('Lorri 401b'!N5847,'Retirement Calculator'!A:A,0),0),0)</f>
        <v>0</v>
      </c>
      <c r="K5847" s="455">
        <f t="shared" ca="1" si="193"/>
        <v>-62933485163962.313</v>
      </c>
      <c r="L5847" s="455">
        <f t="shared" ca="1" si="194"/>
        <v>-1.5166969924514916E+16</v>
      </c>
      <c r="M5847" s="471">
        <f t="shared" si="196"/>
        <v>0.05</v>
      </c>
      <c r="N5847" s="475">
        <f t="shared" si="197"/>
        <v>229009</v>
      </c>
    </row>
    <row r="5848" spans="7:14" ht="11.25" customHeight="1" x14ac:dyDescent="0.3">
      <c r="G5848" s="470"/>
      <c r="H5848" s="470">
        <v>5841</v>
      </c>
      <c r="I5848" s="455">
        <f t="shared" ca="1" si="195"/>
        <v>-1.5166969924514916E+16</v>
      </c>
      <c r="J5848" s="455">
        <f t="array" ref="J5848">IFERROR(INDEX('Retirement Calculator'!K:K,MATCH('Lorri 401b'!N5848,'Retirement Calculator'!A:A,0),0),0)</f>
        <v>0</v>
      </c>
      <c r="K5848" s="455">
        <f t="shared" ca="1" si="193"/>
        <v>-63195708018812.156</v>
      </c>
      <c r="L5848" s="455">
        <f t="shared" ca="1" si="194"/>
        <v>-1.5230165632533728E+16</v>
      </c>
      <c r="M5848" s="471">
        <f t="shared" si="196"/>
        <v>0.05</v>
      </c>
      <c r="N5848" s="475">
        <f t="shared" si="197"/>
        <v>229040</v>
      </c>
    </row>
    <row r="5849" spans="7:14" ht="11.25" customHeight="1" x14ac:dyDescent="0.3">
      <c r="G5849" s="470"/>
      <c r="H5849" s="470">
        <v>5842</v>
      </c>
      <c r="I5849" s="455">
        <f t="shared" ca="1" si="195"/>
        <v>-1.5230165632533728E+16</v>
      </c>
      <c r="J5849" s="455">
        <f t="array" ref="J5849">IFERROR(INDEX('Retirement Calculator'!K:K,MATCH('Lorri 401b'!N5849,'Retirement Calculator'!A:A,0),0),0)</f>
        <v>0</v>
      </c>
      <c r="K5849" s="455">
        <f t="shared" ca="1" si="193"/>
        <v>-63459023468890.531</v>
      </c>
      <c r="L5849" s="455">
        <f t="shared" ca="1" si="194"/>
        <v>-1.5293624656002618E+16</v>
      </c>
      <c r="M5849" s="471">
        <f t="shared" si="196"/>
        <v>0.05</v>
      </c>
      <c r="N5849" s="475">
        <f t="shared" si="197"/>
        <v>229068</v>
      </c>
    </row>
    <row r="5850" spans="7:14" ht="11.25" customHeight="1" x14ac:dyDescent="0.3">
      <c r="G5850" s="470"/>
      <c r="H5850" s="470">
        <v>5843</v>
      </c>
      <c r="I5850" s="455">
        <f t="shared" ca="1" si="195"/>
        <v>-1.5293624656002618E+16</v>
      </c>
      <c r="J5850" s="455">
        <f t="array" ref="J5850">IFERROR(INDEX('Retirement Calculator'!K:K,MATCH('Lorri 401b'!N5850,'Retirement Calculator'!A:A,0),0),0)</f>
        <v>0</v>
      </c>
      <c r="K5850" s="455">
        <f t="shared" ca="1" si="193"/>
        <v>-63723436066677.57</v>
      </c>
      <c r="L5850" s="455">
        <f t="shared" ca="1" si="194"/>
        <v>-1.5357348092069296E+16</v>
      </c>
      <c r="M5850" s="471">
        <f t="shared" si="196"/>
        <v>0.05</v>
      </c>
      <c r="N5850" s="475">
        <f t="shared" si="197"/>
        <v>229099</v>
      </c>
    </row>
    <row r="5851" spans="7:14" ht="11.25" customHeight="1" x14ac:dyDescent="0.3">
      <c r="G5851" s="470"/>
      <c r="H5851" s="470">
        <v>5844</v>
      </c>
      <c r="I5851" s="455">
        <f t="shared" ca="1" si="195"/>
        <v>-1.5357348092069296E+16</v>
      </c>
      <c r="J5851" s="455">
        <f t="array" ref="J5851">IFERROR(INDEX('Retirement Calculator'!K:K,MATCH('Lorri 401b'!N5851,'Retirement Calculator'!A:A,0),0),0)</f>
        <v>0</v>
      </c>
      <c r="K5851" s="455">
        <f t="shared" ca="1" si="193"/>
        <v>-63988950383622.07</v>
      </c>
      <c r="L5851" s="455">
        <f t="shared" ca="1" si="194"/>
        <v>-1.5421337042452918E+16</v>
      </c>
      <c r="M5851" s="471">
        <f t="shared" si="196"/>
        <v>0.05</v>
      </c>
      <c r="N5851" s="475">
        <f t="shared" si="197"/>
        <v>229129</v>
      </c>
    </row>
    <row r="5852" spans="7:14" ht="11.25" customHeight="1" x14ac:dyDescent="0.3">
      <c r="G5852" s="470"/>
      <c r="H5852" s="470">
        <v>5845</v>
      </c>
      <c r="I5852" s="455">
        <f t="shared" ca="1" si="195"/>
        <v>-1.5421337042452918E+16</v>
      </c>
      <c r="J5852" s="455">
        <f t="array" ref="J5852">IFERROR(INDEX('Retirement Calculator'!K:K,MATCH('Lorri 401b'!N5852,'Retirement Calculator'!A:A,0),0),0)</f>
        <v>0</v>
      </c>
      <c r="K5852" s="455">
        <f t="shared" ca="1" si="193"/>
        <v>-64255571010220.484</v>
      </c>
      <c r="L5852" s="455">
        <f t="shared" ca="1" si="194"/>
        <v>-1.5485592613463138E+16</v>
      </c>
      <c r="M5852" s="471">
        <f t="shared" si="196"/>
        <v>0.05</v>
      </c>
      <c r="N5852" s="475">
        <f t="shared" si="197"/>
        <v>229160</v>
      </c>
    </row>
    <row r="5853" spans="7:14" ht="11.25" customHeight="1" x14ac:dyDescent="0.3">
      <c r="G5853" s="470"/>
      <c r="H5853" s="470">
        <v>5846</v>
      </c>
      <c r="I5853" s="455">
        <f t="shared" ca="1" si="195"/>
        <v>-1.5485592613463138E+16</v>
      </c>
      <c r="J5853" s="455">
        <f t="array" ref="J5853">IFERROR(INDEX('Retirement Calculator'!K:K,MATCH('Lorri 401b'!N5853,'Retirement Calculator'!A:A,0),0),0)</f>
        <v>0</v>
      </c>
      <c r="K5853" s="455">
        <f t="shared" ca="1" si="193"/>
        <v>-64523302556096.406</v>
      </c>
      <c r="L5853" s="455">
        <f t="shared" ca="1" si="194"/>
        <v>-1.5550115916019234E+16</v>
      </c>
      <c r="M5853" s="471">
        <f t="shared" si="196"/>
        <v>0.05</v>
      </c>
      <c r="N5853" s="475">
        <f t="shared" si="197"/>
        <v>229190</v>
      </c>
    </row>
    <row r="5854" spans="7:14" ht="11.25" customHeight="1" x14ac:dyDescent="0.3">
      <c r="G5854" s="470"/>
      <c r="H5854" s="470">
        <v>5847</v>
      </c>
      <c r="I5854" s="455">
        <f t="shared" ca="1" si="195"/>
        <v>-1.5550115916019234E+16</v>
      </c>
      <c r="J5854" s="455">
        <f t="array" ref="J5854">IFERROR(INDEX('Retirement Calculator'!K:K,MATCH('Lorri 401b'!N5854,'Retirement Calculator'!A:A,0),0),0)</f>
        <v>0</v>
      </c>
      <c r="K5854" s="455">
        <f t="shared" ca="1" si="193"/>
        <v>-64792149650080.133</v>
      </c>
      <c r="L5854" s="455">
        <f t="shared" ca="1" si="194"/>
        <v>-1.5614908065669314E+16</v>
      </c>
      <c r="M5854" s="471">
        <f t="shared" si="196"/>
        <v>0.05</v>
      </c>
      <c r="N5854" s="475">
        <f t="shared" si="197"/>
        <v>229221</v>
      </c>
    </row>
    <row r="5855" spans="7:14" ht="11.25" customHeight="1" x14ac:dyDescent="0.3">
      <c r="G5855" s="470"/>
      <c r="H5855" s="470">
        <v>5848</v>
      </c>
      <c r="I5855" s="455">
        <f t="shared" ca="1" si="195"/>
        <v>-1.5614908065669314E+16</v>
      </c>
      <c r="J5855" s="455">
        <f t="array" ref="J5855">IFERROR(INDEX('Retirement Calculator'!K:K,MATCH('Lorri 401b'!N5855,'Retirement Calculator'!A:A,0),0),0)</f>
        <v>0</v>
      </c>
      <c r="K5855" s="455">
        <f t="shared" ca="1" si="193"/>
        <v>-65062116940288.813</v>
      </c>
      <c r="L5855" s="455">
        <f t="shared" ca="1" si="194"/>
        <v>-1.5679970182609602E+16</v>
      </c>
      <c r="M5855" s="471">
        <f t="shared" si="196"/>
        <v>0.05</v>
      </c>
      <c r="N5855" s="475">
        <f t="shared" si="197"/>
        <v>229252</v>
      </c>
    </row>
    <row r="5856" spans="7:14" ht="11.25" customHeight="1" x14ac:dyDescent="0.3">
      <c r="G5856" s="470"/>
      <c r="H5856" s="470">
        <v>5849</v>
      </c>
      <c r="I5856" s="455">
        <f t="shared" ca="1" si="195"/>
        <v>-1.5679970182609602E+16</v>
      </c>
      <c r="J5856" s="455">
        <f t="array" ref="J5856">IFERROR(INDEX('Retirement Calculator'!K:K,MATCH('Lorri 401b'!N5856,'Retirement Calculator'!A:A,0),0),0)</f>
        <v>0</v>
      </c>
      <c r="K5856" s="455">
        <f t="shared" ca="1" si="193"/>
        <v>-65333209094206.68</v>
      </c>
      <c r="L5856" s="455">
        <f t="shared" ca="1" si="194"/>
        <v>-1.5745303391703808E+16</v>
      </c>
      <c r="M5856" s="471">
        <f t="shared" si="196"/>
        <v>0.05</v>
      </c>
      <c r="N5856" s="475">
        <f t="shared" si="197"/>
        <v>229282</v>
      </c>
    </row>
    <row r="5857" spans="7:14" ht="11.25" customHeight="1" x14ac:dyDescent="0.3">
      <c r="G5857" s="470"/>
      <c r="H5857" s="470">
        <v>5850</v>
      </c>
      <c r="I5857" s="455">
        <f t="shared" ca="1" si="195"/>
        <v>-1.5745303391703808E+16</v>
      </c>
      <c r="J5857" s="455">
        <f t="array" ref="J5857">IFERROR(INDEX('Retirement Calculator'!K:K,MATCH('Lorri 401b'!N5857,'Retirement Calculator'!A:A,0),0),0)</f>
        <v>0</v>
      </c>
      <c r="K5857" s="455">
        <f t="shared" ca="1" si="193"/>
        <v>-65605430798765.875</v>
      </c>
      <c r="L5857" s="455">
        <f t="shared" ca="1" si="194"/>
        <v>-1.5810908822502574E+16</v>
      </c>
      <c r="M5857" s="471">
        <f t="shared" si="196"/>
        <v>0.05</v>
      </c>
      <c r="N5857" s="475">
        <f t="shared" si="197"/>
        <v>229313</v>
      </c>
    </row>
    <row r="5858" spans="7:14" ht="11.25" customHeight="1" x14ac:dyDescent="0.3">
      <c r="G5858" s="470"/>
      <c r="H5858" s="470">
        <v>5851</v>
      </c>
      <c r="I5858" s="455">
        <f t="shared" ca="1" si="195"/>
        <v>-1.5810908822502574E+16</v>
      </c>
      <c r="J5858" s="455">
        <f t="array" ref="J5858">IFERROR(INDEX('Retirement Calculator'!K:K,MATCH('Lorri 401b'!N5858,'Retirement Calculator'!A:A,0),0),0)</f>
        <v>0</v>
      </c>
      <c r="K5858" s="455">
        <f t="shared" ca="1" si="193"/>
        <v>-65878786760427.398</v>
      </c>
      <c r="L5858" s="455">
        <f t="shared" ca="1" si="194"/>
        <v>-1.5876787609263002E+16</v>
      </c>
      <c r="M5858" s="471">
        <f t="shared" si="196"/>
        <v>0.05</v>
      </c>
      <c r="N5858" s="475">
        <f t="shared" si="197"/>
        <v>229343</v>
      </c>
    </row>
    <row r="5859" spans="7:14" ht="11.25" customHeight="1" x14ac:dyDescent="0.3">
      <c r="G5859" s="470"/>
      <c r="H5859" s="470">
        <v>5852</v>
      </c>
      <c r="I5859" s="455">
        <f t="shared" ca="1" si="195"/>
        <v>-1.5876787609263002E+16</v>
      </c>
      <c r="J5859" s="455">
        <f t="array" ref="J5859">IFERROR(INDEX('Retirement Calculator'!K:K,MATCH('Lorri 401b'!N5859,'Retirement Calculator'!A:A,0),0),0)</f>
        <v>0</v>
      </c>
      <c r="K5859" s="455">
        <f t="shared" ca="1" si="193"/>
        <v>-66153281705262.508</v>
      </c>
      <c r="L5859" s="455">
        <f t="shared" ca="1" si="194"/>
        <v>-1.5942940890968264E+16</v>
      </c>
      <c r="M5859" s="471">
        <f t="shared" si="196"/>
        <v>0.05</v>
      </c>
      <c r="N5859" s="475">
        <f t="shared" si="197"/>
        <v>229374</v>
      </c>
    </row>
    <row r="5860" spans="7:14" ht="11.25" customHeight="1" x14ac:dyDescent="0.3">
      <c r="G5860" s="470"/>
      <c r="H5860" s="470">
        <v>5853</v>
      </c>
      <c r="I5860" s="455">
        <f t="shared" ca="1" si="195"/>
        <v>-1.5942940890968264E+16</v>
      </c>
      <c r="J5860" s="455">
        <f t="array" ref="J5860">IFERROR(INDEX('Retirement Calculator'!K:K,MATCH('Lorri 401b'!N5860,'Retirement Calculator'!A:A,0),0),0)</f>
        <v>0</v>
      </c>
      <c r="K5860" s="455">
        <f t="shared" ca="1" si="193"/>
        <v>-66428920379034.43</v>
      </c>
      <c r="L5860" s="455">
        <f t="shared" ca="1" si="194"/>
        <v>-1.6009369811347298E+16</v>
      </c>
      <c r="M5860" s="471">
        <f t="shared" si="196"/>
        <v>0.05</v>
      </c>
      <c r="N5860" s="475">
        <f t="shared" si="197"/>
        <v>229405</v>
      </c>
    </row>
    <row r="5861" spans="7:14" ht="11.25" customHeight="1" x14ac:dyDescent="0.3">
      <c r="G5861" s="470"/>
      <c r="H5861" s="470">
        <v>5854</v>
      </c>
      <c r="I5861" s="455">
        <f t="shared" ca="1" si="195"/>
        <v>-1.6009369811347298E+16</v>
      </c>
      <c r="J5861" s="455">
        <f t="array" ref="J5861">IFERROR(INDEX('Retirement Calculator'!K:K,MATCH('Lorri 401b'!N5861,'Retirement Calculator'!A:A,0),0),0)</f>
        <v>0</v>
      </c>
      <c r="K5861" s="455">
        <f t="shared" ca="1" si="193"/>
        <v>-66705707547280.406</v>
      </c>
      <c r="L5861" s="455">
        <f t="shared" ca="1" si="194"/>
        <v>-1.6076075518894578E+16</v>
      </c>
      <c r="M5861" s="471">
        <f t="shared" si="196"/>
        <v>0.05</v>
      </c>
      <c r="N5861" s="475">
        <f t="shared" si="197"/>
        <v>229434</v>
      </c>
    </row>
    <row r="5862" spans="7:14" ht="11.25" customHeight="1" x14ac:dyDescent="0.3">
      <c r="G5862" s="470"/>
      <c r="H5862" s="470">
        <v>5855</v>
      </c>
      <c r="I5862" s="455">
        <f t="shared" ca="1" si="195"/>
        <v>-1.6076075518894578E+16</v>
      </c>
      <c r="J5862" s="455">
        <f t="array" ref="J5862">IFERROR(INDEX('Retirement Calculator'!K:K,MATCH('Lorri 401b'!N5862,'Retirement Calculator'!A:A,0),0),0)</f>
        <v>0</v>
      </c>
      <c r="K5862" s="455">
        <f t="shared" ca="1" si="193"/>
        <v>-66983647995394.07</v>
      </c>
      <c r="L5862" s="455">
        <f t="shared" ca="1" si="194"/>
        <v>-1.6143059166889972E+16</v>
      </c>
      <c r="M5862" s="471">
        <f t="shared" si="196"/>
        <v>0.05</v>
      </c>
      <c r="N5862" s="475">
        <f t="shared" si="197"/>
        <v>229465</v>
      </c>
    </row>
    <row r="5863" spans="7:14" ht="11.25" customHeight="1" x14ac:dyDescent="0.3">
      <c r="G5863" s="470"/>
      <c r="H5863" s="470">
        <v>5856</v>
      </c>
      <c r="I5863" s="455">
        <f t="shared" ca="1" si="195"/>
        <v>-1.6143059166889972E+16</v>
      </c>
      <c r="J5863" s="455">
        <f t="array" ref="J5863">IFERROR(INDEX('Retirement Calculator'!K:K,MATCH('Lorri 401b'!N5863,'Retirement Calculator'!A:A,0),0),0)</f>
        <v>0</v>
      </c>
      <c r="K5863" s="455">
        <f t="shared" ca="1" si="193"/>
        <v>-67262746528708.211</v>
      </c>
      <c r="L5863" s="455">
        <f t="shared" ca="1" si="194"/>
        <v>-1.621032191341868E+16</v>
      </c>
      <c r="M5863" s="471">
        <f t="shared" si="196"/>
        <v>0.05</v>
      </c>
      <c r="N5863" s="475">
        <f t="shared" si="197"/>
        <v>229495</v>
      </c>
    </row>
    <row r="5864" spans="7:14" ht="11.25" customHeight="1" x14ac:dyDescent="0.3">
      <c r="G5864" s="470"/>
      <c r="H5864" s="470">
        <v>5857</v>
      </c>
      <c r="I5864" s="455">
        <f t="shared" ca="1" si="195"/>
        <v>-1.621032191341868E+16</v>
      </c>
      <c r="J5864" s="455">
        <f t="array" ref="J5864">IFERROR(INDEX('Retirement Calculator'!K:K,MATCH('Lorri 401b'!N5864,'Retirement Calculator'!A:A,0),0),0)</f>
        <v>0</v>
      </c>
      <c r="K5864" s="455">
        <f t="shared" ca="1" si="193"/>
        <v>-67543007972577.836</v>
      </c>
      <c r="L5864" s="455">
        <f t="shared" ca="1" si="194"/>
        <v>-1.6277864921391258E+16</v>
      </c>
      <c r="M5864" s="471">
        <f t="shared" si="196"/>
        <v>0.05</v>
      </c>
      <c r="N5864" s="475">
        <f t="shared" si="197"/>
        <v>229526</v>
      </c>
    </row>
    <row r="5865" spans="7:14" ht="11.25" customHeight="1" x14ac:dyDescent="0.3">
      <c r="G5865" s="470"/>
      <c r="H5865" s="470">
        <v>5858</v>
      </c>
      <c r="I5865" s="455">
        <f t="shared" ca="1" si="195"/>
        <v>-1.6277864921391258E+16</v>
      </c>
      <c r="J5865" s="455">
        <f t="array" ref="J5865">IFERROR(INDEX('Retirement Calculator'!K:K,MATCH('Lorri 401b'!N5865,'Retirement Calculator'!A:A,0),0),0)</f>
        <v>0</v>
      </c>
      <c r="K5865" s="455">
        <f t="shared" ca="1" si="193"/>
        <v>-67824437172463.586</v>
      </c>
      <c r="L5865" s="455">
        <f t="shared" ca="1" si="194"/>
        <v>-1.6345689358563722E+16</v>
      </c>
      <c r="M5865" s="471">
        <f t="shared" si="196"/>
        <v>0.05</v>
      </c>
      <c r="N5865" s="475">
        <f t="shared" si="197"/>
        <v>229556</v>
      </c>
    </row>
    <row r="5866" spans="7:14" ht="11.25" customHeight="1" x14ac:dyDescent="0.3">
      <c r="G5866" s="470"/>
      <c r="H5866" s="470">
        <v>5859</v>
      </c>
      <c r="I5866" s="455">
        <f t="shared" ca="1" si="195"/>
        <v>-1.6345689358563722E+16</v>
      </c>
      <c r="J5866" s="455">
        <f t="array" ref="J5866">IFERROR(INDEX('Retirement Calculator'!K:K,MATCH('Lorri 401b'!N5866,'Retirement Calculator'!A:A,0),0),0)</f>
        <v>0</v>
      </c>
      <c r="K5866" s="455">
        <f t="shared" ca="1" si="193"/>
        <v>-68107038994015.508</v>
      </c>
      <c r="L5866" s="455">
        <f t="shared" ca="1" si="194"/>
        <v>-1.6413796397557738E+16</v>
      </c>
      <c r="M5866" s="471">
        <f t="shared" si="196"/>
        <v>0.05</v>
      </c>
      <c r="N5866" s="475">
        <f t="shared" si="197"/>
        <v>229587</v>
      </c>
    </row>
    <row r="5867" spans="7:14" ht="11.25" customHeight="1" x14ac:dyDescent="0.3">
      <c r="G5867" s="470"/>
      <c r="H5867" s="470">
        <v>5860</v>
      </c>
      <c r="I5867" s="455">
        <f t="shared" ca="1" si="195"/>
        <v>-1.6413796397557738E+16</v>
      </c>
      <c r="J5867" s="455">
        <f t="array" ref="J5867">IFERROR(INDEX('Retirement Calculator'!K:K,MATCH('Lorri 401b'!N5867,'Retirement Calculator'!A:A,0),0),0)</f>
        <v>0</v>
      </c>
      <c r="K5867" s="455">
        <f t="shared" ca="1" si="193"/>
        <v>-68390818323157.242</v>
      </c>
      <c r="L5867" s="455">
        <f t="shared" ca="1" si="194"/>
        <v>-1.6482187215880896E+16</v>
      </c>
      <c r="M5867" s="471">
        <f t="shared" si="196"/>
        <v>0.05</v>
      </c>
      <c r="N5867" s="475">
        <f t="shared" si="197"/>
        <v>229618</v>
      </c>
    </row>
    <row r="5868" spans="7:14" ht="11.25" customHeight="1" x14ac:dyDescent="0.3">
      <c r="G5868" s="470"/>
      <c r="H5868" s="470">
        <v>5861</v>
      </c>
      <c r="I5868" s="455">
        <f t="shared" ca="1" si="195"/>
        <v>-1.6482187215880896E+16</v>
      </c>
      <c r="J5868" s="455">
        <f t="array" ref="J5868">IFERROR(INDEX('Retirement Calculator'!K:K,MATCH('Lorri 401b'!N5868,'Retirement Calculator'!A:A,0),0),0)</f>
        <v>0</v>
      </c>
      <c r="K5868" s="455">
        <f t="shared" ca="1" si="193"/>
        <v>-68675780066170.398</v>
      </c>
      <c r="L5868" s="455">
        <f t="shared" ca="1" si="194"/>
        <v>-1.6550862995947066E+16</v>
      </c>
      <c r="M5868" s="471">
        <f t="shared" si="196"/>
        <v>0.05</v>
      </c>
      <c r="N5868" s="475">
        <f t="shared" si="197"/>
        <v>229648</v>
      </c>
    </row>
    <row r="5869" spans="7:14" ht="11.25" customHeight="1" x14ac:dyDescent="0.3">
      <c r="G5869" s="470"/>
      <c r="H5869" s="470">
        <v>5862</v>
      </c>
      <c r="I5869" s="455">
        <f t="shared" ca="1" si="195"/>
        <v>-1.6550862995947066E+16</v>
      </c>
      <c r="J5869" s="455">
        <f t="array" ref="J5869">IFERROR(INDEX('Retirement Calculator'!K:K,MATCH('Lorri 401b'!N5869,'Retirement Calculator'!A:A,0),0),0)</f>
        <v>0</v>
      </c>
      <c r="K5869" s="455">
        <f t="shared" ca="1" si="193"/>
        <v>-68961929149779.445</v>
      </c>
      <c r="L5869" s="455">
        <f t="shared" ca="1" si="194"/>
        <v>-1.6619824925096846E+16</v>
      </c>
      <c r="M5869" s="471">
        <f t="shared" si="196"/>
        <v>0.05</v>
      </c>
      <c r="N5869" s="475">
        <f t="shared" si="197"/>
        <v>229679</v>
      </c>
    </row>
    <row r="5870" spans="7:14" ht="11.25" customHeight="1" x14ac:dyDescent="0.3">
      <c r="G5870" s="470"/>
      <c r="H5870" s="470">
        <v>5863</v>
      </c>
      <c r="I5870" s="455">
        <f t="shared" ca="1" si="195"/>
        <v>-1.6619824925096846E+16</v>
      </c>
      <c r="J5870" s="455">
        <f t="array" ref="J5870">IFERROR(INDEX('Retirement Calculator'!K:K,MATCH('Lorri 401b'!N5870,'Retirement Calculator'!A:A,0),0),0)</f>
        <v>0</v>
      </c>
      <c r="K5870" s="455">
        <f t="shared" ca="1" si="193"/>
        <v>-69249270521236.859</v>
      </c>
      <c r="L5870" s="455">
        <f t="shared" ca="1" si="194"/>
        <v>-1.6689074195618082E+16</v>
      </c>
      <c r="M5870" s="471">
        <f t="shared" si="196"/>
        <v>0.05</v>
      </c>
      <c r="N5870" s="475">
        <f t="shared" si="197"/>
        <v>229709</v>
      </c>
    </row>
    <row r="5871" spans="7:14" ht="11.25" customHeight="1" x14ac:dyDescent="0.3">
      <c r="G5871" s="470"/>
      <c r="H5871" s="470">
        <v>5864</v>
      </c>
      <c r="I5871" s="455">
        <f t="shared" ca="1" si="195"/>
        <v>-1.6689074195618082E+16</v>
      </c>
      <c r="J5871" s="455">
        <f t="array" ref="J5871">IFERROR(INDEX('Retirement Calculator'!K:K,MATCH('Lorri 401b'!N5871,'Retirement Calculator'!A:A,0),0),0)</f>
        <v>0</v>
      </c>
      <c r="K5871" s="455">
        <f t="shared" ca="1" si="193"/>
        <v>-69537809148408.672</v>
      </c>
      <c r="L5871" s="455">
        <f t="shared" ca="1" si="194"/>
        <v>-1.675861200476649E+16</v>
      </c>
      <c r="M5871" s="471">
        <f t="shared" si="196"/>
        <v>0.05</v>
      </c>
      <c r="N5871" s="475">
        <f t="shared" si="197"/>
        <v>229740</v>
      </c>
    </row>
    <row r="5872" spans="7:14" ht="11.25" customHeight="1" x14ac:dyDescent="0.3">
      <c r="G5872" s="470"/>
      <c r="H5872" s="470">
        <v>5865</v>
      </c>
      <c r="I5872" s="455">
        <f t="shared" ca="1" si="195"/>
        <v>-1.675861200476649E+16</v>
      </c>
      <c r="J5872" s="455">
        <f t="array" ref="J5872">IFERROR(INDEX('Retirement Calculator'!K:K,MATCH('Lorri 401b'!N5872,'Retirement Calculator'!A:A,0),0),0)</f>
        <v>0</v>
      </c>
      <c r="K5872" s="455">
        <f t="shared" ca="1" si="193"/>
        <v>-69827550019860.375</v>
      </c>
      <c r="L5872" s="455">
        <f t="shared" ca="1" si="194"/>
        <v>-1.682843955478635E+16</v>
      </c>
      <c r="M5872" s="471">
        <f t="shared" si="196"/>
        <v>0.05</v>
      </c>
      <c r="N5872" s="475">
        <f t="shared" si="197"/>
        <v>229771</v>
      </c>
    </row>
    <row r="5873" spans="7:14" ht="11.25" customHeight="1" x14ac:dyDescent="0.3">
      <c r="G5873" s="470"/>
      <c r="H5873" s="470">
        <v>5866</v>
      </c>
      <c r="I5873" s="455">
        <f t="shared" ca="1" si="195"/>
        <v>-1.682843955478635E+16</v>
      </c>
      <c r="J5873" s="455">
        <f t="array" ref="J5873">IFERROR(INDEX('Retirement Calculator'!K:K,MATCH('Lorri 401b'!N5873,'Retirement Calculator'!A:A,0),0),0)</f>
        <v>0</v>
      </c>
      <c r="K5873" s="455">
        <f t="shared" ref="K5873:K6127" ca="1" si="198">IPMT(M5873/12,1,12,-I5873+J5873,,0)</f>
        <v>-70118498144943.125</v>
      </c>
      <c r="L5873" s="455">
        <f t="shared" ref="L5873:L6127" ca="1" si="199">I5873-J5873+K5873</f>
        <v>-1.6898558052931294E+16</v>
      </c>
      <c r="M5873" s="471">
        <f t="shared" si="196"/>
        <v>0.05</v>
      </c>
      <c r="N5873" s="475">
        <f t="shared" si="197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00">L5873</f>
        <v>-1.6898558052931294E+16</v>
      </c>
      <c r="J5874" s="455">
        <f t="array" ref="J5874">IFERROR(INDEX('Retirement Calculator'!K:K,MATCH('Lorri 401b'!N5874,'Retirement Calculator'!A:A,0),0),0)</f>
        <v>0</v>
      </c>
      <c r="K5874" s="455">
        <f t="shared" ca="1" si="198"/>
        <v>-70410658553880.406</v>
      </c>
      <c r="L5874" s="455">
        <f t="shared" ca="1" si="199"/>
        <v>-1.6968968711485174E+16</v>
      </c>
      <c r="M5874" s="471">
        <f t="shared" ref="M5874:M6128" si="201">M5873</f>
        <v>0.05</v>
      </c>
      <c r="N5874" s="475">
        <f t="shared" ref="N5874:N6128" si="202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00"/>
        <v>-1.6968968711485174E+16</v>
      </c>
      <c r="J5875" s="455">
        <f t="array" ref="J5875">IFERROR(INDEX('Retirement Calculator'!K:K,MATCH('Lorri 401b'!N5875,'Retirement Calculator'!A:A,0),0),0)</f>
        <v>0</v>
      </c>
      <c r="K5875" s="455">
        <f t="shared" ca="1" si="198"/>
        <v>-70704036297854.875</v>
      </c>
      <c r="L5875" s="455">
        <f t="shared" ca="1" si="199"/>
        <v>-1.7039672747783028E+16</v>
      </c>
      <c r="M5875" s="471">
        <f t="shared" si="201"/>
        <v>0.05</v>
      </c>
      <c r="N5875" s="475">
        <f t="shared" si="202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00"/>
        <v>-1.7039672747783028E+16</v>
      </c>
      <c r="J5876" s="455">
        <f t="array" ref="J5876">IFERROR(INDEX('Retirement Calculator'!K:K,MATCH('Lorri 401b'!N5876,'Retirement Calculator'!A:A,0),0),0)</f>
        <v>0</v>
      </c>
      <c r="K5876" s="455">
        <f t="shared" ca="1" si="198"/>
        <v>-70998636449095.953</v>
      </c>
      <c r="L5876" s="455">
        <f t="shared" ca="1" si="199"/>
        <v>-1.7110671384232124E+16</v>
      </c>
      <c r="M5876" s="471">
        <f t="shared" si="201"/>
        <v>0.05</v>
      </c>
      <c r="N5876" s="475">
        <f t="shared" si="202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00"/>
        <v>-1.7110671384232124E+16</v>
      </c>
      <c r="J5877" s="455">
        <f t="array" ref="J5877">IFERROR(INDEX('Retirement Calculator'!K:K,MATCH('Lorri 401b'!N5877,'Retirement Calculator'!A:A,0),0),0)</f>
        <v>0</v>
      </c>
      <c r="K5877" s="455">
        <f t="shared" ca="1" si="198"/>
        <v>-71294464100967.188</v>
      </c>
      <c r="L5877" s="455">
        <f t="shared" ca="1" si="199"/>
        <v>-1.7181965848333092E+16</v>
      </c>
      <c r="M5877" s="471">
        <f t="shared" si="201"/>
        <v>0.05</v>
      </c>
      <c r="N5877" s="475">
        <f t="shared" si="202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00"/>
        <v>-1.7181965848333092E+16</v>
      </c>
      <c r="J5878" s="455">
        <f t="array" ref="J5878">IFERROR(INDEX('Retirement Calculator'!K:K,MATCH('Lorri 401b'!N5878,'Retirement Calculator'!A:A,0),0),0)</f>
        <v>0</v>
      </c>
      <c r="K5878" s="455">
        <f t="shared" ca="1" si="198"/>
        <v>-71591524368054.563</v>
      </c>
      <c r="L5878" s="455">
        <f t="shared" ca="1" si="199"/>
        <v>-1.7253557372701146E+16</v>
      </c>
      <c r="M5878" s="471">
        <f t="shared" si="201"/>
        <v>0.05</v>
      </c>
      <c r="N5878" s="475">
        <f t="shared" si="202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00"/>
        <v>-1.7253557372701146E+16</v>
      </c>
      <c r="J5879" s="455">
        <f t="array" ref="J5879">IFERROR(INDEX('Retirement Calculator'!K:K,MATCH('Lorri 401b'!N5879,'Retirement Calculator'!A:A,0),0),0)</f>
        <v>0</v>
      </c>
      <c r="K5879" s="455">
        <f t="shared" ca="1" si="198"/>
        <v>-71889822386254.781</v>
      </c>
      <c r="L5879" s="455">
        <f t="shared" ca="1" si="199"/>
        <v>-1.73254471950874E+16</v>
      </c>
      <c r="M5879" s="471">
        <f t="shared" si="201"/>
        <v>0.05</v>
      </c>
      <c r="N5879" s="475">
        <f t="shared" si="202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00"/>
        <v>-1.73254471950874E+16</v>
      </c>
      <c r="J5880" s="455">
        <f t="array" ref="J5880">IFERROR(INDEX('Retirement Calculator'!K:K,MATCH('Lorri 401b'!N5880,'Retirement Calculator'!A:A,0),0),0)</f>
        <v>0</v>
      </c>
      <c r="K5880" s="455">
        <f t="shared" ca="1" si="198"/>
        <v>-72189363312864.172</v>
      </c>
      <c r="L5880" s="455">
        <f t="shared" ca="1" si="199"/>
        <v>-1.7397636558400264E+16</v>
      </c>
      <c r="M5880" s="471">
        <f t="shared" si="201"/>
        <v>0.05</v>
      </c>
      <c r="N5880" s="475">
        <f t="shared" si="202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00"/>
        <v>-1.7397636558400264E+16</v>
      </c>
      <c r="J5881" s="455">
        <f t="array" ref="J5881">IFERROR(INDEX('Retirement Calculator'!K:K,MATCH('Lorri 401b'!N5881,'Retirement Calculator'!A:A,0),0),0)</f>
        <v>0</v>
      </c>
      <c r="K5881" s="455">
        <f t="shared" ca="1" si="198"/>
        <v>-72490152326667.766</v>
      </c>
      <c r="L5881" s="455">
        <f t="shared" ca="1" si="199"/>
        <v>-1.7470126710726932E+16</v>
      </c>
      <c r="M5881" s="471">
        <f t="shared" si="201"/>
        <v>0.05</v>
      </c>
      <c r="N5881" s="475">
        <f t="shared" si="202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00"/>
        <v>-1.7470126710726932E+16</v>
      </c>
      <c r="J5882" s="455">
        <f t="array" ref="J5882">IFERROR(INDEX('Retirement Calculator'!K:K,MATCH('Lorri 401b'!N5882,'Retirement Calculator'!A:A,0),0),0)</f>
        <v>0</v>
      </c>
      <c r="K5882" s="455">
        <f t="shared" ca="1" si="198"/>
        <v>-72792194628028.875</v>
      </c>
      <c r="L5882" s="455">
        <f t="shared" ca="1" si="199"/>
        <v>-1.754291890535496E+16</v>
      </c>
      <c r="M5882" s="471">
        <f t="shared" si="201"/>
        <v>0.05</v>
      </c>
      <c r="N5882" s="475">
        <f t="shared" si="202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00"/>
        <v>-1.754291890535496E+16</v>
      </c>
      <c r="J5883" s="455">
        <f t="array" ref="J5883">IFERROR(INDEX('Retirement Calculator'!K:K,MATCH('Lorri 401b'!N5883,'Retirement Calculator'!A:A,0),0),0)</f>
        <v>0</v>
      </c>
      <c r="K5883" s="455">
        <f t="shared" ca="1" si="198"/>
        <v>-73095495438979</v>
      </c>
      <c r="L5883" s="455">
        <f t="shared" ca="1" si="199"/>
        <v>-1.761601440079394E+16</v>
      </c>
      <c r="M5883" s="471">
        <f t="shared" si="201"/>
        <v>0.05</v>
      </c>
      <c r="N5883" s="475">
        <f t="shared" si="202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00"/>
        <v>-1.761601440079394E+16</v>
      </c>
      <c r="J5884" s="455">
        <f t="array" ref="J5884">IFERROR(INDEX('Retirement Calculator'!K:K,MATCH('Lorri 401b'!N5884,'Retirement Calculator'!A:A,0),0),0)</f>
        <v>0</v>
      </c>
      <c r="K5884" s="455">
        <f t="shared" ca="1" si="198"/>
        <v>-73400060003308.078</v>
      </c>
      <c r="L5884" s="455">
        <f t="shared" ca="1" si="199"/>
        <v>-1.7689414460797248E+16</v>
      </c>
      <c r="M5884" s="471">
        <f t="shared" si="201"/>
        <v>0.05</v>
      </c>
      <c r="N5884" s="475">
        <f t="shared" si="202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00"/>
        <v>-1.7689414460797248E+16</v>
      </c>
      <c r="J5885" s="455">
        <f t="array" ref="J5885">IFERROR(INDEX('Retirement Calculator'!K:K,MATCH('Lorri 401b'!N5885,'Retirement Calculator'!A:A,0),0),0)</f>
        <v>0</v>
      </c>
      <c r="K5885" s="455">
        <f t="shared" ca="1" si="198"/>
        <v>-73705893586655.203</v>
      </c>
      <c r="L5885" s="455">
        <f t="shared" ca="1" si="199"/>
        <v>-1.7763120354383904E+16</v>
      </c>
      <c r="M5885" s="471">
        <f t="shared" si="201"/>
        <v>0.05</v>
      </c>
      <c r="N5885" s="475">
        <f t="shared" si="202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00"/>
        <v>-1.7763120354383904E+16</v>
      </c>
      <c r="J5886" s="455">
        <f t="array" ref="J5886">IFERROR(INDEX('Retirement Calculator'!K:K,MATCH('Lorri 401b'!N5886,'Retirement Calculator'!A:A,0),0),0)</f>
        <v>0</v>
      </c>
      <c r="K5886" s="455">
        <f t="shared" ca="1" si="198"/>
        <v>-74013001476599.594</v>
      </c>
      <c r="L5886" s="455">
        <f t="shared" ca="1" si="199"/>
        <v>-1.7837133355860504E+16</v>
      </c>
      <c r="M5886" s="471">
        <f t="shared" si="201"/>
        <v>0.05</v>
      </c>
      <c r="N5886" s="475">
        <f t="shared" si="202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00"/>
        <v>-1.7837133355860504E+16</v>
      </c>
      <c r="J5887" s="455">
        <f t="array" ref="J5887">IFERROR(INDEX('Retirement Calculator'!K:K,MATCH('Lorri 401b'!N5887,'Retirement Calculator'!A:A,0),0),0)</f>
        <v>0</v>
      </c>
      <c r="K5887" s="455">
        <f t="shared" ca="1" si="198"/>
        <v>-74321388982752.094</v>
      </c>
      <c r="L5887" s="455">
        <f t="shared" ca="1" si="199"/>
        <v>-1.7911454744843256E+16</v>
      </c>
      <c r="M5887" s="471">
        <f t="shared" si="201"/>
        <v>0.05</v>
      </c>
      <c r="N5887" s="475">
        <f t="shared" si="202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00"/>
        <v>-1.7911454744843256E+16</v>
      </c>
      <c r="J5888" s="455">
        <f t="array" ref="J5888">IFERROR(INDEX('Retirement Calculator'!K:K,MATCH('Lorri 401b'!N5888,'Retirement Calculator'!A:A,0),0),0)</f>
        <v>0</v>
      </c>
      <c r="K5888" s="455">
        <f t="shared" ca="1" si="198"/>
        <v>-74631061436846.906</v>
      </c>
      <c r="L5888" s="455">
        <f t="shared" ca="1" si="199"/>
        <v>-1.7986085806280102E+16</v>
      </c>
      <c r="M5888" s="471">
        <f t="shared" si="201"/>
        <v>0.05</v>
      </c>
      <c r="N5888" s="475">
        <f t="shared" si="202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00"/>
        <v>-1.7986085806280102E+16</v>
      </c>
      <c r="J5889" s="455">
        <f t="array" ref="J5889">IFERROR(INDEX('Retirement Calculator'!K:K,MATCH('Lorri 401b'!N5889,'Retirement Calculator'!A:A,0),0),0)</f>
        <v>0</v>
      </c>
      <c r="K5889" s="455">
        <f t="shared" ca="1" si="198"/>
        <v>-74942024192833.75</v>
      </c>
      <c r="L5889" s="455">
        <f t="shared" ca="1" si="199"/>
        <v>-1.8061027830472936E+16</v>
      </c>
      <c r="M5889" s="471">
        <f t="shared" si="201"/>
        <v>0.05</v>
      </c>
      <c r="N5889" s="475">
        <f t="shared" si="202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00"/>
        <v>-1.8061027830472936E+16</v>
      </c>
      <c r="J5890" s="455">
        <f t="array" ref="J5890">IFERROR(INDEX('Retirement Calculator'!K:K,MATCH('Lorri 401b'!N5890,'Retirement Calculator'!A:A,0),0),0)</f>
        <v>0</v>
      </c>
      <c r="K5890" s="455">
        <f t="shared" ca="1" si="198"/>
        <v>-75254282626970.563</v>
      </c>
      <c r="L5890" s="455">
        <f t="shared" ca="1" si="199"/>
        <v>-1.8136282113099908E+16</v>
      </c>
      <c r="M5890" s="471">
        <f t="shared" si="201"/>
        <v>0.05</v>
      </c>
      <c r="N5890" s="475">
        <f t="shared" si="202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00"/>
        <v>-1.8136282113099908E+16</v>
      </c>
      <c r="J5891" s="455">
        <f t="array" ref="J5891">IFERROR(INDEX('Retirement Calculator'!K:K,MATCH('Lorri 401b'!N5891,'Retirement Calculator'!A:A,0),0),0)</f>
        <v>0</v>
      </c>
      <c r="K5891" s="455">
        <f t="shared" ca="1" si="198"/>
        <v>-75567842137916.281</v>
      </c>
      <c r="L5891" s="455">
        <f t="shared" ca="1" si="199"/>
        <v>-1.8211849955237824E+16</v>
      </c>
      <c r="M5891" s="471">
        <f t="shared" si="201"/>
        <v>0.05</v>
      </c>
      <c r="N5891" s="475">
        <f t="shared" si="202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00"/>
        <v>-1.8211849955237824E+16</v>
      </c>
      <c r="J5892" s="455">
        <f t="array" ref="J5892">IFERROR(INDEX('Retirement Calculator'!K:K,MATCH('Lorri 401b'!N5892,'Retirement Calculator'!A:A,0),0),0)</f>
        <v>0</v>
      </c>
      <c r="K5892" s="455">
        <f t="shared" ca="1" si="198"/>
        <v>-75882708146824.266</v>
      </c>
      <c r="L5892" s="455">
        <f t="shared" ca="1" si="199"/>
        <v>-1.8287732663384648E+16</v>
      </c>
      <c r="M5892" s="471">
        <f t="shared" si="201"/>
        <v>0.05</v>
      </c>
      <c r="N5892" s="475">
        <f t="shared" si="202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00"/>
        <v>-1.8287732663384648E+16</v>
      </c>
      <c r="J5893" s="455">
        <f t="array" ref="J5893">IFERROR(INDEX('Retirement Calculator'!K:K,MATCH('Lorri 401b'!N5893,'Retirement Calculator'!A:A,0),0),0)</f>
        <v>0</v>
      </c>
      <c r="K5893" s="455">
        <f t="shared" ca="1" si="198"/>
        <v>-76198886097436.031</v>
      </c>
      <c r="L5893" s="455">
        <f t="shared" ca="1" si="199"/>
        <v>-1.8363931549482084E+16</v>
      </c>
      <c r="M5893" s="471">
        <f t="shared" si="201"/>
        <v>0.05</v>
      </c>
      <c r="N5893" s="475">
        <f t="shared" si="202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00"/>
        <v>-1.8363931549482084E+16</v>
      </c>
      <c r="J5894" s="455">
        <f t="array" ref="J5894">IFERROR(INDEX('Retirement Calculator'!K:K,MATCH('Lorri 401b'!N5894,'Retirement Calculator'!A:A,0),0),0)</f>
        <v>0</v>
      </c>
      <c r="K5894" s="455">
        <f t="shared" ca="1" si="198"/>
        <v>-76516381456175.344</v>
      </c>
      <c r="L5894" s="455">
        <f t="shared" ca="1" si="199"/>
        <v>-1.844044793093826E+16</v>
      </c>
      <c r="M5894" s="471">
        <f t="shared" si="201"/>
        <v>0.05</v>
      </c>
      <c r="N5894" s="475">
        <f t="shared" si="202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00"/>
        <v>-1.844044793093826E+16</v>
      </c>
      <c r="J5895" s="455">
        <f t="array" ref="J5895">IFERROR(INDEX('Retirement Calculator'!K:K,MATCH('Lorri 401b'!N5895,'Retirement Calculator'!A:A,0),0),0)</f>
        <v>0</v>
      </c>
      <c r="K5895" s="455">
        <f t="shared" ca="1" si="198"/>
        <v>-76835199712242.75</v>
      </c>
      <c r="L5895" s="455">
        <f t="shared" ca="1" si="199"/>
        <v>-1.8517283130650504E+16</v>
      </c>
      <c r="M5895" s="471">
        <f t="shared" si="201"/>
        <v>0.05</v>
      </c>
      <c r="N5895" s="475">
        <f t="shared" si="202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00"/>
        <v>-1.8517283130650504E+16</v>
      </c>
      <c r="J5896" s="455">
        <f t="array" ref="J5896">IFERROR(INDEX('Retirement Calculator'!K:K,MATCH('Lorri 401b'!N5896,'Retirement Calculator'!A:A,0),0),0)</f>
        <v>0</v>
      </c>
      <c r="K5896" s="455">
        <f t="shared" ca="1" si="198"/>
        <v>-77155346377710.438</v>
      </c>
      <c r="L5896" s="455">
        <f t="shared" ca="1" si="199"/>
        <v>-1.8594438477028216E+16</v>
      </c>
      <c r="M5896" s="471">
        <f t="shared" si="201"/>
        <v>0.05</v>
      </c>
      <c r="N5896" s="475">
        <f t="shared" si="202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00"/>
        <v>-1.8594438477028216E+16</v>
      </c>
      <c r="J5897" s="455">
        <f t="array" ref="J5897">IFERROR(INDEX('Retirement Calculator'!K:K,MATCH('Lorri 401b'!N5897,'Retirement Calculator'!A:A,0),0),0)</f>
        <v>0</v>
      </c>
      <c r="K5897" s="455">
        <f t="shared" ca="1" si="198"/>
        <v>-77476826987617.563</v>
      </c>
      <c r="L5897" s="455">
        <f t="shared" ca="1" si="199"/>
        <v>-1.8671915304015832E+16</v>
      </c>
      <c r="M5897" s="471">
        <f t="shared" si="201"/>
        <v>0.05</v>
      </c>
      <c r="N5897" s="475">
        <f t="shared" si="202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00"/>
        <v>-1.8671915304015832E+16</v>
      </c>
      <c r="J5898" s="455">
        <f t="array" ref="J5898">IFERROR(INDEX('Retirement Calculator'!K:K,MATCH('Lorri 401b'!N5898,'Retirement Calculator'!A:A,0),0),0)</f>
        <v>0</v>
      </c>
      <c r="K5898" s="455">
        <f t="shared" ca="1" si="198"/>
        <v>-77799647100065.969</v>
      </c>
      <c r="L5898" s="455">
        <f t="shared" ca="1" si="199"/>
        <v>-1.8749714951115896E+16</v>
      </c>
      <c r="M5898" s="471">
        <f t="shared" si="201"/>
        <v>0.05</v>
      </c>
      <c r="N5898" s="475">
        <f t="shared" si="202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00"/>
        <v>-1.8749714951115896E+16</v>
      </c>
      <c r="J5899" s="455">
        <f t="array" ref="J5899">IFERROR(INDEX('Retirement Calculator'!K:K,MATCH('Lorri 401b'!N5899,'Retirement Calculator'!A:A,0),0),0)</f>
        <v>0</v>
      </c>
      <c r="K5899" s="455">
        <f t="shared" ca="1" si="198"/>
        <v>-78123812296316.234</v>
      </c>
      <c r="L5899" s="455">
        <f t="shared" ca="1" si="199"/>
        <v>-1.8827838763412212E+16</v>
      </c>
      <c r="M5899" s="471">
        <f t="shared" si="201"/>
        <v>0.05</v>
      </c>
      <c r="N5899" s="475">
        <f t="shared" si="202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00"/>
        <v>-1.8827838763412212E+16</v>
      </c>
      <c r="J5900" s="455">
        <f t="array" ref="J5900">IFERROR(INDEX('Retirement Calculator'!K:K,MATCH('Lorri 401b'!N5900,'Retirement Calculator'!A:A,0),0),0)</f>
        <v>0</v>
      </c>
      <c r="K5900" s="455">
        <f t="shared" ca="1" si="198"/>
        <v>-78449328180884.219</v>
      </c>
      <c r="L5900" s="455">
        <f t="shared" ca="1" si="199"/>
        <v>-1.8906288091593096E+16</v>
      </c>
      <c r="M5900" s="471">
        <f t="shared" si="201"/>
        <v>0.05</v>
      </c>
      <c r="N5900" s="475">
        <f t="shared" si="202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00"/>
        <v>-1.8906288091593096E+16</v>
      </c>
      <c r="J5901" s="455">
        <f t="array" ref="J5901">IFERROR(INDEX('Retirement Calculator'!K:K,MATCH('Lorri 401b'!N5901,'Retirement Calculator'!A:A,0),0),0)</f>
        <v>0</v>
      </c>
      <c r="K5901" s="455">
        <f t="shared" ca="1" si="198"/>
        <v>-78776200381637.906</v>
      </c>
      <c r="L5901" s="455">
        <f t="shared" ca="1" si="199"/>
        <v>-1.8985064291974732E+16</v>
      </c>
      <c r="M5901" s="471">
        <f t="shared" si="201"/>
        <v>0.05</v>
      </c>
      <c r="N5901" s="475">
        <f t="shared" si="202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00"/>
        <v>-1.8985064291974732E+16</v>
      </c>
      <c r="J5902" s="455">
        <f t="array" ref="J5902">IFERROR(INDEX('Retirement Calculator'!K:K,MATCH('Lorri 401b'!N5902,'Retirement Calculator'!A:A,0),0),0)</f>
        <v>0</v>
      </c>
      <c r="K5902" s="455">
        <f t="shared" ca="1" si="198"/>
        <v>-79104434549894.719</v>
      </c>
      <c r="L5902" s="455">
        <f t="shared" ca="1" si="199"/>
        <v>-1.9064168726524628E+16</v>
      </c>
      <c r="M5902" s="471">
        <f t="shared" si="201"/>
        <v>0.05</v>
      </c>
      <c r="N5902" s="475">
        <f t="shared" si="202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00"/>
        <v>-1.9064168726524628E+16</v>
      </c>
      <c r="J5903" s="455">
        <f t="array" ref="J5903">IFERROR(INDEX('Retirement Calculator'!K:K,MATCH('Lorri 401b'!N5903,'Retirement Calculator'!A:A,0),0),0)</f>
        <v>0</v>
      </c>
      <c r="K5903" s="455">
        <f t="shared" ca="1" si="198"/>
        <v>-79434036360519.281</v>
      </c>
      <c r="L5903" s="455">
        <f t="shared" ca="1" si="199"/>
        <v>-1.9143602762885148E+16</v>
      </c>
      <c r="M5903" s="471">
        <f t="shared" si="201"/>
        <v>0.05</v>
      </c>
      <c r="N5903" s="475">
        <f t="shared" si="202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00"/>
        <v>-1.9143602762885148E+16</v>
      </c>
      <c r="J5904" s="455">
        <f t="array" ref="J5904">IFERROR(INDEX('Retirement Calculator'!K:K,MATCH('Lorri 401b'!N5904,'Retirement Calculator'!A:A,0),0),0)</f>
        <v>0</v>
      </c>
      <c r="K5904" s="455">
        <f t="shared" ca="1" si="198"/>
        <v>-79765011512021.453</v>
      </c>
      <c r="L5904" s="455">
        <f t="shared" ca="1" si="199"/>
        <v>-1.9223367774397168E+16</v>
      </c>
      <c r="M5904" s="471">
        <f t="shared" si="201"/>
        <v>0.05</v>
      </c>
      <c r="N5904" s="475">
        <f t="shared" si="202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00"/>
        <v>-1.9223367774397168E+16</v>
      </c>
      <c r="J5905" s="455">
        <f t="array" ref="J5905">IFERROR(INDEX('Retirement Calculator'!K:K,MATCH('Lorri 401b'!N5905,'Retirement Calculator'!A:A,0),0),0)</f>
        <v>0</v>
      </c>
      <c r="K5905" s="455">
        <f t="shared" ca="1" si="198"/>
        <v>-80097365726654.859</v>
      </c>
      <c r="L5905" s="455">
        <f t="shared" ca="1" si="199"/>
        <v>-1.9303465140123824E+16</v>
      </c>
      <c r="M5905" s="471">
        <f t="shared" si="201"/>
        <v>0.05</v>
      </c>
      <c r="N5905" s="475">
        <f t="shared" si="202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00"/>
        <v>-1.9303465140123824E+16</v>
      </c>
      <c r="J5906" s="455">
        <f t="array" ref="J5906">IFERROR(INDEX('Retirement Calculator'!K:K,MATCH('Lorri 401b'!N5906,'Retirement Calculator'!A:A,0),0),0)</f>
        <v>0</v>
      </c>
      <c r="K5906" s="455">
        <f t="shared" ca="1" si="198"/>
        <v>-80431104750515.938</v>
      </c>
      <c r="L5906" s="455">
        <f t="shared" ca="1" si="199"/>
        <v>-1.938389624487434E+16</v>
      </c>
      <c r="M5906" s="471">
        <f t="shared" si="201"/>
        <v>0.05</v>
      </c>
      <c r="N5906" s="475">
        <f t="shared" si="202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00"/>
        <v>-1.938389624487434E+16</v>
      </c>
      <c r="J5907" s="455">
        <f t="array" ref="J5907">IFERROR(INDEX('Retirement Calculator'!K:K,MATCH('Lorri 401b'!N5907,'Retirement Calculator'!A:A,0),0),0)</f>
        <v>0</v>
      </c>
      <c r="K5907" s="455">
        <f t="shared" ca="1" si="198"/>
        <v>-80766234353643.078</v>
      </c>
      <c r="L5907" s="455">
        <f t="shared" ca="1" si="199"/>
        <v>-1.9464662479227984E+16</v>
      </c>
      <c r="M5907" s="471">
        <f t="shared" si="201"/>
        <v>0.05</v>
      </c>
      <c r="N5907" s="475">
        <f t="shared" si="202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00"/>
        <v>-1.9464662479227984E+16</v>
      </c>
      <c r="J5908" s="455">
        <f t="array" ref="J5908">IFERROR(INDEX('Retirement Calculator'!K:K,MATCH('Lorri 401b'!N5908,'Retirement Calculator'!A:A,0),0),0)</f>
        <v>0</v>
      </c>
      <c r="K5908" s="455">
        <f t="shared" ca="1" si="198"/>
        <v>-81102760330116.594</v>
      </c>
      <c r="L5908" s="455">
        <f t="shared" ca="1" si="199"/>
        <v>-1.95457652395581E+16</v>
      </c>
      <c r="M5908" s="471">
        <f t="shared" si="201"/>
        <v>0.05</v>
      </c>
      <c r="N5908" s="475">
        <f t="shared" si="202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00"/>
        <v>-1.95457652395581E+16</v>
      </c>
      <c r="J5909" s="455">
        <f t="array" ref="J5909">IFERROR(INDEX('Retirement Calculator'!K:K,MATCH('Lorri 401b'!N5909,'Retirement Calculator'!A:A,0),0),0)</f>
        <v>0</v>
      </c>
      <c r="K5909" s="455">
        <f t="shared" ca="1" si="198"/>
        <v>-81440688498158.75</v>
      </c>
      <c r="L5909" s="455">
        <f t="shared" ca="1" si="199"/>
        <v>-1.962720592805626E+16</v>
      </c>
      <c r="M5909" s="471">
        <f t="shared" si="201"/>
        <v>0.05</v>
      </c>
      <c r="N5909" s="475">
        <f t="shared" si="202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00"/>
        <v>-1.962720592805626E+16</v>
      </c>
      <c r="J5910" s="455">
        <f t="array" ref="J5910">IFERROR(INDEX('Retirement Calculator'!K:K,MATCH('Lorri 401b'!N5910,'Retirement Calculator'!A:A,0),0),0)</f>
        <v>0</v>
      </c>
      <c r="K5910" s="455">
        <f t="shared" ca="1" si="198"/>
        <v>-81780024700234.422</v>
      </c>
      <c r="L5910" s="455">
        <f t="shared" ca="1" si="199"/>
        <v>-1.9708985952756496E+16</v>
      </c>
      <c r="M5910" s="471">
        <f t="shared" si="201"/>
        <v>0.05</v>
      </c>
      <c r="N5910" s="475">
        <f t="shared" si="202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00"/>
        <v>-1.9708985952756496E+16</v>
      </c>
      <c r="J5911" s="455">
        <f t="array" ref="J5911">IFERROR(INDEX('Retirement Calculator'!K:K,MATCH('Lorri 401b'!N5911,'Retirement Calculator'!A:A,0),0),0)</f>
        <v>0</v>
      </c>
      <c r="K5911" s="455">
        <f t="shared" ca="1" si="198"/>
        <v>-82120774803152.063</v>
      </c>
      <c r="L5911" s="455">
        <f t="shared" ca="1" si="199"/>
        <v>-1.9791106727559648E+16</v>
      </c>
      <c r="M5911" s="471">
        <f t="shared" si="201"/>
        <v>0.05</v>
      </c>
      <c r="N5911" s="475">
        <f t="shared" si="202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00"/>
        <v>-1.9791106727559648E+16</v>
      </c>
      <c r="J5912" s="455">
        <f t="array" ref="J5912">IFERROR(INDEX('Retirement Calculator'!K:K,MATCH('Lorri 401b'!N5912,'Retirement Calculator'!A:A,0),0),0)</f>
        <v>0</v>
      </c>
      <c r="K5912" s="455">
        <f t="shared" ca="1" si="198"/>
        <v>-82462944698165.203</v>
      </c>
      <c r="L5912" s="455">
        <f t="shared" ca="1" si="199"/>
        <v>-1.9873569672257812E+16</v>
      </c>
      <c r="M5912" s="471">
        <f t="shared" si="201"/>
        <v>0.05</v>
      </c>
      <c r="N5912" s="475">
        <f t="shared" si="202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00"/>
        <v>-1.9873569672257812E+16</v>
      </c>
      <c r="J5913" s="455">
        <f t="array" ref="J5913">IFERROR(INDEX('Retirement Calculator'!K:K,MATCH('Lorri 401b'!N5913,'Retirement Calculator'!A:A,0),0),0)</f>
        <v>0</v>
      </c>
      <c r="K5913" s="455">
        <f t="shared" ca="1" si="198"/>
        <v>-82806540301074.219</v>
      </c>
      <c r="L5913" s="455">
        <f t="shared" ca="1" si="199"/>
        <v>-1.9956376212558888E+16</v>
      </c>
      <c r="M5913" s="471">
        <f t="shared" si="201"/>
        <v>0.05</v>
      </c>
      <c r="N5913" s="475">
        <f t="shared" si="202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00"/>
        <v>-1.9956376212558888E+16</v>
      </c>
      <c r="J5914" s="455">
        <f t="array" ref="J5914">IFERROR(INDEX('Retirement Calculator'!K:K,MATCH('Lorri 401b'!N5914,'Retirement Calculator'!A:A,0),0),0)</f>
        <v>0</v>
      </c>
      <c r="K5914" s="455">
        <f t="shared" ca="1" si="198"/>
        <v>-83151567552328.703</v>
      </c>
      <c r="L5914" s="455">
        <f t="shared" ca="1" si="199"/>
        <v>-2.0039527780111216E+16</v>
      </c>
      <c r="M5914" s="471">
        <f t="shared" si="201"/>
        <v>0.05</v>
      </c>
      <c r="N5914" s="475">
        <f t="shared" si="202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00"/>
        <v>-2.0039527780111216E+16</v>
      </c>
      <c r="J5915" s="455">
        <f t="array" ref="J5915">IFERROR(INDEX('Retirement Calculator'!K:K,MATCH('Lorri 401b'!N5915,'Retirement Calculator'!A:A,0),0),0)</f>
        <v>0</v>
      </c>
      <c r="K5915" s="455">
        <f t="shared" ca="1" si="198"/>
        <v>-83498032417130.063</v>
      </c>
      <c r="L5915" s="455">
        <f t="shared" ca="1" si="199"/>
        <v>-2.0123025812528348E+16</v>
      </c>
      <c r="M5915" s="471">
        <f t="shared" si="201"/>
        <v>0.05</v>
      </c>
      <c r="N5915" s="475">
        <f t="shared" si="202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00"/>
        <v>-2.0123025812528348E+16</v>
      </c>
      <c r="J5916" s="455">
        <f t="array" ref="J5916">IFERROR(INDEX('Retirement Calculator'!K:K,MATCH('Lorri 401b'!N5916,'Retirement Calculator'!A:A,0),0),0)</f>
        <v>0</v>
      </c>
      <c r="K5916" s="455">
        <f t="shared" ca="1" si="198"/>
        <v>-83845940885534.781</v>
      </c>
      <c r="L5916" s="455">
        <f t="shared" ca="1" si="199"/>
        <v>-2.0206871753413884E+16</v>
      </c>
      <c r="M5916" s="471">
        <f t="shared" si="201"/>
        <v>0.05</v>
      </c>
      <c r="N5916" s="475">
        <f t="shared" si="202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00"/>
        <v>-2.0206871753413884E+16</v>
      </c>
      <c r="J5917" s="455">
        <f t="array" ref="J5917">IFERROR(INDEX('Retirement Calculator'!K:K,MATCH('Lorri 401b'!N5917,'Retirement Calculator'!A:A,0),0),0)</f>
        <v>0</v>
      </c>
      <c r="K5917" s="455">
        <f t="shared" ca="1" si="198"/>
        <v>-84195298972557.844</v>
      </c>
      <c r="L5917" s="455">
        <f t="shared" ca="1" si="199"/>
        <v>-2.029106705238644E+16</v>
      </c>
      <c r="M5917" s="471">
        <f t="shared" si="201"/>
        <v>0.05</v>
      </c>
      <c r="N5917" s="475">
        <f t="shared" si="202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00"/>
        <v>-2.029106705238644E+16</v>
      </c>
      <c r="J5918" s="455">
        <f t="array" ref="J5918">IFERROR(INDEX('Retirement Calculator'!K:K,MATCH('Lorri 401b'!N5918,'Retirement Calculator'!A:A,0),0),0)</f>
        <v>0</v>
      </c>
      <c r="K5918" s="455">
        <f t="shared" ca="1" si="198"/>
        <v>-84546112718276.828</v>
      </c>
      <c r="L5918" s="455">
        <f t="shared" ca="1" si="199"/>
        <v>-2.0375613165104716E+16</v>
      </c>
      <c r="M5918" s="471">
        <f t="shared" si="201"/>
        <v>0.05</v>
      </c>
      <c r="N5918" s="475">
        <f t="shared" si="202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00"/>
        <v>-2.0375613165104716E+16</v>
      </c>
      <c r="J5919" s="455">
        <f t="array" ref="J5919">IFERROR(INDEX('Retirement Calculator'!K:K,MATCH('Lorri 401b'!N5919,'Retirement Calculator'!A:A,0),0),0)</f>
        <v>0</v>
      </c>
      <c r="K5919" s="455">
        <f t="shared" ca="1" si="198"/>
        <v>-84898388187936.313</v>
      </c>
      <c r="L5919" s="455">
        <f t="shared" ca="1" si="199"/>
        <v>-2.0460511553292652E+16</v>
      </c>
      <c r="M5919" s="471">
        <f t="shared" si="201"/>
        <v>0.05</v>
      </c>
      <c r="N5919" s="475">
        <f t="shared" si="202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00"/>
        <v>-2.0460511553292652E+16</v>
      </c>
      <c r="J5920" s="455">
        <f t="array" ref="J5920">IFERROR(INDEX('Retirement Calculator'!K:K,MATCH('Lorri 401b'!N5920,'Retirement Calculator'!A:A,0),0),0)</f>
        <v>0</v>
      </c>
      <c r="K5920" s="455">
        <f t="shared" ca="1" si="198"/>
        <v>-85252131472052.719</v>
      </c>
      <c r="L5920" s="455">
        <f t="shared" ca="1" si="199"/>
        <v>-2.0545763684764704E+16</v>
      </c>
      <c r="M5920" s="471">
        <f t="shared" si="201"/>
        <v>0.05</v>
      </c>
      <c r="N5920" s="475">
        <f t="shared" si="202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00"/>
        <v>-2.0545763684764704E+16</v>
      </c>
      <c r="J5921" s="455">
        <f t="array" ref="J5921">IFERROR(INDEX('Retirement Calculator'!K:K,MATCH('Lorri 401b'!N5921,'Retirement Calculator'!A:A,0),0),0)</f>
        <v>0</v>
      </c>
      <c r="K5921" s="455">
        <f t="shared" ca="1" si="198"/>
        <v>-85607348686519.594</v>
      </c>
      <c r="L5921" s="455">
        <f t="shared" ca="1" si="199"/>
        <v>-2.0631371033451224E+16</v>
      </c>
      <c r="M5921" s="471">
        <f t="shared" si="201"/>
        <v>0.05</v>
      </c>
      <c r="N5921" s="475">
        <f t="shared" si="202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00"/>
        <v>-2.0631371033451224E+16</v>
      </c>
      <c r="J5922" s="455">
        <f t="array" ref="J5922">IFERROR(INDEX('Retirement Calculator'!K:K,MATCH('Lorri 401b'!N5922,'Retirement Calculator'!A:A,0),0),0)</f>
        <v>0</v>
      </c>
      <c r="K5922" s="455">
        <f t="shared" ca="1" si="198"/>
        <v>-85964045972713.438</v>
      </c>
      <c r="L5922" s="455">
        <f t="shared" ca="1" si="199"/>
        <v>-2.0717335079423936E+16</v>
      </c>
      <c r="M5922" s="471">
        <f t="shared" si="201"/>
        <v>0.05</v>
      </c>
      <c r="N5922" s="475">
        <f t="shared" si="202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00"/>
        <v>-2.0717335079423936E+16</v>
      </c>
      <c r="J5923" s="455">
        <f t="array" ref="J5923">IFERROR(INDEX('Retirement Calculator'!K:K,MATCH('Lorri 401b'!N5923,'Retirement Calculator'!A:A,0),0),0)</f>
        <v>0</v>
      </c>
      <c r="K5923" s="455">
        <f t="shared" ca="1" si="198"/>
        <v>-86322229497599.734</v>
      </c>
      <c r="L5923" s="455">
        <f t="shared" ca="1" si="199"/>
        <v>-2.0803657308921536E+16</v>
      </c>
      <c r="M5923" s="471">
        <f t="shared" si="201"/>
        <v>0.05</v>
      </c>
      <c r="N5923" s="475">
        <f t="shared" si="202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00"/>
        <v>-2.0803657308921536E+16</v>
      </c>
      <c r="J5924" s="455">
        <f t="array" ref="J5924">IFERROR(INDEX('Retirement Calculator'!K:K,MATCH('Lorri 401b'!N5924,'Retirement Calculator'!A:A,0),0),0)</f>
        <v>0</v>
      </c>
      <c r="K5924" s="455">
        <f t="shared" ca="1" si="198"/>
        <v>-86681905453839.734</v>
      </c>
      <c r="L5924" s="455">
        <f t="shared" ca="1" si="199"/>
        <v>-2.0890339214375376E+16</v>
      </c>
      <c r="M5924" s="471">
        <f t="shared" si="201"/>
        <v>0.05</v>
      </c>
      <c r="N5924" s="475">
        <f t="shared" si="202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00"/>
        <v>-2.0890339214375376E+16</v>
      </c>
      <c r="J5925" s="455">
        <f t="array" ref="J5925">IFERROR(INDEX('Retirement Calculator'!K:K,MATCH('Lorri 401b'!N5925,'Retirement Calculator'!A:A,0),0),0)</f>
        <v>0</v>
      </c>
      <c r="K5925" s="455">
        <f t="shared" ca="1" si="198"/>
        <v>-87043080059897.406</v>
      </c>
      <c r="L5925" s="455">
        <f t="shared" ca="1" si="199"/>
        <v>-2.0977382294435272E+16</v>
      </c>
      <c r="M5925" s="471">
        <f t="shared" si="201"/>
        <v>0.05</v>
      </c>
      <c r="N5925" s="475">
        <f t="shared" si="202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00"/>
        <v>-2.0977382294435272E+16</v>
      </c>
      <c r="J5926" s="455">
        <f t="array" ref="J5926">IFERROR(INDEX('Retirement Calculator'!K:K,MATCH('Lorri 401b'!N5926,'Retirement Calculator'!A:A,0),0),0)</f>
        <v>0</v>
      </c>
      <c r="K5926" s="455">
        <f t="shared" ca="1" si="198"/>
        <v>-87405759560146.969</v>
      </c>
      <c r="L5926" s="455">
        <f t="shared" ca="1" si="199"/>
        <v>-2.106478805399542E+16</v>
      </c>
      <c r="M5926" s="471">
        <f t="shared" si="201"/>
        <v>0.05</v>
      </c>
      <c r="N5926" s="475">
        <f t="shared" si="202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00"/>
        <v>-2.106478805399542E+16</v>
      </c>
      <c r="J5927" s="455">
        <f t="array" ref="J5927">IFERROR(INDEX('Retirement Calculator'!K:K,MATCH('Lorri 401b'!N5927,'Retirement Calculator'!A:A,0),0),0)</f>
        <v>0</v>
      </c>
      <c r="K5927" s="455">
        <f t="shared" ca="1" si="198"/>
        <v>-87769950224980.922</v>
      </c>
      <c r="L5927" s="455">
        <f t="shared" ca="1" si="199"/>
        <v>-2.11525580042204E+16</v>
      </c>
      <c r="M5927" s="471">
        <f t="shared" si="201"/>
        <v>0.05</v>
      </c>
      <c r="N5927" s="475">
        <f t="shared" si="202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00"/>
        <v>-2.11525580042204E+16</v>
      </c>
      <c r="J5928" s="455">
        <f t="array" ref="J5928">IFERROR(INDEX('Retirement Calculator'!K:K,MATCH('Lorri 401b'!N5928,'Retirement Calculator'!A:A,0),0),0)</f>
        <v>0</v>
      </c>
      <c r="K5928" s="455">
        <f t="shared" ca="1" si="198"/>
        <v>-88135658350918.328</v>
      </c>
      <c r="L5928" s="455">
        <f t="shared" ca="1" si="199"/>
        <v>-2.124069366257132E+16</v>
      </c>
      <c r="M5928" s="471">
        <f t="shared" si="201"/>
        <v>0.05</v>
      </c>
      <c r="N5928" s="475">
        <f t="shared" si="202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00"/>
        <v>-2.124069366257132E+16</v>
      </c>
      <c r="J5929" s="455">
        <f t="array" ref="J5929">IFERROR(INDEX('Retirement Calculator'!K:K,MATCH('Lorri 401b'!N5929,'Retirement Calculator'!A:A,0),0),0)</f>
        <v>0</v>
      </c>
      <c r="K5929" s="455">
        <f t="shared" ca="1" si="198"/>
        <v>-88502890260713.828</v>
      </c>
      <c r="L5929" s="455">
        <f t="shared" ca="1" si="199"/>
        <v>-2.1329196552832032E+16</v>
      </c>
      <c r="M5929" s="471">
        <f t="shared" si="201"/>
        <v>0.05</v>
      </c>
      <c r="N5929" s="475">
        <f t="shared" si="202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00"/>
        <v>-2.1329196552832032E+16</v>
      </c>
      <c r="J5930" s="455">
        <f t="array" ref="J5930">IFERROR(INDEX('Retirement Calculator'!K:K,MATCH('Lorri 401b'!N5930,'Retirement Calculator'!A:A,0),0),0)</f>
        <v>0</v>
      </c>
      <c r="K5930" s="455">
        <f t="shared" ca="1" si="198"/>
        <v>-88871652303466.797</v>
      </c>
      <c r="L5930" s="455">
        <f t="shared" ca="1" si="199"/>
        <v>-2.14180682051355E+16</v>
      </c>
      <c r="M5930" s="471">
        <f t="shared" si="201"/>
        <v>0.05</v>
      </c>
      <c r="N5930" s="475">
        <f t="shared" si="202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00"/>
        <v>-2.14180682051355E+16</v>
      </c>
      <c r="J5931" s="455">
        <f t="array" ref="J5931">IFERROR(INDEX('Retirement Calculator'!K:K,MATCH('Lorri 401b'!N5931,'Retirement Calculator'!A:A,0),0),0)</f>
        <v>0</v>
      </c>
      <c r="K5931" s="455">
        <f t="shared" ca="1" si="198"/>
        <v>-89241950854731.25</v>
      </c>
      <c r="L5931" s="455">
        <f t="shared" ca="1" si="199"/>
        <v>-2.1507310155990232E+16</v>
      </c>
      <c r="M5931" s="471">
        <f t="shared" si="201"/>
        <v>0.05</v>
      </c>
      <c r="N5931" s="475">
        <f t="shared" si="202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00"/>
        <v>-2.1507310155990232E+16</v>
      </c>
      <c r="J5932" s="455">
        <f t="array" ref="J5932">IFERROR(INDEX('Retirement Calculator'!K:K,MATCH('Lorri 401b'!N5932,'Retirement Calculator'!A:A,0),0),0)</f>
        <v>0</v>
      </c>
      <c r="K5932" s="455">
        <f t="shared" ca="1" si="198"/>
        <v>-89613792316625.969</v>
      </c>
      <c r="L5932" s="455">
        <f t="shared" ca="1" si="199"/>
        <v>-2.1596923948306856E+16</v>
      </c>
      <c r="M5932" s="471">
        <f t="shared" si="201"/>
        <v>0.05</v>
      </c>
      <c r="N5932" s="475">
        <f t="shared" si="202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00"/>
        <v>-2.1596923948306856E+16</v>
      </c>
      <c r="J5933" s="455">
        <f t="array" ref="J5933">IFERROR(INDEX('Retirement Calculator'!K:K,MATCH('Lorri 401b'!N5933,'Retirement Calculator'!A:A,0),0),0)</f>
        <v>0</v>
      </c>
      <c r="K5933" s="455">
        <f t="shared" ca="1" si="198"/>
        <v>-89987183117945.234</v>
      </c>
      <c r="L5933" s="455">
        <f t="shared" ca="1" si="199"/>
        <v>-2.16869111314248E+16</v>
      </c>
      <c r="M5933" s="471">
        <f t="shared" si="201"/>
        <v>0.05</v>
      </c>
      <c r="N5933" s="475">
        <f t="shared" si="202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00"/>
        <v>-2.16869111314248E+16</v>
      </c>
      <c r="J5934" s="455">
        <f t="array" ref="J5934">IFERROR(INDEX('Retirement Calculator'!K:K,MATCH('Lorri 401b'!N5934,'Retirement Calculator'!A:A,0),0),0)</f>
        <v>0</v>
      </c>
      <c r="K5934" s="455">
        <f t="shared" ca="1" si="198"/>
        <v>-90362129714270</v>
      </c>
      <c r="L5934" s="455">
        <f t="shared" ca="1" si="199"/>
        <v>-2.1777273261139072E+16</v>
      </c>
      <c r="M5934" s="471">
        <f t="shared" si="201"/>
        <v>0.05</v>
      </c>
      <c r="N5934" s="475">
        <f t="shared" si="202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00"/>
        <v>-2.1777273261139072E+16</v>
      </c>
      <c r="J5935" s="455">
        <f t="array" ref="J5935">IFERROR(INDEX('Retirement Calculator'!K:K,MATCH('Lorri 401b'!N5935,'Retirement Calculator'!A:A,0),0),0)</f>
        <v>0</v>
      </c>
      <c r="K5935" s="455">
        <f t="shared" ca="1" si="198"/>
        <v>-90738638588079.469</v>
      </c>
      <c r="L5935" s="455">
        <f t="shared" ca="1" si="199"/>
        <v>-2.1868011899727152E+16</v>
      </c>
      <c r="M5935" s="471">
        <f t="shared" si="201"/>
        <v>0.05</v>
      </c>
      <c r="N5935" s="475">
        <f t="shared" si="202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00"/>
        <v>-2.1868011899727152E+16</v>
      </c>
      <c r="J5936" s="455">
        <f t="array" ref="J5936">IFERROR(INDEX('Retirement Calculator'!K:K,MATCH('Lorri 401b'!N5936,'Retirement Calculator'!A:A,0),0),0)</f>
        <v>0</v>
      </c>
      <c r="K5936" s="455">
        <f t="shared" ca="1" si="198"/>
        <v>-91116716248863.125</v>
      </c>
      <c r="L5936" s="455">
        <f t="shared" ca="1" si="199"/>
        <v>-2.1959128615976016E+16</v>
      </c>
      <c r="M5936" s="471">
        <f t="shared" si="201"/>
        <v>0.05</v>
      </c>
      <c r="N5936" s="475">
        <f t="shared" si="202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00"/>
        <v>-2.1959128615976016E+16</v>
      </c>
      <c r="J5937" s="455">
        <f t="array" ref="J5937">IFERROR(INDEX('Retirement Calculator'!K:K,MATCH('Lorri 401b'!N5937,'Retirement Calculator'!A:A,0),0),0)</f>
        <v>0</v>
      </c>
      <c r="K5937" s="455">
        <f t="shared" ca="1" si="198"/>
        <v>-91496369233233.406</v>
      </c>
      <c r="L5937" s="455">
        <f t="shared" ca="1" si="199"/>
        <v>-2.2050624985209248E+16</v>
      </c>
      <c r="M5937" s="471">
        <f t="shared" si="201"/>
        <v>0.05</v>
      </c>
      <c r="N5937" s="475">
        <f t="shared" si="202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00"/>
        <v>-2.2050624985209248E+16</v>
      </c>
      <c r="J5938" s="455">
        <f t="array" ref="J5938">IFERROR(INDEX('Retirement Calculator'!K:K,MATCH('Lorri 401b'!N5938,'Retirement Calculator'!A:A,0),0),0)</f>
        <v>0</v>
      </c>
      <c r="K5938" s="455">
        <f t="shared" ca="1" si="198"/>
        <v>-91877604105038.531</v>
      </c>
      <c r="L5938" s="455">
        <f t="shared" ca="1" si="199"/>
        <v>-2.2142502589314288E+16</v>
      </c>
      <c r="M5938" s="471">
        <f t="shared" si="201"/>
        <v>0.05</v>
      </c>
      <c r="N5938" s="475">
        <f t="shared" si="202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00"/>
        <v>-2.2142502589314288E+16</v>
      </c>
      <c r="J5939" s="455">
        <f t="array" ref="J5939">IFERROR(INDEX('Retirement Calculator'!K:K,MATCH('Lorri 401b'!N5939,'Retirement Calculator'!A:A,0),0),0)</f>
        <v>0</v>
      </c>
      <c r="K5939" s="455">
        <f t="shared" ca="1" si="198"/>
        <v>-92260427455476.203</v>
      </c>
      <c r="L5939" s="455">
        <f t="shared" ca="1" si="199"/>
        <v>-2.2234763016769764E+16</v>
      </c>
      <c r="M5939" s="471">
        <f t="shared" si="201"/>
        <v>0.05</v>
      </c>
      <c r="N5939" s="475">
        <f t="shared" si="202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00"/>
        <v>-2.2234763016769764E+16</v>
      </c>
      <c r="J5940" s="455">
        <f t="array" ref="J5940">IFERROR(INDEX('Retirement Calculator'!K:K,MATCH('Lorri 401b'!N5940,'Retirement Calculator'!A:A,0),0),0)</f>
        <v>0</v>
      </c>
      <c r="K5940" s="455">
        <f t="shared" ca="1" si="198"/>
        <v>-92644845903207.344</v>
      </c>
      <c r="L5940" s="455">
        <f t="shared" ca="1" si="199"/>
        <v>-2.2327407862672972E+16</v>
      </c>
      <c r="M5940" s="471">
        <f t="shared" si="201"/>
        <v>0.05</v>
      </c>
      <c r="N5940" s="475">
        <f t="shared" si="202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00"/>
        <v>-2.2327407862672972E+16</v>
      </c>
      <c r="J5941" s="455">
        <f t="array" ref="J5941">IFERROR(INDEX('Retirement Calculator'!K:K,MATCH('Lorri 401b'!N5941,'Retirement Calculator'!A:A,0),0),0)</f>
        <v>0</v>
      </c>
      <c r="K5941" s="455">
        <f t="shared" ca="1" si="198"/>
        <v>-93030866094470.719</v>
      </c>
      <c r="L5941" s="455">
        <f t="shared" ca="1" si="199"/>
        <v>-2.2420438728767444E+16</v>
      </c>
      <c r="M5941" s="471">
        <f t="shared" si="201"/>
        <v>0.05</v>
      </c>
      <c r="N5941" s="475">
        <f t="shared" si="202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00"/>
        <v>-2.2420438728767444E+16</v>
      </c>
      <c r="J5942" s="455">
        <f t="array" ref="J5942">IFERROR(INDEX('Retirement Calculator'!K:K,MATCH('Lorri 401b'!N5942,'Retirement Calculator'!A:A,0),0),0)</f>
        <v>0</v>
      </c>
      <c r="K5942" s="455">
        <f t="shared" ca="1" si="198"/>
        <v>-93418494703197.688</v>
      </c>
      <c r="L5942" s="455">
        <f t="shared" ca="1" si="199"/>
        <v>-2.251385722347064E+16</v>
      </c>
      <c r="M5942" s="471">
        <f t="shared" si="201"/>
        <v>0.05</v>
      </c>
      <c r="N5942" s="475">
        <f t="shared" si="202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00"/>
        <v>-2.251385722347064E+16</v>
      </c>
      <c r="J5943" s="455">
        <f t="array" ref="J5943">IFERROR(INDEX('Retirement Calculator'!K:K,MATCH('Lorri 401b'!N5943,'Retirement Calculator'!A:A,0),0),0)</f>
        <v>0</v>
      </c>
      <c r="K5943" s="455">
        <f t="shared" ca="1" si="198"/>
        <v>-93807738431127.672</v>
      </c>
      <c r="L5943" s="455">
        <f t="shared" ca="1" si="199"/>
        <v>-2.2607664961901768E+16</v>
      </c>
      <c r="M5943" s="471">
        <f t="shared" si="201"/>
        <v>0.05</v>
      </c>
      <c r="N5943" s="475">
        <f t="shared" si="202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00"/>
        <v>-2.2607664961901768E+16</v>
      </c>
      <c r="J5944" s="455">
        <f t="array" ref="J5944">IFERROR(INDEX('Retirement Calculator'!K:K,MATCH('Lorri 401b'!N5944,'Retirement Calculator'!A:A,0),0),0)</f>
        <v>0</v>
      </c>
      <c r="K5944" s="455">
        <f t="shared" ca="1" si="198"/>
        <v>-94198604007924.031</v>
      </c>
      <c r="L5944" s="455">
        <f t="shared" ca="1" si="199"/>
        <v>-2.2701863565909692E+16</v>
      </c>
      <c r="M5944" s="471">
        <f t="shared" si="201"/>
        <v>0.05</v>
      </c>
      <c r="N5944" s="475">
        <f t="shared" si="202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00"/>
        <v>-2.2701863565909692E+16</v>
      </c>
      <c r="J5945" s="455">
        <f t="array" ref="J5945">IFERROR(INDEX('Retirement Calculator'!K:K,MATCH('Lorri 401b'!N5945,'Retirement Calculator'!A:A,0),0),0)</f>
        <v>0</v>
      </c>
      <c r="K5945" s="455">
        <f t="shared" ca="1" si="198"/>
        <v>-94591098191290.375</v>
      </c>
      <c r="L5945" s="455">
        <f t="shared" ca="1" si="199"/>
        <v>-2.2796454664100984E+16</v>
      </c>
      <c r="M5945" s="471">
        <f t="shared" si="201"/>
        <v>0.05</v>
      </c>
      <c r="N5945" s="475">
        <f t="shared" si="202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00"/>
        <v>-2.2796454664100984E+16</v>
      </c>
      <c r="J5946" s="455">
        <f t="array" ref="J5946">IFERROR(INDEX('Retirement Calculator'!K:K,MATCH('Lorri 401b'!N5946,'Retirement Calculator'!A:A,0),0),0)</f>
        <v>0</v>
      </c>
      <c r="K5946" s="455">
        <f t="shared" ca="1" si="198"/>
        <v>-94985227767087.438</v>
      </c>
      <c r="L5946" s="455">
        <f t="shared" ca="1" si="199"/>
        <v>-2.2891439891868072E+16</v>
      </c>
      <c r="M5946" s="471">
        <f t="shared" si="201"/>
        <v>0.05</v>
      </c>
      <c r="N5946" s="475">
        <f t="shared" si="202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00"/>
        <v>-2.2891439891868072E+16</v>
      </c>
      <c r="J5947" s="455">
        <f t="array" ref="J5947">IFERROR(INDEX('Retirement Calculator'!K:K,MATCH('Lorri 401b'!N5947,'Retirement Calculator'!A:A,0),0),0)</f>
        <v>0</v>
      </c>
      <c r="K5947" s="455">
        <f t="shared" ca="1" si="198"/>
        <v>-95380999549450.297</v>
      </c>
      <c r="L5947" s="455">
        <f t="shared" ca="1" si="199"/>
        <v>-2.2986820891417524E+16</v>
      </c>
      <c r="M5947" s="471">
        <f t="shared" si="201"/>
        <v>0.05</v>
      </c>
      <c r="N5947" s="475">
        <f t="shared" si="202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00"/>
        <v>-2.2986820891417524E+16</v>
      </c>
      <c r="J5948" s="455">
        <f t="array" ref="J5948">IFERROR(INDEX('Retirement Calculator'!K:K,MATCH('Lorri 401b'!N5948,'Retirement Calculator'!A:A,0),0),0)</f>
        <v>0</v>
      </c>
      <c r="K5948" s="455">
        <f t="shared" ca="1" si="198"/>
        <v>-95778420380906.344</v>
      </c>
      <c r="L5948" s="455">
        <f t="shared" ca="1" si="199"/>
        <v>-2.3082599311798432E+16</v>
      </c>
      <c r="M5948" s="471">
        <f t="shared" si="201"/>
        <v>0.05</v>
      </c>
      <c r="N5948" s="475">
        <f t="shared" si="202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00"/>
        <v>-2.3082599311798432E+16</v>
      </c>
      <c r="J5949" s="455">
        <f t="array" ref="J5949">IFERROR(INDEX('Retirement Calculator'!K:K,MATCH('Lorri 401b'!N5949,'Retirement Calculator'!A:A,0),0),0)</f>
        <v>0</v>
      </c>
      <c r="K5949" s="455">
        <f t="shared" ca="1" si="198"/>
        <v>-96177497132493.469</v>
      </c>
      <c r="L5949" s="455">
        <f t="shared" ca="1" si="199"/>
        <v>-2.3178776808930924E+16</v>
      </c>
      <c r="M5949" s="471">
        <f t="shared" si="201"/>
        <v>0.05</v>
      </c>
      <c r="N5949" s="475">
        <f t="shared" si="202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00"/>
        <v>-2.3178776808930924E+16</v>
      </c>
      <c r="J5950" s="455">
        <f t="array" ref="J5950">IFERROR(INDEX('Retirement Calculator'!K:K,MATCH('Lorri 401b'!N5950,'Retirement Calculator'!A:A,0),0),0)</f>
        <v>0</v>
      </c>
      <c r="K5950" s="455">
        <f t="shared" ca="1" si="198"/>
        <v>-96578236703878.844</v>
      </c>
      <c r="L5950" s="455">
        <f t="shared" ca="1" si="199"/>
        <v>-2.3275355045634804E+16</v>
      </c>
      <c r="M5950" s="471">
        <f t="shared" si="201"/>
        <v>0.05</v>
      </c>
      <c r="N5950" s="475">
        <f t="shared" si="202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00"/>
        <v>-2.3275355045634804E+16</v>
      </c>
      <c r="J5951" s="455">
        <f t="array" ref="J5951">IFERROR(INDEX('Retirement Calculator'!K:K,MATCH('Lorri 401b'!N5951,'Retirement Calculator'!A:A,0),0),0)</f>
        <v>0</v>
      </c>
      <c r="K5951" s="455">
        <f t="shared" ca="1" si="198"/>
        <v>-96980646023478.344</v>
      </c>
      <c r="L5951" s="455">
        <f t="shared" ca="1" si="199"/>
        <v>-2.3372335691658284E+16</v>
      </c>
      <c r="M5951" s="471">
        <f t="shared" si="201"/>
        <v>0.05</v>
      </c>
      <c r="N5951" s="475">
        <f t="shared" si="202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00"/>
        <v>-2.3372335691658284E+16</v>
      </c>
      <c r="J5952" s="455">
        <f t="array" ref="J5952">IFERROR(INDEX('Retirement Calculator'!K:K,MATCH('Lorri 401b'!N5952,'Retirement Calculator'!A:A,0),0),0)</f>
        <v>0</v>
      </c>
      <c r="K5952" s="455">
        <f t="shared" ca="1" si="198"/>
        <v>-97384732048576.188</v>
      </c>
      <c r="L5952" s="455">
        <f t="shared" ca="1" si="199"/>
        <v>-2.346972042370686E+16</v>
      </c>
      <c r="M5952" s="471">
        <f t="shared" si="201"/>
        <v>0.05</v>
      </c>
      <c r="N5952" s="475">
        <f t="shared" si="202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00"/>
        <v>-2.346972042370686E+16</v>
      </c>
      <c r="J5953" s="455">
        <f t="array" ref="J5953">IFERROR(INDEX('Retirement Calculator'!K:K,MATCH('Lorri 401b'!N5953,'Retirement Calculator'!A:A,0),0),0)</f>
        <v>0</v>
      </c>
      <c r="K5953" s="455">
        <f t="shared" ca="1" si="198"/>
        <v>-97790501765445.25</v>
      </c>
      <c r="L5953" s="455">
        <f t="shared" ca="1" si="199"/>
        <v>-2.3567510925472304E+16</v>
      </c>
      <c r="M5953" s="471">
        <f t="shared" si="201"/>
        <v>0.05</v>
      </c>
      <c r="N5953" s="475">
        <f t="shared" si="202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00"/>
        <v>-2.3567510925472304E+16</v>
      </c>
      <c r="J5954" s="455">
        <f t="array" ref="J5954">IFERROR(INDEX('Retirement Calculator'!K:K,MATCH('Lorri 401b'!N5954,'Retirement Calculator'!A:A,0),0),0)</f>
        <v>0</v>
      </c>
      <c r="K5954" s="455">
        <f t="shared" ca="1" si="198"/>
        <v>-98197962189467.938</v>
      </c>
      <c r="L5954" s="455">
        <f t="shared" ca="1" si="199"/>
        <v>-2.3665708887661772E+16</v>
      </c>
      <c r="M5954" s="471">
        <f t="shared" si="201"/>
        <v>0.05</v>
      </c>
      <c r="N5954" s="475">
        <f t="shared" si="202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00"/>
        <v>-2.3665708887661772E+16</v>
      </c>
      <c r="J5955" s="455">
        <f t="array" ref="J5955">IFERROR(INDEX('Retirement Calculator'!K:K,MATCH('Lorri 401b'!N5955,'Retirement Calculator'!A:A,0),0),0)</f>
        <v>0</v>
      </c>
      <c r="K5955" s="455">
        <f t="shared" ca="1" si="198"/>
        <v>-98607120365257.375</v>
      </c>
      <c r="L5955" s="455">
        <f t="shared" ca="1" si="199"/>
        <v>-2.3764316008027028E+16</v>
      </c>
      <c r="M5955" s="471">
        <f t="shared" si="201"/>
        <v>0.05</v>
      </c>
      <c r="N5955" s="475">
        <f t="shared" si="202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00"/>
        <v>-2.3764316008027028E+16</v>
      </c>
      <c r="J5956" s="455">
        <f t="array" ref="J5956">IFERROR(INDEX('Retirement Calculator'!K:K,MATCH('Lorri 401b'!N5956,'Retirement Calculator'!A:A,0),0),0)</f>
        <v>0</v>
      </c>
      <c r="K5956" s="455">
        <f t="shared" ca="1" si="198"/>
        <v>-99017983366779.281</v>
      </c>
      <c r="L5956" s="455">
        <f t="shared" ca="1" si="199"/>
        <v>-2.3863333991393808E+16</v>
      </c>
      <c r="M5956" s="471">
        <f t="shared" si="201"/>
        <v>0.05</v>
      </c>
      <c r="N5956" s="475">
        <f t="shared" si="202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00"/>
        <v>-2.3863333991393808E+16</v>
      </c>
      <c r="J5957" s="455">
        <f t="array" ref="J5957">IFERROR(INDEX('Retirement Calculator'!K:K,MATCH('Lorri 401b'!N5957,'Retirement Calculator'!A:A,0),0),0)</f>
        <v>0</v>
      </c>
      <c r="K5957" s="455">
        <f t="shared" ca="1" si="198"/>
        <v>-99430558297474.203</v>
      </c>
      <c r="L5957" s="455">
        <f t="shared" ca="1" si="199"/>
        <v>-2.3962764549691284E+16</v>
      </c>
      <c r="M5957" s="471">
        <f t="shared" si="201"/>
        <v>0.05</v>
      </c>
      <c r="N5957" s="475">
        <f t="shared" si="202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00"/>
        <v>-2.3962764549691284E+16</v>
      </c>
      <c r="J5958" s="455">
        <f t="array" ref="J5958">IFERROR(INDEX('Retirement Calculator'!K:K,MATCH('Lorri 401b'!N5958,'Retirement Calculator'!A:A,0),0),0)</f>
        <v>0</v>
      </c>
      <c r="K5958" s="455">
        <f t="shared" ca="1" si="198"/>
        <v>-99844852290380.344</v>
      </c>
      <c r="L5958" s="455">
        <f t="shared" ca="1" si="199"/>
        <v>-2.4062609401981664E+16</v>
      </c>
      <c r="M5958" s="471">
        <f t="shared" si="201"/>
        <v>0.05</v>
      </c>
      <c r="N5958" s="475">
        <f t="shared" si="202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00"/>
        <v>-2.4062609401981664E+16</v>
      </c>
      <c r="J5959" s="455">
        <f t="array" ref="J5959">IFERROR(INDEX('Retirement Calculator'!K:K,MATCH('Lorri 401b'!N5959,'Retirement Calculator'!A:A,0),0),0)</f>
        <v>0</v>
      </c>
      <c r="K5959" s="455">
        <f t="shared" ca="1" si="198"/>
        <v>-100260872508256.94</v>
      </c>
      <c r="L5959" s="455">
        <f t="shared" ca="1" si="199"/>
        <v>-2.416287027448992E+16</v>
      </c>
      <c r="M5959" s="471">
        <f t="shared" si="201"/>
        <v>0.05</v>
      </c>
      <c r="N5959" s="475">
        <f t="shared" si="202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00"/>
        <v>-2.416287027448992E+16</v>
      </c>
      <c r="J5960" s="455">
        <f t="array" ref="J5960">IFERROR(INDEX('Retirement Calculator'!K:K,MATCH('Lorri 401b'!N5960,'Retirement Calculator'!A:A,0),0),0)</f>
        <v>0</v>
      </c>
      <c r="K5960" s="455">
        <f t="shared" ca="1" si="198"/>
        <v>-100678626143708</v>
      </c>
      <c r="L5960" s="455">
        <f t="shared" ca="1" si="199"/>
        <v>-2.4263548900633628E+16</v>
      </c>
      <c r="M5960" s="471">
        <f t="shared" si="201"/>
        <v>0.05</v>
      </c>
      <c r="N5960" s="475">
        <f t="shared" si="202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00"/>
        <v>-2.4263548900633628E+16</v>
      </c>
      <c r="J5961" s="455">
        <f t="array" ref="J5961">IFERROR(INDEX('Retirement Calculator'!K:K,MATCH('Lorri 401b'!N5961,'Retirement Calculator'!A:A,0),0),0)</f>
        <v>0</v>
      </c>
      <c r="K5961" s="455">
        <f t="shared" ca="1" si="198"/>
        <v>-101098120419306.78</v>
      </c>
      <c r="L5961" s="455">
        <f t="shared" ca="1" si="199"/>
        <v>-2.4364647021052936E+16</v>
      </c>
      <c r="M5961" s="471">
        <f t="shared" si="201"/>
        <v>0.05</v>
      </c>
      <c r="N5961" s="475">
        <f t="shared" si="202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00"/>
        <v>-2.4364647021052936E+16</v>
      </c>
      <c r="J5962" s="455">
        <f t="array" ref="J5962">IFERROR(INDEX('Retirement Calculator'!K:K,MATCH('Lorri 401b'!N5962,'Retirement Calculator'!A:A,0),0),0)</f>
        <v>0</v>
      </c>
      <c r="K5962" s="455">
        <f t="shared" ca="1" si="198"/>
        <v>-101519362587720.56</v>
      </c>
      <c r="L5962" s="455">
        <f t="shared" ca="1" si="199"/>
        <v>-2.4466166383640656E+16</v>
      </c>
      <c r="M5962" s="471">
        <f t="shared" si="201"/>
        <v>0.05</v>
      </c>
      <c r="N5962" s="475">
        <f t="shared" si="202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00"/>
        <v>-2.4466166383640656E+16</v>
      </c>
      <c r="J5963" s="455">
        <f t="array" ref="J5963">IFERROR(INDEX('Retirement Calculator'!K:K,MATCH('Lorri 401b'!N5963,'Retirement Calculator'!A:A,0),0),0)</f>
        <v>0</v>
      </c>
      <c r="K5963" s="455">
        <f t="shared" ca="1" si="198"/>
        <v>-101942359931836.06</v>
      </c>
      <c r="L5963" s="455">
        <f t="shared" ca="1" si="199"/>
        <v>-2.4568108743572492E+16</v>
      </c>
      <c r="M5963" s="471">
        <f t="shared" si="201"/>
        <v>0.05</v>
      </c>
      <c r="N5963" s="475">
        <f t="shared" si="202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00"/>
        <v>-2.4568108743572492E+16</v>
      </c>
      <c r="J5964" s="455">
        <f t="array" ref="J5964">IFERROR(INDEX('Retirement Calculator'!K:K,MATCH('Lorri 401b'!N5964,'Retirement Calculator'!A:A,0),0),0)</f>
        <v>0</v>
      </c>
      <c r="K5964" s="455">
        <f t="shared" ca="1" si="198"/>
        <v>-102367119764885.38</v>
      </c>
      <c r="L5964" s="455">
        <f t="shared" ca="1" si="199"/>
        <v>-2.4670475863337376E+16</v>
      </c>
      <c r="M5964" s="471">
        <f t="shared" si="201"/>
        <v>0.05</v>
      </c>
      <c r="N5964" s="475">
        <f t="shared" si="202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00"/>
        <v>-2.4670475863337376E+16</v>
      </c>
      <c r="J5965" s="455">
        <f t="array" ref="J5965">IFERROR(INDEX('Retirement Calculator'!K:K,MATCH('Lorri 401b'!N5965,'Retirement Calculator'!A:A,0),0),0)</f>
        <v>0</v>
      </c>
      <c r="K5965" s="455">
        <f t="shared" ca="1" si="198"/>
        <v>-102793649430572.41</v>
      </c>
      <c r="L5965" s="455">
        <f t="shared" ca="1" si="199"/>
        <v>-2.4773269512767948E+16</v>
      </c>
      <c r="M5965" s="471">
        <f t="shared" si="201"/>
        <v>0.05</v>
      </c>
      <c r="N5965" s="475">
        <f t="shared" si="202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00"/>
        <v>-2.4773269512767948E+16</v>
      </c>
      <c r="J5966" s="455">
        <f t="array" ref="J5966">IFERROR(INDEX('Retirement Calculator'!K:K,MATCH('Lorri 401b'!N5966,'Retirement Calculator'!A:A,0),0),0)</f>
        <v>0</v>
      </c>
      <c r="K5966" s="455">
        <f t="shared" ca="1" si="198"/>
        <v>-103221956303199.78</v>
      </c>
      <c r="L5966" s="455">
        <f t="shared" ca="1" si="199"/>
        <v>-2.4876491469071148E+16</v>
      </c>
      <c r="M5966" s="471">
        <f t="shared" si="201"/>
        <v>0.05</v>
      </c>
      <c r="N5966" s="475">
        <f t="shared" si="202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00"/>
        <v>-2.4876491469071148E+16</v>
      </c>
      <c r="J5967" s="455">
        <f t="array" ref="J5967">IFERROR(INDEX('Retirement Calculator'!K:K,MATCH('Lorri 401b'!N5967,'Retirement Calculator'!A:A,0),0),0)</f>
        <v>0</v>
      </c>
      <c r="K5967" s="455">
        <f t="shared" ca="1" si="198"/>
        <v>-103652047787796.45</v>
      </c>
      <c r="L5967" s="455">
        <f t="shared" ca="1" si="199"/>
        <v>-2.4980143516858944E+16</v>
      </c>
      <c r="M5967" s="471">
        <f t="shared" si="201"/>
        <v>0.05</v>
      </c>
      <c r="N5967" s="475">
        <f t="shared" si="202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00"/>
        <v>-2.4980143516858944E+16</v>
      </c>
      <c r="J5968" s="455">
        <f t="array" ref="J5968">IFERROR(INDEX('Retirement Calculator'!K:K,MATCH('Lorri 401b'!N5968,'Retirement Calculator'!A:A,0),0),0)</f>
        <v>0</v>
      </c>
      <c r="K5968" s="455">
        <f t="shared" ca="1" si="198"/>
        <v>-104083931320245.59</v>
      </c>
      <c r="L5968" s="455">
        <f t="shared" ca="1" si="199"/>
        <v>-2.5084227448179188E+16</v>
      </c>
      <c r="M5968" s="471">
        <f t="shared" si="201"/>
        <v>0.05</v>
      </c>
      <c r="N5968" s="475">
        <f t="shared" si="202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00"/>
        <v>-2.5084227448179188E+16</v>
      </c>
      <c r="J5969" s="455">
        <f t="array" ref="J5969">IFERROR(INDEX('Retirement Calculator'!K:K,MATCH('Lorri 401b'!N5969,'Retirement Calculator'!A:A,0),0),0)</f>
        <v>0</v>
      </c>
      <c r="K5969" s="455">
        <f t="shared" ca="1" si="198"/>
        <v>-104517614367413.28</v>
      </c>
      <c r="L5969" s="455">
        <f t="shared" ca="1" si="199"/>
        <v>-2.51887450625466E+16</v>
      </c>
      <c r="M5969" s="471">
        <f t="shared" si="201"/>
        <v>0.05</v>
      </c>
      <c r="N5969" s="475">
        <f t="shared" si="202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00"/>
        <v>-2.51887450625466E+16</v>
      </c>
      <c r="J5970" s="455">
        <f t="array" ref="J5970">IFERROR(INDEX('Retirement Calculator'!K:K,MATCH('Lorri 401b'!N5970,'Retirement Calculator'!A:A,0),0),0)</f>
        <v>0</v>
      </c>
      <c r="K5970" s="455">
        <f t="shared" ca="1" si="198"/>
        <v>-104953104427277.5</v>
      </c>
      <c r="L5970" s="455">
        <f t="shared" ca="1" si="199"/>
        <v>-2.5293698166973876E+16</v>
      </c>
      <c r="M5970" s="471">
        <f t="shared" si="201"/>
        <v>0.05</v>
      </c>
      <c r="N5970" s="475">
        <f t="shared" si="202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00"/>
        <v>-2.5293698166973876E+16</v>
      </c>
      <c r="J5971" s="455">
        <f t="array" ref="J5971">IFERROR(INDEX('Retirement Calculator'!K:K,MATCH('Lorri 401b'!N5971,'Retirement Calculator'!A:A,0),0),0)</f>
        <v>0</v>
      </c>
      <c r="K5971" s="455">
        <f t="shared" ca="1" si="198"/>
        <v>-105390409029057.81</v>
      </c>
      <c r="L5971" s="455">
        <f t="shared" ca="1" si="199"/>
        <v>-2.5399088576002932E+16</v>
      </c>
      <c r="M5971" s="471">
        <f t="shared" si="201"/>
        <v>0.05</v>
      </c>
      <c r="N5971" s="475">
        <f t="shared" si="202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00"/>
        <v>-2.5399088576002932E+16</v>
      </c>
      <c r="J5972" s="455">
        <f t="array" ref="J5972">IFERROR(INDEX('Retirement Calculator'!K:K,MATCH('Lorri 401b'!N5972,'Retirement Calculator'!A:A,0),0),0)</f>
        <v>0</v>
      </c>
      <c r="K5972" s="455">
        <f t="shared" ca="1" si="198"/>
        <v>-105829535733345.55</v>
      </c>
      <c r="L5972" s="455">
        <f t="shared" ca="1" si="199"/>
        <v>-2.5504918111736276E+16</v>
      </c>
      <c r="M5972" s="471">
        <f t="shared" si="201"/>
        <v>0.05</v>
      </c>
      <c r="N5972" s="475">
        <f t="shared" si="202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00"/>
        <v>-2.5504918111736276E+16</v>
      </c>
      <c r="J5973" s="455">
        <f t="array" ref="J5973">IFERROR(INDEX('Retirement Calculator'!K:K,MATCH('Lorri 401b'!N5973,'Retirement Calculator'!A:A,0),0),0)</f>
        <v>0</v>
      </c>
      <c r="K5973" s="455">
        <f t="shared" ca="1" si="198"/>
        <v>-106270492132234.48</v>
      </c>
      <c r="L5973" s="455">
        <f t="shared" ca="1" si="199"/>
        <v>-2.5611188603868512E+16</v>
      </c>
      <c r="M5973" s="471">
        <f t="shared" si="201"/>
        <v>0.05</v>
      </c>
      <c r="N5973" s="475">
        <f t="shared" si="202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00"/>
        <v>-2.5611188603868512E+16</v>
      </c>
      <c r="J5974" s="455">
        <f t="array" ref="J5974">IFERROR(INDEX('Retirement Calculator'!K:K,MATCH('Lorri 401b'!N5974,'Retirement Calculator'!A:A,0),0),0)</f>
        <v>0</v>
      </c>
      <c r="K5974" s="455">
        <f t="shared" ca="1" si="198"/>
        <v>-106713285849452.13</v>
      </c>
      <c r="L5974" s="455">
        <f t="shared" ca="1" si="199"/>
        <v>-2.5717901889717964E+16</v>
      </c>
      <c r="M5974" s="471">
        <f t="shared" si="201"/>
        <v>0.05</v>
      </c>
      <c r="N5974" s="475">
        <f t="shared" si="202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00"/>
        <v>-2.5717901889717964E+16</v>
      </c>
      <c r="J5975" s="455">
        <f t="array" ref="J5975">IFERROR(INDEX('Retirement Calculator'!K:K,MATCH('Lorri 401b'!N5975,'Retirement Calculator'!A:A,0),0),0)</f>
        <v>0</v>
      </c>
      <c r="K5975" s="455">
        <f t="shared" ca="1" si="198"/>
        <v>-107157924540491.52</v>
      </c>
      <c r="L5975" s="455">
        <f t="shared" ca="1" si="199"/>
        <v>-2.5825059814258456E+16</v>
      </c>
      <c r="M5975" s="471">
        <f t="shared" si="201"/>
        <v>0.05</v>
      </c>
      <c r="N5975" s="475">
        <f t="shared" si="202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00"/>
        <v>-2.5825059814258456E+16</v>
      </c>
      <c r="J5976" s="455">
        <f t="array" ref="J5976">IFERROR(INDEX('Retirement Calculator'!K:K,MATCH('Lorri 401b'!N5976,'Retirement Calculator'!A:A,0),0),0)</f>
        <v>0</v>
      </c>
      <c r="K5976" s="455">
        <f t="shared" ca="1" si="198"/>
        <v>-107604415892743.56</v>
      </c>
      <c r="L5976" s="455">
        <f t="shared" ca="1" si="199"/>
        <v>-2.59326642301512E+16</v>
      </c>
      <c r="M5976" s="471">
        <f t="shared" si="201"/>
        <v>0.05</v>
      </c>
      <c r="N5976" s="475">
        <f t="shared" si="202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00"/>
        <v>-2.59326642301512E+16</v>
      </c>
      <c r="J5977" s="455">
        <f t="array" ref="J5977">IFERROR(INDEX('Retirement Calculator'!K:K,MATCH('Lorri 401b'!N5977,'Retirement Calculator'!A:A,0),0),0)</f>
        <v>0</v>
      </c>
      <c r="K5977" s="455">
        <f t="shared" ca="1" si="198"/>
        <v>-108052767625630</v>
      </c>
      <c r="L5977" s="455">
        <f t="shared" ca="1" si="199"/>
        <v>-2.6040716997776832E+16</v>
      </c>
      <c r="M5977" s="471">
        <f t="shared" si="201"/>
        <v>0.05</v>
      </c>
      <c r="N5977" s="475">
        <f t="shared" si="202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00"/>
        <v>-2.6040716997776832E+16</v>
      </c>
      <c r="J5978" s="455">
        <f t="array" ref="J5978">IFERROR(INDEX('Retirement Calculator'!K:K,MATCH('Lorri 401b'!N5978,'Retirement Calculator'!A:A,0),0),0)</f>
        <v>0</v>
      </c>
      <c r="K5978" s="455">
        <f t="shared" ca="1" si="198"/>
        <v>-108502987490736.8</v>
      </c>
      <c r="L5978" s="455">
        <f t="shared" ca="1" si="199"/>
        <v>-2.6149219985267568E+16</v>
      </c>
      <c r="M5978" s="471">
        <f t="shared" si="201"/>
        <v>0.05</v>
      </c>
      <c r="N5978" s="475">
        <f t="shared" si="202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00"/>
        <v>-2.6149219985267568E+16</v>
      </c>
      <c r="J5979" s="455">
        <f t="array" ref="J5979">IFERROR(INDEX('Retirement Calculator'!K:K,MATCH('Lorri 401b'!N5979,'Retirement Calculator'!A:A,0),0),0)</f>
        <v>0</v>
      </c>
      <c r="K5979" s="455">
        <f t="shared" ca="1" si="198"/>
        <v>-108955083271948.2</v>
      </c>
      <c r="L5979" s="455">
        <f t="shared" ca="1" si="199"/>
        <v>-2.6258175068539516E+16</v>
      </c>
      <c r="M5979" s="471">
        <f t="shared" si="201"/>
        <v>0.05</v>
      </c>
      <c r="N5979" s="475">
        <f t="shared" si="202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00"/>
        <v>-2.6258175068539516E+16</v>
      </c>
      <c r="J5980" s="455">
        <f t="array" ref="J5980">IFERROR(INDEX('Retirement Calculator'!K:K,MATCH('Lorri 401b'!N5980,'Retirement Calculator'!A:A,0),0),0)</f>
        <v>0</v>
      </c>
      <c r="K5980" s="455">
        <f t="shared" ca="1" si="198"/>
        <v>-109409062785581.31</v>
      </c>
      <c r="L5980" s="455">
        <f t="shared" ca="1" si="199"/>
        <v>-2.6367584131325096E+16</v>
      </c>
      <c r="M5980" s="471">
        <f t="shared" si="201"/>
        <v>0.05</v>
      </c>
      <c r="N5980" s="475">
        <f t="shared" si="202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00"/>
        <v>-2.6367584131325096E+16</v>
      </c>
      <c r="J5981" s="455">
        <f t="array" ref="J5981">IFERROR(INDEX('Retirement Calculator'!K:K,MATCH('Lorri 401b'!N5981,'Retirement Calculator'!A:A,0),0),0)</f>
        <v>0</v>
      </c>
      <c r="K5981" s="455">
        <f t="shared" ca="1" si="198"/>
        <v>-109864933880521.23</v>
      </c>
      <c r="L5981" s="455">
        <f t="shared" ca="1" si="199"/>
        <v>-2.6477449065205616E+16</v>
      </c>
      <c r="M5981" s="471">
        <f t="shared" si="201"/>
        <v>0.05</v>
      </c>
      <c r="N5981" s="475">
        <f t="shared" si="202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00"/>
        <v>-2.6477449065205616E+16</v>
      </c>
      <c r="J5982" s="455">
        <f t="array" ref="J5982">IFERROR(INDEX('Retirement Calculator'!K:K,MATCH('Lorri 401b'!N5982,'Retirement Calculator'!A:A,0),0),0)</f>
        <v>0</v>
      </c>
      <c r="K5982" s="455">
        <f t="shared" ca="1" si="198"/>
        <v>-110322704438356.73</v>
      </c>
      <c r="L5982" s="455">
        <f t="shared" ca="1" si="199"/>
        <v>-2.6587771769643972E+16</v>
      </c>
      <c r="M5982" s="471">
        <f t="shared" si="201"/>
        <v>0.05</v>
      </c>
      <c r="N5982" s="475">
        <f t="shared" si="202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00"/>
        <v>-2.6587771769643972E+16</v>
      </c>
      <c r="J5983" s="455">
        <f t="array" ref="J5983">IFERROR(INDEX('Retirement Calculator'!K:K,MATCH('Lorri 401b'!N5983,'Retirement Calculator'!A:A,0),0),0)</f>
        <v>0</v>
      </c>
      <c r="K5983" s="455">
        <f t="shared" ca="1" si="198"/>
        <v>-110782382373516.55</v>
      </c>
      <c r="L5983" s="455">
        <f t="shared" ca="1" si="199"/>
        <v>-2.6698554152017488E+16</v>
      </c>
      <c r="M5983" s="471">
        <f t="shared" si="201"/>
        <v>0.05</v>
      </c>
      <c r="N5983" s="475">
        <f t="shared" si="202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00"/>
        <v>-2.6698554152017488E+16</v>
      </c>
      <c r="J5984" s="455">
        <f t="array" ref="J5984">IFERROR(INDEX('Retirement Calculator'!K:K,MATCH('Lorri 401b'!N5984,'Retirement Calculator'!A:A,0),0),0)</f>
        <v>0</v>
      </c>
      <c r="K5984" s="455">
        <f t="shared" ca="1" si="198"/>
        <v>-111243975633406.2</v>
      </c>
      <c r="L5984" s="455">
        <f t="shared" ca="1" si="199"/>
        <v>-2.6809798127650896E+16</v>
      </c>
      <c r="M5984" s="471">
        <f t="shared" si="201"/>
        <v>0.05</v>
      </c>
      <c r="N5984" s="475">
        <f t="shared" si="202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00"/>
        <v>-2.6809798127650896E+16</v>
      </c>
      <c r="J5985" s="455">
        <f t="array" ref="J5985">IFERROR(INDEX('Retirement Calculator'!K:K,MATCH('Lorri 401b'!N5985,'Retirement Calculator'!A:A,0),0),0)</f>
        <v>0</v>
      </c>
      <c r="K5985" s="455">
        <f t="shared" ca="1" si="198"/>
        <v>-111707492198545.41</v>
      </c>
      <c r="L5985" s="455">
        <f t="shared" ca="1" si="199"/>
        <v>-2.692150561984944E+16</v>
      </c>
      <c r="M5985" s="471">
        <f t="shared" si="201"/>
        <v>0.05</v>
      </c>
      <c r="N5985" s="475">
        <f t="shared" si="202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00"/>
        <v>-2.692150561984944E+16</v>
      </c>
      <c r="J5986" s="455">
        <f t="array" ref="J5986">IFERROR(INDEX('Retirement Calculator'!K:K,MATCH('Lorri 401b'!N5986,'Retirement Calculator'!A:A,0),0),0)</f>
        <v>0</v>
      </c>
      <c r="K5986" s="455">
        <f t="shared" ca="1" si="198"/>
        <v>-112172940082706</v>
      </c>
      <c r="L5986" s="455">
        <f t="shared" ca="1" si="199"/>
        <v>-2.7033678559932144E+16</v>
      </c>
      <c r="M5986" s="471">
        <f t="shared" si="201"/>
        <v>0.05</v>
      </c>
      <c r="N5986" s="475">
        <f t="shared" si="202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00"/>
        <v>-2.7033678559932144E+16</v>
      </c>
      <c r="J5987" s="455">
        <f t="array" ref="J5987">IFERROR(INDEX('Retirement Calculator'!K:K,MATCH('Lorri 401b'!N5987,'Retirement Calculator'!A:A,0),0),0)</f>
        <v>0</v>
      </c>
      <c r="K5987" s="455">
        <f t="shared" ca="1" si="198"/>
        <v>-112640327333050.59</v>
      </c>
      <c r="L5987" s="455">
        <f t="shared" ca="1" si="199"/>
        <v>-2.7146318887265196E+16</v>
      </c>
      <c r="M5987" s="471">
        <f t="shared" si="201"/>
        <v>0.05</v>
      </c>
      <c r="N5987" s="475">
        <f t="shared" si="202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00"/>
        <v>-2.7146318887265196E+16</v>
      </c>
      <c r="J5988" s="455">
        <f t="array" ref="J5988">IFERROR(INDEX('Retirement Calculator'!K:K,MATCH('Lorri 401b'!N5988,'Retirement Calculator'!A:A,0),0),0)</f>
        <v>0</v>
      </c>
      <c r="K5988" s="455">
        <f t="shared" ca="1" si="198"/>
        <v>-113109662030271.64</v>
      </c>
      <c r="L5988" s="455">
        <f t="shared" ca="1" si="199"/>
        <v>-2.7259428549295468E+16</v>
      </c>
      <c r="M5988" s="471">
        <f t="shared" si="201"/>
        <v>0.05</v>
      </c>
      <c r="N5988" s="475">
        <f t="shared" si="202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00"/>
        <v>-2.7259428549295468E+16</v>
      </c>
      <c r="J5989" s="455">
        <f t="array" ref="J5989">IFERROR(INDEX('Retirement Calculator'!K:K,MATCH('Lorri 401b'!N5989,'Retirement Calculator'!A:A,0),0),0)</f>
        <v>0</v>
      </c>
      <c r="K5989" s="455">
        <f t="shared" ca="1" si="198"/>
        <v>-113580952288731.11</v>
      </c>
      <c r="L5989" s="455">
        <f t="shared" ca="1" si="199"/>
        <v>-2.73730095015842E+16</v>
      </c>
      <c r="M5989" s="471">
        <f t="shared" si="201"/>
        <v>0.05</v>
      </c>
      <c r="N5989" s="475">
        <f t="shared" si="202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00"/>
        <v>-2.73730095015842E+16</v>
      </c>
      <c r="J5990" s="455">
        <f t="array" ref="J5990">IFERROR(INDEX('Retirement Calculator'!K:K,MATCH('Lorri 401b'!N5990,'Retirement Calculator'!A:A,0),0),0)</f>
        <v>0</v>
      </c>
      <c r="K5990" s="455">
        <f t="shared" ca="1" si="198"/>
        <v>-114054206256600.83</v>
      </c>
      <c r="L5990" s="455">
        <f t="shared" ca="1" si="199"/>
        <v>-2.74870637078408E+16</v>
      </c>
      <c r="M5990" s="471">
        <f t="shared" si="201"/>
        <v>0.05</v>
      </c>
      <c r="N5990" s="475">
        <f t="shared" si="202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00"/>
        <v>-2.74870637078408E+16</v>
      </c>
      <c r="J5991" s="455">
        <f t="array" ref="J5991">IFERROR(INDEX('Retirement Calculator'!K:K,MATCH('Lorri 401b'!N5991,'Retirement Calculator'!A:A,0),0),0)</f>
        <v>0</v>
      </c>
      <c r="K5991" s="455">
        <f t="shared" ca="1" si="198"/>
        <v>-114529432116003.33</v>
      </c>
      <c r="L5991" s="455">
        <f t="shared" ca="1" si="199"/>
        <v>-2.7601593139956804E+16</v>
      </c>
      <c r="M5991" s="471">
        <f t="shared" si="201"/>
        <v>0.05</v>
      </c>
      <c r="N5991" s="475">
        <f t="shared" si="202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00"/>
        <v>-2.7601593139956804E+16</v>
      </c>
      <c r="J5992" s="455">
        <f t="array" ref="J5992">IFERROR(INDEX('Retirement Calculator'!K:K,MATCH('Lorri 401b'!N5992,'Retirement Calculator'!A:A,0),0),0)</f>
        <v>0</v>
      </c>
      <c r="K5992" s="455">
        <f t="shared" ca="1" si="198"/>
        <v>-115006638083153.34</v>
      </c>
      <c r="L5992" s="455">
        <f t="shared" ca="1" si="199"/>
        <v>-2.7716599778039956E+16</v>
      </c>
      <c r="M5992" s="471">
        <f t="shared" si="201"/>
        <v>0.05</v>
      </c>
      <c r="N5992" s="475">
        <f t="shared" si="202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00"/>
        <v>-2.7716599778039956E+16</v>
      </c>
      <c r="J5993" s="455">
        <f t="array" ref="J5993">IFERROR(INDEX('Retirement Calculator'!K:K,MATCH('Lorri 401b'!N5993,'Retirement Calculator'!A:A,0),0),0)</f>
        <v>0</v>
      </c>
      <c r="K5993" s="455">
        <f t="shared" ca="1" si="198"/>
        <v>-115485832408499.81</v>
      </c>
      <c r="L5993" s="455">
        <f t="shared" ca="1" si="199"/>
        <v>-2.7832085610448456E+16</v>
      </c>
      <c r="M5993" s="471">
        <f t="shared" si="201"/>
        <v>0.05</v>
      </c>
      <c r="N5993" s="475">
        <f t="shared" si="202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00"/>
        <v>-2.7832085610448456E+16</v>
      </c>
      <c r="J5994" s="455">
        <f t="array" ref="J5994">IFERROR(INDEX('Retirement Calculator'!K:K,MATCH('Lorri 401b'!N5994,'Retirement Calculator'!A:A,0),0),0)</f>
        <v>0</v>
      </c>
      <c r="K5994" s="455">
        <f t="shared" ca="1" si="198"/>
        <v>-115967023376868.56</v>
      </c>
      <c r="L5994" s="455">
        <f t="shared" ca="1" si="199"/>
        <v>-2.7948052633825324E+16</v>
      </c>
      <c r="M5994" s="471">
        <f t="shared" si="201"/>
        <v>0.05</v>
      </c>
      <c r="N5994" s="475">
        <f t="shared" si="202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00"/>
        <v>-2.7948052633825324E+16</v>
      </c>
      <c r="J5995" s="455">
        <f t="array" ref="J5995">IFERROR(INDEX('Retirement Calculator'!K:K,MATCH('Lorri 401b'!N5995,'Retirement Calculator'!A:A,0),0),0)</f>
        <v>0</v>
      </c>
      <c r="K5995" s="455">
        <f t="shared" ca="1" si="198"/>
        <v>-116450219307605.52</v>
      </c>
      <c r="L5995" s="455">
        <f t="shared" ca="1" si="199"/>
        <v>-2.8064502853132928E+16</v>
      </c>
      <c r="M5995" s="471">
        <f t="shared" si="201"/>
        <v>0.05</v>
      </c>
      <c r="N5995" s="475">
        <f t="shared" si="202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00"/>
        <v>-2.8064502853132928E+16</v>
      </c>
      <c r="J5996" s="455">
        <f t="array" ref="J5996">IFERROR(INDEX('Retirement Calculator'!K:K,MATCH('Lorri 401b'!N5996,'Retirement Calculator'!A:A,0),0),0)</f>
        <v>0</v>
      </c>
      <c r="K5996" s="455">
        <f t="shared" ca="1" si="198"/>
        <v>-116935428554720.53</v>
      </c>
      <c r="L5996" s="455">
        <f t="shared" ca="1" si="199"/>
        <v>-2.8181438281687648E+16</v>
      </c>
      <c r="M5996" s="471">
        <f t="shared" si="201"/>
        <v>0.05</v>
      </c>
      <c r="N5996" s="475">
        <f t="shared" si="202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00"/>
        <v>-2.8181438281687648E+16</v>
      </c>
      <c r="J5997" s="455">
        <f t="array" ref="J5997">IFERROR(INDEX('Retirement Calculator'!K:K,MATCH('Lorri 401b'!N5997,'Retirement Calculator'!A:A,0),0),0)</f>
        <v>0</v>
      </c>
      <c r="K5997" s="455">
        <f t="shared" ca="1" si="198"/>
        <v>-117422659507031.86</v>
      </c>
      <c r="L5997" s="455">
        <f t="shared" ca="1" si="199"/>
        <v>-2.829886094119468E+16</v>
      </c>
      <c r="M5997" s="471">
        <f t="shared" si="201"/>
        <v>0.05</v>
      </c>
      <c r="N5997" s="475">
        <f t="shared" si="202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00"/>
        <v>-2.829886094119468E+16</v>
      </c>
      <c r="J5998" s="455">
        <f t="array" ref="J5998">IFERROR(INDEX('Retirement Calculator'!K:K,MATCH('Lorri 401b'!N5998,'Retirement Calculator'!A:A,0),0),0)</f>
        <v>0</v>
      </c>
      <c r="K5998" s="455">
        <f t="shared" ca="1" si="198"/>
        <v>-117911920588311.17</v>
      </c>
      <c r="L5998" s="455">
        <f t="shared" ca="1" si="199"/>
        <v>-2.8416772861782992E+16</v>
      </c>
      <c r="M5998" s="471">
        <f t="shared" si="201"/>
        <v>0.05</v>
      </c>
      <c r="N5998" s="475">
        <f t="shared" si="202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00"/>
        <v>-2.8416772861782992E+16</v>
      </c>
      <c r="J5999" s="455">
        <f t="array" ref="J5999">IFERROR(INDEX('Retirement Calculator'!K:K,MATCH('Lorri 401b'!N5999,'Retirement Calculator'!A:A,0),0),0)</f>
        <v>0</v>
      </c>
      <c r="K5999" s="455">
        <f t="shared" ca="1" si="198"/>
        <v>-118403220257429.13</v>
      </c>
      <c r="L5999" s="455">
        <f t="shared" ca="1" si="199"/>
        <v>-2.853517608204042E+16</v>
      </c>
      <c r="M5999" s="471">
        <f t="shared" si="201"/>
        <v>0.05</v>
      </c>
      <c r="N5999" s="475">
        <f t="shared" si="202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00"/>
        <v>-2.853517608204042E+16</v>
      </c>
      <c r="J6000" s="455">
        <f t="array" ref="J6000">IFERROR(INDEX('Retirement Calculator'!K:K,MATCH('Lorri 401b'!N6000,'Retirement Calculator'!A:A,0),0),0)</f>
        <v>0</v>
      </c>
      <c r="K6000" s="455">
        <f t="shared" ca="1" si="198"/>
        <v>-118896567008501.75</v>
      </c>
      <c r="L6000" s="455">
        <f t="shared" ca="1" si="199"/>
        <v>-2.865407264904892E+16</v>
      </c>
      <c r="M6000" s="471">
        <f t="shared" si="201"/>
        <v>0.05</v>
      </c>
      <c r="N6000" s="475">
        <f t="shared" si="202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00"/>
        <v>-2.865407264904892E+16</v>
      </c>
      <c r="J6001" s="455">
        <f t="array" ref="J6001">IFERROR(INDEX('Retirement Calculator'!K:K,MATCH('Lorri 401b'!N6001,'Retirement Calculator'!A:A,0),0),0)</f>
        <v>0</v>
      </c>
      <c r="K6001" s="455">
        <f t="shared" ca="1" si="198"/>
        <v>-119391969371037.17</v>
      </c>
      <c r="L6001" s="455">
        <f t="shared" ca="1" si="199"/>
        <v>-2.8773464618419956E+16</v>
      </c>
      <c r="M6001" s="471">
        <f t="shared" si="201"/>
        <v>0.05</v>
      </c>
      <c r="N6001" s="475">
        <f t="shared" si="202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00"/>
        <v>-2.8773464618419956E+16</v>
      </c>
      <c r="J6002" s="455">
        <f t="array" ref="J6002">IFERROR(INDEX('Retirement Calculator'!K:K,MATCH('Lorri 401b'!N6002,'Retirement Calculator'!A:A,0),0),0)</f>
        <v>0</v>
      </c>
      <c r="K6002" s="455">
        <f t="shared" ca="1" si="198"/>
        <v>-119889435910083.14</v>
      </c>
      <c r="L6002" s="455">
        <f t="shared" ca="1" si="199"/>
        <v>-2.889335405433004E+16</v>
      </c>
      <c r="M6002" s="471">
        <f t="shared" si="201"/>
        <v>0.05</v>
      </c>
      <c r="N6002" s="475">
        <f t="shared" si="202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00"/>
        <v>-2.889335405433004E+16</v>
      </c>
      <c r="J6003" s="455">
        <f t="array" ref="J6003">IFERROR(INDEX('Retirement Calculator'!K:K,MATCH('Lorri 401b'!N6003,'Retirement Calculator'!A:A,0),0),0)</f>
        <v>0</v>
      </c>
      <c r="K6003" s="455">
        <f t="shared" ca="1" si="198"/>
        <v>-120388975226375.19</v>
      </c>
      <c r="L6003" s="455">
        <f t="shared" ca="1" si="199"/>
        <v>-2.9013743029556416E+16</v>
      </c>
      <c r="M6003" s="471">
        <f t="shared" si="201"/>
        <v>0.05</v>
      </c>
      <c r="N6003" s="475">
        <f t="shared" si="202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00"/>
        <v>-2.9013743029556416E+16</v>
      </c>
      <c r="J6004" s="455">
        <f t="array" ref="J6004">IFERROR(INDEX('Retirement Calculator'!K:K,MATCH('Lorri 401b'!N6004,'Retirement Calculator'!A:A,0),0),0)</f>
        <v>0</v>
      </c>
      <c r="K6004" s="455">
        <f t="shared" ca="1" si="198"/>
        <v>-120890595956485.06</v>
      </c>
      <c r="L6004" s="455">
        <f t="shared" ca="1" si="199"/>
        <v>-2.91346336255129E+16</v>
      </c>
      <c r="M6004" s="471">
        <f t="shared" si="201"/>
        <v>0.05</v>
      </c>
      <c r="N6004" s="475">
        <f t="shared" si="202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00"/>
        <v>-2.91346336255129E+16</v>
      </c>
      <c r="J6005" s="455">
        <f t="array" ref="J6005">IFERROR(INDEX('Retirement Calculator'!K:K,MATCH('Lorri 401b'!N6005,'Retirement Calculator'!A:A,0),0),0)</f>
        <v>0</v>
      </c>
      <c r="K6005" s="455">
        <f t="shared" ca="1" si="198"/>
        <v>-121394306772970.44</v>
      </c>
      <c r="L6005" s="455">
        <f t="shared" ca="1" si="199"/>
        <v>-2.9256027932285872E+16</v>
      </c>
      <c r="M6005" s="471">
        <f t="shared" si="201"/>
        <v>0.05</v>
      </c>
      <c r="N6005" s="475">
        <f t="shared" si="202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00"/>
        <v>-2.9256027932285872E+16</v>
      </c>
      <c r="J6006" s="455">
        <f t="array" ref="J6006">IFERROR(INDEX('Retirement Calculator'!K:K,MATCH('Lorri 401b'!N6006,'Retirement Calculator'!A:A,0),0),0)</f>
        <v>0</v>
      </c>
      <c r="K6006" s="455">
        <f t="shared" ca="1" si="198"/>
        <v>-121900116384524.47</v>
      </c>
      <c r="L6006" s="455">
        <f t="shared" ca="1" si="199"/>
        <v>-2.9377928048670396E+16</v>
      </c>
      <c r="M6006" s="471">
        <f t="shared" si="201"/>
        <v>0.05</v>
      </c>
      <c r="N6006" s="475">
        <f t="shared" si="202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00"/>
        <v>-2.9377928048670396E+16</v>
      </c>
      <c r="J6007" s="455">
        <f t="array" ref="J6007">IFERROR(INDEX('Retirement Calculator'!K:K,MATCH('Lorri 401b'!N6007,'Retirement Calculator'!A:A,0),0),0)</f>
        <v>0</v>
      </c>
      <c r="K6007" s="455">
        <f t="shared" ca="1" si="198"/>
        <v>-122408033536126.64</v>
      </c>
      <c r="L6007" s="455">
        <f t="shared" ca="1" si="199"/>
        <v>-2.9500336082206524E+16</v>
      </c>
      <c r="M6007" s="471">
        <f t="shared" si="201"/>
        <v>0.05</v>
      </c>
      <c r="N6007" s="475">
        <f t="shared" si="202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00"/>
        <v>-2.9500336082206524E+16</v>
      </c>
      <c r="J6008" s="455">
        <f t="array" ref="J6008">IFERROR(INDEX('Retirement Calculator'!K:K,MATCH('Lorri 401b'!N6008,'Retirement Calculator'!A:A,0),0),0)</f>
        <v>0</v>
      </c>
      <c r="K6008" s="455">
        <f t="shared" ca="1" si="198"/>
        <v>-122918067009193.84</v>
      </c>
      <c r="L6008" s="455">
        <f t="shared" ca="1" si="199"/>
        <v>-2.9623254149215716E+16</v>
      </c>
      <c r="M6008" s="471">
        <f t="shared" si="201"/>
        <v>0.05</v>
      </c>
      <c r="N6008" s="475">
        <f t="shared" si="202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00"/>
        <v>-2.9623254149215716E+16</v>
      </c>
      <c r="J6009" s="455">
        <f t="array" ref="J6009">IFERROR(INDEX('Retirement Calculator'!K:K,MATCH('Lorri 401b'!N6009,'Retirement Calculator'!A:A,0),0),0)</f>
        <v>0</v>
      </c>
      <c r="K6009" s="455">
        <f t="shared" ca="1" si="198"/>
        <v>-123430225621732.14</v>
      </c>
      <c r="L6009" s="455">
        <f t="shared" ca="1" si="199"/>
        <v>-2.9746684374837448E+16</v>
      </c>
      <c r="M6009" s="471">
        <f t="shared" si="201"/>
        <v>0.05</v>
      </c>
      <c r="N6009" s="475">
        <f t="shared" si="202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00"/>
        <v>-2.9746684374837448E+16</v>
      </c>
      <c r="J6010" s="455">
        <f t="array" ref="J6010">IFERROR(INDEX('Retirement Calculator'!K:K,MATCH('Lorri 401b'!N6010,'Retirement Calculator'!A:A,0),0),0)</f>
        <v>0</v>
      </c>
      <c r="K6010" s="455">
        <f t="shared" ca="1" si="198"/>
        <v>-123944518228489.36</v>
      </c>
      <c r="L6010" s="455">
        <f t="shared" ca="1" si="199"/>
        <v>-2.9870628893065936E+16</v>
      </c>
      <c r="M6010" s="471">
        <f t="shared" si="201"/>
        <v>0.05</v>
      </c>
      <c r="N6010" s="475">
        <f t="shared" si="202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00"/>
        <v>-2.9870628893065936E+16</v>
      </c>
      <c r="J6011" s="455">
        <f t="array" ref="J6011">IFERROR(INDEX('Retirement Calculator'!K:K,MATCH('Lorri 401b'!N6011,'Retirement Calculator'!A:A,0),0),0)</f>
        <v>0</v>
      </c>
      <c r="K6011" s="455">
        <f t="shared" ca="1" si="198"/>
        <v>-124460953721108.06</v>
      </c>
      <c r="L6011" s="455">
        <f t="shared" ca="1" si="199"/>
        <v>-2.9995089846787044E+16</v>
      </c>
      <c r="M6011" s="471">
        <f t="shared" si="201"/>
        <v>0.05</v>
      </c>
      <c r="N6011" s="475">
        <f t="shared" si="202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00"/>
        <v>-2.9995089846787044E+16</v>
      </c>
      <c r="J6012" s="455">
        <f t="array" ref="J6012">IFERROR(INDEX('Retirement Calculator'!K:K,MATCH('Lorri 401b'!N6012,'Retirement Calculator'!A:A,0),0),0)</f>
        <v>0</v>
      </c>
      <c r="K6012" s="455">
        <f t="shared" ca="1" si="198"/>
        <v>-124979541028279.34</v>
      </c>
      <c r="L6012" s="455">
        <f t="shared" ca="1" si="199"/>
        <v>-3.0120069387815324E+16</v>
      </c>
      <c r="M6012" s="471">
        <f t="shared" si="201"/>
        <v>0.05</v>
      </c>
      <c r="N6012" s="475">
        <f t="shared" si="202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00"/>
        <v>-3.0120069387815324E+16</v>
      </c>
      <c r="J6013" s="455">
        <f t="array" ref="J6013">IFERROR(INDEX('Retirement Calculator'!K:K,MATCH('Lorri 401b'!N6013,'Retirement Calculator'!A:A,0),0),0)</f>
        <v>0</v>
      </c>
      <c r="K6013" s="455">
        <f t="shared" ca="1" si="198"/>
        <v>-125500289115897.17</v>
      </c>
      <c r="L6013" s="455">
        <f t="shared" ca="1" si="199"/>
        <v>-3.024556967693122E+16</v>
      </c>
      <c r="M6013" s="471">
        <f t="shared" si="201"/>
        <v>0.05</v>
      </c>
      <c r="N6013" s="475">
        <f t="shared" si="202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00"/>
        <v>-3.024556967693122E+16</v>
      </c>
      <c r="J6014" s="455">
        <f t="array" ref="J6014">IFERROR(INDEX('Retirement Calculator'!K:K,MATCH('Lorri 401b'!N6014,'Retirement Calculator'!A:A,0),0),0)</f>
        <v>0</v>
      </c>
      <c r="K6014" s="455">
        <f t="shared" ca="1" si="198"/>
        <v>-126023206987213.42</v>
      </c>
      <c r="L6014" s="455">
        <f t="shared" ca="1" si="199"/>
        <v>-3.0371592883918432E+16</v>
      </c>
      <c r="M6014" s="471">
        <f t="shared" si="201"/>
        <v>0.05</v>
      </c>
      <c r="N6014" s="475">
        <f t="shared" si="202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00"/>
        <v>-3.0371592883918432E+16</v>
      </c>
      <c r="J6015" s="455">
        <f t="array" ref="J6015">IFERROR(INDEX('Retirement Calculator'!K:K,MATCH('Lorri 401b'!N6015,'Retirement Calculator'!A:A,0),0),0)</f>
        <v>0</v>
      </c>
      <c r="K6015" s="455">
        <f t="shared" ca="1" si="198"/>
        <v>-126548303682993.47</v>
      </c>
      <c r="L6015" s="455">
        <f t="shared" ca="1" si="199"/>
        <v>-3.0498141187601424E+16</v>
      </c>
      <c r="M6015" s="471">
        <f t="shared" si="201"/>
        <v>0.05</v>
      </c>
      <c r="N6015" s="475">
        <f t="shared" si="202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00"/>
        <v>-3.0498141187601424E+16</v>
      </c>
      <c r="J6016" s="455">
        <f t="array" ref="J6016">IFERROR(INDEX('Retirement Calculator'!K:K,MATCH('Lorri 401b'!N6016,'Retirement Calculator'!A:A,0),0),0)</f>
        <v>0</v>
      </c>
      <c r="K6016" s="455">
        <f t="shared" ca="1" si="198"/>
        <v>-127075588281672.58</v>
      </c>
      <c r="L6016" s="455">
        <f t="shared" ca="1" si="199"/>
        <v>-3.0625216775883096E+16</v>
      </c>
      <c r="M6016" s="471">
        <f t="shared" si="201"/>
        <v>0.05</v>
      </c>
      <c r="N6016" s="475">
        <f t="shared" si="202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00"/>
        <v>-3.0625216775883096E+16</v>
      </c>
      <c r="J6017" s="455">
        <f t="array" ref="J6017">IFERROR(INDEX('Retirement Calculator'!K:K,MATCH('Lorri 401b'!N6017,'Retirement Calculator'!A:A,0),0),0)</f>
        <v>0</v>
      </c>
      <c r="K6017" s="455">
        <f t="shared" ca="1" si="198"/>
        <v>-127605069899512.92</v>
      </c>
      <c r="L6017" s="455">
        <f t="shared" ca="1" si="199"/>
        <v>-3.0752821845782608E+16</v>
      </c>
      <c r="M6017" s="471">
        <f t="shared" si="201"/>
        <v>0.05</v>
      </c>
      <c r="N6017" s="475">
        <f t="shared" si="202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00"/>
        <v>-3.0752821845782608E+16</v>
      </c>
      <c r="J6018" s="455">
        <f t="array" ref="J6018">IFERROR(INDEX('Retirement Calculator'!K:K,MATCH('Lorri 401b'!N6018,'Retirement Calculator'!A:A,0),0),0)</f>
        <v>0</v>
      </c>
      <c r="K6018" s="455">
        <f t="shared" ca="1" si="198"/>
        <v>-128136757690760.84</v>
      </c>
      <c r="L6018" s="455">
        <f t="shared" ca="1" si="199"/>
        <v>-3.0880958603473368E+16</v>
      </c>
      <c r="M6018" s="471">
        <f t="shared" si="201"/>
        <v>0.05</v>
      </c>
      <c r="N6018" s="475">
        <f t="shared" si="202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00"/>
        <v>-3.0880958603473368E+16</v>
      </c>
      <c r="J6019" s="455">
        <f t="array" ref="J6019">IFERROR(INDEX('Retirement Calculator'!K:K,MATCH('Lorri 401b'!N6019,'Retirement Calculator'!A:A,0),0),0)</f>
        <v>0</v>
      </c>
      <c r="K6019" s="455">
        <f t="shared" ca="1" si="198"/>
        <v>-128670660847805.72</v>
      </c>
      <c r="L6019" s="455">
        <f t="shared" ca="1" si="199"/>
        <v>-3.1009629264321172E+16</v>
      </c>
      <c r="M6019" s="471">
        <f t="shared" si="201"/>
        <v>0.05</v>
      </c>
      <c r="N6019" s="475">
        <f t="shared" si="202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00"/>
        <v>-3.1009629264321172E+16</v>
      </c>
      <c r="J6020" s="455">
        <f t="array" ref="J6020">IFERROR(INDEX('Retirement Calculator'!K:K,MATCH('Lorri 401b'!N6020,'Retirement Calculator'!A:A,0),0),0)</f>
        <v>0</v>
      </c>
      <c r="K6020" s="455">
        <f t="shared" ca="1" si="198"/>
        <v>-129206788601338.23</v>
      </c>
      <c r="L6020" s="455">
        <f t="shared" ca="1" si="199"/>
        <v>-3.1138836052922512E+16</v>
      </c>
      <c r="M6020" s="471">
        <f t="shared" si="201"/>
        <v>0.05</v>
      </c>
      <c r="N6020" s="475">
        <f t="shared" si="202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00"/>
        <v>-3.1138836052922512E+16</v>
      </c>
      <c r="J6021" s="455">
        <f t="array" ref="J6021">IFERROR(INDEX('Retirement Calculator'!K:K,MATCH('Lorri 401b'!N6021,'Retirement Calculator'!A:A,0),0),0)</f>
        <v>0</v>
      </c>
      <c r="K6021" s="455">
        <f t="shared" ca="1" si="198"/>
        <v>-129745150220510.47</v>
      </c>
      <c r="L6021" s="455">
        <f t="shared" ca="1" si="199"/>
        <v>-3.1268581203143024E+16</v>
      </c>
      <c r="M6021" s="471">
        <f t="shared" si="201"/>
        <v>0.05</v>
      </c>
      <c r="N6021" s="475">
        <f t="shared" si="202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00"/>
        <v>-3.1268581203143024E+16</v>
      </c>
      <c r="J6022" s="455">
        <f t="array" ref="J6022">IFERROR(INDEX('Retirement Calculator'!K:K,MATCH('Lorri 401b'!N6022,'Retirement Calculator'!A:A,0),0),0)</f>
        <v>0</v>
      </c>
      <c r="K6022" s="455">
        <f t="shared" ca="1" si="198"/>
        <v>-130285755013095.94</v>
      </c>
      <c r="L6022" s="455">
        <f t="shared" ca="1" si="199"/>
        <v>-3.139886695815612E+16</v>
      </c>
      <c r="M6022" s="471">
        <f t="shared" si="201"/>
        <v>0.05</v>
      </c>
      <c r="N6022" s="475">
        <f t="shared" si="202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00"/>
        <v>-3.139886695815612E+16</v>
      </c>
      <c r="J6023" s="455">
        <f t="array" ref="J6023">IFERROR(INDEX('Retirement Calculator'!K:K,MATCH('Lorri 401b'!N6023,'Retirement Calculator'!A:A,0),0),0)</f>
        <v>0</v>
      </c>
      <c r="K6023" s="455">
        <f t="shared" ca="1" si="198"/>
        <v>-130828612325650.5</v>
      </c>
      <c r="L6023" s="455">
        <f t="shared" ca="1" si="199"/>
        <v>-3.1529695570481772E+16</v>
      </c>
      <c r="M6023" s="471">
        <f t="shared" si="201"/>
        <v>0.05</v>
      </c>
      <c r="N6023" s="475">
        <f t="shared" si="202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00"/>
        <v>-3.1529695570481772E+16</v>
      </c>
      <c r="J6024" s="455">
        <f t="array" ref="J6024">IFERROR(INDEX('Retirement Calculator'!K:K,MATCH('Lorri 401b'!N6024,'Retirement Calculator'!A:A,0),0),0)</f>
        <v>0</v>
      </c>
      <c r="K6024" s="455">
        <f t="shared" ca="1" si="198"/>
        <v>-131373731543674.06</v>
      </c>
      <c r="L6024" s="455">
        <f t="shared" ca="1" si="199"/>
        <v>-3.1661069302025448E+16</v>
      </c>
      <c r="M6024" s="471">
        <f t="shared" si="201"/>
        <v>0.05</v>
      </c>
      <c r="N6024" s="475">
        <f t="shared" si="202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00"/>
        <v>-3.1661069302025448E+16</v>
      </c>
      <c r="J6025" s="455">
        <f t="array" ref="J6025">IFERROR(INDEX('Retirement Calculator'!K:K,MATCH('Lorri 401b'!N6025,'Retirement Calculator'!A:A,0),0),0)</f>
        <v>0</v>
      </c>
      <c r="K6025" s="455">
        <f t="shared" ca="1" si="198"/>
        <v>-131921122091772.7</v>
      </c>
      <c r="L6025" s="455">
        <f t="shared" ca="1" si="199"/>
        <v>-3.179299042411722E+16</v>
      </c>
      <c r="M6025" s="471">
        <f t="shared" si="201"/>
        <v>0.05</v>
      </c>
      <c r="N6025" s="475">
        <f t="shared" si="202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00"/>
        <v>-3.179299042411722E+16</v>
      </c>
      <c r="J6026" s="455">
        <f t="array" ref="J6026">IFERROR(INDEX('Retirement Calculator'!K:K,MATCH('Lorri 401b'!N6026,'Retirement Calculator'!A:A,0),0),0)</f>
        <v>0</v>
      </c>
      <c r="K6026" s="455">
        <f t="shared" ca="1" si="198"/>
        <v>-132470793433821.75</v>
      </c>
      <c r="L6026" s="455">
        <f t="shared" ca="1" si="199"/>
        <v>-3.192546121755104E+16</v>
      </c>
      <c r="M6026" s="471">
        <f t="shared" si="201"/>
        <v>0.05</v>
      </c>
      <c r="N6026" s="475">
        <f t="shared" si="202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00"/>
        <v>-3.192546121755104E+16</v>
      </c>
      <c r="J6027" s="455">
        <f t="array" ref="J6027">IFERROR(INDEX('Retirement Calculator'!K:K,MATCH('Lorri 401b'!N6027,'Retirement Calculator'!A:A,0),0),0)</f>
        <v>0</v>
      </c>
      <c r="K6027" s="455">
        <f t="shared" ca="1" si="198"/>
        <v>-133022755073129.33</v>
      </c>
      <c r="L6027" s="455">
        <f t="shared" ca="1" si="199"/>
        <v>-3.2058483972624168E+16</v>
      </c>
      <c r="M6027" s="471">
        <f t="shared" si="201"/>
        <v>0.05</v>
      </c>
      <c r="N6027" s="475">
        <f t="shared" si="202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00"/>
        <v>-3.2058483972624168E+16</v>
      </c>
      <c r="J6028" s="455">
        <f t="array" ref="J6028">IFERROR(INDEX('Retirement Calculator'!K:K,MATCH('Lorri 401b'!N6028,'Retirement Calculator'!A:A,0),0),0)</f>
        <v>0</v>
      </c>
      <c r="K6028" s="455">
        <f t="shared" ca="1" si="198"/>
        <v>-133577016552600.72</v>
      </c>
      <c r="L6028" s="455">
        <f t="shared" ca="1" si="199"/>
        <v>-3.2192060989176768E+16</v>
      </c>
      <c r="M6028" s="471">
        <f t="shared" si="201"/>
        <v>0.05</v>
      </c>
      <c r="N6028" s="475">
        <f t="shared" si="202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00"/>
        <v>-3.2192060989176768E+16</v>
      </c>
      <c r="J6029" s="455">
        <f t="array" ref="J6029">IFERROR(INDEX('Retirement Calculator'!K:K,MATCH('Lorri 401b'!N6029,'Retirement Calculator'!A:A,0),0),0)</f>
        <v>0</v>
      </c>
      <c r="K6029" s="455">
        <f t="shared" ca="1" si="198"/>
        <v>-134133587454903.2</v>
      </c>
      <c r="L6029" s="455">
        <f t="shared" ca="1" si="199"/>
        <v>-3.2326194576631672E+16</v>
      </c>
      <c r="M6029" s="471">
        <f t="shared" si="201"/>
        <v>0.05</v>
      </c>
      <c r="N6029" s="475">
        <f t="shared" si="202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00"/>
        <v>-3.2326194576631672E+16</v>
      </c>
      <c r="J6030" s="455">
        <f t="array" ref="J6030">IFERROR(INDEX('Retirement Calculator'!K:K,MATCH('Lorri 401b'!N6030,'Retirement Calculator'!A:A,0),0),0)</f>
        <v>0</v>
      </c>
      <c r="K6030" s="455">
        <f t="shared" ca="1" si="198"/>
        <v>-134692477402631.95</v>
      </c>
      <c r="L6030" s="455">
        <f t="shared" ca="1" si="199"/>
        <v>-3.2460887054034304E+16</v>
      </c>
      <c r="M6030" s="471">
        <f t="shared" si="201"/>
        <v>0.05</v>
      </c>
      <c r="N6030" s="475">
        <f t="shared" si="202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00"/>
        <v>-3.2460887054034304E+16</v>
      </c>
      <c r="J6031" s="455">
        <f t="array" ref="J6031">IFERROR(INDEX('Retirement Calculator'!K:K,MATCH('Lorri 401b'!N6031,'Retirement Calculator'!A:A,0),0),0)</f>
        <v>0</v>
      </c>
      <c r="K6031" s="455">
        <f t="shared" ca="1" si="198"/>
        <v>-135253696058476.27</v>
      </c>
      <c r="L6031" s="455">
        <f t="shared" ca="1" si="199"/>
        <v>-3.259614075009278E+16</v>
      </c>
      <c r="M6031" s="471">
        <f t="shared" si="201"/>
        <v>0.05</v>
      </c>
      <c r="N6031" s="475">
        <f t="shared" si="202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00"/>
        <v>-3.259614075009278E+16</v>
      </c>
      <c r="J6032" s="455">
        <f t="array" ref="J6032">IFERROR(INDEX('Retirement Calculator'!K:K,MATCH('Lorri 401b'!N6032,'Retirement Calculator'!A:A,0),0),0)</f>
        <v>0</v>
      </c>
      <c r="K6032" s="455">
        <f t="shared" ca="1" si="198"/>
        <v>-135817253125386.58</v>
      </c>
      <c r="L6032" s="455">
        <f t="shared" ca="1" si="199"/>
        <v>-3.2731958003218168E+16</v>
      </c>
      <c r="M6032" s="471">
        <f t="shared" si="201"/>
        <v>0.05</v>
      </c>
      <c r="N6032" s="475">
        <f t="shared" si="202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00"/>
        <v>-3.2731958003218168E+16</v>
      </c>
      <c r="J6033" s="455">
        <f t="array" ref="J6033">IFERROR(INDEX('Retirement Calculator'!K:K,MATCH('Lorri 401b'!N6033,'Retirement Calculator'!A:A,0),0),0)</f>
        <v>0</v>
      </c>
      <c r="K6033" s="455">
        <f t="shared" ca="1" si="198"/>
        <v>-136383158346742.36</v>
      </c>
      <c r="L6033" s="455">
        <f t="shared" ca="1" si="199"/>
        <v>-3.2868341161564912E+16</v>
      </c>
      <c r="M6033" s="471">
        <f t="shared" si="201"/>
        <v>0.05</v>
      </c>
      <c r="N6033" s="475">
        <f t="shared" si="202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00"/>
        <v>-3.2868341161564912E+16</v>
      </c>
      <c r="J6034" s="455">
        <f t="array" ref="J6034">IFERROR(INDEX('Retirement Calculator'!K:K,MATCH('Lorri 401b'!N6034,'Retirement Calculator'!A:A,0),0),0)</f>
        <v>0</v>
      </c>
      <c r="K6034" s="455">
        <f t="shared" ca="1" si="198"/>
        <v>-136951421506520.45</v>
      </c>
      <c r="L6034" s="455">
        <f t="shared" ca="1" si="199"/>
        <v>-3.3005292583071432E+16</v>
      </c>
      <c r="M6034" s="471">
        <f t="shared" si="201"/>
        <v>0.05</v>
      </c>
      <c r="N6034" s="475">
        <f t="shared" si="202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00"/>
        <v>-3.3005292583071432E+16</v>
      </c>
      <c r="J6035" s="455">
        <f t="array" ref="J6035">IFERROR(INDEX('Retirement Calculator'!K:K,MATCH('Lorri 401b'!N6035,'Retirement Calculator'!A:A,0),0),0)</f>
        <v>0</v>
      </c>
      <c r="K6035" s="455">
        <f t="shared" ca="1" si="198"/>
        <v>-137522052429464.3</v>
      </c>
      <c r="L6035" s="455">
        <f t="shared" ca="1" si="199"/>
        <v>-3.3142814635500896E+16</v>
      </c>
      <c r="M6035" s="471">
        <f t="shared" si="201"/>
        <v>0.05</v>
      </c>
      <c r="N6035" s="475">
        <f t="shared" si="202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00"/>
        <v>-3.3142814635500896E+16</v>
      </c>
      <c r="J6036" s="455">
        <f t="array" ref="J6036">IFERROR(INDEX('Retirement Calculator'!K:K,MATCH('Lorri 401b'!N6036,'Retirement Calculator'!A:A,0),0),0)</f>
        <v>0</v>
      </c>
      <c r="K6036" s="455">
        <f t="shared" ca="1" si="198"/>
        <v>-138095060981253.72</v>
      </c>
      <c r="L6036" s="455">
        <f t="shared" ca="1" si="199"/>
        <v>-3.3280909696482148E+16</v>
      </c>
      <c r="M6036" s="471">
        <f t="shared" si="201"/>
        <v>0.05</v>
      </c>
      <c r="N6036" s="475">
        <f t="shared" si="202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00"/>
        <v>-3.3280909696482148E+16</v>
      </c>
      <c r="J6037" s="455">
        <f t="array" ref="J6037">IFERROR(INDEX('Retirement Calculator'!K:K,MATCH('Lorri 401b'!N6037,'Retirement Calculator'!A:A,0),0),0)</f>
        <v>0</v>
      </c>
      <c r="K6037" s="455">
        <f t="shared" ca="1" si="198"/>
        <v>-138670457068675.59</v>
      </c>
      <c r="L6037" s="455">
        <f t="shared" ca="1" si="199"/>
        <v>-3.3419580153550824E+16</v>
      </c>
      <c r="M6037" s="471">
        <f t="shared" si="201"/>
        <v>0.05</v>
      </c>
      <c r="N6037" s="475">
        <f t="shared" si="202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00"/>
        <v>-3.3419580153550824E+16</v>
      </c>
      <c r="J6038" s="455">
        <f t="array" ref="J6038">IFERROR(INDEX('Retirement Calculator'!K:K,MATCH('Lorri 401b'!N6038,'Retirement Calculator'!A:A,0),0),0)</f>
        <v>0</v>
      </c>
      <c r="K6038" s="455">
        <f t="shared" ca="1" si="198"/>
        <v>-139248250639795.08</v>
      </c>
      <c r="L6038" s="455">
        <f t="shared" ca="1" si="199"/>
        <v>-3.355882840419062E+16</v>
      </c>
      <c r="M6038" s="471">
        <f t="shared" si="201"/>
        <v>0.05</v>
      </c>
      <c r="N6038" s="475">
        <f t="shared" si="202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00"/>
        <v>-3.355882840419062E+16</v>
      </c>
      <c r="J6039" s="455">
        <f t="array" ref="J6039">IFERROR(INDEX('Retirement Calculator'!K:K,MATCH('Lorri 401b'!N6039,'Retirement Calculator'!A:A,0),0),0)</f>
        <v>0</v>
      </c>
      <c r="K6039" s="455">
        <f t="shared" ca="1" si="198"/>
        <v>-139828451684127.59</v>
      </c>
      <c r="L6039" s="455">
        <f t="shared" ca="1" si="199"/>
        <v>-3.3698656855874748E+16</v>
      </c>
      <c r="M6039" s="471">
        <f t="shared" si="201"/>
        <v>0.05</v>
      </c>
      <c r="N6039" s="475">
        <f t="shared" si="202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00"/>
        <v>-3.3698656855874748E+16</v>
      </c>
      <c r="J6040" s="455">
        <f t="array" ref="J6040">IFERROR(INDEX('Retirement Calculator'!K:K,MATCH('Lorri 401b'!N6040,'Retirement Calculator'!A:A,0),0),0)</f>
        <v>0</v>
      </c>
      <c r="K6040" s="455">
        <f t="shared" ca="1" si="198"/>
        <v>-140411070232811.44</v>
      </c>
      <c r="L6040" s="455">
        <f t="shared" ca="1" si="199"/>
        <v>-3.383906792610756E+16</v>
      </c>
      <c r="M6040" s="471">
        <f t="shared" si="201"/>
        <v>0.05</v>
      </c>
      <c r="N6040" s="475">
        <f t="shared" si="202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00"/>
        <v>-3.383906792610756E+16</v>
      </c>
      <c r="J6041" s="455">
        <f t="array" ref="J6041">IFERROR(INDEX('Retirement Calculator'!K:K,MATCH('Lorri 401b'!N6041,'Retirement Calculator'!A:A,0),0),0)</f>
        <v>0</v>
      </c>
      <c r="K6041" s="455">
        <f t="shared" ca="1" si="198"/>
        <v>-140996116358781.5</v>
      </c>
      <c r="L6041" s="455">
        <f t="shared" ca="1" si="199"/>
        <v>-3.398006404246634E+16</v>
      </c>
      <c r="M6041" s="471">
        <f t="shared" si="201"/>
        <v>0.05</v>
      </c>
      <c r="N6041" s="475">
        <f t="shared" si="202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00"/>
        <v>-3.398006404246634E+16</v>
      </c>
      <c r="J6042" s="455">
        <f t="array" ref="J6042">IFERROR(INDEX('Retirement Calculator'!K:K,MATCH('Lorri 401b'!N6042,'Retirement Calculator'!A:A,0),0),0)</f>
        <v>0</v>
      </c>
      <c r="K6042" s="455">
        <f t="shared" ca="1" si="198"/>
        <v>-141583600176943.09</v>
      </c>
      <c r="L6042" s="455">
        <f t="shared" ca="1" si="199"/>
        <v>-3.4121647642643284E+16</v>
      </c>
      <c r="M6042" s="471">
        <f t="shared" si="201"/>
        <v>0.05</v>
      </c>
      <c r="N6042" s="475">
        <f t="shared" si="202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00"/>
        <v>-3.4121647642643284E+16</v>
      </c>
      <c r="J6043" s="455">
        <f t="array" ref="J6043">IFERROR(INDEX('Retirement Calculator'!K:K,MATCH('Lorri 401b'!N6043,'Retirement Calculator'!A:A,0),0),0)</f>
        <v>0</v>
      </c>
      <c r="K6043" s="455">
        <f t="shared" ca="1" si="198"/>
        <v>-142173531844347</v>
      </c>
      <c r="L6043" s="455">
        <f t="shared" ca="1" si="199"/>
        <v>-3.4263821174487632E+16</v>
      </c>
      <c r="M6043" s="471">
        <f t="shared" si="201"/>
        <v>0.05</v>
      </c>
      <c r="N6043" s="475">
        <f t="shared" si="202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00"/>
        <v>-3.4263821174487632E+16</v>
      </c>
      <c r="J6044" s="455">
        <f t="array" ref="J6044">IFERROR(INDEX('Retirement Calculator'!K:K,MATCH('Lorri 401b'!N6044,'Retirement Calculator'!A:A,0),0),0)</f>
        <v>0</v>
      </c>
      <c r="K6044" s="455">
        <f t="shared" ca="1" si="198"/>
        <v>-142765921560365.13</v>
      </c>
      <c r="L6044" s="455">
        <f t="shared" ca="1" si="199"/>
        <v>-3.4406587096047996E+16</v>
      </c>
      <c r="M6044" s="471">
        <f t="shared" si="201"/>
        <v>0.05</v>
      </c>
      <c r="N6044" s="475">
        <f t="shared" si="202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00"/>
        <v>-3.4406587096047996E+16</v>
      </c>
      <c r="J6045" s="455">
        <f t="array" ref="J6045">IFERROR(INDEX('Retirement Calculator'!K:K,MATCH('Lorri 401b'!N6045,'Retirement Calculator'!A:A,0),0),0)</f>
        <v>0</v>
      </c>
      <c r="K6045" s="455">
        <f t="shared" ca="1" si="198"/>
        <v>-143360779566866.66</v>
      </c>
      <c r="L6045" s="455">
        <f t="shared" ca="1" si="199"/>
        <v>-3.4549947875614864E+16</v>
      </c>
      <c r="M6045" s="471">
        <f t="shared" si="201"/>
        <v>0.05</v>
      </c>
      <c r="N6045" s="475">
        <f t="shared" si="202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00"/>
        <v>-3.4549947875614864E+16</v>
      </c>
      <c r="J6046" s="455">
        <f t="array" ref="J6046">IFERROR(INDEX('Retirement Calculator'!K:K,MATCH('Lorri 401b'!N6046,'Retirement Calculator'!A:A,0),0),0)</f>
        <v>0</v>
      </c>
      <c r="K6046" s="455">
        <f t="shared" ca="1" si="198"/>
        <v>-143958116148395.28</v>
      </c>
      <c r="L6046" s="455">
        <f t="shared" ca="1" si="199"/>
        <v>-3.469390599176326E+16</v>
      </c>
      <c r="M6046" s="471">
        <f t="shared" si="201"/>
        <v>0.05</v>
      </c>
      <c r="N6046" s="475">
        <f t="shared" si="202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00"/>
        <v>-3.469390599176326E+16</v>
      </c>
      <c r="J6047" s="455">
        <f t="array" ref="J6047">IFERROR(INDEX('Retirement Calculator'!K:K,MATCH('Lorri 401b'!N6047,'Retirement Calculator'!A:A,0),0),0)</f>
        <v>0</v>
      </c>
      <c r="K6047" s="455">
        <f t="shared" ca="1" si="198"/>
        <v>-144557941632346.91</v>
      </c>
      <c r="L6047" s="455">
        <f t="shared" ca="1" si="199"/>
        <v>-3.4838463933395608E+16</v>
      </c>
      <c r="M6047" s="471">
        <f t="shared" si="201"/>
        <v>0.05</v>
      </c>
      <c r="N6047" s="475">
        <f t="shared" si="202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00"/>
        <v>-3.4838463933395608E+16</v>
      </c>
      <c r="J6048" s="455">
        <f t="array" ref="J6048">IFERROR(INDEX('Retirement Calculator'!K:K,MATCH('Lorri 401b'!N6048,'Retirement Calculator'!A:A,0),0),0)</f>
        <v>0</v>
      </c>
      <c r="K6048" s="455">
        <f t="shared" ca="1" si="198"/>
        <v>-145160266389148.38</v>
      </c>
      <c r="L6048" s="455">
        <f t="shared" ca="1" si="199"/>
        <v>-3.4983624199784756E+16</v>
      </c>
      <c r="M6048" s="471">
        <f t="shared" si="201"/>
        <v>0.05</v>
      </c>
      <c r="N6048" s="475">
        <f t="shared" si="202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00"/>
        <v>-3.4983624199784756E+16</v>
      </c>
      <c r="J6049" s="455">
        <f t="array" ref="J6049">IFERROR(INDEX('Retirement Calculator'!K:K,MATCH('Lorri 401b'!N6049,'Retirement Calculator'!A:A,0),0),0)</f>
        <v>0</v>
      </c>
      <c r="K6049" s="455">
        <f t="shared" ca="1" si="198"/>
        <v>-145765100832436.47</v>
      </c>
      <c r="L6049" s="455">
        <f t="shared" ca="1" si="199"/>
        <v>-3.5129389300617192E+16</v>
      </c>
      <c r="M6049" s="471">
        <f t="shared" si="201"/>
        <v>0.05</v>
      </c>
      <c r="N6049" s="475">
        <f t="shared" si="202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00"/>
        <v>-3.5129389300617192E+16</v>
      </c>
      <c r="J6050" s="455">
        <f t="array" ref="J6050">IFERROR(INDEX('Retirement Calculator'!K:K,MATCH('Lorri 401b'!N6050,'Retirement Calculator'!A:A,0),0),0)</f>
        <v>0</v>
      </c>
      <c r="K6050" s="455">
        <f t="shared" ca="1" si="198"/>
        <v>-146372455419238.31</v>
      </c>
      <c r="L6050" s="455">
        <f t="shared" ca="1" si="199"/>
        <v>-3.5275761756036432E+16</v>
      </c>
      <c r="M6050" s="471">
        <f t="shared" si="201"/>
        <v>0.05</v>
      </c>
      <c r="N6050" s="475">
        <f t="shared" si="202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00"/>
        <v>-3.5275761756036432E+16</v>
      </c>
      <c r="J6051" s="455">
        <f t="array" ref="J6051">IFERROR(INDEX('Retirement Calculator'!K:K,MATCH('Lorri 401b'!N6051,'Retirement Calculator'!A:A,0),0),0)</f>
        <v>0</v>
      </c>
      <c r="K6051" s="455">
        <f t="shared" ca="1" si="198"/>
        <v>-146982340650151.81</v>
      </c>
      <c r="L6051" s="455">
        <f t="shared" ca="1" si="199"/>
        <v>-3.5422744096686584E+16</v>
      </c>
      <c r="M6051" s="471">
        <f t="shared" si="201"/>
        <v>0.05</v>
      </c>
      <c r="N6051" s="475">
        <f t="shared" si="202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00"/>
        <v>-3.5422744096686584E+16</v>
      </c>
      <c r="J6052" s="455">
        <f t="array" ref="J6052">IFERROR(INDEX('Retirement Calculator'!K:K,MATCH('Lorri 401b'!N6052,'Retirement Calculator'!A:A,0),0),0)</f>
        <v>0</v>
      </c>
      <c r="K6052" s="455">
        <f t="shared" ca="1" si="198"/>
        <v>-147594767069527.44</v>
      </c>
      <c r="L6052" s="455">
        <f t="shared" ca="1" si="199"/>
        <v>-3.5570338863756112E+16</v>
      </c>
      <c r="M6052" s="471">
        <f t="shared" si="201"/>
        <v>0.05</v>
      </c>
      <c r="N6052" s="475">
        <f t="shared" si="202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00"/>
        <v>-3.5570338863756112E+16</v>
      </c>
      <c r="J6053" s="455">
        <f t="array" ref="J6053">IFERROR(INDEX('Retirement Calculator'!K:K,MATCH('Lorri 401b'!N6053,'Retirement Calculator'!A:A,0),0),0)</f>
        <v>0</v>
      </c>
      <c r="K6053" s="455">
        <f t="shared" ca="1" si="198"/>
        <v>-148209745265650.47</v>
      </c>
      <c r="L6053" s="455">
        <f t="shared" ca="1" si="199"/>
        <v>-3.5718548609021764E+16</v>
      </c>
      <c r="M6053" s="471">
        <f t="shared" si="201"/>
        <v>0.05</v>
      </c>
      <c r="N6053" s="475">
        <f t="shared" si="202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00"/>
        <v>-3.5718548609021764E+16</v>
      </c>
      <c r="J6054" s="455">
        <f t="array" ref="J6054">IFERROR(INDEX('Retirement Calculator'!K:K,MATCH('Lorri 401b'!N6054,'Retirement Calculator'!A:A,0),0),0)</f>
        <v>0</v>
      </c>
      <c r="K6054" s="455">
        <f t="shared" ca="1" si="198"/>
        <v>-148827285870924.03</v>
      </c>
      <c r="L6054" s="455">
        <f t="shared" ca="1" si="199"/>
        <v>-3.5867375894892688E+16</v>
      </c>
      <c r="M6054" s="471">
        <f t="shared" si="201"/>
        <v>0.05</v>
      </c>
      <c r="N6054" s="475">
        <f t="shared" si="202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00"/>
        <v>-3.5867375894892688E+16</v>
      </c>
      <c r="J6055" s="455">
        <f t="array" ref="J6055">IFERROR(INDEX('Retirement Calculator'!K:K,MATCH('Lorri 401b'!N6055,'Retirement Calculator'!A:A,0),0),0)</f>
        <v>0</v>
      </c>
      <c r="K6055" s="455">
        <f t="shared" ca="1" si="198"/>
        <v>-149447399562052.88</v>
      </c>
      <c r="L6055" s="455">
        <f t="shared" ca="1" si="199"/>
        <v>-3.601682329445474E+16</v>
      </c>
      <c r="M6055" s="471">
        <f t="shared" si="201"/>
        <v>0.05</v>
      </c>
      <c r="N6055" s="475">
        <f t="shared" si="202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00"/>
        <v>-3.601682329445474E+16</v>
      </c>
      <c r="J6056" s="455">
        <f t="array" ref="J6056">IFERROR(INDEX('Retirement Calculator'!K:K,MATCH('Lorri 401b'!N6056,'Retirement Calculator'!A:A,0),0),0)</f>
        <v>0</v>
      </c>
      <c r="K6056" s="455">
        <f t="shared" ca="1" si="198"/>
        <v>-150070097060228.09</v>
      </c>
      <c r="L6056" s="455">
        <f t="shared" ca="1" si="199"/>
        <v>-3.6166893391514968E+16</v>
      </c>
      <c r="M6056" s="471">
        <f t="shared" si="201"/>
        <v>0.05</v>
      </c>
      <c r="N6056" s="475">
        <f t="shared" si="202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00"/>
        <v>-3.6166893391514968E+16</v>
      </c>
      <c r="J6057" s="455">
        <f t="array" ref="J6057">IFERROR(INDEX('Retirement Calculator'!K:K,MATCH('Lorri 401b'!N6057,'Retirement Calculator'!A:A,0),0),0)</f>
        <v>0</v>
      </c>
      <c r="K6057" s="455">
        <f t="shared" ca="1" si="198"/>
        <v>-150695389131312.38</v>
      </c>
      <c r="L6057" s="455">
        <f t="shared" ca="1" si="199"/>
        <v>-3.631758878064628E+16</v>
      </c>
      <c r="M6057" s="471">
        <f t="shared" si="201"/>
        <v>0.05</v>
      </c>
      <c r="N6057" s="475">
        <f t="shared" si="202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00"/>
        <v>-3.631758878064628E+16</v>
      </c>
      <c r="J6058" s="455">
        <f t="array" ref="J6058">IFERROR(INDEX('Retirement Calculator'!K:K,MATCH('Lorri 401b'!N6058,'Retirement Calculator'!A:A,0),0),0)</f>
        <v>0</v>
      </c>
      <c r="K6058" s="455">
        <f t="shared" ca="1" si="198"/>
        <v>-151323286586026.16</v>
      </c>
      <c r="L6058" s="455">
        <f t="shared" ca="1" si="199"/>
        <v>-3.6468912067232304E+16</v>
      </c>
      <c r="M6058" s="471">
        <f t="shared" si="201"/>
        <v>0.05</v>
      </c>
      <c r="N6058" s="475">
        <f t="shared" si="202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00"/>
        <v>-3.6468912067232304E+16</v>
      </c>
      <c r="J6059" s="455">
        <f t="array" ref="J6059">IFERROR(INDEX('Retirement Calculator'!K:K,MATCH('Lorri 401b'!N6059,'Retirement Calculator'!A:A,0),0),0)</f>
        <v>0</v>
      </c>
      <c r="K6059" s="455">
        <f t="shared" ca="1" si="198"/>
        <v>-151953800280134.59</v>
      </c>
      <c r="L6059" s="455">
        <f t="shared" ca="1" si="199"/>
        <v>-3.662086586751244E+16</v>
      </c>
      <c r="M6059" s="471">
        <f t="shared" si="201"/>
        <v>0.05</v>
      </c>
      <c r="N6059" s="475">
        <f t="shared" si="202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00"/>
        <v>-3.662086586751244E+16</v>
      </c>
      <c r="J6060" s="455">
        <f t="array" ref="J6060">IFERROR(INDEX('Retirement Calculator'!K:K,MATCH('Lorri 401b'!N6060,'Retirement Calculator'!A:A,0),0),0)</f>
        <v>0</v>
      </c>
      <c r="K6060" s="455">
        <f t="shared" ca="1" si="198"/>
        <v>-152586941114635.16</v>
      </c>
      <c r="L6060" s="455">
        <f t="shared" ca="1" si="199"/>
        <v>-3.6773452808627072E+16</v>
      </c>
      <c r="M6060" s="471">
        <f t="shared" si="201"/>
        <v>0.05</v>
      </c>
      <c r="N6060" s="475">
        <f t="shared" si="202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00"/>
        <v>-3.6773452808627072E+16</v>
      </c>
      <c r="J6061" s="455">
        <f t="array" ref="J6061">IFERROR(INDEX('Retirement Calculator'!K:K,MATCH('Lorri 401b'!N6061,'Retirement Calculator'!A:A,0),0),0)</f>
        <v>0</v>
      </c>
      <c r="K6061" s="455">
        <f t="shared" ca="1" si="198"/>
        <v>-153222720035946.13</v>
      </c>
      <c r="L6061" s="455">
        <f t="shared" ca="1" si="199"/>
        <v>-3.6926675528663016E+16</v>
      </c>
      <c r="M6061" s="471">
        <f t="shared" si="201"/>
        <v>0.05</v>
      </c>
      <c r="N6061" s="475">
        <f t="shared" si="202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00"/>
        <v>-3.6926675528663016E+16</v>
      </c>
      <c r="J6062" s="455">
        <f t="array" ref="J6062">IFERROR(INDEX('Retirement Calculator'!K:K,MATCH('Lorri 401b'!N6062,'Retirement Calculator'!A:A,0),0),0)</f>
        <v>0</v>
      </c>
      <c r="K6062" s="455">
        <f t="shared" ca="1" si="198"/>
        <v>-153861148036095.91</v>
      </c>
      <c r="L6062" s="455">
        <f t="shared" ca="1" si="199"/>
        <v>-3.7080536676699112E+16</v>
      </c>
      <c r="M6062" s="471">
        <f t="shared" si="201"/>
        <v>0.05</v>
      </c>
      <c r="N6062" s="475">
        <f t="shared" si="202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00"/>
        <v>-3.7080536676699112E+16</v>
      </c>
      <c r="J6063" s="455">
        <f t="array" ref="J6063">IFERROR(INDEX('Retirement Calculator'!K:K,MATCH('Lorri 401b'!N6063,'Retirement Calculator'!A:A,0),0),0)</f>
        <v>0</v>
      </c>
      <c r="K6063" s="455">
        <f t="shared" ca="1" si="198"/>
        <v>-154502236152912.97</v>
      </c>
      <c r="L6063" s="455">
        <f t="shared" ca="1" si="199"/>
        <v>-3.7235038912852024E+16</v>
      </c>
      <c r="M6063" s="471">
        <f t="shared" si="201"/>
        <v>0.05</v>
      </c>
      <c r="N6063" s="475">
        <f t="shared" si="202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00"/>
        <v>-3.7235038912852024E+16</v>
      </c>
      <c r="J6064" s="455">
        <f t="array" ref="J6064">IFERROR(INDEX('Retirement Calculator'!K:K,MATCH('Lorri 401b'!N6064,'Retirement Calculator'!A:A,0),0),0)</f>
        <v>0</v>
      </c>
      <c r="K6064" s="455">
        <f t="shared" ca="1" si="198"/>
        <v>-155145995470216.75</v>
      </c>
      <c r="L6064" s="455">
        <f t="shared" ca="1" si="199"/>
        <v>-3.739018490832224E+16</v>
      </c>
      <c r="M6064" s="471">
        <f t="shared" si="201"/>
        <v>0.05</v>
      </c>
      <c r="N6064" s="475">
        <f t="shared" si="202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00"/>
        <v>-3.739018490832224E+16</v>
      </c>
      <c r="J6065" s="455">
        <f t="array" ref="J6065">IFERROR(INDEX('Retirement Calculator'!K:K,MATCH('Lorri 401b'!N6065,'Retirement Calculator'!A:A,0),0),0)</f>
        <v>0</v>
      </c>
      <c r="K6065" s="455">
        <f t="shared" ca="1" si="198"/>
        <v>-155792437118009.34</v>
      </c>
      <c r="L6065" s="455">
        <f t="shared" ca="1" si="199"/>
        <v>-3.7545977345440248E+16</v>
      </c>
      <c r="M6065" s="471">
        <f t="shared" si="201"/>
        <v>0.05</v>
      </c>
      <c r="N6065" s="475">
        <f t="shared" si="202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00"/>
        <v>-3.7545977345440248E+16</v>
      </c>
      <c r="J6066" s="455">
        <f t="array" ref="J6066">IFERROR(INDEX('Retirement Calculator'!K:K,MATCH('Lorri 401b'!N6066,'Retirement Calculator'!A:A,0),0),0)</f>
        <v>0</v>
      </c>
      <c r="K6066" s="455">
        <f t="shared" ca="1" si="198"/>
        <v>-156441572272667.69</v>
      </c>
      <c r="L6066" s="455">
        <f t="shared" ca="1" si="199"/>
        <v>-3.7702418917712912E+16</v>
      </c>
      <c r="M6066" s="471">
        <f t="shared" si="201"/>
        <v>0.05</v>
      </c>
      <c r="N6066" s="475">
        <f t="shared" si="202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00"/>
        <v>-3.7702418917712912E+16</v>
      </c>
      <c r="J6067" s="455">
        <f t="array" ref="J6067">IFERROR(INDEX('Retirement Calculator'!K:K,MATCH('Lorri 401b'!N6067,'Retirement Calculator'!A:A,0),0),0)</f>
        <v>0</v>
      </c>
      <c r="K6067" s="455">
        <f t="shared" ca="1" si="198"/>
        <v>-157093412157137.13</v>
      </c>
      <c r="L6067" s="455">
        <f t="shared" ca="1" si="199"/>
        <v>-3.7859512329870048E+16</v>
      </c>
      <c r="M6067" s="471">
        <f t="shared" si="201"/>
        <v>0.05</v>
      </c>
      <c r="N6067" s="475">
        <f t="shared" si="202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00"/>
        <v>-3.7859512329870048E+16</v>
      </c>
      <c r="J6068" s="455">
        <f t="array" ref="J6068">IFERROR(INDEX('Retirement Calculator'!K:K,MATCH('Lorri 401b'!N6068,'Retirement Calculator'!A:A,0),0),0)</f>
        <v>0</v>
      </c>
      <c r="K6068" s="455">
        <f t="shared" ca="1" si="198"/>
        <v>-157747968041125.19</v>
      </c>
      <c r="L6068" s="455">
        <f t="shared" ca="1" si="199"/>
        <v>-3.8017260297911176E+16</v>
      </c>
      <c r="M6068" s="471">
        <f t="shared" si="201"/>
        <v>0.05</v>
      </c>
      <c r="N6068" s="475">
        <f t="shared" si="202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00"/>
        <v>-3.8017260297911176E+16</v>
      </c>
      <c r="J6069" s="455">
        <f t="array" ref="J6069">IFERROR(INDEX('Retirement Calculator'!K:K,MATCH('Lorri 401b'!N6069,'Retirement Calculator'!A:A,0),0),0)</f>
        <v>0</v>
      </c>
      <c r="K6069" s="455">
        <f t="shared" ca="1" si="198"/>
        <v>-158405251241296.56</v>
      </c>
      <c r="L6069" s="455">
        <f t="shared" ca="1" si="199"/>
        <v>-3.8175665549152472E+16</v>
      </c>
      <c r="M6069" s="471">
        <f t="shared" si="201"/>
        <v>0.05</v>
      </c>
      <c r="N6069" s="475">
        <f t="shared" si="202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00"/>
        <v>-3.8175665549152472E+16</v>
      </c>
      <c r="J6070" s="455">
        <f t="array" ref="J6070">IFERROR(INDEX('Retirement Calculator'!K:K,MATCH('Lorri 401b'!N6070,'Retirement Calculator'!A:A,0),0),0)</f>
        <v>0</v>
      </c>
      <c r="K6070" s="455">
        <f t="shared" ca="1" si="198"/>
        <v>-159065273121468.63</v>
      </c>
      <c r="L6070" s="455">
        <f t="shared" ca="1" si="199"/>
        <v>-3.8334730822273944E+16</v>
      </c>
      <c r="M6070" s="471">
        <f t="shared" si="201"/>
        <v>0.05</v>
      </c>
      <c r="N6070" s="475">
        <f t="shared" si="202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00"/>
        <v>-3.8334730822273944E+16</v>
      </c>
      <c r="J6071" s="455">
        <f t="array" ref="J6071">IFERROR(INDEX('Retirement Calculator'!K:K,MATCH('Lorri 401b'!N6071,'Retirement Calculator'!A:A,0),0),0)</f>
        <v>0</v>
      </c>
      <c r="K6071" s="455">
        <f t="shared" ca="1" si="198"/>
        <v>-159728045092808.09</v>
      </c>
      <c r="L6071" s="455">
        <f t="shared" ca="1" si="199"/>
        <v>-3.8494458867366752E+16</v>
      </c>
      <c r="M6071" s="471">
        <f t="shared" si="201"/>
        <v>0.05</v>
      </c>
      <c r="N6071" s="475">
        <f t="shared" si="202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00"/>
        <v>-3.8494458867366752E+16</v>
      </c>
      <c r="J6072" s="455">
        <f t="array" ref="J6072">IFERROR(INDEX('Retirement Calculator'!K:K,MATCH('Lorri 401b'!N6072,'Retirement Calculator'!A:A,0),0),0)</f>
        <v>0</v>
      </c>
      <c r="K6072" s="455">
        <f t="shared" ca="1" si="198"/>
        <v>-160393578614028.13</v>
      </c>
      <c r="L6072" s="455">
        <f t="shared" ca="1" si="199"/>
        <v>-3.8654852445980784E+16</v>
      </c>
      <c r="M6072" s="471">
        <f t="shared" si="201"/>
        <v>0.05</v>
      </c>
      <c r="N6072" s="475">
        <f t="shared" si="202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00"/>
        <v>-3.8654852445980784E+16</v>
      </c>
      <c r="J6073" s="455">
        <f t="array" ref="J6073">IFERROR(INDEX('Retirement Calculator'!K:K,MATCH('Lorri 401b'!N6073,'Retirement Calculator'!A:A,0),0),0)</f>
        <v>0</v>
      </c>
      <c r="K6073" s="455">
        <f t="shared" ca="1" si="198"/>
        <v>-161061885191586.59</v>
      </c>
      <c r="L6073" s="455">
        <f t="shared" ca="1" si="199"/>
        <v>-3.8815914331172368E+16</v>
      </c>
      <c r="M6073" s="471">
        <f t="shared" si="201"/>
        <v>0.05</v>
      </c>
      <c r="N6073" s="475">
        <f t="shared" si="202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00"/>
        <v>-3.8815914331172368E+16</v>
      </c>
      <c r="J6074" s="455">
        <f t="array" ref="J6074">IFERROR(INDEX('Retirement Calculator'!K:K,MATCH('Lorri 401b'!N6074,'Retirement Calculator'!A:A,0),0),0)</f>
        <v>0</v>
      </c>
      <c r="K6074" s="455">
        <f t="shared" ca="1" si="198"/>
        <v>-161732976379884.88</v>
      </c>
      <c r="L6074" s="455">
        <f t="shared" ca="1" si="199"/>
        <v>-3.8977647307552256E+16</v>
      </c>
      <c r="M6074" s="471">
        <f t="shared" si="201"/>
        <v>0.05</v>
      </c>
      <c r="N6074" s="475">
        <f t="shared" si="202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00"/>
        <v>-3.8977647307552256E+16</v>
      </c>
      <c r="J6075" s="455">
        <f t="array" ref="J6075">IFERROR(INDEX('Retirement Calculator'!K:K,MATCH('Lorri 401b'!N6075,'Retirement Calculator'!A:A,0),0),0)</f>
        <v>0</v>
      </c>
      <c r="K6075" s="455">
        <f t="shared" ca="1" si="198"/>
        <v>-162406863781467.72</v>
      </c>
      <c r="L6075" s="455">
        <f t="shared" ca="1" si="199"/>
        <v>-3.914005417133372E+16</v>
      </c>
      <c r="M6075" s="471">
        <f t="shared" si="201"/>
        <v>0.05</v>
      </c>
      <c r="N6075" s="475">
        <f t="shared" si="202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00"/>
        <v>-3.914005417133372E+16</v>
      </c>
      <c r="J6076" s="455">
        <f t="array" ref="J6076">IFERROR(INDEX('Retirement Calculator'!K:K,MATCH('Lorri 401b'!N6076,'Retirement Calculator'!A:A,0),0),0)</f>
        <v>0</v>
      </c>
      <c r="K6076" s="455">
        <f t="shared" ca="1" si="198"/>
        <v>-163083559047223.84</v>
      </c>
      <c r="L6076" s="455">
        <f t="shared" ca="1" si="199"/>
        <v>-3.9303137730380944E+16</v>
      </c>
      <c r="M6076" s="471">
        <f t="shared" si="201"/>
        <v>0.05</v>
      </c>
      <c r="N6076" s="475">
        <f t="shared" si="202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00"/>
        <v>-3.9303137730380944E+16</v>
      </c>
      <c r="J6077" s="455">
        <f t="array" ref="J6077">IFERROR(INDEX('Retirement Calculator'!K:K,MATCH('Lorri 401b'!N6077,'Retirement Calculator'!A:A,0),0),0)</f>
        <v>0</v>
      </c>
      <c r="K6077" s="455">
        <f t="shared" ca="1" si="198"/>
        <v>-163763073876587.25</v>
      </c>
      <c r="L6077" s="455">
        <f t="shared" ca="1" si="199"/>
        <v>-3.9466900804257528E+16</v>
      </c>
      <c r="M6077" s="471">
        <f t="shared" si="201"/>
        <v>0.05</v>
      </c>
      <c r="N6077" s="475">
        <f t="shared" si="202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00"/>
        <v>-3.9466900804257528E+16</v>
      </c>
      <c r="J6078" s="455">
        <f t="array" ref="J6078">IFERROR(INDEX('Retirement Calculator'!K:K,MATCH('Lorri 401b'!N6078,'Retirement Calculator'!A:A,0),0),0)</f>
        <v>0</v>
      </c>
      <c r="K6078" s="455">
        <f t="shared" ca="1" si="198"/>
        <v>-164445420017739.69</v>
      </c>
      <c r="L6078" s="455">
        <f t="shared" ca="1" si="199"/>
        <v>-3.9631346224275264E+16</v>
      </c>
      <c r="M6078" s="471">
        <f t="shared" si="201"/>
        <v>0.05</v>
      </c>
      <c r="N6078" s="475">
        <f t="shared" si="202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00"/>
        <v>-3.9631346224275264E+16</v>
      </c>
      <c r="J6079" s="455">
        <f t="array" ref="J6079">IFERROR(INDEX('Retirement Calculator'!K:K,MATCH('Lorri 401b'!N6079,'Retirement Calculator'!A:A,0),0),0)</f>
        <v>0</v>
      </c>
      <c r="K6079" s="455">
        <f t="shared" ca="1" si="198"/>
        <v>-165130609267813.59</v>
      </c>
      <c r="L6079" s="455">
        <f t="shared" ca="1" si="199"/>
        <v>-3.979647683354308E+16</v>
      </c>
      <c r="M6079" s="471">
        <f t="shared" si="201"/>
        <v>0.05</v>
      </c>
      <c r="N6079" s="475">
        <f t="shared" si="202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00"/>
        <v>-3.979647683354308E+16</v>
      </c>
      <c r="J6080" s="455">
        <f t="array" ref="J6080">IFERROR(INDEX('Retirement Calculator'!K:K,MATCH('Lorri 401b'!N6080,'Retirement Calculator'!A:A,0),0),0)</f>
        <v>0</v>
      </c>
      <c r="K6080" s="455">
        <f t="shared" ca="1" si="198"/>
        <v>-165818653473096.16</v>
      </c>
      <c r="L6080" s="455">
        <f t="shared" ca="1" si="199"/>
        <v>-3.9962295487016176E+16</v>
      </c>
      <c r="M6080" s="471">
        <f t="shared" si="201"/>
        <v>0.05</v>
      </c>
      <c r="N6080" s="475">
        <f t="shared" si="202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00"/>
        <v>-3.9962295487016176E+16</v>
      </c>
      <c r="J6081" s="455">
        <f t="array" ref="J6081">IFERROR(INDEX('Retirement Calculator'!K:K,MATCH('Lorri 401b'!N6081,'Retirement Calculator'!A:A,0),0),0)</f>
        <v>0</v>
      </c>
      <c r="K6081" s="455">
        <f t="shared" ca="1" si="198"/>
        <v>-166509564529234.06</v>
      </c>
      <c r="L6081" s="455">
        <f t="shared" ca="1" si="199"/>
        <v>-4.0128805051545408E+16</v>
      </c>
      <c r="M6081" s="471">
        <f t="shared" si="201"/>
        <v>0.05</v>
      </c>
      <c r="N6081" s="475">
        <f t="shared" si="202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00"/>
        <v>-4.0128805051545408E+16</v>
      </c>
      <c r="J6082" s="455">
        <f t="array" ref="J6082">IFERROR(INDEX('Retirement Calculator'!K:K,MATCH('Lorri 401b'!N6082,'Retirement Calculator'!A:A,0),0),0)</f>
        <v>0</v>
      </c>
      <c r="K6082" s="455">
        <f t="shared" ca="1" si="198"/>
        <v>-167203354381439.19</v>
      </c>
      <c r="L6082" s="455">
        <f t="shared" ca="1" si="199"/>
        <v>-4.0296008405926848E+16</v>
      </c>
      <c r="M6082" s="471">
        <f t="shared" si="201"/>
        <v>0.05</v>
      </c>
      <c r="N6082" s="475">
        <f t="shared" si="202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00"/>
        <v>-4.0296008405926848E+16</v>
      </c>
      <c r="J6083" s="455">
        <f t="array" ref="J6083">IFERROR(INDEX('Retirement Calculator'!K:K,MATCH('Lorri 401b'!N6083,'Retirement Calculator'!A:A,0),0),0)</f>
        <v>0</v>
      </c>
      <c r="K6083" s="455">
        <f t="shared" ca="1" si="198"/>
        <v>-167900035024695.19</v>
      </c>
      <c r="L6083" s="455">
        <f t="shared" ca="1" si="199"/>
        <v>-4.0463908440951544E+16</v>
      </c>
      <c r="M6083" s="471">
        <f t="shared" si="201"/>
        <v>0.05</v>
      </c>
      <c r="N6083" s="475">
        <f t="shared" si="202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00"/>
        <v>-4.0463908440951544E+16</v>
      </c>
      <c r="J6084" s="455">
        <f t="array" ref="J6084">IFERROR(INDEX('Retirement Calculator'!K:K,MATCH('Lorri 401b'!N6084,'Retirement Calculator'!A:A,0),0),0)</f>
        <v>0</v>
      </c>
      <c r="K6084" s="455">
        <f t="shared" ca="1" si="198"/>
        <v>-168599618503964.75</v>
      </c>
      <c r="L6084" s="455">
        <f t="shared" ca="1" si="199"/>
        <v>-4.0632508059455512E+16</v>
      </c>
      <c r="M6084" s="471">
        <f t="shared" si="201"/>
        <v>0.05</v>
      </c>
      <c r="N6084" s="475">
        <f t="shared" si="202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00"/>
        <v>-4.0632508059455512E+16</v>
      </c>
      <c r="J6085" s="455">
        <f t="array" ref="J6085">IFERROR(INDEX('Retirement Calculator'!K:K,MATCH('Lorri 401b'!N6085,'Retirement Calculator'!A:A,0),0),0)</f>
        <v>0</v>
      </c>
      <c r="K6085" s="455">
        <f t="shared" ca="1" si="198"/>
        <v>-169302116914397.97</v>
      </c>
      <c r="L6085" s="455">
        <f t="shared" ca="1" si="199"/>
        <v>-4.0801810176369912E+16</v>
      </c>
      <c r="M6085" s="471">
        <f t="shared" si="201"/>
        <v>0.05</v>
      </c>
      <c r="N6085" s="475">
        <f t="shared" si="202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00"/>
        <v>-4.0801810176369912E+16</v>
      </c>
      <c r="J6086" s="455">
        <f t="array" ref="J6086">IFERROR(INDEX('Retirement Calculator'!K:K,MATCH('Lorri 401b'!N6086,'Retirement Calculator'!A:A,0),0),0)</f>
        <v>0</v>
      </c>
      <c r="K6086" s="455">
        <f t="shared" ca="1" si="198"/>
        <v>-170007542401541.31</v>
      </c>
      <c r="L6086" s="455">
        <f t="shared" ca="1" si="199"/>
        <v>-4.0971817718771456E+16</v>
      </c>
      <c r="M6086" s="471">
        <f t="shared" si="201"/>
        <v>0.05</v>
      </c>
      <c r="N6086" s="475">
        <f t="shared" si="202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00"/>
        <v>-4.0971817718771456E+16</v>
      </c>
      <c r="J6087" s="455">
        <f t="array" ref="J6087">IFERROR(INDEX('Retirement Calculator'!K:K,MATCH('Lorri 401b'!N6087,'Retirement Calculator'!A:A,0),0),0)</f>
        <v>0</v>
      </c>
      <c r="K6087" s="455">
        <f t="shared" ca="1" si="198"/>
        <v>-170715907161547.72</v>
      </c>
      <c r="L6087" s="455">
        <f t="shared" ca="1" si="199"/>
        <v>-4.1142533625933E+16</v>
      </c>
      <c r="M6087" s="471">
        <f t="shared" si="201"/>
        <v>0.05</v>
      </c>
      <c r="N6087" s="475">
        <f t="shared" si="202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00"/>
        <v>-4.1142533625933E+16</v>
      </c>
      <c r="J6088" s="455">
        <f t="array" ref="J6088">IFERROR(INDEX('Retirement Calculator'!K:K,MATCH('Lorri 401b'!N6088,'Retirement Calculator'!A:A,0),0),0)</f>
        <v>0</v>
      </c>
      <c r="K6088" s="455">
        <f t="shared" ca="1" si="198"/>
        <v>-171427223441387.5</v>
      </c>
      <c r="L6088" s="455">
        <f t="shared" ca="1" si="199"/>
        <v>-4.1313960849374384E+16</v>
      </c>
      <c r="M6088" s="471">
        <f t="shared" si="201"/>
        <v>0.05</v>
      </c>
      <c r="N6088" s="475">
        <f t="shared" si="202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00"/>
        <v>-4.1313960849374384E+16</v>
      </c>
      <c r="J6089" s="455">
        <f t="array" ref="J6089">IFERROR(INDEX('Retirement Calculator'!K:K,MATCH('Lorri 401b'!N6089,'Retirement Calculator'!A:A,0),0),0)</f>
        <v>0</v>
      </c>
      <c r="K6089" s="455">
        <f t="shared" ca="1" si="198"/>
        <v>-172141503539059.94</v>
      </c>
      <c r="L6089" s="455">
        <f t="shared" ca="1" si="199"/>
        <v>-4.148610235291344E+16</v>
      </c>
      <c r="M6089" s="471">
        <f t="shared" si="201"/>
        <v>0.05</v>
      </c>
      <c r="N6089" s="475">
        <f t="shared" si="202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00"/>
        <v>-4.148610235291344E+16</v>
      </c>
      <c r="J6090" s="455">
        <f t="array" ref="J6090">IFERROR(INDEX('Retirement Calculator'!K:K,MATCH('Lorri 401b'!N6090,'Retirement Calculator'!A:A,0),0),0)</f>
        <v>0</v>
      </c>
      <c r="K6090" s="455">
        <f t="shared" ca="1" si="198"/>
        <v>-172858759803806</v>
      </c>
      <c r="L6090" s="455">
        <f t="shared" ca="1" si="199"/>
        <v>-4.1658961112717248E+16</v>
      </c>
      <c r="M6090" s="471">
        <f t="shared" si="201"/>
        <v>0.05</v>
      </c>
      <c r="N6090" s="475">
        <f t="shared" si="202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00"/>
        <v>-4.1658961112717248E+16</v>
      </c>
      <c r="J6091" s="455">
        <f t="array" ref="J6091">IFERROR(INDEX('Retirement Calculator'!K:K,MATCH('Lorri 401b'!N6091,'Retirement Calculator'!A:A,0),0),0)</f>
        <v>0</v>
      </c>
      <c r="K6091" s="455">
        <f t="shared" ca="1" si="198"/>
        <v>-173579004636321.88</v>
      </c>
      <c r="L6091" s="455">
        <f t="shared" ca="1" si="199"/>
        <v>-4.1832540117353568E+16</v>
      </c>
      <c r="M6091" s="471">
        <f t="shared" si="201"/>
        <v>0.05</v>
      </c>
      <c r="N6091" s="475">
        <f t="shared" si="202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00"/>
        <v>-4.1832540117353568E+16</v>
      </c>
      <c r="J6092" s="455">
        <f t="array" ref="J6092">IFERROR(INDEX('Retirement Calculator'!K:K,MATCH('Lorri 401b'!N6092,'Retirement Calculator'!A:A,0),0),0)</f>
        <v>0</v>
      </c>
      <c r="K6092" s="455">
        <f t="shared" ca="1" si="198"/>
        <v>-174302250488973.19</v>
      </c>
      <c r="L6092" s="455">
        <f t="shared" ca="1" si="199"/>
        <v>-4.2006842367842544E+16</v>
      </c>
      <c r="M6092" s="471">
        <f t="shared" si="201"/>
        <v>0.05</v>
      </c>
      <c r="N6092" s="475">
        <f t="shared" si="202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00"/>
        <v>-4.2006842367842544E+16</v>
      </c>
      <c r="J6093" s="455">
        <f t="array" ref="J6093">IFERROR(INDEX('Retirement Calculator'!K:K,MATCH('Lorri 401b'!N6093,'Retirement Calculator'!A:A,0),0),0)</f>
        <v>0</v>
      </c>
      <c r="K6093" s="455">
        <f t="shared" ca="1" si="198"/>
        <v>-175028509866010.59</v>
      </c>
      <c r="L6093" s="455">
        <f t="shared" ca="1" si="199"/>
        <v>-4.2181870877708552E+16</v>
      </c>
      <c r="M6093" s="471">
        <f t="shared" si="201"/>
        <v>0.05</v>
      </c>
      <c r="N6093" s="475">
        <f t="shared" si="202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00"/>
        <v>-4.2181870877708552E+16</v>
      </c>
      <c r="J6094" s="455">
        <f t="array" ref="J6094">IFERROR(INDEX('Retirement Calculator'!K:K,MATCH('Lorri 401b'!N6094,'Retirement Calculator'!A:A,0),0),0)</f>
        <v>0</v>
      </c>
      <c r="K6094" s="455">
        <f t="shared" ca="1" si="198"/>
        <v>-175757795323785.63</v>
      </c>
      <c r="L6094" s="455">
        <f t="shared" ca="1" si="199"/>
        <v>-4.2357628673032336E+16</v>
      </c>
      <c r="M6094" s="471">
        <f t="shared" si="201"/>
        <v>0.05</v>
      </c>
      <c r="N6094" s="475">
        <f t="shared" si="202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00"/>
        <v>-4.2357628673032336E+16</v>
      </c>
      <c r="J6095" s="455">
        <f t="array" ref="J6095">IFERROR(INDEX('Retirement Calculator'!K:K,MATCH('Lorri 401b'!N6095,'Retirement Calculator'!A:A,0),0),0)</f>
        <v>0</v>
      </c>
      <c r="K6095" s="455">
        <f t="shared" ca="1" si="198"/>
        <v>-176490119470968.06</v>
      </c>
      <c r="L6095" s="455">
        <f t="shared" ca="1" si="199"/>
        <v>-4.2534118792503304E+16</v>
      </c>
      <c r="M6095" s="471">
        <f t="shared" si="201"/>
        <v>0.05</v>
      </c>
      <c r="N6095" s="475">
        <f t="shared" si="202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00"/>
        <v>-4.2534118792503304E+16</v>
      </c>
      <c r="J6096" s="455">
        <f t="array" ref="J6096">IFERROR(INDEX('Retirement Calculator'!K:K,MATCH('Lorri 401b'!N6096,'Retirement Calculator'!A:A,0),0),0)</f>
        <v>0</v>
      </c>
      <c r="K6096" s="455">
        <f t="shared" ca="1" si="198"/>
        <v>-177225494968763.75</v>
      </c>
      <c r="L6096" s="455">
        <f t="shared" ca="1" si="199"/>
        <v>-4.2711344287472064E+16</v>
      </c>
      <c r="M6096" s="471">
        <f t="shared" si="201"/>
        <v>0.05</v>
      </c>
      <c r="N6096" s="475">
        <f t="shared" si="202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00"/>
        <v>-4.2711344287472064E+16</v>
      </c>
      <c r="J6097" s="455">
        <f t="array" ref="J6097">IFERROR(INDEX('Retirement Calculator'!K:K,MATCH('Lorri 401b'!N6097,'Retirement Calculator'!A:A,0),0),0)</f>
        <v>0</v>
      </c>
      <c r="K6097" s="455">
        <f t="shared" ca="1" si="198"/>
        <v>-177963934531133.59</v>
      </c>
      <c r="L6097" s="455">
        <f t="shared" ca="1" si="199"/>
        <v>-4.28893082220032E+16</v>
      </c>
      <c r="M6097" s="471">
        <f t="shared" si="201"/>
        <v>0.05</v>
      </c>
      <c r="N6097" s="475">
        <f t="shared" si="202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00"/>
        <v>-4.28893082220032E+16</v>
      </c>
      <c r="J6098" s="455">
        <f t="array" ref="J6098">IFERROR(INDEX('Retirement Calculator'!K:K,MATCH('Lorri 401b'!N6098,'Retirement Calculator'!A:A,0),0),0)</f>
        <v>0</v>
      </c>
      <c r="K6098" s="455">
        <f t="shared" ca="1" si="198"/>
        <v>-178705450925013.34</v>
      </c>
      <c r="L6098" s="455">
        <f t="shared" ca="1" si="199"/>
        <v>-4.3068013672928216E+16</v>
      </c>
      <c r="M6098" s="471">
        <f t="shared" si="201"/>
        <v>0.05</v>
      </c>
      <c r="N6098" s="475">
        <f t="shared" si="202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00"/>
        <v>-4.3068013672928216E+16</v>
      </c>
      <c r="J6099" s="455">
        <f t="array" ref="J6099">IFERROR(INDEX('Retirement Calculator'!K:K,MATCH('Lorri 401b'!N6099,'Retirement Calculator'!A:A,0),0),0)</f>
        <v>0</v>
      </c>
      <c r="K6099" s="455">
        <f t="shared" ca="1" si="198"/>
        <v>-179450056970534.22</v>
      </c>
      <c r="L6099" s="455">
        <f t="shared" ca="1" si="199"/>
        <v>-4.3247463729898752E+16</v>
      </c>
      <c r="M6099" s="471">
        <f t="shared" si="201"/>
        <v>0.05</v>
      </c>
      <c r="N6099" s="475">
        <f t="shared" si="202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00"/>
        <v>-4.3247463729898752E+16</v>
      </c>
      <c r="J6100" s="455">
        <f t="array" ref="J6100">IFERROR(INDEX('Retirement Calculator'!K:K,MATCH('Lorri 401b'!N6100,'Retirement Calculator'!A:A,0),0),0)</f>
        <v>0</v>
      </c>
      <c r="K6100" s="455">
        <f t="shared" ca="1" si="198"/>
        <v>-180197765541244.81</v>
      </c>
      <c r="L6100" s="455">
        <f t="shared" ca="1" si="199"/>
        <v>-4.342766149544E+16</v>
      </c>
      <c r="M6100" s="471">
        <f t="shared" si="201"/>
        <v>0.05</v>
      </c>
      <c r="N6100" s="475">
        <f t="shared" si="202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00"/>
        <v>-4.342766149544E+16</v>
      </c>
      <c r="J6101" s="455">
        <f t="array" ref="J6101">IFERROR(INDEX('Retirement Calculator'!K:K,MATCH('Lorri 401b'!N6101,'Retirement Calculator'!A:A,0),0),0)</f>
        <v>0</v>
      </c>
      <c r="K6101" s="455">
        <f t="shared" ca="1" si="198"/>
        <v>-180948589564333.34</v>
      </c>
      <c r="L6101" s="455">
        <f t="shared" ca="1" si="199"/>
        <v>-4.3608610085004336E+16</v>
      </c>
      <c r="M6101" s="471">
        <f t="shared" si="201"/>
        <v>0.05</v>
      </c>
      <c r="N6101" s="475">
        <f t="shared" si="202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00"/>
        <v>-4.3608610085004336E+16</v>
      </c>
      <c r="J6102" s="455">
        <f t="array" ref="J6102">IFERROR(INDEX('Retirement Calculator'!K:K,MATCH('Lorri 401b'!N6102,'Retirement Calculator'!A:A,0),0),0)</f>
        <v>0</v>
      </c>
      <c r="K6102" s="455">
        <f t="shared" ca="1" si="198"/>
        <v>-181702542020851.41</v>
      </c>
      <c r="L6102" s="455">
        <f t="shared" ca="1" si="199"/>
        <v>-4.3790312627025184E+16</v>
      </c>
      <c r="M6102" s="471">
        <f t="shared" si="201"/>
        <v>0.05</v>
      </c>
      <c r="N6102" s="475">
        <f t="shared" si="202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00"/>
        <v>-4.3790312627025184E+16</v>
      </c>
      <c r="J6103" s="455">
        <f t="array" ref="J6103">IFERROR(INDEX('Retirement Calculator'!K:K,MATCH('Lorri 401b'!N6103,'Retirement Calculator'!A:A,0),0),0)</f>
        <v>0</v>
      </c>
      <c r="K6103" s="455">
        <f t="shared" ca="1" si="198"/>
        <v>-182459635945938.25</v>
      </c>
      <c r="L6103" s="455">
        <f t="shared" ca="1" si="199"/>
        <v>-4.397277226297112E+16</v>
      </c>
      <c r="M6103" s="471">
        <f t="shared" si="201"/>
        <v>0.05</v>
      </c>
      <c r="N6103" s="475">
        <f t="shared" si="202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00"/>
        <v>-4.397277226297112E+16</v>
      </c>
      <c r="J6104" s="455">
        <f t="array" ref="J6104">IFERROR(INDEX('Retirement Calculator'!K:K,MATCH('Lorri 401b'!N6104,'Retirement Calculator'!A:A,0),0),0)</f>
        <v>0</v>
      </c>
      <c r="K6104" s="455">
        <f t="shared" ca="1" si="198"/>
        <v>-183219884429046.34</v>
      </c>
      <c r="L6104" s="455">
        <f t="shared" ca="1" si="199"/>
        <v>-4.4155992147400168E+16</v>
      </c>
      <c r="M6104" s="471">
        <f t="shared" si="201"/>
        <v>0.05</v>
      </c>
      <c r="N6104" s="475">
        <f t="shared" si="202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00"/>
        <v>-4.4155992147400168E+16</v>
      </c>
      <c r="J6105" s="455">
        <f t="array" ref="J6105">IFERROR(INDEX('Retirement Calculator'!K:K,MATCH('Lorri 401b'!N6105,'Retirement Calculator'!A:A,0),0),0)</f>
        <v>0</v>
      </c>
      <c r="K6105" s="455">
        <f t="shared" ca="1" si="198"/>
        <v>-183983300614167.38</v>
      </c>
      <c r="L6105" s="455">
        <f t="shared" ca="1" si="199"/>
        <v>-4.4339975448014336E+16</v>
      </c>
      <c r="M6105" s="471">
        <f t="shared" si="201"/>
        <v>0.05</v>
      </c>
      <c r="N6105" s="475">
        <f t="shared" si="202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00"/>
        <v>-4.4339975448014336E+16</v>
      </c>
      <c r="J6106" s="455">
        <f t="array" ref="J6106">IFERROR(INDEX('Retirement Calculator'!K:K,MATCH('Lorri 401b'!N6106,'Retirement Calculator'!A:A,0),0),0)</f>
        <v>0</v>
      </c>
      <c r="K6106" s="455">
        <f t="shared" ca="1" si="198"/>
        <v>-184749897700059.72</v>
      </c>
      <c r="L6106" s="455">
        <f t="shared" ca="1" si="199"/>
        <v>-4.4524725345714392E+16</v>
      </c>
      <c r="M6106" s="471">
        <f t="shared" si="201"/>
        <v>0.05</v>
      </c>
      <c r="N6106" s="475">
        <f t="shared" si="202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00"/>
        <v>-4.4524725345714392E+16</v>
      </c>
      <c r="J6107" s="455">
        <f t="array" ref="J6107">IFERROR(INDEX('Retirement Calculator'!K:K,MATCH('Lorri 401b'!N6107,'Retirement Calculator'!A:A,0),0),0)</f>
        <v>0</v>
      </c>
      <c r="K6107" s="455">
        <f t="shared" ca="1" si="198"/>
        <v>-185519688940476.63</v>
      </c>
      <c r="L6107" s="455">
        <f t="shared" ca="1" si="199"/>
        <v>-4.4710245034654872E+16</v>
      </c>
      <c r="M6107" s="471">
        <f t="shared" si="201"/>
        <v>0.05</v>
      </c>
      <c r="N6107" s="475">
        <f t="shared" si="202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00"/>
        <v>-4.4710245034654872E+16</v>
      </c>
      <c r="J6108" s="455">
        <f t="array" ref="J6108">IFERROR(INDEX('Retirement Calculator'!K:K,MATCH('Lorri 401b'!N6108,'Retirement Calculator'!A:A,0),0),0)</f>
        <v>0</v>
      </c>
      <c r="K6108" s="455">
        <f t="shared" ca="1" si="198"/>
        <v>-186292687644395.31</v>
      </c>
      <c r="L6108" s="455">
        <f t="shared" ca="1" si="199"/>
        <v>-4.4896537722299264E+16</v>
      </c>
      <c r="M6108" s="471">
        <f t="shared" si="201"/>
        <v>0.05</v>
      </c>
      <c r="N6108" s="475">
        <f t="shared" si="202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00"/>
        <v>-4.4896537722299264E+16</v>
      </c>
      <c r="J6109" s="455">
        <f t="array" ref="J6109">IFERROR(INDEX('Retirement Calculator'!K:K,MATCH('Lorri 401b'!N6109,'Retirement Calculator'!A:A,0),0),0)</f>
        <v>0</v>
      </c>
      <c r="K6109" s="455">
        <f t="shared" ca="1" si="198"/>
        <v>-187068907176246.94</v>
      </c>
      <c r="L6109" s="455">
        <f t="shared" ca="1" si="199"/>
        <v>-4.5083606629475512E+16</v>
      </c>
      <c r="M6109" s="471">
        <f t="shared" si="201"/>
        <v>0.05</v>
      </c>
      <c r="N6109" s="475">
        <f t="shared" si="202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00"/>
        <v>-4.5083606629475512E+16</v>
      </c>
      <c r="J6110" s="455">
        <f t="array" ref="J6110">IFERROR(INDEX('Retirement Calculator'!K:K,MATCH('Lorri 401b'!N6110,'Retirement Calculator'!A:A,0),0),0)</f>
        <v>0</v>
      </c>
      <c r="K6110" s="455">
        <f t="shared" ca="1" si="198"/>
        <v>-187848360956147.97</v>
      </c>
      <c r="L6110" s="455">
        <f t="shared" ca="1" si="199"/>
        <v>-4.5271454990431656E+16</v>
      </c>
      <c r="M6110" s="471">
        <f t="shared" si="201"/>
        <v>0.05</v>
      </c>
      <c r="N6110" s="475">
        <f t="shared" si="202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00"/>
        <v>-4.5271454990431656E+16</v>
      </c>
      <c r="J6111" s="455">
        <f t="array" ref="J6111">IFERROR(INDEX('Retirement Calculator'!K:K,MATCH('Lorri 401b'!N6111,'Retirement Calculator'!A:A,0),0),0)</f>
        <v>0</v>
      </c>
      <c r="K6111" s="455">
        <f t="shared" ca="1" si="198"/>
        <v>-188631062460131.91</v>
      </c>
      <c r="L6111" s="455">
        <f t="shared" ca="1" si="199"/>
        <v>-4.5460086052891784E+16</v>
      </c>
      <c r="M6111" s="471">
        <f t="shared" si="201"/>
        <v>0.05</v>
      </c>
      <c r="N6111" s="475">
        <f t="shared" si="202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00"/>
        <v>-4.5460086052891784E+16</v>
      </c>
      <c r="J6112" s="455">
        <f t="array" ref="J6112">IFERROR(INDEX('Retirement Calculator'!K:K,MATCH('Lorri 401b'!N6112,'Retirement Calculator'!A:A,0),0),0)</f>
        <v>0</v>
      </c>
      <c r="K6112" s="455">
        <f t="shared" ca="1" si="198"/>
        <v>-189417025220382.44</v>
      </c>
      <c r="L6112" s="455">
        <f t="shared" ca="1" si="199"/>
        <v>-4.5649503078112168E+16</v>
      </c>
      <c r="M6112" s="471">
        <f t="shared" si="201"/>
        <v>0.05</v>
      </c>
      <c r="N6112" s="475">
        <f t="shared" si="202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00"/>
        <v>-4.5649503078112168E+16</v>
      </c>
      <c r="J6113" s="455">
        <f t="array" ref="J6113">IFERROR(INDEX('Retirement Calculator'!K:K,MATCH('Lorri 401b'!N6113,'Retirement Calculator'!A:A,0),0),0)</f>
        <v>0</v>
      </c>
      <c r="K6113" s="455">
        <f t="shared" ca="1" si="198"/>
        <v>-190206262825467.38</v>
      </c>
      <c r="L6113" s="455">
        <f t="shared" ca="1" si="199"/>
        <v>-4.5839709340937632E+16</v>
      </c>
      <c r="M6113" s="471">
        <f t="shared" si="201"/>
        <v>0.05</v>
      </c>
      <c r="N6113" s="475">
        <f t="shared" si="202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00"/>
        <v>-4.5839709340937632E+16</v>
      </c>
      <c r="J6114" s="455">
        <f t="array" ref="J6114">IFERROR(INDEX('Retirement Calculator'!K:K,MATCH('Lorri 401b'!N6114,'Retirement Calculator'!A:A,0),0),0)</f>
        <v>0</v>
      </c>
      <c r="K6114" s="455">
        <f t="shared" ca="1" si="198"/>
        <v>-190998788920573.47</v>
      </c>
      <c r="L6114" s="455">
        <f t="shared" ca="1" si="199"/>
        <v>-4.6030708129858208E+16</v>
      </c>
      <c r="M6114" s="471">
        <f t="shared" si="201"/>
        <v>0.05</v>
      </c>
      <c r="N6114" s="475">
        <f t="shared" si="202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00"/>
        <v>-4.6030708129858208E+16</v>
      </c>
      <c r="J6115" s="455">
        <f t="array" ref="J6115">IFERROR(INDEX('Retirement Calculator'!K:K,MATCH('Lorri 401b'!N6115,'Retirement Calculator'!A:A,0),0),0)</f>
        <v>0</v>
      </c>
      <c r="K6115" s="455">
        <f t="shared" ca="1" si="198"/>
        <v>-191794617207742.53</v>
      </c>
      <c r="L6115" s="455">
        <f t="shared" ca="1" si="199"/>
        <v>-4.6222502747065952E+16</v>
      </c>
      <c r="M6115" s="471">
        <f t="shared" si="201"/>
        <v>0.05</v>
      </c>
      <c r="N6115" s="475">
        <f t="shared" si="202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00"/>
        <v>-4.6222502747065952E+16</v>
      </c>
      <c r="J6116" s="455">
        <f t="array" ref="J6116">IFERROR(INDEX('Retirement Calculator'!K:K,MATCH('Lorri 401b'!N6116,'Retirement Calculator'!A:A,0),0),0)</f>
        <v>0</v>
      </c>
      <c r="K6116" s="455">
        <f t="shared" ca="1" si="198"/>
        <v>-192593761446108.13</v>
      </c>
      <c r="L6116" s="455">
        <f t="shared" ca="1" si="199"/>
        <v>-4.6415096508512064E+16</v>
      </c>
      <c r="M6116" s="471">
        <f t="shared" si="201"/>
        <v>0.05</v>
      </c>
      <c r="N6116" s="475">
        <f t="shared" si="202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00"/>
        <v>-4.6415096508512064E+16</v>
      </c>
      <c r="J6117" s="455">
        <f t="array" ref="J6117">IFERROR(INDEX('Retirement Calculator'!K:K,MATCH('Lorri 401b'!N6117,'Retirement Calculator'!A:A,0),0),0)</f>
        <v>0</v>
      </c>
      <c r="K6117" s="455">
        <f t="shared" ca="1" si="198"/>
        <v>-193396235452133.59</v>
      </c>
      <c r="L6117" s="455">
        <f t="shared" ca="1" si="199"/>
        <v>-4.66084927439642E+16</v>
      </c>
      <c r="M6117" s="471">
        <f t="shared" si="201"/>
        <v>0.05</v>
      </c>
      <c r="N6117" s="475">
        <f t="shared" si="202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00"/>
        <v>-4.66084927439642E+16</v>
      </c>
      <c r="J6118" s="455">
        <f t="array" ref="J6118">IFERROR(INDEX('Retirement Calculator'!K:K,MATCH('Lorri 401b'!N6118,'Retirement Calculator'!A:A,0),0),0)</f>
        <v>0</v>
      </c>
      <c r="K6118" s="455">
        <f t="shared" ca="1" si="198"/>
        <v>-194202053099850.84</v>
      </c>
      <c r="L6118" s="455">
        <f t="shared" ca="1" si="199"/>
        <v>-4.6802694797064048E+16</v>
      </c>
      <c r="M6118" s="471">
        <f t="shared" si="201"/>
        <v>0.05</v>
      </c>
      <c r="N6118" s="475">
        <f t="shared" si="202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00"/>
        <v>-4.6802694797064048E+16</v>
      </c>
      <c r="J6119" s="455">
        <f t="array" ref="J6119">IFERROR(INDEX('Retirement Calculator'!K:K,MATCH('Lorri 401b'!N6119,'Retirement Calculator'!A:A,0),0),0)</f>
        <v>0</v>
      </c>
      <c r="K6119" s="455">
        <f t="shared" ca="1" si="198"/>
        <v>-195011228321100.19</v>
      </c>
      <c r="L6119" s="455">
        <f t="shared" ca="1" si="199"/>
        <v>-4.6997706025385152E+16</v>
      </c>
      <c r="M6119" s="471">
        <f t="shared" si="201"/>
        <v>0.05</v>
      </c>
      <c r="N6119" s="475">
        <f t="shared" si="202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00"/>
        <v>-4.6997706025385152E+16</v>
      </c>
      <c r="J6120" s="455">
        <f t="array" ref="J6120">IFERROR(INDEX('Retirement Calculator'!K:K,MATCH('Lorri 401b'!N6120,'Retirement Calculator'!A:A,0),0),0)</f>
        <v>0</v>
      </c>
      <c r="K6120" s="455">
        <f t="shared" ca="1" si="198"/>
        <v>-195823775105771.47</v>
      </c>
      <c r="L6120" s="455">
        <f t="shared" ca="1" si="199"/>
        <v>-4.719352980049092E+16</v>
      </c>
      <c r="M6120" s="471">
        <f t="shared" si="201"/>
        <v>0.05</v>
      </c>
      <c r="N6120" s="475">
        <f t="shared" si="202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00"/>
        <v>-4.719352980049092E+16</v>
      </c>
      <c r="J6121" s="455">
        <f t="array" ref="J6121">IFERROR(INDEX('Retirement Calculator'!K:K,MATCH('Lorri 401b'!N6121,'Retirement Calculator'!A:A,0),0),0)</f>
        <v>0</v>
      </c>
      <c r="K6121" s="455">
        <f t="shared" ca="1" si="198"/>
        <v>-196639707502045.5</v>
      </c>
      <c r="L6121" s="455">
        <f t="shared" ca="1" si="199"/>
        <v>-4.7390169507992968E+16</v>
      </c>
      <c r="M6121" s="471">
        <f t="shared" si="201"/>
        <v>0.05</v>
      </c>
      <c r="N6121" s="475">
        <f t="shared" si="202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00"/>
        <v>-4.7390169507992968E+16</v>
      </c>
      <c r="J6122" s="455">
        <f t="array" ref="J6122">IFERROR(INDEX('Retirement Calculator'!K:K,MATCH('Lorri 401b'!N6122,'Retirement Calculator'!A:A,0),0),0)</f>
        <v>0</v>
      </c>
      <c r="K6122" s="455">
        <f t="shared" ca="1" si="198"/>
        <v>-197459039616637.38</v>
      </c>
      <c r="L6122" s="455">
        <f t="shared" ca="1" si="199"/>
        <v>-4.7587628547609608E+16</v>
      </c>
      <c r="M6122" s="471">
        <f t="shared" si="201"/>
        <v>0.05</v>
      </c>
      <c r="N6122" s="475">
        <f t="shared" si="202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00"/>
        <v>-4.7587628547609608E+16</v>
      </c>
      <c r="J6123" s="455">
        <f t="array" ref="J6123">IFERROR(INDEX('Retirement Calculator'!K:K,MATCH('Lorri 401b'!N6123,'Retirement Calculator'!A:A,0),0),0)</f>
        <v>0</v>
      </c>
      <c r="K6123" s="455">
        <f t="shared" ca="1" si="198"/>
        <v>-198281785615040.03</v>
      </c>
      <c r="L6123" s="455">
        <f t="shared" ca="1" si="199"/>
        <v>-4.7785910333224648E+16</v>
      </c>
      <c r="M6123" s="471">
        <f t="shared" si="201"/>
        <v>0.05</v>
      </c>
      <c r="N6123" s="475">
        <f t="shared" si="202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00"/>
        <v>-4.7785910333224648E+16</v>
      </c>
      <c r="J6124" s="455">
        <f t="array" ref="J6124">IFERROR(INDEX('Retirement Calculator'!K:K,MATCH('Lorri 401b'!N6124,'Retirement Calculator'!A:A,0),0),0)</f>
        <v>0</v>
      </c>
      <c r="K6124" s="455">
        <f t="shared" ca="1" si="198"/>
        <v>-199107959721769.38</v>
      </c>
      <c r="L6124" s="455">
        <f t="shared" ca="1" si="199"/>
        <v>-4.7985018292946416E+16</v>
      </c>
      <c r="M6124" s="471">
        <f t="shared" si="201"/>
        <v>0.05</v>
      </c>
      <c r="N6124" s="475">
        <f t="shared" si="202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00"/>
        <v>-4.7985018292946416E+16</v>
      </c>
      <c r="J6125" s="455">
        <f t="array" ref="J6125">IFERROR(INDEX('Retirement Calculator'!K:K,MATCH('Lorri 401b'!N6125,'Retirement Calculator'!A:A,0),0),0)</f>
        <v>0</v>
      </c>
      <c r="K6125" s="455">
        <f t="shared" ca="1" si="198"/>
        <v>-199937576220610.06</v>
      </c>
      <c r="L6125" s="455">
        <f t="shared" ca="1" si="199"/>
        <v>-4.8184955869167024E+16</v>
      </c>
      <c r="M6125" s="471">
        <f t="shared" si="201"/>
        <v>0.05</v>
      </c>
      <c r="N6125" s="475">
        <f t="shared" si="202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00"/>
        <v>-4.8184955869167024E+16</v>
      </c>
      <c r="J6126" s="455">
        <f t="array" ref="J6126">IFERROR(INDEX('Retirement Calculator'!K:K,MATCH('Lorri 401b'!N6126,'Retirement Calculator'!A:A,0),0),0)</f>
        <v>0</v>
      </c>
      <c r="K6126" s="455">
        <f t="shared" ca="1" si="198"/>
        <v>-200770649454862.59</v>
      </c>
      <c r="L6126" s="455">
        <f t="shared" ca="1" si="199"/>
        <v>-4.8385726518621888E+16</v>
      </c>
      <c r="M6126" s="471">
        <f t="shared" si="201"/>
        <v>0.05</v>
      </c>
      <c r="N6126" s="475">
        <f t="shared" si="202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00"/>
        <v>-4.8385726518621888E+16</v>
      </c>
      <c r="J6127" s="455">
        <f t="array" ref="J6127">IFERROR(INDEX('Retirement Calculator'!K:K,MATCH('Lorri 401b'!N6127,'Retirement Calculator'!A:A,0),0),0)</f>
        <v>0</v>
      </c>
      <c r="K6127" s="455">
        <f t="shared" ca="1" si="198"/>
        <v>-201607193827591.19</v>
      </c>
      <c r="L6127" s="455">
        <f t="shared" ca="1" si="199"/>
        <v>-4.858733371244948E+16</v>
      </c>
      <c r="M6127" s="471">
        <f t="shared" si="201"/>
        <v>0.05</v>
      </c>
      <c r="N6127" s="475">
        <f t="shared" si="202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00"/>
        <v>-4.858733371244948E+16</v>
      </c>
      <c r="J6128" s="455">
        <f t="array" ref="J6128">IFERROR(INDEX('Retirement Calculator'!K:K,MATCH('Lorri 401b'!N6128,'Retirement Calculator'!A:A,0),0),0)</f>
        <v>0</v>
      </c>
      <c r="K6128" s="455">
        <f t="shared" ref="K6128:K6250" ca="1" si="203">IPMT(M6128/12,1,12,-I6128+J6128,,0)</f>
        <v>-202447223801872.84</v>
      </c>
      <c r="L6128" s="455">
        <f t="shared" ref="L6128:L6250" ca="1" si="204">I6128-J6128+K6128</f>
        <v>-4.8789780936251352E+16</v>
      </c>
      <c r="M6128" s="471">
        <f t="shared" si="201"/>
        <v>0.05</v>
      </c>
      <c r="N6128" s="475">
        <f t="shared" si="202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05">L6128</f>
        <v>-4.8789780936251352E+16</v>
      </c>
      <c r="J6129" s="455">
        <f t="array" ref="J6129">IFERROR(INDEX('Retirement Calculator'!K:K,MATCH('Lorri 401b'!N6129,'Retirement Calculator'!A:A,0),0),0)</f>
        <v>0</v>
      </c>
      <c r="K6129" s="455">
        <f t="shared" ca="1" si="203"/>
        <v>-203290753901047.31</v>
      </c>
      <c r="L6129" s="455">
        <f t="shared" ca="1" si="204"/>
        <v>-4.89930716901524E+16</v>
      </c>
      <c r="M6129" s="471">
        <f t="shared" ref="M6129:M6250" si="206">M6128</f>
        <v>0.05</v>
      </c>
      <c r="N6129" s="475">
        <f t="shared" ref="N6129:N6250" si="207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05"/>
        <v>-4.89930716901524E+16</v>
      </c>
      <c r="J6130" s="455">
        <f t="array" ref="J6130">IFERROR(INDEX('Retirement Calculator'!K:K,MATCH('Lorri 401b'!N6130,'Retirement Calculator'!A:A,0),0),0)</f>
        <v>0</v>
      </c>
      <c r="K6130" s="455">
        <f t="shared" ca="1" si="203"/>
        <v>-204137798708968.34</v>
      </c>
      <c r="L6130" s="455">
        <f t="shared" ca="1" si="204"/>
        <v>-4.9197209488861368E+16</v>
      </c>
      <c r="M6130" s="471">
        <f t="shared" si="206"/>
        <v>0.05</v>
      </c>
      <c r="N6130" s="475">
        <f t="shared" si="207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05"/>
        <v>-4.9197209488861368E+16</v>
      </c>
      <c r="J6131" s="455">
        <f t="array" ref="J6131">IFERROR(INDEX('Retirement Calculator'!K:K,MATCH('Lorri 401b'!N6131,'Retirement Calculator'!A:A,0),0),0)</f>
        <v>0</v>
      </c>
      <c r="K6131" s="455">
        <f t="shared" ca="1" si="203"/>
        <v>-204988372870255.69</v>
      </c>
      <c r="L6131" s="455">
        <f t="shared" ca="1" si="204"/>
        <v>-4.9402197861731624E+16</v>
      </c>
      <c r="M6131" s="471">
        <f t="shared" si="206"/>
        <v>0.05</v>
      </c>
      <c r="N6131" s="475">
        <f t="shared" si="207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05"/>
        <v>-4.9402197861731624E+16</v>
      </c>
      <c r="J6132" s="455">
        <f t="array" ref="J6132">IFERROR(INDEX('Retirement Calculator'!K:K,MATCH('Lorri 401b'!N6132,'Retirement Calculator'!A:A,0),0),0)</f>
        <v>0</v>
      </c>
      <c r="K6132" s="455">
        <f t="shared" ca="1" si="203"/>
        <v>-205842491090548.44</v>
      </c>
      <c r="L6132" s="455">
        <f t="shared" ca="1" si="204"/>
        <v>-4.9608040352822176E+16</v>
      </c>
      <c r="M6132" s="471">
        <f t="shared" si="206"/>
        <v>0.05</v>
      </c>
      <c r="N6132" s="475">
        <f t="shared" si="207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05"/>
        <v>-4.9608040352822176E+16</v>
      </c>
      <c r="J6133" s="455">
        <f t="array" ref="J6133">IFERROR(INDEX('Retirement Calculator'!K:K,MATCH('Lorri 401b'!N6133,'Retirement Calculator'!A:A,0),0),0)</f>
        <v>0</v>
      </c>
      <c r="K6133" s="455">
        <f t="shared" ca="1" si="203"/>
        <v>-206700168136759.06</v>
      </c>
      <c r="L6133" s="455">
        <f t="shared" ca="1" si="204"/>
        <v>-4.9814740520958936E+16</v>
      </c>
      <c r="M6133" s="471">
        <f t="shared" si="206"/>
        <v>0.05</v>
      </c>
      <c r="N6133" s="475">
        <f t="shared" si="207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05"/>
        <v>-4.9814740520958936E+16</v>
      </c>
      <c r="J6134" s="455">
        <f t="array" ref="J6134">IFERROR(INDEX('Retirement Calculator'!K:K,MATCH('Lorri 401b'!N6134,'Retirement Calculator'!A:A,0),0),0)</f>
        <v>0</v>
      </c>
      <c r="K6134" s="455">
        <f t="shared" ca="1" si="203"/>
        <v>-207561418837328.91</v>
      </c>
      <c r="L6134" s="455">
        <f t="shared" ca="1" si="204"/>
        <v>-5.0022301939796264E+16</v>
      </c>
      <c r="M6134" s="471">
        <f t="shared" si="206"/>
        <v>0.05</v>
      </c>
      <c r="N6134" s="475">
        <f t="shared" si="207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05"/>
        <v>-5.0022301939796264E+16</v>
      </c>
      <c r="J6135" s="455">
        <f t="array" ref="J6135">IFERROR(INDEX('Retirement Calculator'!K:K,MATCH('Lorri 401b'!N6135,'Retirement Calculator'!A:A,0),0),0)</f>
        <v>0</v>
      </c>
      <c r="K6135" s="455">
        <f t="shared" ca="1" si="203"/>
        <v>-208426258082484.44</v>
      </c>
      <c r="L6135" s="455">
        <f t="shared" ca="1" si="204"/>
        <v>-5.0230728197878752E+16</v>
      </c>
      <c r="M6135" s="471">
        <f t="shared" si="206"/>
        <v>0.05</v>
      </c>
      <c r="N6135" s="475">
        <f t="shared" si="207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05"/>
        <v>-5.0230728197878752E+16</v>
      </c>
      <c r="J6136" s="455">
        <f t="array" ref="J6136">IFERROR(INDEX('Retirement Calculator'!K:K,MATCH('Lorri 401b'!N6136,'Retirement Calculator'!A:A,0),0),0)</f>
        <v>0</v>
      </c>
      <c r="K6136" s="455">
        <f t="shared" ca="1" si="203"/>
        <v>-209294700824494.81</v>
      </c>
      <c r="L6136" s="455">
        <f t="shared" ca="1" si="204"/>
        <v>-5.0440022898703248E+16</v>
      </c>
      <c r="M6136" s="471">
        <f t="shared" si="206"/>
        <v>0.05</v>
      </c>
      <c r="N6136" s="475">
        <f t="shared" si="207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05"/>
        <v>-5.0440022898703248E+16</v>
      </c>
      <c r="J6137" s="455">
        <f t="array" ref="J6137">IFERROR(INDEX('Retirement Calculator'!K:K,MATCH('Lorri 401b'!N6137,'Retirement Calculator'!A:A,0),0),0)</f>
        <v>0</v>
      </c>
      <c r="K6137" s="455">
        <f t="shared" ca="1" si="203"/>
        <v>-210166762077930.19</v>
      </c>
      <c r="L6137" s="455">
        <f t="shared" ca="1" si="204"/>
        <v>-5.0650189660781176E+16</v>
      </c>
      <c r="M6137" s="471">
        <f t="shared" si="206"/>
        <v>0.05</v>
      </c>
      <c r="N6137" s="475">
        <f t="shared" si="207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05"/>
        <v>-5.0650189660781176E+16</v>
      </c>
      <c r="J6138" s="455">
        <f t="array" ref="J6138">IFERROR(INDEX('Retirement Calculator'!K:K,MATCH('Lorri 401b'!N6138,'Retirement Calculator'!A:A,0),0),0)</f>
        <v>0</v>
      </c>
      <c r="K6138" s="455">
        <f t="shared" ca="1" si="203"/>
        <v>-211042456919921.56</v>
      </c>
      <c r="L6138" s="455">
        <f t="shared" ca="1" si="204"/>
        <v>-5.0861232117701096E+16</v>
      </c>
      <c r="M6138" s="471">
        <f t="shared" si="206"/>
        <v>0.05</v>
      </c>
      <c r="N6138" s="475">
        <f t="shared" si="207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05"/>
        <v>-5.0861232117701096E+16</v>
      </c>
      <c r="J6139" s="455">
        <f t="array" ref="J6139">IFERROR(INDEX('Retirement Calculator'!K:K,MATCH('Lorri 401b'!N6139,'Retirement Calculator'!A:A,0),0),0)</f>
        <v>0</v>
      </c>
      <c r="K6139" s="455">
        <f t="shared" ca="1" si="203"/>
        <v>-211921800490421.22</v>
      </c>
      <c r="L6139" s="455">
        <f t="shared" ca="1" si="204"/>
        <v>-5.107315391819152E+16</v>
      </c>
      <c r="M6139" s="471">
        <f t="shared" si="206"/>
        <v>0.05</v>
      </c>
      <c r="N6139" s="475">
        <f t="shared" si="207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05"/>
        <v>-5.107315391819152E+16</v>
      </c>
      <c r="J6140" s="455">
        <f t="array" ref="J6140">IFERROR(INDEX('Retirement Calculator'!K:K,MATCH('Lorri 401b'!N6140,'Retirement Calculator'!A:A,0),0),0)</f>
        <v>0</v>
      </c>
      <c r="K6140" s="455">
        <f t="shared" ca="1" si="203"/>
        <v>-212804807992464.66</v>
      </c>
      <c r="L6140" s="455">
        <f t="shared" ca="1" si="204"/>
        <v>-5.1285958726183984E+16</v>
      </c>
      <c r="M6140" s="471">
        <f t="shared" si="206"/>
        <v>0.05</v>
      </c>
      <c r="N6140" s="475">
        <f t="shared" si="207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05"/>
        <v>-5.1285958726183984E+16</v>
      </c>
      <c r="J6141" s="455">
        <f t="array" ref="J6141">IFERROR(INDEX('Retirement Calculator'!K:K,MATCH('Lorri 401b'!N6141,'Retirement Calculator'!A:A,0),0),0)</f>
        <v>0</v>
      </c>
      <c r="K6141" s="455">
        <f t="shared" ca="1" si="203"/>
        <v>-213691494692433.25</v>
      </c>
      <c r="L6141" s="455">
        <f t="shared" ca="1" si="204"/>
        <v>-5.1499650220876416E+16</v>
      </c>
      <c r="M6141" s="471">
        <f t="shared" si="206"/>
        <v>0.05</v>
      </c>
      <c r="N6141" s="475">
        <f t="shared" si="207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05"/>
        <v>-5.1499650220876416E+16</v>
      </c>
      <c r="J6142" s="455">
        <f t="array" ref="J6142">IFERROR(INDEX('Retirement Calculator'!K:K,MATCH('Lorri 401b'!N6142,'Retirement Calculator'!A:A,0),0),0)</f>
        <v>0</v>
      </c>
      <c r="K6142" s="455">
        <f t="shared" ca="1" si="203"/>
        <v>-214581875920318.41</v>
      </c>
      <c r="L6142" s="455">
        <f t="shared" ca="1" si="204"/>
        <v>-5.1714232096796736E+16</v>
      </c>
      <c r="M6142" s="471">
        <f t="shared" si="206"/>
        <v>0.05</v>
      </c>
      <c r="N6142" s="475">
        <f t="shared" si="207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05"/>
        <v>-5.1714232096796736E+16</v>
      </c>
      <c r="J6143" s="455">
        <f t="array" ref="J6143">IFERROR(INDEX('Retirement Calculator'!K:K,MATCH('Lorri 401b'!N6143,'Retirement Calculator'!A:A,0),0),0)</f>
        <v>0</v>
      </c>
      <c r="K6143" s="455">
        <f t="shared" ca="1" si="203"/>
        <v>-215475967069986.41</v>
      </c>
      <c r="L6143" s="455">
        <f t="shared" ca="1" si="204"/>
        <v>-5.192970806386672E+16</v>
      </c>
      <c r="M6143" s="471">
        <f t="shared" si="206"/>
        <v>0.05</v>
      </c>
      <c r="N6143" s="475">
        <f t="shared" si="207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05"/>
        <v>-5.192970806386672E+16</v>
      </c>
      <c r="J6144" s="455">
        <f t="array" ref="J6144">IFERROR(INDEX('Retirement Calculator'!K:K,MATCH('Lorri 401b'!N6144,'Retirement Calculator'!A:A,0),0),0)</f>
        <v>0</v>
      </c>
      <c r="K6144" s="455">
        <f t="shared" ca="1" si="203"/>
        <v>-216373783599444.66</v>
      </c>
      <c r="L6144" s="455">
        <f t="shared" ca="1" si="204"/>
        <v>-5.2146081847466168E+16</v>
      </c>
      <c r="M6144" s="471">
        <f t="shared" si="206"/>
        <v>0.05</v>
      </c>
      <c r="N6144" s="475">
        <f t="shared" si="207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05"/>
        <v>-5.2146081847466168E+16</v>
      </c>
      <c r="J6145" s="455">
        <f t="array" ref="J6145">IFERROR(INDEX('Retirement Calculator'!K:K,MATCH('Lorri 401b'!N6145,'Retirement Calculator'!A:A,0),0),0)</f>
        <v>0</v>
      </c>
      <c r="K6145" s="455">
        <f t="shared" ca="1" si="203"/>
        <v>-217275341031109.03</v>
      </c>
      <c r="L6145" s="455">
        <f t="shared" ca="1" si="204"/>
        <v>-5.236335718849728E+16</v>
      </c>
      <c r="M6145" s="471">
        <f t="shared" si="206"/>
        <v>0.05</v>
      </c>
      <c r="N6145" s="475">
        <f t="shared" si="207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05"/>
        <v>-5.236335718849728E+16</v>
      </c>
      <c r="J6146" s="455">
        <f t="array" ref="J6146">IFERROR(INDEX('Retirement Calculator'!K:K,MATCH('Lorri 401b'!N6146,'Retirement Calculator'!A:A,0),0),0)</f>
        <v>0</v>
      </c>
      <c r="K6146" s="455">
        <f t="shared" ca="1" si="203"/>
        <v>-218180654952072</v>
      </c>
      <c r="L6146" s="455">
        <f t="shared" ca="1" si="204"/>
        <v>-5.2581537843449352E+16</v>
      </c>
      <c r="M6146" s="471">
        <f t="shared" si="206"/>
        <v>0.05</v>
      </c>
      <c r="N6146" s="475">
        <f t="shared" si="207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05"/>
        <v>-5.2581537843449352E+16</v>
      </c>
      <c r="J6147" s="455">
        <f t="array" ref="J6147">IFERROR(INDEX('Retirement Calculator'!K:K,MATCH('Lorri 401b'!N6147,'Retirement Calculator'!A:A,0),0),0)</f>
        <v>0</v>
      </c>
      <c r="K6147" s="455">
        <f t="shared" ca="1" si="203"/>
        <v>-219089741014372.31</v>
      </c>
      <c r="L6147" s="455">
        <f t="shared" ca="1" si="204"/>
        <v>-5.2800627584463728E+16</v>
      </c>
      <c r="M6147" s="471">
        <f t="shared" si="206"/>
        <v>0.05</v>
      </c>
      <c r="N6147" s="475">
        <f t="shared" si="207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05"/>
        <v>-5.2800627584463728E+16</v>
      </c>
      <c r="J6148" s="455">
        <f t="array" ref="J6148">IFERROR(INDEX('Retirement Calculator'!K:K,MATCH('Lorri 401b'!N6148,'Retirement Calculator'!A:A,0),0),0)</f>
        <v>0</v>
      </c>
      <c r="K6148" s="455">
        <f t="shared" ca="1" si="203"/>
        <v>-220002614935265.53</v>
      </c>
      <c r="L6148" s="455">
        <f t="shared" ca="1" si="204"/>
        <v>-5.3020630199398992E+16</v>
      </c>
      <c r="M6148" s="471">
        <f t="shared" si="206"/>
        <v>0.05</v>
      </c>
      <c r="N6148" s="475">
        <f t="shared" si="207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05"/>
        <v>-5.3020630199398992E+16</v>
      </c>
      <c r="J6149" s="455">
        <f t="array" ref="J6149">IFERROR(INDEX('Retirement Calculator'!K:K,MATCH('Lorri 401b'!N6149,'Retirement Calculator'!A:A,0),0),0)</f>
        <v>0</v>
      </c>
      <c r="K6149" s="455">
        <f t="shared" ca="1" si="203"/>
        <v>-220919292497495.81</v>
      </c>
      <c r="L6149" s="455">
        <f t="shared" ca="1" si="204"/>
        <v>-5.3241549491896488E+16</v>
      </c>
      <c r="M6149" s="471">
        <f t="shared" si="206"/>
        <v>0.05</v>
      </c>
      <c r="N6149" s="475">
        <f t="shared" si="207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05"/>
        <v>-5.3241549491896488E+16</v>
      </c>
      <c r="J6150" s="455">
        <f t="array" ref="J6150">IFERROR(INDEX('Retirement Calculator'!K:K,MATCH('Lorri 401b'!N6150,'Retirement Calculator'!A:A,0),0),0)</f>
        <v>0</v>
      </c>
      <c r="K6150" s="455">
        <f t="shared" ca="1" si="203"/>
        <v>-221839789549568.69</v>
      </c>
      <c r="L6150" s="455">
        <f t="shared" ca="1" si="204"/>
        <v>-5.3463389281446056E+16</v>
      </c>
      <c r="M6150" s="471">
        <f t="shared" si="206"/>
        <v>0.05</v>
      </c>
      <c r="N6150" s="475">
        <f t="shared" si="207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05"/>
        <v>-5.3463389281446056E+16</v>
      </c>
      <c r="J6151" s="455">
        <f t="array" ref="J6151">IFERROR(INDEX('Retirement Calculator'!K:K,MATCH('Lorri 401b'!N6151,'Retirement Calculator'!A:A,0),0),0)</f>
        <v>0</v>
      </c>
      <c r="K6151" s="455">
        <f t="shared" ca="1" si="203"/>
        <v>-222764122006025.22</v>
      </c>
      <c r="L6151" s="455">
        <f t="shared" ca="1" si="204"/>
        <v>-5.368615340345208E+16</v>
      </c>
      <c r="M6151" s="471">
        <f t="shared" si="206"/>
        <v>0.05</v>
      </c>
      <c r="N6151" s="475">
        <f t="shared" si="207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05"/>
        <v>-5.368615340345208E+16</v>
      </c>
      <c r="J6152" s="455">
        <f t="array" ref="J6152">IFERROR(INDEX('Retirement Calculator'!K:K,MATCH('Lorri 401b'!N6152,'Retirement Calculator'!A:A,0),0),0)</f>
        <v>0</v>
      </c>
      <c r="K6152" s="455">
        <f t="shared" ca="1" si="203"/>
        <v>-223692305847717</v>
      </c>
      <c r="L6152" s="455">
        <f t="shared" ca="1" si="204"/>
        <v>-5.39098457092998E+16</v>
      </c>
      <c r="M6152" s="471">
        <f t="shared" si="206"/>
        <v>0.05</v>
      </c>
      <c r="N6152" s="475">
        <f t="shared" si="207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05"/>
        <v>-5.39098457092998E+16</v>
      </c>
      <c r="J6153" s="455">
        <f t="array" ref="J6153">IFERROR(INDEX('Retirement Calculator'!K:K,MATCH('Lorri 401b'!N6153,'Retirement Calculator'!A:A,0),0),0)</f>
        <v>0</v>
      </c>
      <c r="K6153" s="455">
        <f t="shared" ca="1" si="203"/>
        <v>-224624357122082.5</v>
      </c>
      <c r="L6153" s="455">
        <f t="shared" ca="1" si="204"/>
        <v>-5.413447006642188E+16</v>
      </c>
      <c r="M6153" s="471">
        <f t="shared" si="206"/>
        <v>0.05</v>
      </c>
      <c r="N6153" s="475">
        <f t="shared" si="207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05"/>
        <v>-5.413447006642188E+16</v>
      </c>
      <c r="J6154" s="455">
        <f t="array" ref="J6154">IFERROR(INDEX('Retirement Calculator'!K:K,MATCH('Lorri 401b'!N6154,'Retirement Calculator'!A:A,0),0),0)</f>
        <v>0</v>
      </c>
      <c r="K6154" s="455">
        <f t="shared" ca="1" si="203"/>
        <v>-225560291943424.5</v>
      </c>
      <c r="L6154" s="455">
        <f t="shared" ca="1" si="204"/>
        <v>-5.4360030358365304E+16</v>
      </c>
      <c r="M6154" s="471">
        <f t="shared" si="206"/>
        <v>0.05</v>
      </c>
      <c r="N6154" s="475">
        <f t="shared" si="207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05"/>
        <v>-5.4360030358365304E+16</v>
      </c>
      <c r="J6155" s="455">
        <f t="array" ref="J6155">IFERROR(INDEX('Retirement Calculator'!K:K,MATCH('Lorri 401b'!N6155,'Retirement Calculator'!A:A,0),0),0)</f>
        <v>0</v>
      </c>
      <c r="K6155" s="455">
        <f t="shared" ca="1" si="203"/>
        <v>-226500126493188.75</v>
      </c>
      <c r="L6155" s="455">
        <f t="shared" ca="1" si="204"/>
        <v>-5.4586530484858496E+16</v>
      </c>
      <c r="M6155" s="471">
        <f t="shared" si="206"/>
        <v>0.05</v>
      </c>
      <c r="N6155" s="475">
        <f t="shared" si="207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05"/>
        <v>-5.4586530484858496E+16</v>
      </c>
      <c r="J6156" s="455">
        <f t="array" ref="J6156">IFERROR(INDEX('Retirement Calculator'!K:K,MATCH('Lorri 401b'!N6156,'Retirement Calculator'!A:A,0),0),0)</f>
        <v>0</v>
      </c>
      <c r="K6156" s="455">
        <f t="shared" ca="1" si="203"/>
        <v>-227443877020243.72</v>
      </c>
      <c r="L6156" s="455">
        <f t="shared" ca="1" si="204"/>
        <v>-5.4813974361878736E+16</v>
      </c>
      <c r="M6156" s="471">
        <f t="shared" si="206"/>
        <v>0.05</v>
      </c>
      <c r="N6156" s="475">
        <f t="shared" si="207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05"/>
        <v>-5.4813974361878736E+16</v>
      </c>
      <c r="J6157" s="455">
        <f t="array" ref="J6157">IFERROR(INDEX('Retirement Calculator'!K:K,MATCH('Lorri 401b'!N6157,'Retirement Calculator'!A:A,0),0),0)</f>
        <v>0</v>
      </c>
      <c r="K6157" s="455">
        <f t="shared" ca="1" si="203"/>
        <v>-228391559841161.41</v>
      </c>
      <c r="L6157" s="455">
        <f t="shared" ca="1" si="204"/>
        <v>-5.5042365921719896E+16</v>
      </c>
      <c r="M6157" s="471">
        <f t="shared" si="206"/>
        <v>0.05</v>
      </c>
      <c r="N6157" s="475">
        <f t="shared" si="207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05"/>
        <v>-5.5042365921719896E+16</v>
      </c>
      <c r="J6158" s="455">
        <f t="array" ref="J6158">IFERROR(INDEX('Retirement Calculator'!K:K,MATCH('Lorri 401b'!N6158,'Retirement Calculator'!A:A,0),0),0)</f>
        <v>0</v>
      </c>
      <c r="K6158" s="455">
        <f t="shared" ca="1" si="203"/>
        <v>-229343191340499.56</v>
      </c>
      <c r="L6158" s="455">
        <f t="shared" ca="1" si="204"/>
        <v>-5.5271709113060392E+16</v>
      </c>
      <c r="M6158" s="471">
        <f t="shared" si="206"/>
        <v>0.05</v>
      </c>
      <c r="N6158" s="475">
        <f t="shared" si="207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05"/>
        <v>-5.5271709113060392E+16</v>
      </c>
      <c r="J6159" s="455">
        <f t="array" ref="J6159">IFERROR(INDEX('Retirement Calculator'!K:K,MATCH('Lorri 401b'!N6159,'Retirement Calculator'!A:A,0),0),0)</f>
        <v>0</v>
      </c>
      <c r="K6159" s="455">
        <f t="shared" ca="1" si="203"/>
        <v>-230298787971084.97</v>
      </c>
      <c r="L6159" s="455">
        <f t="shared" ca="1" si="204"/>
        <v>-5.550200790103148E+16</v>
      </c>
      <c r="M6159" s="471">
        <f t="shared" si="206"/>
        <v>0.05</v>
      </c>
      <c r="N6159" s="475">
        <f t="shared" si="207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05"/>
        <v>-5.550200790103148E+16</v>
      </c>
      <c r="J6160" s="455">
        <f t="array" ref="J6160">IFERROR(INDEX('Retirement Calculator'!K:K,MATCH('Lorri 401b'!N6160,'Retirement Calculator'!A:A,0),0),0)</f>
        <v>0</v>
      </c>
      <c r="K6160" s="455">
        <f t="shared" ca="1" si="203"/>
        <v>-231258366254297.84</v>
      </c>
      <c r="L6160" s="455">
        <f t="shared" ca="1" si="204"/>
        <v>-5.5733266267285776E+16</v>
      </c>
      <c r="M6160" s="471">
        <f t="shared" si="206"/>
        <v>0.05</v>
      </c>
      <c r="N6160" s="475">
        <f t="shared" si="207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05"/>
        <v>-5.5733266267285776E+16</v>
      </c>
      <c r="J6161" s="455">
        <f t="array" ref="J6161">IFERROR(INDEX('Retirement Calculator'!K:K,MATCH('Lorri 401b'!N6161,'Retirement Calculator'!A:A,0),0),0)</f>
        <v>0</v>
      </c>
      <c r="K6161" s="455">
        <f t="shared" ca="1" si="203"/>
        <v>-232221942780357.41</v>
      </c>
      <c r="L6161" s="455">
        <f t="shared" ca="1" si="204"/>
        <v>-5.5965488210066136E+16</v>
      </c>
      <c r="M6161" s="471">
        <f t="shared" si="206"/>
        <v>0.05</v>
      </c>
      <c r="N6161" s="475">
        <f t="shared" si="207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05"/>
        <v>-5.5965488210066136E+16</v>
      </c>
      <c r="J6162" s="455">
        <f t="array" ref="J6162">IFERROR(INDEX('Retirement Calculator'!K:K,MATCH('Lorri 401b'!N6162,'Retirement Calculator'!A:A,0),0),0)</f>
        <v>0</v>
      </c>
      <c r="K6162" s="455">
        <f t="shared" ca="1" si="203"/>
        <v>-233189534208608.91</v>
      </c>
      <c r="L6162" s="455">
        <f t="shared" ca="1" si="204"/>
        <v>-5.6198677744274744E+16</v>
      </c>
      <c r="M6162" s="471">
        <f t="shared" si="206"/>
        <v>0.05</v>
      </c>
      <c r="N6162" s="475">
        <f t="shared" si="207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05"/>
        <v>-5.6198677744274744E+16</v>
      </c>
      <c r="J6163" s="455">
        <f t="array" ref="J6163">IFERROR(INDEX('Retirement Calculator'!K:K,MATCH('Lorri 401b'!N6163,'Retirement Calculator'!A:A,0),0),0)</f>
        <v>0</v>
      </c>
      <c r="K6163" s="455">
        <f t="shared" ca="1" si="203"/>
        <v>-234161157267811.44</v>
      </c>
      <c r="L6163" s="455">
        <f t="shared" ca="1" si="204"/>
        <v>-5.6432838901542552E+16</v>
      </c>
      <c r="M6163" s="471">
        <f t="shared" si="206"/>
        <v>0.05</v>
      </c>
      <c r="N6163" s="475">
        <f t="shared" si="207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05"/>
        <v>-5.6432838901542552E+16</v>
      </c>
      <c r="J6164" s="455">
        <f t="array" ref="J6164">IFERROR(INDEX('Retirement Calculator'!K:K,MATCH('Lorri 401b'!N6164,'Retirement Calculator'!A:A,0),0),0)</f>
        <v>0</v>
      </c>
      <c r="K6164" s="455">
        <f t="shared" ca="1" si="203"/>
        <v>-235136828756427.28</v>
      </c>
      <c r="L6164" s="455">
        <f t="shared" ca="1" si="204"/>
        <v>-5.6667975730298976E+16</v>
      </c>
      <c r="M6164" s="471">
        <f t="shared" si="206"/>
        <v>0.05</v>
      </c>
      <c r="N6164" s="475">
        <f t="shared" si="207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05"/>
        <v>-5.6667975730298976E+16</v>
      </c>
      <c r="J6165" s="455">
        <f t="array" ref="J6165">IFERROR(INDEX('Retirement Calculator'!K:K,MATCH('Lorri 401b'!N6165,'Retirement Calculator'!A:A,0),0),0)</f>
        <v>0</v>
      </c>
      <c r="K6165" s="455">
        <f t="shared" ca="1" si="203"/>
        <v>-236116565542912.41</v>
      </c>
      <c r="L6165" s="455">
        <f t="shared" ca="1" si="204"/>
        <v>-5.6904092295841888E+16</v>
      </c>
      <c r="M6165" s="471">
        <f t="shared" si="206"/>
        <v>0.05</v>
      </c>
      <c r="N6165" s="475">
        <f t="shared" si="207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05"/>
        <v>-5.6904092295841888E+16</v>
      </c>
      <c r="J6166" s="455">
        <f t="array" ref="J6166">IFERROR(INDEX('Retirement Calculator'!K:K,MATCH('Lorri 401b'!N6166,'Retirement Calculator'!A:A,0),0),0)</f>
        <v>0</v>
      </c>
      <c r="K6166" s="455">
        <f t="shared" ca="1" si="203"/>
        <v>-237100384566007.88</v>
      </c>
      <c r="L6166" s="455">
        <f t="shared" ca="1" si="204"/>
        <v>-5.7141192680407896E+16</v>
      </c>
      <c r="M6166" s="471">
        <f t="shared" si="206"/>
        <v>0.05</v>
      </c>
      <c r="N6166" s="475">
        <f t="shared" si="207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05"/>
        <v>-5.7141192680407896E+16</v>
      </c>
      <c r="J6167" s="455">
        <f t="array" ref="J6167">IFERROR(INDEX('Retirement Calculator'!K:K,MATCH('Lorri 401b'!N6167,'Retirement Calculator'!A:A,0),0),0)</f>
        <v>0</v>
      </c>
      <c r="K6167" s="455">
        <f t="shared" ca="1" si="203"/>
        <v>-238088302835032.91</v>
      </c>
      <c r="L6167" s="455">
        <f t="shared" ca="1" si="204"/>
        <v>-5.7379280983242928E+16</v>
      </c>
      <c r="M6167" s="471">
        <f t="shared" si="206"/>
        <v>0.05</v>
      </c>
      <c r="N6167" s="475">
        <f t="shared" si="207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05"/>
        <v>-5.7379280983242928E+16</v>
      </c>
      <c r="J6168" s="455">
        <f t="array" ref="J6168">IFERROR(INDEX('Retirement Calculator'!K:K,MATCH('Lorri 401b'!N6168,'Retirement Calculator'!A:A,0),0),0)</f>
        <v>0</v>
      </c>
      <c r="K6168" s="455">
        <f t="shared" ca="1" si="203"/>
        <v>-239080337430178.88</v>
      </c>
      <c r="L6168" s="455">
        <f t="shared" ca="1" si="204"/>
        <v>-5.7618361320673104E+16</v>
      </c>
      <c r="M6168" s="471">
        <f t="shared" si="206"/>
        <v>0.05</v>
      </c>
      <c r="N6168" s="475">
        <f t="shared" si="207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05"/>
        <v>-5.7618361320673104E+16</v>
      </c>
      <c r="J6169" s="455">
        <f t="array" ref="J6169">IFERROR(INDEX('Retirement Calculator'!K:K,MATCH('Lorri 401b'!N6169,'Retirement Calculator'!A:A,0),0),0)</f>
        <v>0</v>
      </c>
      <c r="K6169" s="455">
        <f t="shared" ca="1" si="203"/>
        <v>-240076505502804.59</v>
      </c>
      <c r="L6169" s="455">
        <f t="shared" ca="1" si="204"/>
        <v>-5.7858437826175912E+16</v>
      </c>
      <c r="M6169" s="471">
        <f t="shared" si="206"/>
        <v>0.05</v>
      </c>
      <c r="N6169" s="475">
        <f t="shared" si="207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05"/>
        <v>-5.7858437826175912E+16</v>
      </c>
      <c r="J6170" s="455">
        <f t="array" ref="J6170">IFERROR(INDEX('Retirement Calculator'!K:K,MATCH('Lorri 401b'!N6170,'Retirement Calculator'!A:A,0),0),0)</f>
        <v>0</v>
      </c>
      <c r="K6170" s="455">
        <f t="shared" ca="1" si="203"/>
        <v>-241076824275733</v>
      </c>
      <c r="L6170" s="455">
        <f t="shared" ca="1" si="204"/>
        <v>-5.8099514650451648E+16</v>
      </c>
      <c r="M6170" s="471">
        <f t="shared" si="206"/>
        <v>0.05</v>
      </c>
      <c r="N6170" s="475">
        <f t="shared" si="207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05"/>
        <v>-5.8099514650451648E+16</v>
      </c>
      <c r="J6171" s="455">
        <f t="array" ref="J6171">IFERROR(INDEX('Retirement Calculator'!K:K,MATCH('Lorri 401b'!N6171,'Retirement Calculator'!A:A,0),0),0)</f>
        <v>0</v>
      </c>
      <c r="K6171" s="455">
        <f t="shared" ca="1" si="203"/>
        <v>-242081311043548.53</v>
      </c>
      <c r="L6171" s="455">
        <f t="shared" ca="1" si="204"/>
        <v>-5.83415959614952E+16</v>
      </c>
      <c r="M6171" s="471">
        <f t="shared" si="206"/>
        <v>0.05</v>
      </c>
      <c r="N6171" s="475">
        <f t="shared" si="207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05"/>
        <v>-5.83415959614952E+16</v>
      </c>
      <c r="J6172" s="455">
        <f t="array" ref="J6172">IFERROR(INDEX('Retirement Calculator'!K:K,MATCH('Lorri 401b'!N6172,'Retirement Calculator'!A:A,0),0),0)</f>
        <v>0</v>
      </c>
      <c r="K6172" s="455">
        <f t="shared" ca="1" si="203"/>
        <v>-243089983172896.66</v>
      </c>
      <c r="L6172" s="455">
        <f t="shared" ca="1" si="204"/>
        <v>-5.8584685944668096E+16</v>
      </c>
      <c r="M6172" s="471">
        <f t="shared" si="206"/>
        <v>0.05</v>
      </c>
      <c r="N6172" s="475">
        <f t="shared" si="207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05"/>
        <v>-5.8584685944668096E+16</v>
      </c>
      <c r="J6173" s="455">
        <f t="array" ref="J6173">IFERROR(INDEX('Retirement Calculator'!K:K,MATCH('Lorri 401b'!N6173,'Retirement Calculator'!A:A,0),0),0)</f>
        <v>0</v>
      </c>
      <c r="K6173" s="455">
        <f t="shared" ca="1" si="203"/>
        <v>-244102858102783.72</v>
      </c>
      <c r="L6173" s="455">
        <f t="shared" ca="1" si="204"/>
        <v>-5.882878880277088E+16</v>
      </c>
      <c r="M6173" s="471">
        <f t="shared" si="206"/>
        <v>0.05</v>
      </c>
      <c r="N6173" s="475">
        <f t="shared" si="207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05"/>
        <v>-5.882878880277088E+16</v>
      </c>
      <c r="J6174" s="455">
        <f t="array" ref="J6174">IFERROR(INDEX('Retirement Calculator'!K:K,MATCH('Lorri 401b'!N6174,'Retirement Calculator'!A:A,0),0),0)</f>
        <v>0</v>
      </c>
      <c r="K6174" s="455">
        <f t="shared" ca="1" si="203"/>
        <v>-245119953344878.66</v>
      </c>
      <c r="L6174" s="455">
        <f t="shared" ca="1" si="204"/>
        <v>-5.907390875611576E+16</v>
      </c>
      <c r="M6174" s="471">
        <f t="shared" si="206"/>
        <v>0.05</v>
      </c>
      <c r="N6174" s="475">
        <f t="shared" si="207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05"/>
        <v>-5.907390875611576E+16</v>
      </c>
      <c r="J6175" s="455">
        <f t="array" ref="J6175">IFERROR(INDEX('Retirement Calculator'!K:K,MATCH('Lorri 401b'!N6175,'Retirement Calculator'!A:A,0),0),0)</f>
        <v>0</v>
      </c>
      <c r="K6175" s="455">
        <f t="shared" ca="1" si="203"/>
        <v>-246141286483815.66</v>
      </c>
      <c r="L6175" s="455">
        <f t="shared" ca="1" si="204"/>
        <v>-5.9320050042599576E+16</v>
      </c>
      <c r="M6175" s="471">
        <f t="shared" si="206"/>
        <v>0.05</v>
      </c>
      <c r="N6175" s="475">
        <f t="shared" si="207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05"/>
        <v>-5.9320050042599576E+16</v>
      </c>
      <c r="J6176" s="455">
        <f t="array" ref="J6176">IFERROR(INDEX('Retirement Calculator'!K:K,MATCH('Lorri 401b'!N6176,'Retirement Calculator'!A:A,0),0),0)</f>
        <v>0</v>
      </c>
      <c r="K6176" s="455">
        <f t="shared" ca="1" si="203"/>
        <v>-247166875177498.22</v>
      </c>
      <c r="L6176" s="455">
        <f t="shared" ca="1" si="204"/>
        <v>-5.9567216917777072E+16</v>
      </c>
      <c r="M6176" s="471">
        <f t="shared" si="206"/>
        <v>0.05</v>
      </c>
      <c r="N6176" s="475">
        <f t="shared" si="207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05"/>
        <v>-5.9567216917777072E+16</v>
      </c>
      <c r="J6177" s="455">
        <f t="array" ref="J6177">IFERROR(INDEX('Retirement Calculator'!K:K,MATCH('Lorri 401b'!N6177,'Retirement Calculator'!A:A,0),0),0)</f>
        <v>0</v>
      </c>
      <c r="K6177" s="455">
        <f t="shared" ca="1" si="203"/>
        <v>-248196737157404.47</v>
      </c>
      <c r="L6177" s="455">
        <f t="shared" ca="1" si="204"/>
        <v>-5.981541365493448E+16</v>
      </c>
      <c r="M6177" s="471">
        <f t="shared" si="206"/>
        <v>0.05</v>
      </c>
      <c r="N6177" s="475">
        <f t="shared" si="207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05"/>
        <v>-5.981541365493448E+16</v>
      </c>
      <c r="J6178" s="455">
        <f t="array" ref="J6178">IFERROR(INDEX('Retirement Calculator'!K:K,MATCH('Lorri 401b'!N6178,'Retirement Calculator'!A:A,0),0),0)</f>
        <v>0</v>
      </c>
      <c r="K6178" s="455">
        <f t="shared" ca="1" si="203"/>
        <v>-249230890228893.69</v>
      </c>
      <c r="L6178" s="455">
        <f t="shared" ca="1" si="204"/>
        <v>-6.0064644545163376E+16</v>
      </c>
      <c r="M6178" s="471">
        <f t="shared" si="206"/>
        <v>0.05</v>
      </c>
      <c r="N6178" s="475">
        <f t="shared" si="207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05"/>
        <v>-6.0064644545163376E+16</v>
      </c>
      <c r="J6179" s="455">
        <f t="array" ref="J6179">IFERROR(INDEX('Retirement Calculator'!K:K,MATCH('Lorri 401b'!N6179,'Retirement Calculator'!A:A,0),0),0)</f>
        <v>0</v>
      </c>
      <c r="K6179" s="455">
        <f t="shared" ca="1" si="203"/>
        <v>-250269352271514.09</v>
      </c>
      <c r="L6179" s="455">
        <f t="shared" ca="1" si="204"/>
        <v>-6.0314913897434888E+16</v>
      </c>
      <c r="M6179" s="471">
        <f t="shared" si="206"/>
        <v>0.05</v>
      </c>
      <c r="N6179" s="475">
        <f t="shared" si="207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05"/>
        <v>-6.0314913897434888E+16</v>
      </c>
      <c r="J6180" s="455">
        <f t="array" ref="J6180">IFERROR(INDEX('Retirement Calculator'!K:K,MATCH('Lorri 401b'!N6180,'Retirement Calculator'!A:A,0),0),0)</f>
        <v>0</v>
      </c>
      <c r="K6180" s="455">
        <f t="shared" ca="1" si="203"/>
        <v>-251312141239312.03</v>
      </c>
      <c r="L6180" s="455">
        <f t="shared" ca="1" si="204"/>
        <v>-6.05662260386742E+16</v>
      </c>
      <c r="M6180" s="471">
        <f t="shared" si="206"/>
        <v>0.05</v>
      </c>
      <c r="N6180" s="475">
        <f t="shared" si="207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05"/>
        <v>-6.05662260386742E+16</v>
      </c>
      <c r="J6181" s="455">
        <f t="array" ref="J6181">IFERROR(INDEX('Retirement Calculator'!K:K,MATCH('Lorri 401b'!N6181,'Retirement Calculator'!A:A,0),0),0)</f>
        <v>0</v>
      </c>
      <c r="K6181" s="455">
        <f t="shared" ca="1" si="203"/>
        <v>-252359275161142.5</v>
      </c>
      <c r="L6181" s="455">
        <f t="shared" ca="1" si="204"/>
        <v>-6.0818585313835344E+16</v>
      </c>
      <c r="M6181" s="471">
        <f t="shared" si="206"/>
        <v>0.05</v>
      </c>
      <c r="N6181" s="475">
        <f t="shared" si="207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05"/>
        <v>-6.0818585313835344E+16</v>
      </c>
      <c r="J6182" s="455">
        <f t="array" ref="J6182">IFERROR(INDEX('Retirement Calculator'!K:K,MATCH('Lorri 401b'!N6182,'Retirement Calculator'!A:A,0),0),0)</f>
        <v>0</v>
      </c>
      <c r="K6182" s="455">
        <f t="shared" ca="1" si="203"/>
        <v>-253410772140980.59</v>
      </c>
      <c r="L6182" s="455">
        <f t="shared" ca="1" si="204"/>
        <v>-6.1071996085976328E+16</v>
      </c>
      <c r="M6182" s="471">
        <f t="shared" si="206"/>
        <v>0.05</v>
      </c>
      <c r="N6182" s="475">
        <f t="shared" si="207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05"/>
        <v>-6.1071996085976328E+16</v>
      </c>
      <c r="J6183" s="455">
        <f t="array" ref="J6183">IFERROR(INDEX('Retirement Calculator'!K:K,MATCH('Lorri 401b'!N6183,'Retirement Calculator'!A:A,0),0),0)</f>
        <v>0</v>
      </c>
      <c r="K6183" s="455">
        <f t="shared" ca="1" si="203"/>
        <v>-254466650358234.69</v>
      </c>
      <c r="L6183" s="455">
        <f t="shared" ca="1" si="204"/>
        <v>-6.132646273633456E+16</v>
      </c>
      <c r="M6183" s="471">
        <f t="shared" si="206"/>
        <v>0.05</v>
      </c>
      <c r="N6183" s="475">
        <f t="shared" si="207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05"/>
        <v>-6.132646273633456E+16</v>
      </c>
      <c r="J6184" s="455">
        <f t="array" ref="J6184">IFERROR(INDEX('Retirement Calculator'!K:K,MATCH('Lorri 401b'!N6184,'Retirement Calculator'!A:A,0),0),0)</f>
        <v>0</v>
      </c>
      <c r="K6184" s="455">
        <f t="shared" ca="1" si="203"/>
        <v>-255526928068060.66</v>
      </c>
      <c r="L6184" s="455">
        <f t="shared" ca="1" si="204"/>
        <v>-6.1581989664402624E+16</v>
      </c>
      <c r="M6184" s="471">
        <f t="shared" si="206"/>
        <v>0.05</v>
      </c>
      <c r="N6184" s="475">
        <f t="shared" si="207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05"/>
        <v>-6.1581989664402624E+16</v>
      </c>
      <c r="J6185" s="455">
        <f t="array" ref="J6185">IFERROR(INDEX('Retirement Calculator'!K:K,MATCH('Lorri 401b'!N6185,'Retirement Calculator'!A:A,0),0),0)</f>
        <v>0</v>
      </c>
      <c r="K6185" s="455">
        <f t="shared" ca="1" si="203"/>
        <v>-256591623601677.59</v>
      </c>
      <c r="L6185" s="455">
        <f t="shared" ca="1" si="204"/>
        <v>-6.1838581288004304E+16</v>
      </c>
      <c r="M6185" s="471">
        <f t="shared" si="206"/>
        <v>0.05</v>
      </c>
      <c r="N6185" s="475">
        <f t="shared" si="207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05"/>
        <v>-6.1838581288004304E+16</v>
      </c>
      <c r="J6186" s="455">
        <f t="array" ref="J6186">IFERROR(INDEX('Retirement Calculator'!K:K,MATCH('Lorri 401b'!N6186,'Retirement Calculator'!A:A,0),0),0)</f>
        <v>0</v>
      </c>
      <c r="K6186" s="455">
        <f t="shared" ca="1" si="203"/>
        <v>-257660755366684.63</v>
      </c>
      <c r="L6186" s="455">
        <f t="shared" ca="1" si="204"/>
        <v>-6.2096242043370992E+16</v>
      </c>
      <c r="M6186" s="471">
        <f t="shared" si="206"/>
        <v>0.05</v>
      </c>
      <c r="N6186" s="475">
        <f t="shared" si="207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05"/>
        <v>-6.2096242043370992E+16</v>
      </c>
      <c r="J6187" s="455">
        <f t="array" ref="J6187">IFERROR(INDEX('Retirement Calculator'!K:K,MATCH('Lorri 401b'!N6187,'Retirement Calculator'!A:A,0),0),0)</f>
        <v>0</v>
      </c>
      <c r="K6187" s="455">
        <f t="shared" ca="1" si="203"/>
        <v>-258734341847379.13</v>
      </c>
      <c r="L6187" s="455">
        <f t="shared" ca="1" si="204"/>
        <v>-6.2354976385218368E+16</v>
      </c>
      <c r="M6187" s="471">
        <f t="shared" si="206"/>
        <v>0.05</v>
      </c>
      <c r="N6187" s="475">
        <f t="shared" si="207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05"/>
        <v>-6.2354976385218368E+16</v>
      </c>
      <c r="J6188" s="455">
        <f t="array" ref="J6188">IFERROR(INDEX('Retirement Calculator'!K:K,MATCH('Lorri 401b'!N6188,'Retirement Calculator'!A:A,0),0),0)</f>
        <v>0</v>
      </c>
      <c r="K6188" s="455">
        <f t="shared" ca="1" si="203"/>
        <v>-259812401605076.53</v>
      </c>
      <c r="L6188" s="455">
        <f t="shared" ca="1" si="204"/>
        <v>-6.2614788786823448E+16</v>
      </c>
      <c r="M6188" s="471">
        <f t="shared" si="206"/>
        <v>0.05</v>
      </c>
      <c r="N6188" s="475">
        <f t="shared" si="207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05"/>
        <v>-6.2614788786823448E+16</v>
      </c>
      <c r="J6189" s="455">
        <f t="array" ref="J6189">IFERROR(INDEX('Retirement Calculator'!K:K,MATCH('Lorri 401b'!N6189,'Retirement Calculator'!A:A,0),0),0)</f>
        <v>0</v>
      </c>
      <c r="K6189" s="455">
        <f t="shared" ca="1" si="203"/>
        <v>-260894953278431.03</v>
      </c>
      <c r="L6189" s="455">
        <f t="shared" ca="1" si="204"/>
        <v>-6.287568374010188E+16</v>
      </c>
      <c r="M6189" s="471">
        <f t="shared" si="206"/>
        <v>0.05</v>
      </c>
      <c r="N6189" s="475">
        <f t="shared" si="207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05"/>
        <v>-6.287568374010188E+16</v>
      </c>
      <c r="J6190" s="455">
        <f t="array" ref="J6190">IFERROR(INDEX('Retirement Calculator'!K:K,MATCH('Lorri 401b'!N6190,'Retirement Calculator'!A:A,0),0),0)</f>
        <v>0</v>
      </c>
      <c r="K6190" s="455">
        <f t="shared" ca="1" si="203"/>
        <v>-261982015583757.88</v>
      </c>
      <c r="L6190" s="455">
        <f t="shared" ca="1" si="204"/>
        <v>-6.313766575568564E+16</v>
      </c>
      <c r="M6190" s="471">
        <f t="shared" si="206"/>
        <v>0.05</v>
      </c>
      <c r="N6190" s="475">
        <f t="shared" si="207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05"/>
        <v>-6.313766575568564E+16</v>
      </c>
      <c r="J6191" s="455">
        <f t="array" ref="J6191">IFERROR(INDEX('Retirement Calculator'!K:K,MATCH('Lorri 401b'!N6191,'Retirement Calculator'!A:A,0),0),0)</f>
        <v>0</v>
      </c>
      <c r="K6191" s="455">
        <f t="shared" ca="1" si="203"/>
        <v>-263073607315356.84</v>
      </c>
      <c r="L6191" s="455">
        <f t="shared" ca="1" si="204"/>
        <v>-6.3400739363001E+16</v>
      </c>
      <c r="M6191" s="471">
        <f t="shared" si="206"/>
        <v>0.05</v>
      </c>
      <c r="N6191" s="475">
        <f t="shared" si="207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05"/>
        <v>-6.3400739363001E+16</v>
      </c>
      <c r="J6192" s="455">
        <f t="array" ref="J6192">IFERROR(INDEX('Retirement Calculator'!K:K,MATCH('Lorri 401b'!N6192,'Retirement Calculator'!A:A,0),0),0)</f>
        <v>0</v>
      </c>
      <c r="K6192" s="455">
        <f t="shared" ca="1" si="203"/>
        <v>-264169747345837.5</v>
      </c>
      <c r="L6192" s="455">
        <f t="shared" ca="1" si="204"/>
        <v>-6.366490911034684E+16</v>
      </c>
      <c r="M6192" s="471">
        <f t="shared" si="206"/>
        <v>0.05</v>
      </c>
      <c r="N6192" s="475">
        <f t="shared" si="207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05"/>
        <v>-6.366490911034684E+16</v>
      </c>
      <c r="J6193" s="455">
        <f t="array" ref="J6193">IFERROR(INDEX('Retirement Calculator'!K:K,MATCH('Lorri 401b'!N6193,'Retirement Calculator'!A:A,0),0),0)</f>
        <v>0</v>
      </c>
      <c r="K6193" s="455">
        <f t="shared" ca="1" si="203"/>
        <v>-265270454626445.16</v>
      </c>
      <c r="L6193" s="455">
        <f t="shared" ca="1" si="204"/>
        <v>-6.3930179564973288E+16</v>
      </c>
      <c r="M6193" s="471">
        <f t="shared" si="206"/>
        <v>0.05</v>
      </c>
      <c r="N6193" s="475">
        <f t="shared" si="207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05"/>
        <v>-6.3930179564973288E+16</v>
      </c>
      <c r="J6194" s="455">
        <f t="array" ref="J6194">IFERROR(INDEX('Retirement Calculator'!K:K,MATCH('Lorri 401b'!N6194,'Retirement Calculator'!A:A,0),0),0)</f>
        <v>0</v>
      </c>
      <c r="K6194" s="455">
        <f t="shared" ca="1" si="203"/>
        <v>-266375748187388.66</v>
      </c>
      <c r="L6194" s="455">
        <f t="shared" ca="1" si="204"/>
        <v>-6.419655531316068E+16</v>
      </c>
      <c r="M6194" s="471">
        <f t="shared" si="206"/>
        <v>0.05</v>
      </c>
      <c r="N6194" s="475">
        <f t="shared" si="207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05"/>
        <v>-6.419655531316068E+16</v>
      </c>
      <c r="J6195" s="455">
        <f t="array" ref="J6195">IFERROR(INDEX('Retirement Calculator'!K:K,MATCH('Lorri 401b'!N6195,'Retirement Calculator'!A:A,0),0),0)</f>
        <v>0</v>
      </c>
      <c r="K6195" s="455">
        <f t="shared" ca="1" si="203"/>
        <v>-267485647138169.5</v>
      </c>
      <c r="L6195" s="455">
        <f t="shared" ca="1" si="204"/>
        <v>-6.4464040960298848E+16</v>
      </c>
      <c r="M6195" s="471">
        <f t="shared" si="206"/>
        <v>0.05</v>
      </c>
      <c r="N6195" s="475">
        <f t="shared" si="207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05"/>
        <v>-6.4464040960298848E+16</v>
      </c>
      <c r="J6196" s="455">
        <f t="array" ref="J6196">IFERROR(INDEX('Retirement Calculator'!K:K,MATCH('Lorri 401b'!N6196,'Retirement Calculator'!A:A,0),0),0)</f>
        <v>0</v>
      </c>
      <c r="K6196" s="455">
        <f t="shared" ca="1" si="203"/>
        <v>-268600170667911.88</v>
      </c>
      <c r="L6196" s="455">
        <f t="shared" ca="1" si="204"/>
        <v>-6.473264113096676E+16</v>
      </c>
      <c r="M6196" s="471">
        <f t="shared" si="206"/>
        <v>0.05</v>
      </c>
      <c r="N6196" s="475">
        <f t="shared" si="207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05"/>
        <v>-6.473264113096676E+16</v>
      </c>
      <c r="J6197" s="455">
        <f t="array" ref="J6197">IFERROR(INDEX('Retirement Calculator'!K:K,MATCH('Lorri 401b'!N6197,'Retirement Calculator'!A:A,0),0),0)</f>
        <v>0</v>
      </c>
      <c r="K6197" s="455">
        <f t="shared" ca="1" si="203"/>
        <v>-269719338045694.84</v>
      </c>
      <c r="L6197" s="455">
        <f t="shared" ca="1" si="204"/>
        <v>-6.5002360469012456E+16</v>
      </c>
      <c r="M6197" s="471">
        <f t="shared" si="206"/>
        <v>0.05</v>
      </c>
      <c r="N6197" s="475">
        <f t="shared" si="207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05"/>
        <v>-6.5002360469012456E+16</v>
      </c>
      <c r="J6198" s="455">
        <f t="array" ref="J6198">IFERROR(INDEX('Retirement Calculator'!K:K,MATCH('Lorri 401b'!N6198,'Retirement Calculator'!A:A,0),0),0)</f>
        <v>0</v>
      </c>
      <c r="K6198" s="455">
        <f t="shared" ca="1" si="203"/>
        <v>-270843168620885.22</v>
      </c>
      <c r="L6198" s="455">
        <f t="shared" ca="1" si="204"/>
        <v>-6.5273203637633344E+16</v>
      </c>
      <c r="M6198" s="471">
        <f t="shared" si="206"/>
        <v>0.05</v>
      </c>
      <c r="N6198" s="475">
        <f t="shared" si="207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05"/>
        <v>-6.5273203637633344E+16</v>
      </c>
      <c r="J6199" s="455">
        <f t="array" ref="J6199">IFERROR(INDEX('Retirement Calculator'!K:K,MATCH('Lorri 401b'!N6199,'Retirement Calculator'!A:A,0),0),0)</f>
        <v>0</v>
      </c>
      <c r="K6199" s="455">
        <f t="shared" ca="1" si="203"/>
        <v>-271971681823472.25</v>
      </c>
      <c r="L6199" s="455">
        <f t="shared" ca="1" si="204"/>
        <v>-6.5545175319456816E+16</v>
      </c>
      <c r="M6199" s="471">
        <f t="shared" si="206"/>
        <v>0.05</v>
      </c>
      <c r="N6199" s="475">
        <f t="shared" si="207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05"/>
        <v>-6.5545175319456816E+16</v>
      </c>
      <c r="J6200" s="455">
        <f t="array" ref="J6200">IFERROR(INDEX('Retirement Calculator'!K:K,MATCH('Lorri 401b'!N6200,'Retirement Calculator'!A:A,0),0),0)</f>
        <v>0</v>
      </c>
      <c r="K6200" s="455">
        <f t="shared" ca="1" si="203"/>
        <v>-273104897164403.41</v>
      </c>
      <c r="L6200" s="455">
        <f t="shared" ca="1" si="204"/>
        <v>-6.5818280216621216E+16</v>
      </c>
      <c r="M6200" s="471">
        <f t="shared" si="206"/>
        <v>0.05</v>
      </c>
      <c r="N6200" s="475">
        <f t="shared" si="207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05"/>
        <v>-6.5818280216621216E+16</v>
      </c>
      <c r="J6201" s="455">
        <f t="array" ref="J6201">IFERROR(INDEX('Retirement Calculator'!K:K,MATCH('Lorri 401b'!N6201,'Retirement Calculator'!A:A,0),0),0)</f>
        <v>0</v>
      </c>
      <c r="K6201" s="455">
        <f t="shared" ca="1" si="203"/>
        <v>-274242834235921.72</v>
      </c>
      <c r="L6201" s="455">
        <f t="shared" ca="1" si="204"/>
        <v>-6.6092523050857136E+16</v>
      </c>
      <c r="M6201" s="471">
        <f t="shared" si="206"/>
        <v>0.05</v>
      </c>
      <c r="N6201" s="475">
        <f t="shared" si="207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05"/>
        <v>-6.6092523050857136E+16</v>
      </c>
      <c r="J6202" s="455">
        <f t="array" ref="J6202">IFERROR(INDEX('Retirement Calculator'!K:K,MATCH('Lorri 401b'!N6202,'Retirement Calculator'!A:A,0),0),0)</f>
        <v>0</v>
      </c>
      <c r="K6202" s="455">
        <f t="shared" ca="1" si="203"/>
        <v>-275385512711904.72</v>
      </c>
      <c r="L6202" s="455">
        <f t="shared" ca="1" si="204"/>
        <v>-6.636790856356904E+16</v>
      </c>
      <c r="M6202" s="471">
        <f t="shared" si="206"/>
        <v>0.05</v>
      </c>
      <c r="N6202" s="475">
        <f t="shared" si="207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05"/>
        <v>-6.636790856356904E+16</v>
      </c>
      <c r="J6203" s="455">
        <f t="array" ref="J6203">IFERROR(INDEX('Retirement Calculator'!K:K,MATCH('Lorri 401b'!N6203,'Retirement Calculator'!A:A,0),0),0)</f>
        <v>0</v>
      </c>
      <c r="K6203" s="455">
        <f t="shared" ca="1" si="203"/>
        <v>-276532952348204.34</v>
      </c>
      <c r="L6203" s="455">
        <f t="shared" ca="1" si="204"/>
        <v>-6.6644441515917248E+16</v>
      </c>
      <c r="M6203" s="471">
        <f t="shared" si="206"/>
        <v>0.05</v>
      </c>
      <c r="N6203" s="475">
        <f t="shared" si="207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05"/>
        <v>-6.6644441515917248E+16</v>
      </c>
      <c r="J6204" s="455">
        <f t="array" ref="J6204">IFERROR(INDEX('Retirement Calculator'!K:K,MATCH('Lorri 401b'!N6204,'Retirement Calculator'!A:A,0),0),0)</f>
        <v>0</v>
      </c>
      <c r="K6204" s="455">
        <f t="shared" ca="1" si="203"/>
        <v>-277685172982988.5</v>
      </c>
      <c r="L6204" s="455">
        <f t="shared" ca="1" si="204"/>
        <v>-6.692212668890024E+16</v>
      </c>
      <c r="M6204" s="471">
        <f t="shared" si="206"/>
        <v>0.05</v>
      </c>
      <c r="N6204" s="475">
        <f t="shared" si="207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05"/>
        <v>-6.692212668890024E+16</v>
      </c>
      <c r="J6205" s="455">
        <f t="array" ref="J6205">IFERROR(INDEX('Retirement Calculator'!K:K,MATCH('Lorri 401b'!N6205,'Retirement Calculator'!A:A,0),0),0)</f>
        <v>0</v>
      </c>
      <c r="K6205" s="455">
        <f t="shared" ca="1" si="203"/>
        <v>-278842194537084.28</v>
      </c>
      <c r="L6205" s="455">
        <f t="shared" ca="1" si="204"/>
        <v>-6.7200968883437328E+16</v>
      </c>
      <c r="M6205" s="471">
        <f t="shared" si="206"/>
        <v>0.05</v>
      </c>
      <c r="N6205" s="475">
        <f t="shared" si="207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05"/>
        <v>-6.7200968883437328E+16</v>
      </c>
      <c r="J6206" s="455">
        <f t="array" ref="J6206">IFERROR(INDEX('Retirement Calculator'!K:K,MATCH('Lorri 401b'!N6206,'Retirement Calculator'!A:A,0),0),0)</f>
        <v>0</v>
      </c>
      <c r="K6206" s="455">
        <f t="shared" ca="1" si="203"/>
        <v>-280004037014322.16</v>
      </c>
      <c r="L6206" s="455">
        <f t="shared" ca="1" si="204"/>
        <v>-6.7480972920451648E+16</v>
      </c>
      <c r="M6206" s="471">
        <f t="shared" si="206"/>
        <v>0.05</v>
      </c>
      <c r="N6206" s="475">
        <f t="shared" si="207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05"/>
        <v>-6.7480972920451648E+16</v>
      </c>
      <c r="J6207" s="455">
        <f t="array" ref="J6207">IFERROR(INDEX('Retirement Calculator'!K:K,MATCH('Lorri 401b'!N6207,'Retirement Calculator'!A:A,0),0),0)</f>
        <v>0</v>
      </c>
      <c r="K6207" s="455">
        <f t="shared" ca="1" si="203"/>
        <v>-281170720501881.84</v>
      </c>
      <c r="L6207" s="455">
        <f t="shared" ca="1" si="204"/>
        <v>-6.7762143640953528E+16</v>
      </c>
      <c r="M6207" s="471">
        <f t="shared" si="206"/>
        <v>0.05</v>
      </c>
      <c r="N6207" s="475">
        <f t="shared" si="207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05"/>
        <v>-6.7762143640953528E+16</v>
      </c>
      <c r="J6208" s="455">
        <f t="array" ref="J6208">IFERROR(INDEX('Retirement Calculator'!K:K,MATCH('Lorri 401b'!N6208,'Retirement Calculator'!A:A,0),0),0)</f>
        <v>0</v>
      </c>
      <c r="K6208" s="455">
        <f t="shared" ca="1" si="203"/>
        <v>-282342265170639.69</v>
      </c>
      <c r="L6208" s="455">
        <f t="shared" ca="1" si="204"/>
        <v>-6.8044485906124168E+16</v>
      </c>
      <c r="M6208" s="471">
        <f t="shared" si="206"/>
        <v>0.05</v>
      </c>
      <c r="N6208" s="475">
        <f t="shared" si="207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05"/>
        <v>-6.8044485906124168E+16</v>
      </c>
      <c r="J6209" s="455">
        <f t="array" ref="J6209">IFERROR(INDEX('Retirement Calculator'!K:K,MATCH('Lorri 401b'!N6209,'Retirement Calculator'!A:A,0),0),0)</f>
        <v>0</v>
      </c>
      <c r="K6209" s="455">
        <f t="shared" ca="1" si="203"/>
        <v>-283518691275517.38</v>
      </c>
      <c r="L6209" s="455">
        <f t="shared" ca="1" si="204"/>
        <v>-6.8328004597399688E+16</v>
      </c>
      <c r="M6209" s="471">
        <f t="shared" si="206"/>
        <v>0.05</v>
      </c>
      <c r="N6209" s="475">
        <f t="shared" si="207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05"/>
        <v>-6.8328004597399688E+16</v>
      </c>
      <c r="J6210" s="455">
        <f t="array" ref="J6210">IFERROR(INDEX('Retirement Calculator'!K:K,MATCH('Lorri 401b'!N6210,'Retirement Calculator'!A:A,0),0),0)</f>
        <v>0</v>
      </c>
      <c r="K6210" s="455">
        <f t="shared" ca="1" si="203"/>
        <v>-284700019155832</v>
      </c>
      <c r="L6210" s="455">
        <f t="shared" ca="1" si="204"/>
        <v>-6.861270461655552E+16</v>
      </c>
      <c r="M6210" s="471">
        <f t="shared" si="206"/>
        <v>0.05</v>
      </c>
      <c r="N6210" s="475">
        <f t="shared" si="207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05"/>
        <v>-6.861270461655552E+16</v>
      </c>
      <c r="J6211" s="455">
        <f t="array" ref="J6211">IFERROR(INDEX('Retirement Calculator'!K:K,MATCH('Lorri 401b'!N6211,'Retirement Calculator'!A:A,0),0),0)</f>
        <v>0</v>
      </c>
      <c r="K6211" s="455">
        <f t="shared" ca="1" si="203"/>
        <v>-285886269235648</v>
      </c>
      <c r="L6211" s="455">
        <f t="shared" ca="1" si="204"/>
        <v>-6.8898590885791168E+16</v>
      </c>
      <c r="M6211" s="471">
        <f t="shared" si="206"/>
        <v>0.05</v>
      </c>
      <c r="N6211" s="475">
        <f t="shared" si="207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05"/>
        <v>-6.8898590885791168E+16</v>
      </c>
      <c r="J6212" s="455">
        <f t="array" ref="J6212">IFERROR(INDEX('Retirement Calculator'!K:K,MATCH('Lorri 401b'!N6212,'Retirement Calculator'!A:A,0),0),0)</f>
        <v>0</v>
      </c>
      <c r="K6212" s="455">
        <f t="shared" ca="1" si="203"/>
        <v>-287077462024129.88</v>
      </c>
      <c r="L6212" s="455">
        <f t="shared" ca="1" si="204"/>
        <v>-6.9185668347815296E+16</v>
      </c>
      <c r="M6212" s="471">
        <f t="shared" si="206"/>
        <v>0.05</v>
      </c>
      <c r="N6212" s="475">
        <f t="shared" si="207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05"/>
        <v>-6.9185668347815296E+16</v>
      </c>
      <c r="J6213" s="455">
        <f t="array" ref="J6213">IFERROR(INDEX('Retirement Calculator'!K:K,MATCH('Lorri 401b'!N6213,'Retirement Calculator'!A:A,0),0),0)</f>
        <v>0</v>
      </c>
      <c r="K6213" s="455">
        <f t="shared" ca="1" si="203"/>
        <v>-288273618115897.06</v>
      </c>
      <c r="L6213" s="455">
        <f t="shared" ca="1" si="204"/>
        <v>-6.9473941965931192E+16</v>
      </c>
      <c r="M6213" s="471">
        <f t="shared" si="206"/>
        <v>0.05</v>
      </c>
      <c r="N6213" s="475">
        <f t="shared" si="207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05"/>
        <v>-6.9473941965931192E+16</v>
      </c>
      <c r="J6214" s="455">
        <f t="array" ref="J6214">IFERROR(INDEX('Retirement Calculator'!K:K,MATCH('Lorri 401b'!N6214,'Retirement Calculator'!A:A,0),0),0)</f>
        <v>0</v>
      </c>
      <c r="K6214" s="455">
        <f t="shared" ca="1" si="203"/>
        <v>-289474758191379.94</v>
      </c>
      <c r="L6214" s="455">
        <f t="shared" ca="1" si="204"/>
        <v>-6.9763416724122568E+16</v>
      </c>
      <c r="M6214" s="471">
        <f t="shared" si="206"/>
        <v>0.05</v>
      </c>
      <c r="N6214" s="475">
        <f t="shared" si="207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05"/>
        <v>-6.9763416724122568E+16</v>
      </c>
      <c r="J6215" s="455">
        <f t="array" ref="J6215">IFERROR(INDEX('Retirement Calculator'!K:K,MATCH('Lorri 401b'!N6215,'Retirement Calculator'!A:A,0),0),0)</f>
        <v>0</v>
      </c>
      <c r="K6215" s="455">
        <f t="shared" ca="1" si="203"/>
        <v>-290680903017177.38</v>
      </c>
      <c r="L6215" s="455">
        <f t="shared" ca="1" si="204"/>
        <v>-7.0054097627139744E+16</v>
      </c>
      <c r="M6215" s="471">
        <f t="shared" si="206"/>
        <v>0.05</v>
      </c>
      <c r="N6215" s="475">
        <f t="shared" si="207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05"/>
        <v>-7.0054097627139744E+16</v>
      </c>
      <c r="J6216" s="455">
        <f t="array" ref="J6216">IFERROR(INDEX('Retirement Calculator'!K:K,MATCH('Lorri 401b'!N6216,'Retirement Calculator'!A:A,0),0),0)</f>
        <v>0</v>
      </c>
      <c r="K6216" s="455">
        <f t="shared" ca="1" si="203"/>
        <v>-291892073446415.63</v>
      </c>
      <c r="L6216" s="455">
        <f t="shared" ca="1" si="204"/>
        <v>-7.034598970058616E+16</v>
      </c>
      <c r="M6216" s="471">
        <f t="shared" si="206"/>
        <v>0.05</v>
      </c>
      <c r="N6216" s="475">
        <f t="shared" si="207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05"/>
        <v>-7.034598970058616E+16</v>
      </c>
      <c r="J6217" s="455">
        <f t="array" ref="J6217">IFERROR(INDEX('Retirement Calculator'!K:K,MATCH('Lorri 401b'!N6217,'Retirement Calculator'!A:A,0),0),0)</f>
        <v>0</v>
      </c>
      <c r="K6217" s="455">
        <f t="shared" ca="1" si="203"/>
        <v>-293108290419109</v>
      </c>
      <c r="L6217" s="455">
        <f t="shared" ca="1" si="204"/>
        <v>-7.0639097991005272E+16</v>
      </c>
      <c r="M6217" s="471">
        <f t="shared" si="206"/>
        <v>0.05</v>
      </c>
      <c r="N6217" s="475">
        <f t="shared" si="207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05"/>
        <v>-7.0639097991005272E+16</v>
      </c>
      <c r="J6218" s="455">
        <f t="array" ref="J6218">IFERROR(INDEX('Retirement Calculator'!K:K,MATCH('Lorri 401b'!N6218,'Retirement Calculator'!A:A,0),0),0)</f>
        <v>0</v>
      </c>
      <c r="K6218" s="455">
        <f t="shared" ca="1" si="203"/>
        <v>-294329574962521.94</v>
      </c>
      <c r="L6218" s="455">
        <f t="shared" ca="1" si="204"/>
        <v>-7.0933427565967792E+16</v>
      </c>
      <c r="M6218" s="471">
        <f t="shared" si="206"/>
        <v>0.05</v>
      </c>
      <c r="N6218" s="475">
        <f t="shared" si="207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05"/>
        <v>-7.0933427565967792E+16</v>
      </c>
      <c r="J6219" s="455">
        <f t="array" ref="J6219">IFERROR(INDEX('Retirement Calculator'!K:K,MATCH('Lorri 401b'!N6219,'Retirement Calculator'!A:A,0),0),0)</f>
        <v>0</v>
      </c>
      <c r="K6219" s="455">
        <f t="shared" ca="1" si="203"/>
        <v>-295555948191532.44</v>
      </c>
      <c r="L6219" s="455">
        <f t="shared" ca="1" si="204"/>
        <v>-7.1228983514159328E+16</v>
      </c>
      <c r="M6219" s="471">
        <f t="shared" si="206"/>
        <v>0.05</v>
      </c>
      <c r="N6219" s="475">
        <f t="shared" si="207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05"/>
        <v>-7.1228983514159328E+16</v>
      </c>
      <c r="J6220" s="455">
        <f t="array" ref="J6220">IFERROR(INDEX('Retirement Calculator'!K:K,MATCH('Lorri 401b'!N6220,'Retirement Calculator'!A:A,0),0),0)</f>
        <v>0</v>
      </c>
      <c r="K6220" s="455">
        <f t="shared" ca="1" si="203"/>
        <v>-296787431308997.19</v>
      </c>
      <c r="L6220" s="455">
        <f t="shared" ca="1" si="204"/>
        <v>-7.1525770945468328E+16</v>
      </c>
      <c r="M6220" s="471">
        <f t="shared" si="206"/>
        <v>0.05</v>
      </c>
      <c r="N6220" s="475">
        <f t="shared" si="207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05"/>
        <v>-7.1525770945468328E+16</v>
      </c>
      <c r="J6221" s="455">
        <f t="array" ref="J6221">IFERROR(INDEX('Retirement Calculator'!K:K,MATCH('Lorri 401b'!N6221,'Retirement Calculator'!A:A,0),0),0)</f>
        <v>0</v>
      </c>
      <c r="K6221" s="455">
        <f t="shared" ca="1" si="203"/>
        <v>-298024045606118.06</v>
      </c>
      <c r="L6221" s="455">
        <f t="shared" ca="1" si="204"/>
        <v>-7.1823794991074448E+16</v>
      </c>
      <c r="M6221" s="471">
        <f t="shared" si="206"/>
        <v>0.05</v>
      </c>
      <c r="N6221" s="475">
        <f t="shared" si="207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05"/>
        <v>-7.1823794991074448E+16</v>
      </c>
      <c r="J6222" s="455">
        <f t="array" ref="J6222">IFERROR(INDEX('Retirement Calculator'!K:K,MATCH('Lorri 401b'!N6222,'Retirement Calculator'!A:A,0),0),0)</f>
        <v>0</v>
      </c>
      <c r="K6222" s="455">
        <f t="shared" ca="1" si="203"/>
        <v>-299265812462810.19</v>
      </c>
      <c r="L6222" s="455">
        <f t="shared" ca="1" si="204"/>
        <v>-7.2123060803537264E+16</v>
      </c>
      <c r="M6222" s="471">
        <f t="shared" si="206"/>
        <v>0.05</v>
      </c>
      <c r="N6222" s="475">
        <f t="shared" si="207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05"/>
        <v>-7.2123060803537264E+16</v>
      </c>
      <c r="J6223" s="455">
        <f t="array" ref="J6223">IFERROR(INDEX('Retirement Calculator'!K:K,MATCH('Lorri 401b'!N6223,'Retirement Calculator'!A:A,0),0),0)</f>
        <v>0</v>
      </c>
      <c r="K6223" s="455">
        <f t="shared" ca="1" si="203"/>
        <v>-300512753348071.94</v>
      </c>
      <c r="L6223" s="455">
        <f t="shared" ca="1" si="204"/>
        <v>-7.2423573556885328E+16</v>
      </c>
      <c r="M6223" s="471">
        <f t="shared" si="206"/>
        <v>0.05</v>
      </c>
      <c r="N6223" s="475">
        <f t="shared" si="207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05"/>
        <v>-7.2423573556885328E+16</v>
      </c>
      <c r="J6224" s="455">
        <f t="array" ref="J6224">IFERROR(INDEX('Retirement Calculator'!K:K,MATCH('Lorri 401b'!N6224,'Retirement Calculator'!A:A,0),0),0)</f>
        <v>0</v>
      </c>
      <c r="K6224" s="455">
        <f t="shared" ca="1" si="203"/>
        <v>-301764889820355.5</v>
      </c>
      <c r="L6224" s="455">
        <f t="shared" ca="1" si="204"/>
        <v>-7.272533844670568E+16</v>
      </c>
      <c r="M6224" s="471">
        <f t="shared" si="206"/>
        <v>0.05</v>
      </c>
      <c r="N6224" s="475">
        <f t="shared" si="207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05"/>
        <v>-7.272533844670568E+16</v>
      </c>
      <c r="J6225" s="455">
        <f t="array" ref="J6225">IFERROR(INDEX('Retirement Calculator'!K:K,MATCH('Lorri 401b'!N6225,'Retirement Calculator'!A:A,0),0),0)</f>
        <v>0</v>
      </c>
      <c r="K6225" s="455">
        <f t="shared" ca="1" si="203"/>
        <v>-303022243527940.31</v>
      </c>
      <c r="L6225" s="455">
        <f t="shared" ca="1" si="204"/>
        <v>-7.3028360690233616E+16</v>
      </c>
      <c r="M6225" s="471">
        <f t="shared" si="206"/>
        <v>0.05</v>
      </c>
      <c r="N6225" s="475">
        <f t="shared" si="207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05"/>
        <v>-7.3028360690233616E+16</v>
      </c>
      <c r="J6226" s="455">
        <f t="array" ref="J6226">IFERROR(INDEX('Retirement Calculator'!K:K,MATCH('Lorri 401b'!N6226,'Retirement Calculator'!A:A,0),0),0)</f>
        <v>0</v>
      </c>
      <c r="K6226" s="455">
        <f t="shared" ca="1" si="203"/>
        <v>-304284836209306.75</v>
      </c>
      <c r="L6226" s="455">
        <f t="shared" ca="1" si="204"/>
        <v>-7.3332645526442928E+16</v>
      </c>
      <c r="M6226" s="471">
        <f t="shared" si="206"/>
        <v>0.05</v>
      </c>
      <c r="N6226" s="475">
        <f t="shared" si="207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05"/>
        <v>-7.3332645526442928E+16</v>
      </c>
      <c r="J6227" s="455">
        <f t="array" ref="J6227">IFERROR(INDEX('Retirement Calculator'!K:K,MATCH('Lorri 401b'!N6227,'Retirement Calculator'!A:A,0),0),0)</f>
        <v>0</v>
      </c>
      <c r="K6227" s="455">
        <f t="shared" ca="1" si="203"/>
        <v>-305552689693512.19</v>
      </c>
      <c r="L6227" s="455">
        <f t="shared" ca="1" si="204"/>
        <v>-7.3638198216136448E+16</v>
      </c>
      <c r="M6227" s="471">
        <f t="shared" si="206"/>
        <v>0.05</v>
      </c>
      <c r="N6227" s="475">
        <f t="shared" si="207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05"/>
        <v>-7.3638198216136448E+16</v>
      </c>
      <c r="J6228" s="455">
        <f t="array" ref="J6228">IFERROR(INDEX('Retirement Calculator'!K:K,MATCH('Lorri 401b'!N6228,'Retirement Calculator'!A:A,0),0),0)</f>
        <v>0</v>
      </c>
      <c r="K6228" s="455">
        <f t="shared" ca="1" si="203"/>
        <v>-306825825900568.5</v>
      </c>
      <c r="L6228" s="455">
        <f t="shared" ca="1" si="204"/>
        <v>-7.3945024042037024E+16</v>
      </c>
      <c r="M6228" s="471">
        <f t="shared" si="206"/>
        <v>0.05</v>
      </c>
      <c r="N6228" s="475">
        <f t="shared" si="207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05"/>
        <v>-7.3945024042037024E+16</v>
      </c>
      <c r="J6229" s="455">
        <f t="array" ref="J6229">IFERROR(INDEX('Retirement Calculator'!K:K,MATCH('Lorri 401b'!N6229,'Retirement Calculator'!A:A,0),0),0)</f>
        <v>0</v>
      </c>
      <c r="K6229" s="455">
        <f t="shared" ca="1" si="203"/>
        <v>-308104266841820.94</v>
      </c>
      <c r="L6229" s="455">
        <f t="shared" ca="1" si="204"/>
        <v>-7.4253128308878848E+16</v>
      </c>
      <c r="M6229" s="471">
        <f t="shared" si="206"/>
        <v>0.05</v>
      </c>
      <c r="N6229" s="475">
        <f t="shared" si="207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05"/>
        <v>-7.4253128308878848E+16</v>
      </c>
      <c r="J6230" s="455">
        <f t="array" ref="J6230">IFERROR(INDEX('Retirement Calculator'!K:K,MATCH('Lorri 401b'!N6230,'Retirement Calculator'!A:A,0),0),0)</f>
        <v>0</v>
      </c>
      <c r="K6230" s="455">
        <f t="shared" ca="1" si="203"/>
        <v>-309388034620328.5</v>
      </c>
      <c r="L6230" s="455">
        <f t="shared" ca="1" si="204"/>
        <v>-7.4562516343499184E+16</v>
      </c>
      <c r="M6230" s="471">
        <f t="shared" si="206"/>
        <v>0.05</v>
      </c>
      <c r="N6230" s="475">
        <f t="shared" si="207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05"/>
        <v>-7.4562516343499184E+16</v>
      </c>
      <c r="J6231" s="455">
        <f t="array" ref="J6231">IFERROR(INDEX('Retirement Calculator'!K:K,MATCH('Lorri 401b'!N6231,'Retirement Calculator'!A:A,0),0),0)</f>
        <v>0</v>
      </c>
      <c r="K6231" s="455">
        <f t="shared" ca="1" si="203"/>
        <v>-310677151431246.63</v>
      </c>
      <c r="L6231" s="455">
        <f t="shared" ca="1" si="204"/>
        <v>-7.4873193494930432E+16</v>
      </c>
      <c r="M6231" s="471">
        <f t="shared" si="206"/>
        <v>0.05</v>
      </c>
      <c r="N6231" s="475">
        <f t="shared" si="207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05"/>
        <v>-7.4873193494930432E+16</v>
      </c>
      <c r="J6232" s="455">
        <f t="array" ref="J6232">IFERROR(INDEX('Retirement Calculator'!K:K,MATCH('Lorri 401b'!N6232,'Retirement Calculator'!A:A,0),0),0)</f>
        <v>0</v>
      </c>
      <c r="K6232" s="455">
        <f t="shared" ca="1" si="203"/>
        <v>-311971639562210.13</v>
      </c>
      <c r="L6232" s="455">
        <f t="shared" ca="1" si="204"/>
        <v>-7.518516513449264E+16</v>
      </c>
      <c r="M6232" s="471">
        <f t="shared" si="206"/>
        <v>0.05</v>
      </c>
      <c r="N6232" s="475">
        <f t="shared" si="207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05"/>
        <v>-7.518516513449264E+16</v>
      </c>
      <c r="J6233" s="455">
        <f t="array" ref="J6233">IFERROR(INDEX('Retirement Calculator'!K:K,MATCH('Lorri 401b'!N6233,'Retirement Calculator'!A:A,0),0),0)</f>
        <v>0</v>
      </c>
      <c r="K6233" s="455">
        <f t="shared" ca="1" si="203"/>
        <v>-313271521393719.31</v>
      </c>
      <c r="L6233" s="455">
        <f t="shared" ca="1" si="204"/>
        <v>-7.5498436655886352E+16</v>
      </c>
      <c r="M6233" s="471">
        <f t="shared" si="206"/>
        <v>0.05</v>
      </c>
      <c r="N6233" s="475">
        <f t="shared" si="207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05"/>
        <v>-7.5498436655886352E+16</v>
      </c>
      <c r="J6234" s="455">
        <f t="array" ref="J6234">IFERROR(INDEX('Retirement Calculator'!K:K,MATCH('Lorri 401b'!N6234,'Retirement Calculator'!A:A,0),0),0)</f>
        <v>0</v>
      </c>
      <c r="K6234" s="455">
        <f t="shared" ca="1" si="203"/>
        <v>-314576819399526.44</v>
      </c>
      <c r="L6234" s="455">
        <f t="shared" ca="1" si="204"/>
        <v>-7.5813013475285872E+16</v>
      </c>
      <c r="M6234" s="471">
        <f t="shared" si="206"/>
        <v>0.05</v>
      </c>
      <c r="N6234" s="475">
        <f t="shared" si="207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05"/>
        <v>-7.5813013475285872E+16</v>
      </c>
      <c r="J6235" s="455">
        <f t="array" ref="J6235">IFERROR(INDEX('Retirement Calculator'!K:K,MATCH('Lorri 401b'!N6235,'Retirement Calculator'!A:A,0),0),0)</f>
        <v>0</v>
      </c>
      <c r="K6235" s="455">
        <f t="shared" ca="1" si="203"/>
        <v>-315887556147024.44</v>
      </c>
      <c r="L6235" s="455">
        <f t="shared" ca="1" si="204"/>
        <v>-7.6128901031432896E+16</v>
      </c>
      <c r="M6235" s="471">
        <f t="shared" si="206"/>
        <v>0.05</v>
      </c>
      <c r="N6235" s="475">
        <f t="shared" si="207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05"/>
        <v>-7.6128901031432896E+16</v>
      </c>
      <c r="J6236" s="455">
        <f t="array" ref="J6236">IFERROR(INDEX('Retirement Calculator'!K:K,MATCH('Lorri 401b'!N6236,'Retirement Calculator'!A:A,0),0),0)</f>
        <v>0</v>
      </c>
      <c r="K6236" s="455">
        <f t="shared" ca="1" si="203"/>
        <v>-317203754297637.06</v>
      </c>
      <c r="L6236" s="455">
        <f t="shared" ca="1" si="204"/>
        <v>-7.6446104785730528E+16</v>
      </c>
      <c r="M6236" s="471">
        <f t="shared" si="206"/>
        <v>0.05</v>
      </c>
      <c r="N6236" s="475">
        <f t="shared" si="207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05"/>
        <v>-7.6446104785730528E+16</v>
      </c>
      <c r="J6237" s="455">
        <f t="array" ref="J6237">IFERROR(INDEX('Retirement Calculator'!K:K,MATCH('Lorri 401b'!N6237,'Retirement Calculator'!A:A,0),0),0)</f>
        <v>0</v>
      </c>
      <c r="K6237" s="455">
        <f t="shared" ca="1" si="203"/>
        <v>-318525436607210.5</v>
      </c>
      <c r="L6237" s="455">
        <f t="shared" ca="1" si="204"/>
        <v>-7.6764630222337744E+16</v>
      </c>
      <c r="M6237" s="471">
        <f t="shared" si="206"/>
        <v>0.05</v>
      </c>
      <c r="N6237" s="475">
        <f t="shared" si="207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05"/>
        <v>-7.6764630222337744E+16</v>
      </c>
      <c r="J6238" s="455">
        <f t="array" ref="J6238">IFERROR(INDEX('Retirement Calculator'!K:K,MATCH('Lorri 401b'!N6238,'Retirement Calculator'!A:A,0),0),0)</f>
        <v>0</v>
      </c>
      <c r="K6238" s="455">
        <f t="shared" ca="1" si="203"/>
        <v>-319852625926407.25</v>
      </c>
      <c r="L6238" s="455">
        <f t="shared" ca="1" si="204"/>
        <v>-7.7084482848264144E+16</v>
      </c>
      <c r="M6238" s="471">
        <f t="shared" si="206"/>
        <v>0.05</v>
      </c>
      <c r="N6238" s="475">
        <f t="shared" si="207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05"/>
        <v>-7.7084482848264144E+16</v>
      </c>
      <c r="J6239" s="455">
        <f t="array" ref="J6239">IFERROR(INDEX('Retirement Calculator'!K:K,MATCH('Lorri 401b'!N6239,'Retirement Calculator'!A:A,0),0),0)</f>
        <v>0</v>
      </c>
      <c r="K6239" s="455">
        <f t="shared" ca="1" si="203"/>
        <v>-321185345201100.63</v>
      </c>
      <c r="L6239" s="455">
        <f t="shared" ca="1" si="204"/>
        <v>-7.7405668193465248E+16</v>
      </c>
      <c r="M6239" s="471">
        <f t="shared" si="206"/>
        <v>0.05</v>
      </c>
      <c r="N6239" s="475">
        <f t="shared" si="207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05"/>
        <v>-7.7405668193465248E+16</v>
      </c>
      <c r="J6240" s="455">
        <f t="array" ref="J6240">IFERROR(INDEX('Retirement Calculator'!K:K,MATCH('Lorri 401b'!N6240,'Retirement Calculator'!A:A,0),0),0)</f>
        <v>0</v>
      </c>
      <c r="K6240" s="455">
        <f t="shared" ca="1" si="203"/>
        <v>-322523617472771.88</v>
      </c>
      <c r="L6240" s="455">
        <f t="shared" ca="1" si="204"/>
        <v>-7.7728191810938016E+16</v>
      </c>
      <c r="M6240" s="471">
        <f t="shared" si="206"/>
        <v>0.05</v>
      </c>
      <c r="N6240" s="475">
        <f t="shared" si="207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05"/>
        <v>-7.7728191810938016E+16</v>
      </c>
      <c r="J6241" s="455">
        <f t="array" ref="J6241">IFERROR(INDEX('Retirement Calculator'!K:K,MATCH('Lorri 401b'!N6241,'Retirement Calculator'!A:A,0),0),0)</f>
        <v>0</v>
      </c>
      <c r="K6241" s="455">
        <f t="shared" ca="1" si="203"/>
        <v>-323867465878908.38</v>
      </c>
      <c r="L6241" s="455">
        <f t="shared" ca="1" si="204"/>
        <v>-7.8052059276816928E+16</v>
      </c>
      <c r="M6241" s="471">
        <f t="shared" si="206"/>
        <v>0.05</v>
      </c>
      <c r="N6241" s="475">
        <f t="shared" si="207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05"/>
        <v>-7.8052059276816928E+16</v>
      </c>
      <c r="J6242" s="455">
        <f t="array" ref="J6242">IFERROR(INDEX('Retirement Calculator'!K:K,MATCH('Lorri 401b'!N6242,'Retirement Calculator'!A:A,0),0),0)</f>
        <v>0</v>
      </c>
      <c r="K6242" s="455">
        <f t="shared" ca="1" si="203"/>
        <v>-325216913653403.88</v>
      </c>
      <c r="L6242" s="455">
        <f t="shared" ca="1" si="204"/>
        <v>-7.8377276190470336E+16</v>
      </c>
      <c r="M6242" s="471">
        <f t="shared" si="206"/>
        <v>0.05</v>
      </c>
      <c r="N6242" s="475">
        <f t="shared" si="207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05"/>
        <v>-7.8377276190470336E+16</v>
      </c>
      <c r="J6243" s="455">
        <f t="array" ref="J6243">IFERROR(INDEX('Retirement Calculator'!K:K,MATCH('Lorri 401b'!N6243,'Retirement Calculator'!A:A,0),0),0)</f>
        <v>0</v>
      </c>
      <c r="K6243" s="455">
        <f t="shared" ca="1" si="203"/>
        <v>-326571984126959.75</v>
      </c>
      <c r="L6243" s="455">
        <f t="shared" ca="1" si="204"/>
        <v>-7.8703848174597296E+16</v>
      </c>
      <c r="M6243" s="471">
        <f t="shared" si="206"/>
        <v>0.05</v>
      </c>
      <c r="N6243" s="475">
        <f t="shared" si="207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05"/>
        <v>-7.8703848174597296E+16</v>
      </c>
      <c r="J6244" s="455">
        <f t="array" ref="J6244">IFERROR(INDEX('Retirement Calculator'!K:K,MATCH('Lorri 401b'!N6244,'Retirement Calculator'!A:A,0),0),0)</f>
        <v>0</v>
      </c>
      <c r="K6244" s="455">
        <f t="shared" ca="1" si="203"/>
        <v>-327932700727488.75</v>
      </c>
      <c r="L6244" s="455">
        <f t="shared" ca="1" si="204"/>
        <v>-7.9031780875324784E+16</v>
      </c>
      <c r="M6244" s="471">
        <f t="shared" si="206"/>
        <v>0.05</v>
      </c>
      <c r="N6244" s="475">
        <f t="shared" si="207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05"/>
        <v>-7.9031780875324784E+16</v>
      </c>
      <c r="J6245" s="455">
        <f t="array" ref="J6245">IFERROR(INDEX('Retirement Calculator'!K:K,MATCH('Lorri 401b'!N6245,'Retirement Calculator'!A:A,0),0),0)</f>
        <v>0</v>
      </c>
      <c r="K6245" s="455">
        <f t="shared" ca="1" si="203"/>
        <v>-329299086980519.94</v>
      </c>
      <c r="L6245" s="455">
        <f t="shared" ca="1" si="204"/>
        <v>-7.9361079962305296E+16</v>
      </c>
      <c r="M6245" s="471">
        <f t="shared" si="206"/>
        <v>0.05</v>
      </c>
      <c r="N6245" s="475">
        <f t="shared" si="207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05"/>
        <v>-7.9361079962305296E+16</v>
      </c>
      <c r="J6246" s="455">
        <f t="array" ref="J6246">IFERROR(INDEX('Retirement Calculator'!K:K,MATCH('Lorri 401b'!N6246,'Retirement Calculator'!A:A,0),0),0)</f>
        <v>0</v>
      </c>
      <c r="K6246" s="455">
        <f t="shared" ca="1" si="203"/>
        <v>-330671166509605.38</v>
      </c>
      <c r="L6246" s="455">
        <f t="shared" ca="1" si="204"/>
        <v>-7.9691751128814896E+16</v>
      </c>
      <c r="M6246" s="471">
        <f t="shared" si="206"/>
        <v>0.05</v>
      </c>
      <c r="N6246" s="475">
        <f t="shared" si="207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05"/>
        <v>-7.9691751128814896E+16</v>
      </c>
      <c r="J6247" s="455">
        <f t="array" ref="J6247">IFERROR(INDEX('Retirement Calculator'!K:K,MATCH('Lorri 401b'!N6247,'Retirement Calculator'!A:A,0),0),0)</f>
        <v>0</v>
      </c>
      <c r="K6247" s="455">
        <f t="shared" ca="1" si="203"/>
        <v>-332048963036728.75</v>
      </c>
      <c r="L6247" s="455">
        <f t="shared" ca="1" si="204"/>
        <v>-8.0023800091851632E+16</v>
      </c>
      <c r="M6247" s="471">
        <f t="shared" si="206"/>
        <v>0.05</v>
      </c>
      <c r="N6247" s="475">
        <f t="shared" si="207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05"/>
        <v>-8.0023800091851632E+16</v>
      </c>
      <c r="J6248" s="455">
        <f t="array" ref="J6248">IFERROR(INDEX('Retirement Calculator'!K:K,MATCH('Lorri 401b'!N6248,'Retirement Calculator'!A:A,0),0),0)</f>
        <v>0</v>
      </c>
      <c r="K6248" s="455">
        <f t="shared" ca="1" si="203"/>
        <v>-333432500382715.13</v>
      </c>
      <c r="L6248" s="455">
        <f t="shared" ca="1" si="204"/>
        <v>-8.0357232592234352E+16</v>
      </c>
      <c r="M6248" s="471">
        <f t="shared" si="206"/>
        <v>0.05</v>
      </c>
      <c r="N6248" s="475">
        <f t="shared" si="207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05"/>
        <v>-8.0357232592234352E+16</v>
      </c>
      <c r="J6249" s="455">
        <f t="array" ref="J6249">IFERROR(INDEX('Retirement Calculator'!K:K,MATCH('Lorri 401b'!N6249,'Retirement Calculator'!A:A,0),0),0)</f>
        <v>0</v>
      </c>
      <c r="K6249" s="455">
        <f t="shared" ca="1" si="203"/>
        <v>-334821802467643.13</v>
      </c>
      <c r="L6249" s="455">
        <f t="shared" ca="1" si="204"/>
        <v>-8.0692054394702E+16</v>
      </c>
      <c r="M6249" s="471">
        <f t="shared" si="206"/>
        <v>0.05</v>
      </c>
      <c r="N6249" s="475">
        <f t="shared" si="207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05"/>
        <v>-8.0692054394702E+16</v>
      </c>
      <c r="J6250" s="455">
        <f t="array" ref="J6250">IFERROR(INDEX('Retirement Calculator'!K:K,MATCH('Lorri 401b'!N6250,'Retirement Calculator'!A:A,0),0),0)</f>
        <v>0</v>
      </c>
      <c r="K6250" s="455">
        <f t="shared" ca="1" si="203"/>
        <v>-336216893311258.31</v>
      </c>
      <c r="L6250" s="455">
        <f t="shared" ca="1" si="204"/>
        <v>-8.1028271288013264E+16</v>
      </c>
      <c r="M6250" s="471">
        <f t="shared" si="206"/>
        <v>0.05</v>
      </c>
      <c r="N6250" s="475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76"/>
      <c r="B1" s="476"/>
      <c r="C1" s="477" t="s">
        <v>682</v>
      </c>
      <c r="D1" s="477">
        <v>3063</v>
      </c>
      <c r="E1" s="306"/>
      <c r="F1" s="306"/>
      <c r="G1" s="306"/>
      <c r="H1" s="306"/>
      <c r="I1" s="306"/>
      <c r="J1" s="306"/>
      <c r="K1" s="306"/>
      <c r="L1" s="306"/>
      <c r="M1" s="306" t="s">
        <v>683</v>
      </c>
    </row>
    <row r="2" spans="1:13" ht="11.25" customHeight="1" x14ac:dyDescent="0.3">
      <c r="A2" s="476"/>
      <c r="B2" s="476"/>
      <c r="C2" s="477" t="s">
        <v>684</v>
      </c>
      <c r="D2" s="477">
        <v>24</v>
      </c>
      <c r="E2" s="306"/>
      <c r="F2" s="306"/>
      <c r="G2" s="306"/>
      <c r="H2" s="306"/>
      <c r="I2" s="306"/>
      <c r="J2" s="306"/>
      <c r="K2" s="306"/>
      <c r="L2" s="306"/>
      <c r="M2" s="416">
        <v>45442</v>
      </c>
    </row>
    <row r="3" spans="1:13" ht="11.25" customHeight="1" x14ac:dyDescent="0.3">
      <c r="A3" s="476"/>
      <c r="B3" s="476"/>
      <c r="C3" s="477" t="s">
        <v>685</v>
      </c>
      <c r="D3" s="412">
        <f>D1/D2</f>
        <v>127.625</v>
      </c>
      <c r="E3" s="306"/>
      <c r="F3" s="306"/>
      <c r="G3" s="306"/>
      <c r="H3" s="306"/>
      <c r="I3" s="306"/>
      <c r="J3" s="306"/>
      <c r="K3" s="306"/>
      <c r="L3" s="306"/>
      <c r="M3" s="416"/>
    </row>
    <row r="4" spans="1:13" ht="11.25" customHeight="1" x14ac:dyDescent="0.3">
      <c r="A4" s="476"/>
      <c r="B4" s="476"/>
      <c r="C4" s="477"/>
      <c r="D4" s="306"/>
      <c r="E4" s="306"/>
      <c r="F4" s="306"/>
      <c r="G4" s="306"/>
      <c r="H4" s="306"/>
      <c r="I4" s="306"/>
      <c r="J4" s="306"/>
      <c r="K4" s="306"/>
      <c r="L4" s="306"/>
      <c r="M4" s="306"/>
    </row>
    <row r="5" spans="1:13" ht="11.25" customHeight="1" x14ac:dyDescent="0.3">
      <c r="A5" s="476" t="s">
        <v>661</v>
      </c>
      <c r="B5" s="476" t="s">
        <v>675</v>
      </c>
      <c r="C5" s="477" t="s">
        <v>686</v>
      </c>
      <c r="D5" s="577" t="s">
        <v>687</v>
      </c>
      <c r="E5" s="562"/>
      <c r="F5" s="577" t="s">
        <v>688</v>
      </c>
      <c r="G5" s="562"/>
      <c r="H5" s="577" t="s">
        <v>689</v>
      </c>
      <c r="I5" s="562"/>
      <c r="J5" s="577" t="s">
        <v>690</v>
      </c>
      <c r="K5" s="562"/>
      <c r="L5" s="306"/>
      <c r="M5" s="306"/>
    </row>
    <row r="6" spans="1:13" ht="11.25" customHeight="1" x14ac:dyDescent="0.3">
      <c r="A6" s="476"/>
      <c r="B6" s="476"/>
      <c r="C6" s="477"/>
      <c r="D6" s="199" t="s">
        <v>691</v>
      </c>
      <c r="E6" s="199" t="s">
        <v>162</v>
      </c>
      <c r="F6" s="199" t="s">
        <v>691</v>
      </c>
      <c r="G6" s="199" t="s">
        <v>162</v>
      </c>
      <c r="H6" s="199" t="s">
        <v>691</v>
      </c>
      <c r="I6" s="199" t="s">
        <v>162</v>
      </c>
      <c r="J6" s="199" t="s">
        <v>691</v>
      </c>
      <c r="K6" s="199" t="s">
        <v>162</v>
      </c>
      <c r="L6" s="306"/>
      <c r="M6" s="306"/>
    </row>
    <row r="7" spans="1:13" ht="11.25" customHeight="1" x14ac:dyDescent="0.3">
      <c r="A7" s="476">
        <v>42</v>
      </c>
      <c r="B7" s="476">
        <v>2023</v>
      </c>
      <c r="C7" s="477">
        <v>24</v>
      </c>
      <c r="D7" s="478">
        <v>7111.8</v>
      </c>
      <c r="E7" s="479">
        <f>((((D1/D2)*C7)/360)*0.025)*D7</f>
        <v>1512.7391250000001</v>
      </c>
      <c r="F7" s="478">
        <v>8186.1</v>
      </c>
      <c r="G7" s="479">
        <f>((((D1/D2)*C7)/360)*0.025)*F7</f>
        <v>1741.2516875000001</v>
      </c>
      <c r="H7" s="478">
        <v>9248.7000000000007</v>
      </c>
      <c r="I7" s="479">
        <f>((((D1/D2)*C7)/360)*0.025)*H7</f>
        <v>1967.2755625000002</v>
      </c>
      <c r="J7" s="480">
        <v>10205.700000000001</v>
      </c>
      <c r="K7" s="481">
        <f>((((D1/D2)*C7)/360)*0.025)*J7</f>
        <v>2170.8374375000003</v>
      </c>
      <c r="L7" s="306"/>
      <c r="M7" s="306"/>
    </row>
    <row r="8" spans="1:13" ht="11.25" customHeight="1" x14ac:dyDescent="0.3">
      <c r="A8" s="476">
        <v>43</v>
      </c>
      <c r="B8" s="476">
        <v>2024</v>
      </c>
      <c r="C8" s="477">
        <v>25</v>
      </c>
      <c r="D8" s="478">
        <v>7111.8</v>
      </c>
      <c r="E8" s="479">
        <f>((((D1/D2)*C8)/360)*0.025)*D8</f>
        <v>1575.7699218749999</v>
      </c>
      <c r="F8" s="478">
        <v>8186.1</v>
      </c>
      <c r="G8" s="479">
        <f>((((D1/D2)*C8)/360)*0.025)*F8</f>
        <v>1813.8038411458333</v>
      </c>
      <c r="H8" s="478">
        <v>9248.7000000000007</v>
      </c>
      <c r="I8" s="479">
        <f>((((D1/D2)*C8)/360)*0.025)*H8</f>
        <v>2049.2453776041666</v>
      </c>
      <c r="J8" s="480">
        <v>10205.700000000001</v>
      </c>
      <c r="K8" s="481">
        <f>((((D1/D2)*C8)/360)*0.025)*J8</f>
        <v>2261.2889973958336</v>
      </c>
      <c r="L8" s="306"/>
      <c r="M8" s="306"/>
    </row>
    <row r="9" spans="1:13" ht="11.25" customHeight="1" x14ac:dyDescent="0.3">
      <c r="A9" s="476">
        <v>44</v>
      </c>
      <c r="B9" s="476">
        <v>2025</v>
      </c>
      <c r="C9" s="477">
        <v>26</v>
      </c>
      <c r="D9" s="478">
        <v>7111.8</v>
      </c>
      <c r="E9" s="479">
        <f>((((D1/D2)*C9)/360)*0.025)*D9</f>
        <v>1638.8007187500002</v>
      </c>
      <c r="F9" s="478">
        <v>8447.1</v>
      </c>
      <c r="G9" s="479">
        <f>((((D1/D2)*C9)/360)*0.025)*F9</f>
        <v>1946.4992760416669</v>
      </c>
      <c r="H9" s="478">
        <v>9629.7000000000007</v>
      </c>
      <c r="I9" s="479">
        <f>((((D1/D2)*C9)/360)*0.025)*H9</f>
        <v>2219.0105572916668</v>
      </c>
      <c r="J9" s="480">
        <v>10597.2</v>
      </c>
      <c r="K9" s="481">
        <f>((((D1/D2)*C9)/360)*0.025)*J9</f>
        <v>2441.9554791666669</v>
      </c>
      <c r="L9" s="306"/>
      <c r="M9" s="306"/>
    </row>
    <row r="10" spans="1:13" ht="11.25" customHeight="1" x14ac:dyDescent="0.3">
      <c r="A10" s="476">
        <v>45</v>
      </c>
      <c r="B10" s="476">
        <v>2026</v>
      </c>
      <c r="C10" s="477">
        <v>27</v>
      </c>
      <c r="D10" s="478">
        <v>7111.8</v>
      </c>
      <c r="E10" s="479">
        <f>((((D1/D2)*C10)/360)*0.025)*D10</f>
        <v>1701.8315156250003</v>
      </c>
      <c r="F10" s="478">
        <v>8447.1</v>
      </c>
      <c r="G10" s="479">
        <f>((((D1/D2)*C10)/360)*0.025)*F10</f>
        <v>2021.3646328125003</v>
      </c>
      <c r="H10" s="478">
        <v>9629.7000000000007</v>
      </c>
      <c r="I10" s="479">
        <f>((((D1/D2)*C10)/360)*0.025)*H10</f>
        <v>2304.3571171875005</v>
      </c>
      <c r="J10" s="480">
        <v>10597.2</v>
      </c>
      <c r="K10" s="481">
        <f>((((D1/D2)*C10)/360)*0.025)*J10</f>
        <v>2535.8768437500003</v>
      </c>
      <c r="L10" s="306"/>
      <c r="M10" s="306"/>
    </row>
    <row r="11" spans="1:13" ht="11.25" customHeight="1" x14ac:dyDescent="0.3">
      <c r="A11" s="476">
        <v>46</v>
      </c>
      <c r="B11" s="476">
        <v>2027</v>
      </c>
      <c r="C11" s="477">
        <v>28</v>
      </c>
      <c r="D11" s="478">
        <v>7111.8</v>
      </c>
      <c r="E11" s="479">
        <f>((((D1/D2)*C11)/360)*0.025)*D11</f>
        <v>1764.8623125000001</v>
      </c>
      <c r="F11" s="478">
        <v>8447.1</v>
      </c>
      <c r="G11" s="479">
        <f>((((D1/D2)*C11)/360)*0.025)*F11</f>
        <v>2096.2299895833335</v>
      </c>
      <c r="H11" s="478">
        <v>9629.7000000000007</v>
      </c>
      <c r="I11" s="479">
        <f>((((D1/D2)*C11)/360)*0.025)*H11</f>
        <v>2389.7036770833338</v>
      </c>
      <c r="J11" s="480">
        <v>10597.2</v>
      </c>
      <c r="K11" s="481">
        <f>((((D1/D2)*C11)/360)*0.025)*J11</f>
        <v>2629.7982083333336</v>
      </c>
      <c r="L11" s="306"/>
      <c r="M11" s="306"/>
    </row>
    <row r="12" spans="1:13" ht="11.25" customHeight="1" x14ac:dyDescent="0.3">
      <c r="A12" s="476">
        <v>47</v>
      </c>
      <c r="B12" s="476">
        <v>2028</v>
      </c>
      <c r="C12" s="477">
        <v>29</v>
      </c>
      <c r="D12" s="478">
        <v>7111.8</v>
      </c>
      <c r="E12" s="479">
        <f>((((D1/D2)*C12)/360)*0.025)*D12</f>
        <v>1827.8931093750002</v>
      </c>
      <c r="F12" s="478">
        <v>8447.1</v>
      </c>
      <c r="G12" s="479">
        <f>((((D1/D2)*C12)/360)*0.025)*F12</f>
        <v>2171.0953463541668</v>
      </c>
      <c r="H12" s="478">
        <v>9629.7000000000007</v>
      </c>
      <c r="I12" s="479">
        <f>((((D1/D2)*C12)/360)*0.025)*H12</f>
        <v>2475.050236979167</v>
      </c>
      <c r="J12" s="480">
        <v>10597.2</v>
      </c>
      <c r="K12" s="481">
        <f>((((D1/D2)*C12)/360)*0.025)*J12</f>
        <v>2723.7195729166669</v>
      </c>
      <c r="L12" s="306"/>
      <c r="M12" s="306"/>
    </row>
    <row r="13" spans="1:13" ht="11.25" customHeight="1" x14ac:dyDescent="0.3">
      <c r="A13" s="476">
        <v>48</v>
      </c>
      <c r="B13" s="476">
        <v>2029</v>
      </c>
      <c r="C13" s="477">
        <v>30</v>
      </c>
      <c r="D13" s="478">
        <v>7111.8</v>
      </c>
      <c r="E13" s="479">
        <f>((((D1/D2)*C13)/360)*0.025)*D13</f>
        <v>1890.9239062499998</v>
      </c>
      <c r="F13" s="478">
        <v>8447.1</v>
      </c>
      <c r="G13" s="479">
        <f>((((D1/D2)*C13)/360)*0.025)*F13</f>
        <v>2245.9607031249998</v>
      </c>
      <c r="H13" s="478">
        <v>9821.7000000000007</v>
      </c>
      <c r="I13" s="479">
        <f>((((D1/D2)*C13)/360)*0.025)*H13</f>
        <v>2611.446796875</v>
      </c>
      <c r="J13" s="480">
        <v>11128.2</v>
      </c>
      <c r="K13" s="481">
        <f>((((D1/D2)*C13)/360)*0.025)*J13</f>
        <v>2958.8260937499999</v>
      </c>
      <c r="L13" s="306"/>
      <c r="M13" s="306"/>
    </row>
    <row r="14" spans="1:13" ht="11.25" customHeight="1" x14ac:dyDescent="0.3">
      <c r="A14" s="476">
        <v>49</v>
      </c>
      <c r="B14" s="476">
        <v>2030</v>
      </c>
      <c r="C14" s="477">
        <v>31</v>
      </c>
      <c r="D14" s="478">
        <v>7111.8</v>
      </c>
      <c r="E14" s="479">
        <f>((((D1/D2)*C14)/360)*0.025)*D14</f>
        <v>1953.9547031250002</v>
      </c>
      <c r="F14" s="478">
        <v>8447.1</v>
      </c>
      <c r="G14" s="479">
        <f>((((D1/D2)*C14)/360)*0.025)*F14</f>
        <v>2320.8260598958336</v>
      </c>
      <c r="H14" s="478">
        <v>9821.7000000000007</v>
      </c>
      <c r="I14" s="479">
        <f>((((D1/D2)*C14)/360)*0.025)*H14</f>
        <v>2698.4950234375001</v>
      </c>
      <c r="J14" s="480">
        <v>11128.2</v>
      </c>
      <c r="K14" s="481">
        <f>((((D1/D2)*C14)/360)*0.025)*J14</f>
        <v>3057.4536302083338</v>
      </c>
      <c r="L14" s="306"/>
      <c r="M14" s="306"/>
    </row>
    <row r="15" spans="1:13" ht="11.25" customHeight="1" x14ac:dyDescent="0.3">
      <c r="A15" s="476">
        <v>50</v>
      </c>
      <c r="B15" s="476">
        <v>2031</v>
      </c>
      <c r="C15" s="477">
        <v>32</v>
      </c>
      <c r="D15" s="478">
        <v>7111.8</v>
      </c>
      <c r="E15" s="479">
        <f>((((D1/D2)*C15)/360)*0.025)*D15</f>
        <v>2016.9855000000002</v>
      </c>
      <c r="F15" s="478">
        <v>8447.1</v>
      </c>
      <c r="G15" s="479">
        <f>((((D1/D2)*C15)/360)*0.025)*F15</f>
        <v>2395.691416666667</v>
      </c>
      <c r="H15" s="478">
        <v>9821.7000000000007</v>
      </c>
      <c r="I15" s="479">
        <f>((((D1/D2)*C15)/360)*0.025)*H15</f>
        <v>2785.5432500000006</v>
      </c>
      <c r="J15" s="480">
        <v>11128.2</v>
      </c>
      <c r="K15" s="481">
        <f>((((D1/D2)*C15)/360)*0.025)*J15</f>
        <v>3156.0811666666673</v>
      </c>
      <c r="L15" s="306"/>
      <c r="M15" s="306"/>
    </row>
    <row r="16" spans="1:13" ht="11.25" customHeight="1" x14ac:dyDescent="0.3">
      <c r="A16" s="476">
        <v>51</v>
      </c>
      <c r="B16" s="476">
        <v>2032</v>
      </c>
      <c r="C16" s="477">
        <v>33</v>
      </c>
      <c r="D16" s="478">
        <v>7111.8</v>
      </c>
      <c r="E16" s="479">
        <f>((((D1/D2)*C16)/360)*0.025)*D16</f>
        <v>2080.0162968750001</v>
      </c>
      <c r="F16" s="478">
        <v>8447.1</v>
      </c>
      <c r="G16" s="479">
        <f>((((D1/D2)*C16)/360)*0.025)*F16</f>
        <v>2470.5567734374999</v>
      </c>
      <c r="H16" s="478">
        <v>9821.7000000000007</v>
      </c>
      <c r="I16" s="479">
        <f>((((D1/D2)*C16)/360)*0.025)*H16</f>
        <v>2872.5914765625002</v>
      </c>
      <c r="J16" s="480">
        <v>11128.2</v>
      </c>
      <c r="K16" s="481">
        <f>((((D1/D2)*C16)/360)*0.025)*J16</f>
        <v>3254.7087031250003</v>
      </c>
      <c r="L16" s="306"/>
      <c r="M16" s="306"/>
    </row>
    <row r="17" spans="1:11" ht="11.25" customHeight="1" x14ac:dyDescent="0.3">
      <c r="A17" s="476">
        <v>52</v>
      </c>
      <c r="B17" s="476">
        <v>2033</v>
      </c>
      <c r="C17" s="477">
        <v>34</v>
      </c>
      <c r="D17" s="478">
        <v>7111.8</v>
      </c>
      <c r="E17" s="479">
        <f>((((D1/D2)*C17)/360)*0.025)*D17</f>
        <v>2143.0470937500004</v>
      </c>
      <c r="F17" s="478">
        <v>8447.1</v>
      </c>
      <c r="G17" s="479">
        <f>((((D1/D2)*C17)/360)*0.025)*F17</f>
        <v>2545.4221302083338</v>
      </c>
      <c r="H17" s="478">
        <v>9821.7000000000007</v>
      </c>
      <c r="I17" s="479">
        <f>((((D1/D2)*C17)/360)*0.025)*H17</f>
        <v>2959.6397031250003</v>
      </c>
      <c r="J17" s="480">
        <v>11683.5</v>
      </c>
      <c r="K17" s="481">
        <f>((((D1/D2)*C17)/360)*0.025)*J17</f>
        <v>3520.6685677083337</v>
      </c>
    </row>
    <row r="18" spans="1:11" ht="11.25" customHeight="1" x14ac:dyDescent="0.3">
      <c r="A18" s="476">
        <v>53</v>
      </c>
      <c r="B18" s="476">
        <v>2034</v>
      </c>
      <c r="C18" s="477">
        <v>35</v>
      </c>
      <c r="D18" s="478">
        <v>7111.8</v>
      </c>
      <c r="E18" s="479">
        <f>((((D1/D2)*C18)/360)*0.025)*D18</f>
        <v>2206.0778906250002</v>
      </c>
      <c r="F18" s="478">
        <v>8447.1</v>
      </c>
      <c r="G18" s="479">
        <f>((((D1/D2)*C18)/360)*0.025)*F18</f>
        <v>2620.2874869791667</v>
      </c>
      <c r="H18" s="478">
        <v>9821.7000000000007</v>
      </c>
      <c r="I18" s="479">
        <f>((((D1/D2)*C18)/360)*0.025)*H18</f>
        <v>3046.6879296875004</v>
      </c>
      <c r="J18" s="480">
        <v>11683.5</v>
      </c>
      <c r="K18" s="481">
        <f>((((D1/D2)*C18)/360)*0.025)*J18</f>
        <v>3624.2176432291667</v>
      </c>
    </row>
    <row r="19" spans="1:11" ht="11.25" customHeight="1" x14ac:dyDescent="0.3">
      <c r="A19" s="476">
        <v>54</v>
      </c>
      <c r="B19" s="476">
        <v>2035</v>
      </c>
      <c r="C19" s="477">
        <v>36</v>
      </c>
      <c r="D19" s="478">
        <v>7111.8</v>
      </c>
      <c r="E19" s="479">
        <f>((((D1/D2)*C19)/360)*0.025)*D19</f>
        <v>2269.1086875000001</v>
      </c>
      <c r="F19" s="478">
        <v>8447.1</v>
      </c>
      <c r="G19" s="479">
        <f>((((D1/D2)*C19)/360)*0.025)*F19</f>
        <v>2695.1528437500006</v>
      </c>
      <c r="H19" s="478">
        <v>9821.7000000000007</v>
      </c>
      <c r="I19" s="479">
        <f>((((D1/D2)*C19)/360)*0.025)*H19</f>
        <v>3133.7361562500005</v>
      </c>
      <c r="J19" s="480">
        <v>11683.5</v>
      </c>
      <c r="K19" s="481">
        <f>((((D1/D2)*C19)/360)*0.025)*J19</f>
        <v>3727.7667187500001</v>
      </c>
    </row>
    <row r="20" spans="1:11" ht="11.25" customHeight="1" x14ac:dyDescent="0.3">
      <c r="A20" s="476">
        <v>55</v>
      </c>
      <c r="B20" s="476">
        <v>2036</v>
      </c>
      <c r="C20" s="477">
        <v>37</v>
      </c>
      <c r="D20" s="478">
        <v>7111.8</v>
      </c>
      <c r="E20" s="479">
        <f>((((D1/D2)*C20)/360)*0.025)*D20</f>
        <v>2332.1394843750004</v>
      </c>
      <c r="F20" s="478">
        <v>8447.1</v>
      </c>
      <c r="G20" s="479">
        <f>((((D1/D2)*C20)/360)*0.025)*F20</f>
        <v>2770.0182005208339</v>
      </c>
      <c r="H20" s="478">
        <v>9821.7000000000007</v>
      </c>
      <c r="I20" s="479">
        <f>((((D1/D2)*C20)/360)*0.025)*H20</f>
        <v>3220.7843828125006</v>
      </c>
      <c r="J20" s="480">
        <v>11683.5</v>
      </c>
      <c r="K20" s="481">
        <f>((((D1/D2)*C20)/360)*0.025)*J20</f>
        <v>3831.315794270834</v>
      </c>
    </row>
    <row r="21" spans="1:11" ht="11.25" customHeight="1" x14ac:dyDescent="0.3">
      <c r="A21" s="476">
        <v>56</v>
      </c>
      <c r="B21" s="476">
        <v>2037</v>
      </c>
      <c r="C21" s="477">
        <v>38</v>
      </c>
      <c r="D21" s="478">
        <v>7111.8</v>
      </c>
      <c r="E21" s="479">
        <f>((((D1/D2)*C21)/360)*0.025)*D21</f>
        <v>2395.1702812500002</v>
      </c>
      <c r="F21" s="478">
        <v>8447.1</v>
      </c>
      <c r="G21" s="479">
        <f>((((D1/D2)*C21)/360)*0.025)*F21</f>
        <v>2844.8835572916669</v>
      </c>
      <c r="H21" s="478">
        <v>9821.7000000000007</v>
      </c>
      <c r="I21" s="479">
        <f>((((D1/D2)*C21)/360)*0.025)*H21</f>
        <v>3307.8326093750006</v>
      </c>
      <c r="J21" s="480">
        <v>12269.1</v>
      </c>
      <c r="K21" s="481">
        <f>((((D1/D2)*C21)/360)*0.025)*J21</f>
        <v>4132.0880364583336</v>
      </c>
    </row>
    <row r="22" spans="1:11" ht="11.25" customHeight="1" x14ac:dyDescent="0.3">
      <c r="A22" s="476">
        <v>57</v>
      </c>
      <c r="B22" s="476">
        <v>2038</v>
      </c>
      <c r="C22" s="477">
        <v>39</v>
      </c>
      <c r="D22" s="478">
        <v>7111.8</v>
      </c>
      <c r="E22" s="479">
        <f>((((D1/D2)*C22)/360)*0.025)*D22</f>
        <v>2458.2010781250005</v>
      </c>
      <c r="F22" s="478">
        <v>8447.1</v>
      </c>
      <c r="G22" s="479">
        <f>((((D1/D2)*C22)/360)*0.025)*F22</f>
        <v>2919.7489140625007</v>
      </c>
      <c r="H22" s="478">
        <v>9821.7000000000007</v>
      </c>
      <c r="I22" s="479">
        <f>((((D1/D2)*C22)/360)*0.025)*H22</f>
        <v>3394.8808359375007</v>
      </c>
      <c r="J22" s="480">
        <v>12269.1</v>
      </c>
      <c r="K22" s="481">
        <f>((((D1/D2)*C22)/360)*0.025)*J22</f>
        <v>4240.8271953125004</v>
      </c>
    </row>
    <row r="23" spans="1:11" ht="11.25" customHeight="1" x14ac:dyDescent="0.3">
      <c r="A23" s="476">
        <v>58</v>
      </c>
      <c r="B23" s="476">
        <v>2039</v>
      </c>
      <c r="C23" s="477">
        <v>40</v>
      </c>
      <c r="D23" s="478">
        <v>7111.8</v>
      </c>
      <c r="E23" s="482">
        <f>((((D1/D2)*C23)/360)*0.025)*D23</f>
        <v>2521.2318750000004</v>
      </c>
      <c r="F23" s="478">
        <v>8447.1</v>
      </c>
      <c r="G23" s="482">
        <f>((((D1/D2)*C23)/360)*0.025)*F23</f>
        <v>2994.6142708333336</v>
      </c>
      <c r="H23" s="478">
        <v>9821.7000000000007</v>
      </c>
      <c r="I23" s="482">
        <f>((((D1/D2)*C23)/360)*0.025)*H23</f>
        <v>3481.9290625000003</v>
      </c>
      <c r="J23" s="480">
        <v>12269.1</v>
      </c>
      <c r="K23" s="483">
        <f>((((D1/D2)*C23)/360)*0.025)*J23</f>
        <v>4349.5663541666672</v>
      </c>
    </row>
    <row r="24" spans="1:11" ht="11.25" customHeight="1" x14ac:dyDescent="0.3">
      <c r="A24" s="476">
        <v>59</v>
      </c>
      <c r="B24" s="476">
        <v>2040</v>
      </c>
      <c r="C24" s="477">
        <v>41</v>
      </c>
      <c r="D24" s="478">
        <v>7111.8</v>
      </c>
      <c r="E24" s="482">
        <f>((((D1/D2)*C24)/360)*0.025)*D24</f>
        <v>2584.2626718749998</v>
      </c>
      <c r="F24" s="478">
        <v>8447.1</v>
      </c>
      <c r="G24" s="482">
        <f>((((D1/D2)*C24)/360)*0.025)*F24</f>
        <v>3069.4796276041666</v>
      </c>
      <c r="H24" s="478">
        <v>9821.7000000000007</v>
      </c>
      <c r="I24" s="482">
        <f>((((D1/D2)*C24)/360)*0.025)*H24</f>
        <v>3568.9772890624999</v>
      </c>
      <c r="J24" s="480">
        <v>12269.1</v>
      </c>
      <c r="K24" s="483">
        <f>((((D1/D2)*C24)/360)*0.025)*J24</f>
        <v>4458.3055130208331</v>
      </c>
    </row>
    <row r="25" spans="1:11" ht="11.25" customHeight="1" x14ac:dyDescent="0.3">
      <c r="A25" s="476">
        <v>60</v>
      </c>
      <c r="B25" s="476">
        <v>2041</v>
      </c>
      <c r="C25" s="477">
        <v>42</v>
      </c>
      <c r="D25" s="478">
        <v>7111.8</v>
      </c>
      <c r="E25" s="479">
        <f>((((D1/D2)*C25)/360)*0.025)*D25</f>
        <v>2647.2934687500001</v>
      </c>
      <c r="F25" s="478">
        <v>8447.1</v>
      </c>
      <c r="G25" s="479">
        <f>((((D1/D2)*C25)/360)*0.025)*F25</f>
        <v>3144.3449843750004</v>
      </c>
      <c r="H25" s="478">
        <v>9821.7000000000007</v>
      </c>
      <c r="I25" s="479">
        <f>((((D1/D2)*C25)/360)*0.025)*H25</f>
        <v>3656.0255156250005</v>
      </c>
      <c r="J25" s="480">
        <v>12269.1</v>
      </c>
      <c r="K25" s="481">
        <f>((((D1/D2)*C25)/360)*0.025)*J25</f>
        <v>4567.0446718749999</v>
      </c>
    </row>
    <row r="26" spans="1:11" ht="11.25" customHeight="1" x14ac:dyDescent="0.3">
      <c r="A26" s="476">
        <v>61</v>
      </c>
      <c r="B26" s="476">
        <v>2042</v>
      </c>
      <c r="C26" s="477">
        <v>43</v>
      </c>
      <c r="D26" s="478">
        <v>7111.8</v>
      </c>
      <c r="E26" s="479">
        <f>((((D1/D2)*C26)/360)*0.025)*D26</f>
        <v>2710.3242656250004</v>
      </c>
      <c r="F26" s="478">
        <v>8447.1</v>
      </c>
      <c r="G26" s="479">
        <f>((((D1/D2)*C26)/360)*0.025)*F26</f>
        <v>3219.2103411458338</v>
      </c>
      <c r="H26" s="478">
        <v>9821.7000000000007</v>
      </c>
      <c r="I26" s="479">
        <f>((((D1/D2)*C26)/360)*0.025)*H26</f>
        <v>3743.0737421875006</v>
      </c>
      <c r="J26" s="480">
        <v>12269.1</v>
      </c>
      <c r="K26" s="481">
        <f>((((D1/D2)*C26)/360)*0.025)*J26</f>
        <v>4675.7838307291677</v>
      </c>
    </row>
    <row r="27" spans="1:11" ht="11.25" customHeight="1" x14ac:dyDescent="0.3">
      <c r="A27" s="476">
        <v>62</v>
      </c>
      <c r="B27" s="476">
        <v>2043</v>
      </c>
      <c r="C27" s="477">
        <v>44</v>
      </c>
      <c r="D27" s="478">
        <v>7111.8</v>
      </c>
      <c r="E27" s="479">
        <f>((((D1/D2)*C27)/360)*0.025)*D27</f>
        <v>2773.3550625000003</v>
      </c>
      <c r="F27" s="478">
        <v>8447.1</v>
      </c>
      <c r="G27" s="479">
        <f>((((D1/D2)*C27)/360)*0.025)*F27</f>
        <v>3294.0756979166667</v>
      </c>
      <c r="H27" s="478">
        <v>9821.7000000000007</v>
      </c>
      <c r="I27" s="479">
        <f>((((D1/D2)*C27)/360)*0.025)*H27</f>
        <v>3830.1219687500002</v>
      </c>
      <c r="J27" s="480">
        <v>12269.1</v>
      </c>
      <c r="K27" s="481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/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84"/>
      <c r="B1" s="484" t="s">
        <v>692</v>
      </c>
      <c r="C1" s="484" t="s">
        <v>693</v>
      </c>
      <c r="D1" s="484" t="s">
        <v>694</v>
      </c>
      <c r="E1" s="484" t="s">
        <v>695</v>
      </c>
      <c r="F1" s="484" t="s">
        <v>696</v>
      </c>
      <c r="G1" s="484"/>
      <c r="H1" s="484"/>
    </row>
    <row r="2" spans="1:8" ht="11.25" customHeight="1" x14ac:dyDescent="0.3">
      <c r="A2" s="484" t="s">
        <v>697</v>
      </c>
      <c r="B2" s="306" t="s">
        <v>698</v>
      </c>
      <c r="C2" s="484" t="s">
        <v>699</v>
      </c>
      <c r="D2" s="484"/>
      <c r="E2" s="484" t="s">
        <v>700</v>
      </c>
      <c r="F2" s="484"/>
      <c r="G2" s="484"/>
      <c r="H2" s="484"/>
    </row>
    <row r="3" spans="1:8" ht="11.25" customHeight="1" x14ac:dyDescent="0.3">
      <c r="A3" s="484" t="s">
        <v>701</v>
      </c>
      <c r="B3" s="484" t="s">
        <v>702</v>
      </c>
      <c r="C3" s="484" t="s">
        <v>703</v>
      </c>
      <c r="D3" s="484"/>
      <c r="E3" s="484"/>
      <c r="F3" s="484"/>
      <c r="G3" s="484"/>
      <c r="H3" s="484"/>
    </row>
    <row r="4" spans="1:8" ht="11.25" customHeight="1" x14ac:dyDescent="0.3">
      <c r="A4" s="484" t="s">
        <v>704</v>
      </c>
      <c r="B4" s="485" t="s">
        <v>705</v>
      </c>
      <c r="C4" s="484" t="s">
        <v>706</v>
      </c>
      <c r="D4" s="484"/>
      <c r="E4" s="484" t="s">
        <v>707</v>
      </c>
      <c r="F4" s="484"/>
      <c r="G4" s="484"/>
      <c r="H4" s="484"/>
    </row>
    <row r="5" spans="1:8" ht="11.25" customHeight="1" x14ac:dyDescent="0.3">
      <c r="A5" s="484" t="s">
        <v>704</v>
      </c>
      <c r="B5" s="484" t="s">
        <v>708</v>
      </c>
      <c r="C5" s="484" t="s">
        <v>709</v>
      </c>
      <c r="D5" s="484"/>
      <c r="E5" s="484" t="s">
        <v>707</v>
      </c>
      <c r="F5" s="484"/>
      <c r="G5" s="484"/>
      <c r="H5" s="484"/>
    </row>
    <row r="6" spans="1:8" ht="11.25" customHeight="1" x14ac:dyDescent="0.3">
      <c r="A6" s="484" t="s">
        <v>638</v>
      </c>
      <c r="B6" s="484" t="s">
        <v>710</v>
      </c>
      <c r="C6" s="484" t="s">
        <v>711</v>
      </c>
      <c r="D6" s="484"/>
      <c r="E6" s="306" t="s">
        <v>712</v>
      </c>
      <c r="F6" s="484"/>
      <c r="G6" s="484"/>
      <c r="H6" s="484"/>
    </row>
    <row r="7" spans="1:8" ht="11.25" customHeight="1" x14ac:dyDescent="0.3">
      <c r="A7" s="484" t="s">
        <v>185</v>
      </c>
      <c r="B7" s="484" t="s">
        <v>713</v>
      </c>
      <c r="C7" s="484" t="s">
        <v>714</v>
      </c>
      <c r="D7" s="484"/>
      <c r="E7" s="484" t="s">
        <v>715</v>
      </c>
      <c r="F7" s="484"/>
      <c r="G7" s="484"/>
      <c r="H7" s="484"/>
    </row>
    <row r="8" spans="1:8" ht="11.25" customHeight="1" x14ac:dyDescent="0.3">
      <c r="A8" s="484" t="s">
        <v>185</v>
      </c>
      <c r="B8" s="484" t="s">
        <v>705</v>
      </c>
      <c r="C8" s="484" t="s">
        <v>716</v>
      </c>
      <c r="D8" s="484"/>
      <c r="E8" s="484"/>
      <c r="F8" s="484"/>
      <c r="G8" s="484"/>
      <c r="H8" s="484"/>
    </row>
    <row r="9" spans="1:8" ht="11.25" customHeight="1" x14ac:dyDescent="0.3">
      <c r="A9" s="484" t="s">
        <v>717</v>
      </c>
      <c r="B9" s="306" t="s">
        <v>718</v>
      </c>
      <c r="C9" s="484" t="s">
        <v>716</v>
      </c>
      <c r="D9" s="484"/>
      <c r="E9" s="484" t="s">
        <v>719</v>
      </c>
      <c r="F9" s="484"/>
      <c r="G9" s="484"/>
      <c r="H9" s="484"/>
    </row>
    <row r="10" spans="1:8" ht="11.25" customHeight="1" x14ac:dyDescent="0.3">
      <c r="A10" s="484" t="s">
        <v>720</v>
      </c>
      <c r="B10" s="484" t="s">
        <v>709</v>
      </c>
      <c r="C10" s="486" t="s">
        <v>721</v>
      </c>
      <c r="D10" s="486"/>
      <c r="E10" s="306" t="s">
        <v>722</v>
      </c>
      <c r="F10" s="484"/>
      <c r="G10" s="484"/>
      <c r="H10" s="484"/>
    </row>
    <row r="11" spans="1:8" ht="11.25" customHeight="1" x14ac:dyDescent="0.3">
      <c r="A11" s="484" t="s">
        <v>723</v>
      </c>
      <c r="B11" s="485" t="s">
        <v>724</v>
      </c>
      <c r="C11" s="484" t="s">
        <v>725</v>
      </c>
      <c r="D11" s="484"/>
      <c r="E11" s="487" t="s">
        <v>726</v>
      </c>
      <c r="F11" s="484"/>
      <c r="G11" s="484" t="s">
        <v>727</v>
      </c>
      <c r="H11" s="484" t="s">
        <v>728</v>
      </c>
    </row>
    <row r="12" spans="1:8" ht="11.25" customHeight="1" x14ac:dyDescent="0.3">
      <c r="A12" s="484" t="s">
        <v>729</v>
      </c>
      <c r="B12" s="484" t="s">
        <v>730</v>
      </c>
      <c r="C12" s="484" t="s">
        <v>731</v>
      </c>
      <c r="D12" s="484"/>
      <c r="E12" s="484" t="s">
        <v>732</v>
      </c>
      <c r="F12" s="484"/>
      <c r="G12" s="484"/>
      <c r="H12" s="484"/>
    </row>
    <row r="13" spans="1:8" ht="11.25" customHeight="1" x14ac:dyDescent="0.3">
      <c r="A13" s="484" t="s">
        <v>356</v>
      </c>
      <c r="B13" s="306" t="s">
        <v>698</v>
      </c>
      <c r="C13" s="484" t="s">
        <v>728</v>
      </c>
      <c r="D13" s="484"/>
      <c r="E13" s="485" t="s">
        <v>733</v>
      </c>
      <c r="F13" s="484"/>
      <c r="G13" s="484"/>
      <c r="H13" s="484"/>
    </row>
    <row r="14" spans="1:8" ht="11.25" customHeight="1" x14ac:dyDescent="0.3">
      <c r="A14" s="484" t="s">
        <v>734</v>
      </c>
      <c r="B14" s="484" t="s">
        <v>705</v>
      </c>
      <c r="C14" s="484" t="s">
        <v>706</v>
      </c>
      <c r="D14" s="484"/>
      <c r="E14" s="488" t="s">
        <v>735</v>
      </c>
      <c r="F14" s="484"/>
      <c r="G14" s="484"/>
      <c r="H14" s="484"/>
    </row>
    <row r="15" spans="1:8" ht="11.25" customHeight="1" x14ac:dyDescent="0.3">
      <c r="A15" s="484" t="s">
        <v>736</v>
      </c>
      <c r="B15" s="484" t="s">
        <v>737</v>
      </c>
      <c r="C15" s="484" t="s">
        <v>738</v>
      </c>
      <c r="D15" s="484"/>
      <c r="E15" s="306" t="s">
        <v>739</v>
      </c>
      <c r="F15" s="484"/>
      <c r="G15" s="484"/>
      <c r="H15" s="484"/>
    </row>
    <row r="16" spans="1:8" ht="11.25" customHeight="1" x14ac:dyDescent="0.3">
      <c r="A16" s="484" t="s">
        <v>740</v>
      </c>
      <c r="B16" s="306" t="s">
        <v>698</v>
      </c>
      <c r="C16" s="484" t="s">
        <v>714</v>
      </c>
      <c r="D16" s="484"/>
      <c r="E16" s="484"/>
      <c r="F16" s="484"/>
      <c r="G16" s="484"/>
      <c r="H16" s="484"/>
    </row>
    <row r="17" spans="1:8" ht="11.25" customHeight="1" x14ac:dyDescent="0.3">
      <c r="A17" s="484" t="s">
        <v>741</v>
      </c>
      <c r="B17" s="485" t="s">
        <v>742</v>
      </c>
      <c r="C17" s="484" t="s">
        <v>714</v>
      </c>
      <c r="D17" s="484"/>
      <c r="E17" s="484"/>
      <c r="F17" s="484"/>
      <c r="G17" s="484"/>
      <c r="H17" s="484"/>
    </row>
    <row r="18" spans="1:8" ht="11.25" customHeight="1" x14ac:dyDescent="0.3">
      <c r="A18" s="484" t="s">
        <v>743</v>
      </c>
      <c r="B18" s="484" t="s">
        <v>705</v>
      </c>
      <c r="C18" s="484" t="s">
        <v>744</v>
      </c>
      <c r="D18" s="484"/>
      <c r="E18" s="484" t="s">
        <v>745</v>
      </c>
      <c r="F18" s="484"/>
      <c r="G18" s="484"/>
      <c r="H18" s="484"/>
    </row>
    <row r="19" spans="1:8" ht="11.25" customHeight="1" x14ac:dyDescent="0.3">
      <c r="A19" s="484" t="s">
        <v>746</v>
      </c>
      <c r="B19" s="485" t="s">
        <v>702</v>
      </c>
      <c r="C19" s="484" t="s">
        <v>747</v>
      </c>
      <c r="D19" s="484"/>
      <c r="E19" s="487" t="s">
        <v>748</v>
      </c>
      <c r="F19" s="484"/>
      <c r="G19" s="484"/>
      <c r="H19" s="484"/>
    </row>
    <row r="20" spans="1:8" ht="11.25" customHeight="1" x14ac:dyDescent="0.3">
      <c r="A20" s="484" t="s">
        <v>749</v>
      </c>
      <c r="B20" s="484" t="s">
        <v>705</v>
      </c>
      <c r="C20" s="484" t="s">
        <v>747</v>
      </c>
      <c r="D20" s="484"/>
      <c r="E20" s="484" t="s">
        <v>748</v>
      </c>
      <c r="F20" s="484"/>
      <c r="G20" s="484"/>
      <c r="H20" s="484"/>
    </row>
    <row r="21" spans="1:8" ht="11.25" customHeight="1" x14ac:dyDescent="0.3">
      <c r="A21" s="484" t="s">
        <v>750</v>
      </c>
      <c r="B21" s="485" t="s">
        <v>702</v>
      </c>
      <c r="C21" s="484" t="s">
        <v>751</v>
      </c>
      <c r="D21" s="484" t="s">
        <v>752</v>
      </c>
      <c r="E21" s="484"/>
      <c r="F21" s="484"/>
      <c r="G21" s="484"/>
      <c r="H21" s="484"/>
    </row>
    <row r="22" spans="1:8" ht="11.25" customHeight="1" x14ac:dyDescent="0.3">
      <c r="A22" s="484" t="s">
        <v>750</v>
      </c>
      <c r="B22" s="484" t="s">
        <v>753</v>
      </c>
      <c r="C22" s="484" t="s">
        <v>754</v>
      </c>
      <c r="D22" s="484" t="s">
        <v>755</v>
      </c>
      <c r="E22" s="484"/>
      <c r="F22" s="484"/>
      <c r="G22" s="484"/>
      <c r="H22" s="484"/>
    </row>
    <row r="23" spans="1:8" ht="11.25" customHeight="1" x14ac:dyDescent="0.3">
      <c r="A23" s="484" t="s">
        <v>756</v>
      </c>
      <c r="B23" s="484" t="s">
        <v>702</v>
      </c>
      <c r="C23" s="484" t="s">
        <v>714</v>
      </c>
      <c r="D23" s="484"/>
      <c r="E23" s="484"/>
      <c r="F23" s="484"/>
      <c r="G23" s="484"/>
      <c r="H23" s="484"/>
    </row>
    <row r="24" spans="1:8" ht="11.25" customHeight="1" x14ac:dyDescent="0.3">
      <c r="A24" s="484" t="s">
        <v>757</v>
      </c>
      <c r="B24" s="484" t="s">
        <v>758</v>
      </c>
      <c r="C24" s="484" t="s">
        <v>706</v>
      </c>
      <c r="D24" s="484"/>
      <c r="E24" s="306" t="s">
        <v>759</v>
      </c>
      <c r="F24" s="484"/>
      <c r="G24" s="484"/>
      <c r="H24" s="484"/>
    </row>
    <row r="25" spans="1:8" ht="11.25" customHeight="1" x14ac:dyDescent="0.3">
      <c r="A25" s="484" t="s">
        <v>97</v>
      </c>
      <c r="B25" s="484" t="s">
        <v>730</v>
      </c>
      <c r="C25" s="484" t="s">
        <v>760</v>
      </c>
      <c r="D25" s="484"/>
      <c r="E25" s="484" t="s">
        <v>761</v>
      </c>
      <c r="F25" s="484"/>
      <c r="G25" s="484"/>
      <c r="H25" s="484"/>
    </row>
    <row r="26" spans="1:8" ht="11.25" customHeight="1" x14ac:dyDescent="0.3">
      <c r="A26" s="484" t="s">
        <v>762</v>
      </c>
      <c r="B26" s="484" t="s">
        <v>705</v>
      </c>
      <c r="C26" s="484" t="s">
        <v>728</v>
      </c>
      <c r="D26" s="484"/>
      <c r="E26" s="484"/>
      <c r="F26" s="484" t="s">
        <v>763</v>
      </c>
      <c r="G26" s="484" t="s">
        <v>764</v>
      </c>
      <c r="H26" s="484"/>
    </row>
    <row r="27" spans="1:8" ht="11.25" customHeight="1" x14ac:dyDescent="0.3">
      <c r="A27" s="484" t="s">
        <v>765</v>
      </c>
      <c r="B27" s="484" t="s">
        <v>705</v>
      </c>
      <c r="C27" s="484" t="s">
        <v>706</v>
      </c>
      <c r="D27" s="486">
        <v>1116</v>
      </c>
      <c r="E27" s="306" t="s">
        <v>766</v>
      </c>
      <c r="F27" s="484"/>
      <c r="G27" s="484"/>
      <c r="H27" s="484"/>
    </row>
    <row r="28" spans="1:8" ht="11.25" customHeight="1" x14ac:dyDescent="0.3">
      <c r="A28" s="484" t="s">
        <v>767</v>
      </c>
      <c r="B28" s="486">
        <v>4403872289</v>
      </c>
      <c r="C28" s="484" t="s">
        <v>706</v>
      </c>
      <c r="D28" s="484"/>
      <c r="E28" s="484" t="s">
        <v>768</v>
      </c>
      <c r="F28" s="484"/>
      <c r="G28" s="484"/>
      <c r="H28" s="484"/>
    </row>
    <row r="29" spans="1:8" ht="11.25" customHeight="1" x14ac:dyDescent="0.3">
      <c r="A29" s="484" t="s">
        <v>769</v>
      </c>
      <c r="B29" s="306" t="s">
        <v>698</v>
      </c>
      <c r="C29" s="484" t="s">
        <v>714</v>
      </c>
      <c r="D29" s="484"/>
      <c r="E29" s="306" t="s">
        <v>770</v>
      </c>
      <c r="F29" s="484" t="s">
        <v>771</v>
      </c>
      <c r="G29" s="484" t="s">
        <v>772</v>
      </c>
      <c r="H29" s="484"/>
    </row>
    <row r="30" spans="1:8" ht="11.25" customHeight="1" x14ac:dyDescent="0.3">
      <c r="A30" s="484" t="s">
        <v>773</v>
      </c>
      <c r="B30" s="484" t="s">
        <v>730</v>
      </c>
      <c r="C30" s="484" t="s">
        <v>774</v>
      </c>
      <c r="D30" s="484"/>
      <c r="E30" s="484"/>
      <c r="F30" s="484"/>
      <c r="G30" s="484"/>
      <c r="H30" s="484"/>
    </row>
    <row r="31" spans="1:8" ht="11.25" customHeight="1" x14ac:dyDescent="0.3">
      <c r="A31" s="484" t="s">
        <v>775</v>
      </c>
      <c r="B31" s="484" t="s">
        <v>705</v>
      </c>
      <c r="C31" s="484" t="s">
        <v>706</v>
      </c>
      <c r="D31" s="484"/>
      <c r="E31" s="484"/>
      <c r="F31" s="484"/>
      <c r="G31" s="484"/>
      <c r="H31" s="484"/>
    </row>
    <row r="32" spans="1:8" ht="11.25" customHeight="1" x14ac:dyDescent="0.3">
      <c r="A32" s="484" t="s">
        <v>776</v>
      </c>
      <c r="B32" s="484" t="s">
        <v>705</v>
      </c>
      <c r="C32" s="484" t="s">
        <v>728</v>
      </c>
      <c r="D32" s="484"/>
      <c r="E32" s="484"/>
      <c r="F32" s="484"/>
      <c r="G32" s="484"/>
      <c r="H32" s="484"/>
    </row>
    <row r="33" spans="1:8" ht="11.25" customHeight="1" x14ac:dyDescent="0.3">
      <c r="A33" s="484" t="s">
        <v>777</v>
      </c>
      <c r="B33" s="487" t="s">
        <v>778</v>
      </c>
      <c r="C33" s="484" t="s">
        <v>728</v>
      </c>
      <c r="D33" s="484"/>
      <c r="E33" s="484"/>
      <c r="F33" s="484"/>
      <c r="G33" s="484"/>
      <c r="H33" s="484"/>
    </row>
    <row r="34" spans="1:8" ht="11.25" customHeight="1" x14ac:dyDescent="0.3">
      <c r="A34" s="484" t="s">
        <v>779</v>
      </c>
      <c r="B34" s="484" t="s">
        <v>780</v>
      </c>
      <c r="C34" s="484"/>
      <c r="D34" s="484"/>
      <c r="E34" s="484"/>
      <c r="F34" s="484"/>
      <c r="G34" s="484"/>
      <c r="H34" s="484"/>
    </row>
    <row r="35" spans="1:8" ht="11.25" customHeight="1" x14ac:dyDescent="0.3">
      <c r="A35" s="484"/>
      <c r="B35" s="484"/>
      <c r="C35" s="484"/>
      <c r="D35" s="484"/>
      <c r="E35" s="484"/>
      <c r="F35" s="484"/>
      <c r="G35" s="484"/>
      <c r="H35" s="484"/>
    </row>
    <row r="36" spans="1:8" ht="11.25" customHeight="1" x14ac:dyDescent="0.3">
      <c r="A36" s="484"/>
      <c r="B36" s="484"/>
      <c r="C36" s="484"/>
      <c r="D36" s="484"/>
      <c r="E36" s="484"/>
      <c r="F36" s="484" t="s">
        <v>781</v>
      </c>
      <c r="G36" s="484"/>
      <c r="H36" s="484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89"/>
      <c r="C1" s="490"/>
      <c r="E1" s="491"/>
      <c r="G1" s="65"/>
    </row>
    <row r="2" spans="1:10" ht="14.25" customHeight="1" x14ac:dyDescent="0.3">
      <c r="B2" s="489"/>
      <c r="C2" s="490"/>
      <c r="E2" s="491" t="s">
        <v>782</v>
      </c>
      <c r="G2" s="65"/>
      <c r="I2" s="92" t="s">
        <v>783</v>
      </c>
    </row>
    <row r="3" spans="1:10" ht="14.25" customHeight="1" x14ac:dyDescent="0.3">
      <c r="A3" s="92" t="s">
        <v>784</v>
      </c>
      <c r="B3" s="489"/>
      <c r="C3" s="490"/>
      <c r="E3" s="491" t="s">
        <v>785</v>
      </c>
      <c r="F3" s="92" t="s">
        <v>786</v>
      </c>
      <c r="G3" s="65"/>
      <c r="I3" s="492">
        <v>0.46899999999999997</v>
      </c>
      <c r="J3" s="92" t="s">
        <v>787</v>
      </c>
    </row>
    <row r="4" spans="1:10" ht="14.25" customHeight="1" x14ac:dyDescent="0.3">
      <c r="B4" s="489"/>
      <c r="C4" s="490"/>
      <c r="E4" s="491"/>
      <c r="G4" s="65"/>
    </row>
    <row r="5" spans="1:10" ht="14.25" customHeight="1" x14ac:dyDescent="0.3">
      <c r="B5" s="489"/>
      <c r="C5" s="490"/>
      <c r="E5" s="491"/>
      <c r="G5" s="65"/>
    </row>
    <row r="6" spans="1:10" ht="14.25" customHeight="1" x14ac:dyDescent="0.3">
      <c r="A6" s="92" t="s">
        <v>788</v>
      </c>
      <c r="B6" s="489"/>
      <c r="C6" s="490"/>
      <c r="E6" s="491" t="s">
        <v>789</v>
      </c>
      <c r="F6" s="92" t="s">
        <v>734</v>
      </c>
      <c r="G6" s="65"/>
      <c r="I6" s="493">
        <v>0.46899999999999997</v>
      </c>
      <c r="J6" s="92" t="s">
        <v>787</v>
      </c>
    </row>
    <row r="7" spans="1:10" ht="14.25" customHeight="1" x14ac:dyDescent="0.3">
      <c r="B7" s="489"/>
      <c r="C7" s="490"/>
      <c r="E7" s="491"/>
      <c r="G7" s="65"/>
    </row>
    <row r="8" spans="1:10" ht="14.25" customHeight="1" x14ac:dyDescent="0.3">
      <c r="B8" s="489"/>
      <c r="C8" s="490"/>
      <c r="E8" s="491"/>
      <c r="G8" s="65"/>
    </row>
    <row r="9" spans="1:10" ht="14.25" customHeight="1" x14ac:dyDescent="0.3">
      <c r="B9" s="489"/>
      <c r="C9" s="490"/>
      <c r="E9" s="491"/>
      <c r="G9" s="65"/>
    </row>
    <row r="10" spans="1:10" ht="14.25" customHeight="1" x14ac:dyDescent="0.3">
      <c r="B10" s="489"/>
      <c r="C10" s="490"/>
      <c r="E10" s="491"/>
      <c r="G10" s="65"/>
    </row>
    <row r="11" spans="1:10" ht="14.25" customHeight="1" x14ac:dyDescent="0.3">
      <c r="B11" s="489" t="s">
        <v>790</v>
      </c>
      <c r="C11" s="490" t="s">
        <v>791</v>
      </c>
      <c r="D11" s="86" t="s">
        <v>792</v>
      </c>
      <c r="E11" s="491" t="s">
        <v>793</v>
      </c>
      <c r="F11" s="86" t="s">
        <v>794</v>
      </c>
      <c r="G11" s="65" t="s">
        <v>795</v>
      </c>
      <c r="H11" s="86" t="s">
        <v>796</v>
      </c>
    </row>
    <row r="12" spans="1:10" ht="14.25" customHeight="1" x14ac:dyDescent="0.3">
      <c r="A12" s="86" t="s">
        <v>797</v>
      </c>
      <c r="B12" s="489">
        <v>110059119914</v>
      </c>
      <c r="C12" s="494" t="s">
        <v>798</v>
      </c>
      <c r="D12" s="86" t="s">
        <v>786</v>
      </c>
      <c r="E12" s="491">
        <v>8.2900000000000001E-2</v>
      </c>
      <c r="F12" s="86" t="s">
        <v>799</v>
      </c>
      <c r="G12" s="65">
        <v>45878</v>
      </c>
    </row>
    <row r="13" spans="1:10" ht="14.25" customHeight="1" x14ac:dyDescent="0.3">
      <c r="A13" s="86" t="s">
        <v>149</v>
      </c>
      <c r="B13" s="489">
        <v>110154325473</v>
      </c>
      <c r="C13" s="490" t="s">
        <v>800</v>
      </c>
      <c r="D13" s="86" t="s">
        <v>786</v>
      </c>
      <c r="E13" s="491">
        <v>8.2900000000000001E-2</v>
      </c>
      <c r="F13" s="86" t="s">
        <v>799</v>
      </c>
      <c r="G13" s="65">
        <v>45878</v>
      </c>
    </row>
    <row r="14" spans="1:10" ht="14.25" customHeight="1" x14ac:dyDescent="0.3">
      <c r="B14" s="489"/>
      <c r="C14" s="490"/>
      <c r="E14" s="491"/>
      <c r="G14" s="65"/>
    </row>
    <row r="15" spans="1:10" ht="14.25" customHeight="1" x14ac:dyDescent="0.3">
      <c r="B15" s="489"/>
      <c r="C15" s="490"/>
      <c r="E15" s="491"/>
      <c r="G15" s="65"/>
    </row>
    <row r="16" spans="1:10" ht="14.25" customHeight="1" x14ac:dyDescent="0.3">
      <c r="B16" s="489"/>
      <c r="C16" s="490"/>
      <c r="E16" s="491"/>
      <c r="G16" s="65"/>
    </row>
    <row r="17" spans="2:7" ht="14.25" customHeight="1" x14ac:dyDescent="0.3">
      <c r="B17" s="489"/>
      <c r="C17" s="490"/>
      <c r="E17" s="491"/>
      <c r="G17" s="65"/>
    </row>
    <row r="18" spans="2:7" ht="14.25" customHeight="1" x14ac:dyDescent="0.3">
      <c r="B18" s="489"/>
      <c r="C18" s="490"/>
      <c r="E18" s="491"/>
      <c r="G18" s="65"/>
    </row>
    <row r="19" spans="2:7" ht="14.25" customHeight="1" x14ac:dyDescent="0.3">
      <c r="B19" s="489"/>
      <c r="C19" s="490"/>
      <c r="E19" s="491"/>
      <c r="G19" s="65"/>
    </row>
    <row r="20" spans="2:7" ht="14.25" customHeight="1" x14ac:dyDescent="0.3">
      <c r="B20" s="489"/>
      <c r="C20" s="490"/>
      <c r="E20" s="491"/>
      <c r="G20" s="65"/>
    </row>
    <row r="21" spans="2:7" ht="14.25" customHeight="1" x14ac:dyDescent="0.3">
      <c r="B21" s="489"/>
      <c r="C21" s="490"/>
      <c r="E21" s="491"/>
      <c r="G21" s="65"/>
    </row>
    <row r="22" spans="2:7" ht="14.25" customHeight="1" x14ac:dyDescent="0.3">
      <c r="B22" s="489"/>
      <c r="C22" s="490"/>
      <c r="E22" s="491"/>
      <c r="G22" s="65"/>
    </row>
    <row r="23" spans="2:7" ht="14.25" customHeight="1" x14ac:dyDescent="0.3">
      <c r="B23" s="489"/>
      <c r="C23" s="490"/>
      <c r="E23" s="491"/>
      <c r="G23" s="65"/>
    </row>
    <row r="24" spans="2:7" ht="14.25" customHeight="1" x14ac:dyDescent="0.3">
      <c r="B24" s="489"/>
      <c r="C24" s="490"/>
      <c r="E24" s="491"/>
      <c r="G24" s="65"/>
    </row>
    <row r="25" spans="2:7" ht="14.25" customHeight="1" x14ac:dyDescent="0.3">
      <c r="B25" s="489"/>
      <c r="C25" s="490"/>
      <c r="E25" s="491"/>
      <c r="G25" s="65"/>
    </row>
    <row r="26" spans="2:7" ht="14.25" customHeight="1" x14ac:dyDescent="0.3">
      <c r="B26" s="489"/>
      <c r="C26" s="490"/>
      <c r="E26" s="491"/>
      <c r="G26" s="65"/>
    </row>
    <row r="27" spans="2:7" ht="14.25" customHeight="1" x14ac:dyDescent="0.3">
      <c r="B27" s="489"/>
      <c r="C27" s="490"/>
      <c r="E27" s="491"/>
      <c r="G27" s="65"/>
    </row>
    <row r="28" spans="2:7" ht="14.25" customHeight="1" x14ac:dyDescent="0.3">
      <c r="B28" s="489"/>
      <c r="C28" s="490"/>
      <c r="E28" s="491"/>
      <c r="G28" s="65"/>
    </row>
    <row r="29" spans="2:7" ht="14.25" customHeight="1" x14ac:dyDescent="0.3">
      <c r="B29" s="489"/>
      <c r="C29" s="490"/>
      <c r="E29" s="491"/>
      <c r="G29" s="65"/>
    </row>
    <row r="30" spans="2:7" ht="14.25" customHeight="1" x14ac:dyDescent="0.3">
      <c r="B30" s="489"/>
      <c r="C30" s="490"/>
      <c r="E30" s="491"/>
      <c r="G30" s="65"/>
    </row>
    <row r="31" spans="2:7" ht="14.25" customHeight="1" x14ac:dyDescent="0.3">
      <c r="B31" s="489"/>
      <c r="C31" s="490"/>
      <c r="E31" s="491"/>
      <c r="G31" s="65"/>
    </row>
    <row r="32" spans="2:7" ht="14.25" customHeight="1" x14ac:dyDescent="0.3">
      <c r="B32" s="489"/>
      <c r="C32" s="490"/>
      <c r="E32" s="491"/>
      <c r="G32" s="65"/>
    </row>
    <row r="33" spans="2:7" ht="14.25" customHeight="1" x14ac:dyDescent="0.3">
      <c r="B33" s="489"/>
      <c r="C33" s="490"/>
      <c r="E33" s="491"/>
      <c r="G33" s="65"/>
    </row>
    <row r="34" spans="2:7" ht="14.25" customHeight="1" x14ac:dyDescent="0.3">
      <c r="B34" s="489"/>
      <c r="C34" s="490"/>
      <c r="E34" s="491"/>
      <c r="G34" s="65"/>
    </row>
    <row r="35" spans="2:7" ht="14.25" customHeight="1" x14ac:dyDescent="0.3">
      <c r="B35" s="489"/>
      <c r="C35" s="490"/>
      <c r="E35" s="491"/>
      <c r="G35" s="65"/>
    </row>
    <row r="36" spans="2:7" ht="14.25" customHeight="1" x14ac:dyDescent="0.3">
      <c r="B36" s="489"/>
      <c r="C36" s="490"/>
      <c r="E36" s="491"/>
      <c r="G36" s="65"/>
    </row>
    <row r="37" spans="2:7" ht="14.25" customHeight="1" x14ac:dyDescent="0.3">
      <c r="B37" s="489"/>
      <c r="C37" s="490"/>
      <c r="E37" s="491"/>
      <c r="G37" s="65"/>
    </row>
    <row r="38" spans="2:7" ht="14.25" customHeight="1" x14ac:dyDescent="0.3">
      <c r="B38" s="489"/>
      <c r="C38" s="490"/>
      <c r="E38" s="491"/>
      <c r="G38" s="65"/>
    </row>
    <row r="39" spans="2:7" ht="14.25" customHeight="1" x14ac:dyDescent="0.3">
      <c r="B39" s="489"/>
      <c r="C39" s="490"/>
      <c r="E39" s="491"/>
      <c r="G39" s="65"/>
    </row>
    <row r="40" spans="2:7" ht="14.25" customHeight="1" x14ac:dyDescent="0.3">
      <c r="B40" s="489"/>
      <c r="C40" s="490"/>
      <c r="E40" s="491"/>
      <c r="G40" s="65"/>
    </row>
    <row r="41" spans="2:7" ht="14.25" customHeight="1" x14ac:dyDescent="0.3">
      <c r="B41" s="489"/>
      <c r="C41" s="490"/>
      <c r="E41" s="491"/>
      <c r="G41" s="65"/>
    </row>
    <row r="42" spans="2:7" ht="14.25" customHeight="1" x14ac:dyDescent="0.3">
      <c r="B42" s="489"/>
      <c r="C42" s="490"/>
      <c r="E42" s="491"/>
      <c r="G42" s="65"/>
    </row>
    <row r="43" spans="2:7" ht="14.25" customHeight="1" x14ac:dyDescent="0.3">
      <c r="B43" s="489"/>
      <c r="C43" s="490"/>
      <c r="E43" s="491"/>
      <c r="G43" s="65"/>
    </row>
    <row r="44" spans="2:7" ht="14.25" customHeight="1" x14ac:dyDescent="0.3">
      <c r="B44" s="489"/>
      <c r="C44" s="490"/>
      <c r="E44" s="491"/>
      <c r="G44" s="65"/>
    </row>
    <row r="45" spans="2:7" ht="14.25" customHeight="1" x14ac:dyDescent="0.3">
      <c r="B45" s="489"/>
      <c r="C45" s="490"/>
      <c r="E45" s="491"/>
      <c r="G45" s="65"/>
    </row>
    <row r="46" spans="2:7" ht="14.25" customHeight="1" x14ac:dyDescent="0.3">
      <c r="B46" s="489"/>
      <c r="C46" s="490"/>
      <c r="E46" s="491"/>
      <c r="G46" s="65"/>
    </row>
    <row r="47" spans="2:7" ht="14.25" customHeight="1" x14ac:dyDescent="0.3">
      <c r="B47" s="489"/>
      <c r="C47" s="490"/>
      <c r="E47" s="491"/>
      <c r="G47" s="65"/>
    </row>
    <row r="48" spans="2:7" ht="14.25" customHeight="1" x14ac:dyDescent="0.3">
      <c r="B48" s="489"/>
      <c r="C48" s="490"/>
      <c r="E48" s="491"/>
      <c r="G48" s="65"/>
    </row>
    <row r="49" spans="2:7" ht="14.25" customHeight="1" x14ac:dyDescent="0.3">
      <c r="B49" s="489"/>
      <c r="C49" s="490"/>
      <c r="E49" s="491"/>
      <c r="G49" s="65"/>
    </row>
    <row r="50" spans="2:7" ht="14.25" customHeight="1" x14ac:dyDescent="0.3">
      <c r="B50" s="489"/>
      <c r="C50" s="490"/>
      <c r="E50" s="491"/>
      <c r="G50" s="65"/>
    </row>
    <row r="51" spans="2:7" ht="14.25" customHeight="1" x14ac:dyDescent="0.3">
      <c r="B51" s="489"/>
      <c r="C51" s="490"/>
      <c r="E51" s="491"/>
      <c r="G51" s="65"/>
    </row>
    <row r="52" spans="2:7" ht="14.25" customHeight="1" x14ac:dyDescent="0.3">
      <c r="B52" s="489"/>
      <c r="C52" s="490"/>
      <c r="E52" s="491"/>
      <c r="G52" s="65"/>
    </row>
    <row r="53" spans="2:7" ht="14.25" customHeight="1" x14ac:dyDescent="0.3">
      <c r="B53" s="489"/>
      <c r="C53" s="490"/>
      <c r="E53" s="491"/>
      <c r="G53" s="65"/>
    </row>
    <row r="54" spans="2:7" ht="14.25" customHeight="1" x14ac:dyDescent="0.3">
      <c r="B54" s="489"/>
      <c r="C54" s="490"/>
      <c r="E54" s="491"/>
      <c r="G54" s="65"/>
    </row>
    <row r="55" spans="2:7" ht="14.25" customHeight="1" x14ac:dyDescent="0.3">
      <c r="B55" s="489"/>
      <c r="C55" s="490"/>
      <c r="E55" s="491"/>
      <c r="G55" s="65"/>
    </row>
    <row r="56" spans="2:7" ht="14.25" customHeight="1" x14ac:dyDescent="0.3">
      <c r="B56" s="489"/>
      <c r="C56" s="490"/>
      <c r="E56" s="491"/>
      <c r="G56" s="65"/>
    </row>
    <row r="57" spans="2:7" ht="14.25" customHeight="1" x14ac:dyDescent="0.3">
      <c r="B57" s="489"/>
      <c r="C57" s="490"/>
      <c r="E57" s="491"/>
      <c r="G57" s="65"/>
    </row>
    <row r="58" spans="2:7" ht="14.25" customHeight="1" x14ac:dyDescent="0.3">
      <c r="B58" s="489"/>
      <c r="C58" s="490"/>
      <c r="E58" s="491"/>
      <c r="G58" s="65"/>
    </row>
    <row r="59" spans="2:7" ht="14.25" customHeight="1" x14ac:dyDescent="0.3">
      <c r="B59" s="489"/>
      <c r="C59" s="490"/>
      <c r="E59" s="491"/>
      <c r="G59" s="65"/>
    </row>
    <row r="60" spans="2:7" ht="14.25" customHeight="1" x14ac:dyDescent="0.3">
      <c r="B60" s="489"/>
      <c r="C60" s="490"/>
      <c r="E60" s="491"/>
      <c r="G60" s="65"/>
    </row>
    <row r="61" spans="2:7" ht="14.25" customHeight="1" x14ac:dyDescent="0.3">
      <c r="B61" s="489"/>
      <c r="C61" s="490"/>
      <c r="E61" s="491"/>
      <c r="G61" s="65"/>
    </row>
    <row r="62" spans="2:7" ht="14.25" customHeight="1" x14ac:dyDescent="0.3">
      <c r="B62" s="489"/>
      <c r="C62" s="490"/>
      <c r="E62" s="491"/>
      <c r="G62" s="65"/>
    </row>
    <row r="63" spans="2:7" ht="14.25" customHeight="1" x14ac:dyDescent="0.3">
      <c r="B63" s="489"/>
      <c r="C63" s="490"/>
      <c r="E63" s="491"/>
      <c r="G63" s="65"/>
    </row>
    <row r="64" spans="2:7" ht="14.25" customHeight="1" x14ac:dyDescent="0.3">
      <c r="B64" s="489"/>
      <c r="C64" s="490"/>
      <c r="E64" s="491"/>
      <c r="G64" s="65"/>
    </row>
    <row r="65" spans="2:7" ht="14.25" customHeight="1" x14ac:dyDescent="0.3">
      <c r="B65" s="489"/>
      <c r="C65" s="490"/>
      <c r="E65" s="491"/>
      <c r="G65" s="65"/>
    </row>
    <row r="66" spans="2:7" ht="14.25" customHeight="1" x14ac:dyDescent="0.3">
      <c r="B66" s="489"/>
      <c r="C66" s="490"/>
      <c r="E66" s="491"/>
      <c r="G66" s="65"/>
    </row>
    <row r="67" spans="2:7" ht="14.25" customHeight="1" x14ac:dyDescent="0.3">
      <c r="B67" s="489"/>
      <c r="C67" s="490"/>
      <c r="E67" s="491"/>
      <c r="G67" s="65"/>
    </row>
    <row r="68" spans="2:7" ht="14.25" customHeight="1" x14ac:dyDescent="0.3">
      <c r="B68" s="489"/>
      <c r="C68" s="490"/>
      <c r="E68" s="491"/>
      <c r="G68" s="65"/>
    </row>
    <row r="69" spans="2:7" ht="14.25" customHeight="1" x14ac:dyDescent="0.3">
      <c r="B69" s="489"/>
      <c r="C69" s="490"/>
      <c r="E69" s="491"/>
      <c r="G69" s="65"/>
    </row>
    <row r="70" spans="2:7" ht="14.25" customHeight="1" x14ac:dyDescent="0.3">
      <c r="B70" s="489"/>
      <c r="C70" s="490"/>
      <c r="E70" s="491"/>
      <c r="G70" s="65"/>
    </row>
    <row r="71" spans="2:7" ht="14.25" customHeight="1" x14ac:dyDescent="0.3">
      <c r="B71" s="489"/>
      <c r="C71" s="490"/>
      <c r="E71" s="491"/>
      <c r="G71" s="65"/>
    </row>
    <row r="72" spans="2:7" ht="14.25" customHeight="1" x14ac:dyDescent="0.3">
      <c r="B72" s="489"/>
      <c r="C72" s="490"/>
      <c r="E72" s="491"/>
      <c r="G72" s="65"/>
    </row>
    <row r="73" spans="2:7" ht="14.25" customHeight="1" x14ac:dyDescent="0.3">
      <c r="B73" s="489"/>
      <c r="C73" s="490"/>
      <c r="E73" s="491"/>
      <c r="G73" s="65"/>
    </row>
    <row r="74" spans="2:7" ht="14.25" customHeight="1" x14ac:dyDescent="0.3">
      <c r="B74" s="489"/>
      <c r="C74" s="490"/>
      <c r="E74" s="491"/>
      <c r="G74" s="65"/>
    </row>
    <row r="75" spans="2:7" ht="14.25" customHeight="1" x14ac:dyDescent="0.3">
      <c r="B75" s="489"/>
      <c r="C75" s="490"/>
      <c r="E75" s="491"/>
      <c r="G75" s="65"/>
    </row>
    <row r="76" spans="2:7" ht="14.25" customHeight="1" x14ac:dyDescent="0.3">
      <c r="B76" s="489"/>
      <c r="C76" s="490"/>
      <c r="E76" s="491"/>
      <c r="G76" s="65"/>
    </row>
    <row r="77" spans="2:7" ht="14.25" customHeight="1" x14ac:dyDescent="0.3">
      <c r="B77" s="489"/>
      <c r="C77" s="490"/>
      <c r="E77" s="491"/>
      <c r="G77" s="65"/>
    </row>
    <row r="78" spans="2:7" ht="14.25" customHeight="1" x14ac:dyDescent="0.3">
      <c r="B78" s="489"/>
      <c r="C78" s="490"/>
      <c r="E78" s="491"/>
      <c r="G78" s="65"/>
    </row>
    <row r="79" spans="2:7" ht="14.25" customHeight="1" x14ac:dyDescent="0.3">
      <c r="B79" s="489"/>
      <c r="C79" s="490"/>
      <c r="E79" s="491"/>
      <c r="G79" s="65"/>
    </row>
    <row r="80" spans="2:7" ht="14.25" customHeight="1" x14ac:dyDescent="0.3">
      <c r="B80" s="489"/>
      <c r="C80" s="490"/>
      <c r="E80" s="491"/>
      <c r="G80" s="65"/>
    </row>
    <row r="81" spans="2:7" ht="14.25" customHeight="1" x14ac:dyDescent="0.3">
      <c r="B81" s="489"/>
      <c r="C81" s="490"/>
      <c r="E81" s="491"/>
      <c r="G81" s="65"/>
    </row>
    <row r="82" spans="2:7" ht="14.25" customHeight="1" x14ac:dyDescent="0.3">
      <c r="B82" s="489"/>
      <c r="C82" s="490"/>
      <c r="E82" s="491"/>
      <c r="G82" s="65"/>
    </row>
    <row r="83" spans="2:7" ht="14.25" customHeight="1" x14ac:dyDescent="0.3">
      <c r="B83" s="489"/>
      <c r="C83" s="490"/>
      <c r="E83" s="491"/>
      <c r="G83" s="65"/>
    </row>
    <row r="84" spans="2:7" ht="14.25" customHeight="1" x14ac:dyDescent="0.3">
      <c r="B84" s="489"/>
      <c r="C84" s="490"/>
      <c r="E84" s="491"/>
      <c r="G84" s="65"/>
    </row>
    <row r="85" spans="2:7" ht="14.25" customHeight="1" x14ac:dyDescent="0.3">
      <c r="B85" s="489"/>
      <c r="C85" s="490"/>
      <c r="E85" s="491"/>
      <c r="G85" s="65"/>
    </row>
    <row r="86" spans="2:7" ht="14.25" customHeight="1" x14ac:dyDescent="0.3">
      <c r="B86" s="489"/>
      <c r="C86" s="490"/>
      <c r="E86" s="491"/>
      <c r="G86" s="65"/>
    </row>
    <row r="87" spans="2:7" ht="14.25" customHeight="1" x14ac:dyDescent="0.3">
      <c r="B87" s="489"/>
      <c r="C87" s="490"/>
      <c r="E87" s="491"/>
      <c r="G87" s="65"/>
    </row>
    <row r="88" spans="2:7" ht="14.25" customHeight="1" x14ac:dyDescent="0.3">
      <c r="B88" s="489"/>
      <c r="C88" s="490"/>
      <c r="E88" s="491"/>
      <c r="G88" s="65"/>
    </row>
    <row r="89" spans="2:7" ht="14.25" customHeight="1" x14ac:dyDescent="0.3">
      <c r="B89" s="489"/>
      <c r="C89" s="490"/>
      <c r="E89" s="491"/>
      <c r="G89" s="65"/>
    </row>
    <row r="90" spans="2:7" ht="14.25" customHeight="1" x14ac:dyDescent="0.3">
      <c r="B90" s="489"/>
      <c r="C90" s="490"/>
      <c r="E90" s="491"/>
      <c r="G90" s="65"/>
    </row>
    <row r="91" spans="2:7" ht="14.25" customHeight="1" x14ac:dyDescent="0.3">
      <c r="B91" s="489"/>
      <c r="C91" s="490"/>
      <c r="E91" s="491"/>
      <c r="G91" s="65"/>
    </row>
    <row r="92" spans="2:7" ht="14.25" customHeight="1" x14ac:dyDescent="0.3">
      <c r="B92" s="489"/>
      <c r="C92" s="490"/>
      <c r="E92" s="491"/>
      <c r="G92" s="65"/>
    </row>
    <row r="93" spans="2:7" ht="14.25" customHeight="1" x14ac:dyDescent="0.3">
      <c r="B93" s="489"/>
      <c r="C93" s="490"/>
      <c r="E93" s="491"/>
      <c r="G93" s="65"/>
    </row>
    <row r="94" spans="2:7" ht="14.25" customHeight="1" x14ac:dyDescent="0.3">
      <c r="B94" s="489"/>
      <c r="C94" s="490"/>
      <c r="E94" s="491"/>
      <c r="G94" s="65"/>
    </row>
    <row r="95" spans="2:7" ht="14.25" customHeight="1" x14ac:dyDescent="0.3">
      <c r="B95" s="489"/>
      <c r="C95" s="490"/>
      <c r="E95" s="491"/>
      <c r="G95" s="65"/>
    </row>
    <row r="96" spans="2:7" ht="14.25" customHeight="1" x14ac:dyDescent="0.3">
      <c r="B96" s="489"/>
      <c r="C96" s="490"/>
      <c r="E96" s="491"/>
      <c r="G96" s="65"/>
    </row>
    <row r="97" spans="2:7" ht="14.25" customHeight="1" x14ac:dyDescent="0.3">
      <c r="B97" s="489"/>
      <c r="C97" s="490"/>
      <c r="E97" s="491"/>
      <c r="G97" s="65"/>
    </row>
    <row r="98" spans="2:7" ht="14.25" customHeight="1" x14ac:dyDescent="0.3">
      <c r="B98" s="489"/>
      <c r="C98" s="490"/>
      <c r="E98" s="491"/>
      <c r="G98" s="65"/>
    </row>
    <row r="99" spans="2:7" ht="14.25" customHeight="1" x14ac:dyDescent="0.3">
      <c r="B99" s="489"/>
      <c r="C99" s="490"/>
      <c r="E99" s="491"/>
      <c r="G99" s="65"/>
    </row>
    <row r="100" spans="2:7" ht="14.25" customHeight="1" x14ac:dyDescent="0.3">
      <c r="B100" s="489"/>
      <c r="C100" s="490"/>
      <c r="E100" s="491"/>
      <c r="G100" s="65"/>
    </row>
    <row r="101" spans="2:7" ht="14.25" customHeight="1" x14ac:dyDescent="0.3">
      <c r="B101" s="489"/>
      <c r="C101" s="490"/>
      <c r="E101" s="491"/>
      <c r="G101" s="65"/>
    </row>
    <row r="102" spans="2:7" ht="14.25" customHeight="1" x14ac:dyDescent="0.3">
      <c r="B102" s="489"/>
      <c r="C102" s="490"/>
      <c r="E102" s="491"/>
      <c r="G102" s="65"/>
    </row>
    <row r="103" spans="2:7" ht="14.25" customHeight="1" x14ac:dyDescent="0.3">
      <c r="B103" s="489"/>
      <c r="C103" s="490"/>
      <c r="E103" s="491"/>
      <c r="G103" s="65"/>
    </row>
    <row r="104" spans="2:7" ht="14.25" customHeight="1" x14ac:dyDescent="0.3">
      <c r="B104" s="489"/>
      <c r="C104" s="490"/>
      <c r="E104" s="491"/>
      <c r="G104" s="65"/>
    </row>
    <row r="105" spans="2:7" ht="14.25" customHeight="1" x14ac:dyDescent="0.3">
      <c r="B105" s="489"/>
      <c r="C105" s="490"/>
      <c r="E105" s="491"/>
      <c r="G105" s="65"/>
    </row>
    <row r="106" spans="2:7" ht="14.25" customHeight="1" x14ac:dyDescent="0.3">
      <c r="B106" s="489"/>
      <c r="C106" s="490"/>
      <c r="E106" s="491"/>
      <c r="G106" s="65"/>
    </row>
    <row r="107" spans="2:7" ht="14.25" customHeight="1" x14ac:dyDescent="0.3">
      <c r="B107" s="489"/>
      <c r="C107" s="490"/>
      <c r="E107" s="491"/>
      <c r="G107" s="65"/>
    </row>
    <row r="108" spans="2:7" ht="14.25" customHeight="1" x14ac:dyDescent="0.3">
      <c r="B108" s="489"/>
      <c r="C108" s="490"/>
      <c r="E108" s="491"/>
      <c r="G108" s="65"/>
    </row>
    <row r="109" spans="2:7" ht="14.25" customHeight="1" x14ac:dyDescent="0.3">
      <c r="B109" s="489"/>
      <c r="C109" s="490"/>
      <c r="E109" s="491"/>
      <c r="G109" s="65"/>
    </row>
    <row r="110" spans="2:7" ht="14.25" customHeight="1" x14ac:dyDescent="0.3">
      <c r="B110" s="489"/>
      <c r="C110" s="490"/>
      <c r="E110" s="491"/>
      <c r="G110" s="65"/>
    </row>
    <row r="111" spans="2:7" ht="14.25" customHeight="1" x14ac:dyDescent="0.3">
      <c r="B111" s="489"/>
      <c r="C111" s="490"/>
      <c r="E111" s="491"/>
      <c r="G111" s="65"/>
    </row>
    <row r="112" spans="2:7" ht="14.25" customHeight="1" x14ac:dyDescent="0.3">
      <c r="B112" s="489"/>
      <c r="C112" s="490"/>
      <c r="E112" s="491"/>
      <c r="G112" s="65"/>
    </row>
    <row r="113" spans="2:7" ht="14.25" customHeight="1" x14ac:dyDescent="0.3">
      <c r="B113" s="489"/>
      <c r="C113" s="490"/>
      <c r="E113" s="491"/>
      <c r="G113" s="65"/>
    </row>
    <row r="114" spans="2:7" ht="14.25" customHeight="1" x14ac:dyDescent="0.3">
      <c r="B114" s="489"/>
      <c r="C114" s="490"/>
      <c r="E114" s="491"/>
      <c r="G114" s="65"/>
    </row>
    <row r="115" spans="2:7" ht="14.25" customHeight="1" x14ac:dyDescent="0.3">
      <c r="B115" s="489"/>
      <c r="C115" s="490"/>
      <c r="E115" s="491"/>
      <c r="G115" s="65"/>
    </row>
    <row r="116" spans="2:7" ht="14.25" customHeight="1" x14ac:dyDescent="0.3">
      <c r="B116" s="489"/>
      <c r="C116" s="490"/>
      <c r="E116" s="491"/>
      <c r="G116" s="65"/>
    </row>
    <row r="117" spans="2:7" ht="14.25" customHeight="1" x14ac:dyDescent="0.3">
      <c r="B117" s="489"/>
      <c r="C117" s="490"/>
      <c r="E117" s="491"/>
      <c r="G117" s="65"/>
    </row>
    <row r="118" spans="2:7" ht="14.25" customHeight="1" x14ac:dyDescent="0.3">
      <c r="B118" s="489"/>
      <c r="C118" s="490"/>
      <c r="E118" s="491"/>
      <c r="G118" s="65"/>
    </row>
    <row r="119" spans="2:7" ht="14.25" customHeight="1" x14ac:dyDescent="0.3">
      <c r="B119" s="489"/>
      <c r="C119" s="490"/>
      <c r="E119" s="491"/>
      <c r="G119" s="65"/>
    </row>
    <row r="120" spans="2:7" ht="14.25" customHeight="1" x14ac:dyDescent="0.3">
      <c r="B120" s="489"/>
      <c r="C120" s="490"/>
      <c r="E120" s="491"/>
      <c r="G120" s="65"/>
    </row>
    <row r="121" spans="2:7" ht="14.25" customHeight="1" x14ac:dyDescent="0.3">
      <c r="B121" s="489"/>
      <c r="C121" s="490"/>
      <c r="E121" s="491"/>
      <c r="G121" s="65"/>
    </row>
    <row r="122" spans="2:7" ht="14.25" customHeight="1" x14ac:dyDescent="0.3">
      <c r="B122" s="489"/>
      <c r="C122" s="490"/>
      <c r="E122" s="491"/>
      <c r="G122" s="65"/>
    </row>
    <row r="123" spans="2:7" ht="14.25" customHeight="1" x14ac:dyDescent="0.3">
      <c r="B123" s="489"/>
      <c r="C123" s="490"/>
      <c r="E123" s="491"/>
      <c r="G123" s="65"/>
    </row>
    <row r="124" spans="2:7" ht="14.25" customHeight="1" x14ac:dyDescent="0.3">
      <c r="B124" s="489"/>
      <c r="C124" s="490"/>
      <c r="E124" s="491"/>
      <c r="G124" s="65"/>
    </row>
    <row r="125" spans="2:7" ht="14.25" customHeight="1" x14ac:dyDescent="0.3">
      <c r="B125" s="489"/>
      <c r="C125" s="490"/>
      <c r="E125" s="491"/>
      <c r="G125" s="65"/>
    </row>
    <row r="126" spans="2:7" ht="14.25" customHeight="1" x14ac:dyDescent="0.3">
      <c r="B126" s="489"/>
      <c r="C126" s="490"/>
      <c r="E126" s="491"/>
      <c r="G126" s="65"/>
    </row>
    <row r="127" spans="2:7" ht="14.25" customHeight="1" x14ac:dyDescent="0.3">
      <c r="B127" s="489"/>
      <c r="C127" s="490"/>
      <c r="E127" s="491"/>
      <c r="G127" s="65"/>
    </row>
    <row r="128" spans="2:7" ht="14.25" customHeight="1" x14ac:dyDescent="0.3">
      <c r="B128" s="489"/>
      <c r="C128" s="490"/>
      <c r="E128" s="491"/>
      <c r="G128" s="65"/>
    </row>
    <row r="129" spans="2:7" ht="14.25" customHeight="1" x14ac:dyDescent="0.3">
      <c r="B129" s="489"/>
      <c r="C129" s="490"/>
      <c r="E129" s="491"/>
      <c r="G129" s="65"/>
    </row>
    <row r="130" spans="2:7" ht="14.25" customHeight="1" x14ac:dyDescent="0.3">
      <c r="B130" s="489"/>
      <c r="C130" s="490"/>
      <c r="E130" s="491"/>
      <c r="G130" s="65"/>
    </row>
    <row r="131" spans="2:7" ht="14.25" customHeight="1" x14ac:dyDescent="0.3">
      <c r="B131" s="489"/>
      <c r="C131" s="490"/>
      <c r="E131" s="491"/>
      <c r="G131" s="65"/>
    </row>
    <row r="132" spans="2:7" ht="14.25" customHeight="1" x14ac:dyDescent="0.3">
      <c r="B132" s="489"/>
      <c r="C132" s="490"/>
      <c r="E132" s="491"/>
      <c r="G132" s="65"/>
    </row>
    <row r="133" spans="2:7" ht="14.25" customHeight="1" x14ac:dyDescent="0.3">
      <c r="B133" s="489"/>
      <c r="C133" s="490"/>
      <c r="E133" s="491"/>
      <c r="G133" s="65"/>
    </row>
    <row r="134" spans="2:7" ht="14.25" customHeight="1" x14ac:dyDescent="0.3">
      <c r="B134" s="489"/>
      <c r="C134" s="490"/>
      <c r="E134" s="491"/>
      <c r="G134" s="65"/>
    </row>
    <row r="135" spans="2:7" ht="14.25" customHeight="1" x14ac:dyDescent="0.3">
      <c r="B135" s="489"/>
      <c r="C135" s="490"/>
      <c r="E135" s="491"/>
      <c r="G135" s="65"/>
    </row>
    <row r="136" spans="2:7" ht="14.25" customHeight="1" x14ac:dyDescent="0.3">
      <c r="B136" s="489"/>
      <c r="C136" s="490"/>
      <c r="E136" s="491"/>
      <c r="G136" s="65"/>
    </row>
    <row r="137" spans="2:7" ht="14.25" customHeight="1" x14ac:dyDescent="0.3">
      <c r="B137" s="489"/>
      <c r="C137" s="490"/>
      <c r="E137" s="491"/>
      <c r="G137" s="65"/>
    </row>
    <row r="138" spans="2:7" ht="14.25" customHeight="1" x14ac:dyDescent="0.3">
      <c r="B138" s="489"/>
      <c r="C138" s="490"/>
      <c r="E138" s="491"/>
      <c r="G138" s="65"/>
    </row>
    <row r="139" spans="2:7" ht="14.25" customHeight="1" x14ac:dyDescent="0.3">
      <c r="B139" s="489"/>
      <c r="C139" s="490"/>
      <c r="E139" s="491"/>
      <c r="G139" s="65"/>
    </row>
    <row r="140" spans="2:7" ht="14.25" customHeight="1" x14ac:dyDescent="0.3">
      <c r="B140" s="489"/>
      <c r="C140" s="490"/>
      <c r="E140" s="491"/>
      <c r="G140" s="65"/>
    </row>
    <row r="141" spans="2:7" ht="14.25" customHeight="1" x14ac:dyDescent="0.3">
      <c r="B141" s="489"/>
      <c r="C141" s="490"/>
      <c r="E141" s="491"/>
      <c r="G141" s="65"/>
    </row>
    <row r="142" spans="2:7" ht="14.25" customHeight="1" x14ac:dyDescent="0.3">
      <c r="B142" s="489"/>
      <c r="C142" s="490"/>
      <c r="E142" s="491"/>
      <c r="G142" s="65"/>
    </row>
    <row r="143" spans="2:7" ht="14.25" customHeight="1" x14ac:dyDescent="0.3">
      <c r="B143" s="489"/>
      <c r="C143" s="490"/>
      <c r="E143" s="491"/>
      <c r="G143" s="65"/>
    </row>
    <row r="144" spans="2:7" ht="14.25" customHeight="1" x14ac:dyDescent="0.3">
      <c r="B144" s="489"/>
      <c r="C144" s="490"/>
      <c r="E144" s="491"/>
      <c r="G144" s="65"/>
    </row>
    <row r="145" spans="2:7" ht="14.25" customHeight="1" x14ac:dyDescent="0.3">
      <c r="B145" s="489"/>
      <c r="C145" s="490"/>
      <c r="E145" s="491"/>
      <c r="G145" s="65"/>
    </row>
    <row r="146" spans="2:7" ht="14.25" customHeight="1" x14ac:dyDescent="0.3">
      <c r="B146" s="489"/>
      <c r="C146" s="490"/>
      <c r="E146" s="491"/>
      <c r="G146" s="65"/>
    </row>
    <row r="147" spans="2:7" ht="14.25" customHeight="1" x14ac:dyDescent="0.3">
      <c r="B147" s="489"/>
      <c r="C147" s="490"/>
      <c r="E147" s="491"/>
      <c r="G147" s="65"/>
    </row>
    <row r="148" spans="2:7" ht="14.25" customHeight="1" x14ac:dyDescent="0.3">
      <c r="B148" s="489"/>
      <c r="C148" s="490"/>
      <c r="E148" s="491"/>
      <c r="G148" s="65"/>
    </row>
    <row r="149" spans="2:7" ht="14.25" customHeight="1" x14ac:dyDescent="0.3">
      <c r="B149" s="489"/>
      <c r="C149" s="490"/>
      <c r="E149" s="491"/>
      <c r="G149" s="65"/>
    </row>
    <row r="150" spans="2:7" ht="14.25" customHeight="1" x14ac:dyDescent="0.3">
      <c r="B150" s="489"/>
      <c r="C150" s="490"/>
      <c r="E150" s="491"/>
      <c r="G150" s="65"/>
    </row>
    <row r="151" spans="2:7" ht="14.25" customHeight="1" x14ac:dyDescent="0.3">
      <c r="B151" s="489"/>
      <c r="C151" s="490"/>
      <c r="E151" s="491"/>
      <c r="G151" s="65"/>
    </row>
    <row r="152" spans="2:7" ht="14.25" customHeight="1" x14ac:dyDescent="0.3">
      <c r="B152" s="489"/>
      <c r="C152" s="490"/>
      <c r="E152" s="491"/>
      <c r="G152" s="65"/>
    </row>
    <row r="153" spans="2:7" ht="14.25" customHeight="1" x14ac:dyDescent="0.3">
      <c r="B153" s="489"/>
      <c r="C153" s="490"/>
      <c r="E153" s="491"/>
      <c r="G153" s="65"/>
    </row>
    <row r="154" spans="2:7" ht="14.25" customHeight="1" x14ac:dyDescent="0.3">
      <c r="B154" s="489"/>
      <c r="C154" s="490"/>
      <c r="E154" s="491"/>
      <c r="G154" s="65"/>
    </row>
    <row r="155" spans="2:7" ht="14.25" customHeight="1" x14ac:dyDescent="0.3">
      <c r="B155" s="489"/>
      <c r="C155" s="490"/>
      <c r="E155" s="491"/>
      <c r="G155" s="65"/>
    </row>
    <row r="156" spans="2:7" ht="14.25" customHeight="1" x14ac:dyDescent="0.3">
      <c r="B156" s="489"/>
      <c r="C156" s="490"/>
      <c r="E156" s="491"/>
      <c r="G156" s="65"/>
    </row>
    <row r="157" spans="2:7" ht="14.25" customHeight="1" x14ac:dyDescent="0.3">
      <c r="B157" s="489"/>
      <c r="C157" s="490"/>
      <c r="E157" s="491"/>
      <c r="G157" s="65"/>
    </row>
    <row r="158" spans="2:7" ht="14.25" customHeight="1" x14ac:dyDescent="0.3">
      <c r="B158" s="489"/>
      <c r="C158" s="490"/>
      <c r="E158" s="491"/>
      <c r="G158" s="65"/>
    </row>
    <row r="159" spans="2:7" ht="14.25" customHeight="1" x14ac:dyDescent="0.3">
      <c r="B159" s="489"/>
      <c r="C159" s="490"/>
      <c r="E159" s="491"/>
      <c r="G159" s="65"/>
    </row>
    <row r="160" spans="2:7" ht="14.25" customHeight="1" x14ac:dyDescent="0.3">
      <c r="B160" s="489"/>
      <c r="C160" s="490"/>
      <c r="E160" s="491"/>
      <c r="G160" s="65"/>
    </row>
    <row r="161" spans="2:7" ht="14.25" customHeight="1" x14ac:dyDescent="0.3">
      <c r="B161" s="489"/>
      <c r="C161" s="490"/>
      <c r="E161" s="491"/>
      <c r="G161" s="65"/>
    </row>
    <row r="162" spans="2:7" ht="14.25" customHeight="1" x14ac:dyDescent="0.3">
      <c r="B162" s="489"/>
      <c r="C162" s="490"/>
      <c r="E162" s="491"/>
      <c r="G162" s="65"/>
    </row>
    <row r="163" spans="2:7" ht="14.25" customHeight="1" x14ac:dyDescent="0.3">
      <c r="B163" s="489"/>
      <c r="C163" s="490"/>
      <c r="E163" s="491"/>
      <c r="G163" s="65"/>
    </row>
    <row r="164" spans="2:7" ht="14.25" customHeight="1" x14ac:dyDescent="0.3">
      <c r="B164" s="489"/>
      <c r="C164" s="490"/>
      <c r="E164" s="491"/>
      <c r="G164" s="65"/>
    </row>
    <row r="165" spans="2:7" ht="14.25" customHeight="1" x14ac:dyDescent="0.3">
      <c r="B165" s="489"/>
      <c r="C165" s="490"/>
      <c r="E165" s="491"/>
      <c r="G165" s="65"/>
    </row>
    <row r="166" spans="2:7" ht="14.25" customHeight="1" x14ac:dyDescent="0.3">
      <c r="B166" s="489"/>
      <c r="C166" s="490"/>
      <c r="E166" s="491"/>
      <c r="G166" s="65"/>
    </row>
    <row r="167" spans="2:7" ht="14.25" customHeight="1" x14ac:dyDescent="0.3">
      <c r="B167" s="489"/>
      <c r="C167" s="490"/>
      <c r="E167" s="491"/>
      <c r="G167" s="65"/>
    </row>
    <row r="168" spans="2:7" ht="14.25" customHeight="1" x14ac:dyDescent="0.3">
      <c r="B168" s="489"/>
      <c r="C168" s="490"/>
      <c r="E168" s="491"/>
      <c r="G168" s="65"/>
    </row>
    <row r="169" spans="2:7" ht="14.25" customHeight="1" x14ac:dyDescent="0.3">
      <c r="B169" s="489"/>
      <c r="C169" s="490"/>
      <c r="E169" s="491"/>
      <c r="G169" s="65"/>
    </row>
    <row r="170" spans="2:7" ht="14.25" customHeight="1" x14ac:dyDescent="0.3">
      <c r="B170" s="489"/>
      <c r="C170" s="490"/>
      <c r="E170" s="491"/>
      <c r="G170" s="65"/>
    </row>
    <row r="171" spans="2:7" ht="14.25" customHeight="1" x14ac:dyDescent="0.3">
      <c r="B171" s="489"/>
      <c r="C171" s="490"/>
      <c r="E171" s="491"/>
      <c r="G171" s="65"/>
    </row>
    <row r="172" spans="2:7" ht="14.25" customHeight="1" x14ac:dyDescent="0.3">
      <c r="B172" s="489"/>
      <c r="C172" s="490"/>
      <c r="E172" s="491"/>
      <c r="G172" s="65"/>
    </row>
    <row r="173" spans="2:7" ht="14.25" customHeight="1" x14ac:dyDescent="0.3">
      <c r="B173" s="489"/>
      <c r="C173" s="490"/>
      <c r="E173" s="491"/>
      <c r="G173" s="65"/>
    </row>
    <row r="174" spans="2:7" ht="14.25" customHeight="1" x14ac:dyDescent="0.3">
      <c r="B174" s="489"/>
      <c r="C174" s="490"/>
      <c r="E174" s="491"/>
      <c r="G174" s="65"/>
    </row>
    <row r="175" spans="2:7" ht="14.25" customHeight="1" x14ac:dyDescent="0.3">
      <c r="B175" s="489"/>
      <c r="C175" s="490"/>
      <c r="E175" s="491"/>
      <c r="G175" s="65"/>
    </row>
    <row r="176" spans="2:7" ht="14.25" customHeight="1" x14ac:dyDescent="0.3">
      <c r="B176" s="489"/>
      <c r="C176" s="490"/>
      <c r="E176" s="491"/>
      <c r="G176" s="65"/>
    </row>
    <row r="177" spans="2:7" ht="14.25" customHeight="1" x14ac:dyDescent="0.3">
      <c r="B177" s="489"/>
      <c r="C177" s="490"/>
      <c r="E177" s="491"/>
      <c r="G177" s="65"/>
    </row>
    <row r="178" spans="2:7" ht="14.25" customHeight="1" x14ac:dyDescent="0.3">
      <c r="B178" s="489"/>
      <c r="C178" s="490"/>
      <c r="E178" s="491"/>
      <c r="G178" s="65"/>
    </row>
    <row r="179" spans="2:7" ht="14.25" customHeight="1" x14ac:dyDescent="0.3">
      <c r="B179" s="489"/>
      <c r="C179" s="490"/>
      <c r="E179" s="491"/>
      <c r="G179" s="65"/>
    </row>
    <row r="180" spans="2:7" ht="14.25" customHeight="1" x14ac:dyDescent="0.3">
      <c r="B180" s="489"/>
      <c r="C180" s="490"/>
      <c r="E180" s="491"/>
      <c r="G180" s="65"/>
    </row>
    <row r="181" spans="2:7" ht="14.25" customHeight="1" x14ac:dyDescent="0.3">
      <c r="B181" s="489"/>
      <c r="C181" s="490"/>
      <c r="E181" s="491"/>
      <c r="G181" s="65"/>
    </row>
    <row r="182" spans="2:7" ht="14.25" customHeight="1" x14ac:dyDescent="0.3">
      <c r="B182" s="489"/>
      <c r="C182" s="490"/>
      <c r="E182" s="491"/>
      <c r="G182" s="65"/>
    </row>
    <row r="183" spans="2:7" ht="14.25" customHeight="1" x14ac:dyDescent="0.3">
      <c r="B183" s="489"/>
      <c r="C183" s="490"/>
      <c r="E183" s="491"/>
      <c r="G183" s="65"/>
    </row>
    <row r="184" spans="2:7" ht="14.25" customHeight="1" x14ac:dyDescent="0.3">
      <c r="B184" s="489"/>
      <c r="C184" s="490"/>
      <c r="E184" s="491"/>
      <c r="G184" s="65"/>
    </row>
    <row r="185" spans="2:7" ht="14.25" customHeight="1" x14ac:dyDescent="0.3">
      <c r="B185" s="489"/>
      <c r="C185" s="490"/>
      <c r="E185" s="491"/>
      <c r="G185" s="65"/>
    </row>
    <row r="186" spans="2:7" ht="14.25" customHeight="1" x14ac:dyDescent="0.3">
      <c r="B186" s="489"/>
      <c r="C186" s="490"/>
      <c r="E186" s="491"/>
      <c r="G186" s="65"/>
    </row>
    <row r="187" spans="2:7" ht="14.25" customHeight="1" x14ac:dyDescent="0.3">
      <c r="B187" s="489"/>
      <c r="C187" s="490"/>
      <c r="E187" s="491"/>
      <c r="G187" s="65"/>
    </row>
    <row r="188" spans="2:7" ht="14.25" customHeight="1" x14ac:dyDescent="0.3">
      <c r="B188" s="489"/>
      <c r="C188" s="490"/>
      <c r="E188" s="491"/>
      <c r="G188" s="65"/>
    </row>
    <row r="189" spans="2:7" ht="14.25" customHeight="1" x14ac:dyDescent="0.3">
      <c r="B189" s="489"/>
      <c r="C189" s="490"/>
      <c r="E189" s="491"/>
      <c r="G189" s="65"/>
    </row>
    <row r="190" spans="2:7" ht="14.25" customHeight="1" x14ac:dyDescent="0.3">
      <c r="B190" s="489"/>
      <c r="C190" s="490"/>
      <c r="E190" s="491"/>
      <c r="G190" s="65"/>
    </row>
    <row r="191" spans="2:7" ht="14.25" customHeight="1" x14ac:dyDescent="0.3">
      <c r="B191" s="489"/>
      <c r="C191" s="490"/>
      <c r="E191" s="491"/>
      <c r="G191" s="65"/>
    </row>
    <row r="192" spans="2:7" ht="14.25" customHeight="1" x14ac:dyDescent="0.3">
      <c r="B192" s="489"/>
      <c r="C192" s="490"/>
      <c r="E192" s="491"/>
      <c r="G192" s="65"/>
    </row>
    <row r="193" spans="2:7" ht="14.25" customHeight="1" x14ac:dyDescent="0.3">
      <c r="B193" s="489"/>
      <c r="C193" s="490"/>
      <c r="E193" s="491"/>
      <c r="G193" s="65"/>
    </row>
    <row r="194" spans="2:7" ht="14.25" customHeight="1" x14ac:dyDescent="0.3">
      <c r="B194" s="489"/>
      <c r="C194" s="490"/>
      <c r="E194" s="491"/>
      <c r="G194" s="65"/>
    </row>
    <row r="195" spans="2:7" ht="14.25" customHeight="1" x14ac:dyDescent="0.3">
      <c r="B195" s="489"/>
      <c r="C195" s="490"/>
      <c r="E195" s="491"/>
      <c r="G195" s="65"/>
    </row>
    <row r="196" spans="2:7" ht="14.25" customHeight="1" x14ac:dyDescent="0.3">
      <c r="B196" s="489"/>
      <c r="C196" s="490"/>
      <c r="E196" s="491"/>
      <c r="G196" s="65"/>
    </row>
    <row r="197" spans="2:7" ht="14.25" customHeight="1" x14ac:dyDescent="0.3">
      <c r="B197" s="489"/>
      <c r="C197" s="490"/>
      <c r="E197" s="491"/>
      <c r="G197" s="65"/>
    </row>
    <row r="198" spans="2:7" ht="14.25" customHeight="1" x14ac:dyDescent="0.3">
      <c r="B198" s="489"/>
      <c r="C198" s="490"/>
      <c r="E198" s="491"/>
      <c r="G198" s="65"/>
    </row>
    <row r="199" spans="2:7" ht="14.25" customHeight="1" x14ac:dyDescent="0.3">
      <c r="B199" s="489"/>
      <c r="C199" s="490"/>
      <c r="E199" s="491"/>
      <c r="G199" s="65"/>
    </row>
    <row r="200" spans="2:7" ht="14.25" customHeight="1" x14ac:dyDescent="0.3">
      <c r="B200" s="489"/>
      <c r="C200" s="490"/>
      <c r="E200" s="491"/>
      <c r="G200" s="65"/>
    </row>
    <row r="201" spans="2:7" ht="14.25" customHeight="1" x14ac:dyDescent="0.3">
      <c r="B201" s="489"/>
      <c r="C201" s="490"/>
      <c r="E201" s="491"/>
      <c r="G201" s="65"/>
    </row>
    <row r="202" spans="2:7" ht="14.25" customHeight="1" x14ac:dyDescent="0.3">
      <c r="B202" s="489"/>
      <c r="C202" s="490"/>
      <c r="E202" s="491"/>
      <c r="G202" s="65"/>
    </row>
    <row r="203" spans="2:7" ht="14.25" customHeight="1" x14ac:dyDescent="0.3">
      <c r="B203" s="489"/>
      <c r="C203" s="490"/>
      <c r="E203" s="491"/>
      <c r="G203" s="65"/>
    </row>
    <row r="204" spans="2:7" ht="14.25" customHeight="1" x14ac:dyDescent="0.3">
      <c r="B204" s="489"/>
      <c r="C204" s="490"/>
      <c r="E204" s="491"/>
      <c r="G204" s="65"/>
    </row>
    <row r="205" spans="2:7" ht="14.25" customHeight="1" x14ac:dyDescent="0.3">
      <c r="B205" s="489"/>
      <c r="C205" s="490"/>
      <c r="E205" s="491"/>
      <c r="G205" s="65"/>
    </row>
    <row r="206" spans="2:7" ht="14.25" customHeight="1" x14ac:dyDescent="0.3">
      <c r="B206" s="489"/>
      <c r="C206" s="490"/>
      <c r="E206" s="491"/>
      <c r="G206" s="65"/>
    </row>
    <row r="207" spans="2:7" ht="14.25" customHeight="1" x14ac:dyDescent="0.3">
      <c r="B207" s="489"/>
      <c r="C207" s="490"/>
      <c r="E207" s="491"/>
      <c r="G207" s="65"/>
    </row>
    <row r="208" spans="2:7" ht="14.25" customHeight="1" x14ac:dyDescent="0.3">
      <c r="B208" s="489"/>
      <c r="C208" s="490"/>
      <c r="E208" s="491"/>
      <c r="G208" s="65"/>
    </row>
    <row r="209" spans="2:7" ht="14.25" customHeight="1" x14ac:dyDescent="0.3">
      <c r="B209" s="489"/>
      <c r="C209" s="490"/>
      <c r="E209" s="491"/>
      <c r="G209" s="65"/>
    </row>
    <row r="210" spans="2:7" ht="14.25" customHeight="1" x14ac:dyDescent="0.3">
      <c r="B210" s="489"/>
      <c r="C210" s="490"/>
      <c r="E210" s="491"/>
      <c r="G210" s="65"/>
    </row>
    <row r="211" spans="2:7" ht="14.25" customHeight="1" x14ac:dyDescent="0.3">
      <c r="B211" s="489"/>
      <c r="C211" s="490"/>
      <c r="E211" s="491"/>
      <c r="G211" s="65"/>
    </row>
    <row r="212" spans="2:7" ht="14.25" customHeight="1" x14ac:dyDescent="0.3">
      <c r="B212" s="489"/>
      <c r="C212" s="490"/>
      <c r="E212" s="491"/>
      <c r="G212" s="65"/>
    </row>
    <row r="213" spans="2:7" ht="14.25" customHeight="1" x14ac:dyDescent="0.3">
      <c r="B213" s="489"/>
      <c r="C213" s="490"/>
      <c r="E213" s="491"/>
      <c r="G213" s="65"/>
    </row>
    <row r="214" spans="2:7" ht="14.25" customHeight="1" x14ac:dyDescent="0.3">
      <c r="B214" s="489"/>
      <c r="C214" s="490"/>
      <c r="E214" s="491"/>
      <c r="G214" s="65"/>
    </row>
    <row r="215" spans="2:7" ht="14.25" customHeight="1" x14ac:dyDescent="0.3">
      <c r="B215" s="489"/>
      <c r="C215" s="490"/>
      <c r="E215" s="491"/>
      <c r="G215" s="65"/>
    </row>
    <row r="216" spans="2:7" ht="14.25" customHeight="1" x14ac:dyDescent="0.3">
      <c r="B216" s="489"/>
      <c r="C216" s="490"/>
      <c r="E216" s="491"/>
      <c r="G216" s="65"/>
    </row>
    <row r="217" spans="2:7" ht="14.25" customHeight="1" x14ac:dyDescent="0.3">
      <c r="B217" s="489"/>
      <c r="C217" s="490"/>
      <c r="E217" s="491"/>
      <c r="G217" s="65"/>
    </row>
    <row r="218" spans="2:7" ht="14.25" customHeight="1" x14ac:dyDescent="0.3">
      <c r="B218" s="489"/>
      <c r="C218" s="490"/>
      <c r="E218" s="491"/>
      <c r="G218" s="65"/>
    </row>
    <row r="219" spans="2:7" ht="14.25" customHeight="1" x14ac:dyDescent="0.3">
      <c r="B219" s="489"/>
      <c r="C219" s="490"/>
      <c r="E219" s="491"/>
      <c r="G219" s="65"/>
    </row>
    <row r="220" spans="2:7" ht="14.25" customHeight="1" x14ac:dyDescent="0.3">
      <c r="B220" s="489"/>
      <c r="C220" s="490"/>
      <c r="E220" s="491"/>
      <c r="G220" s="65"/>
    </row>
    <row r="221" spans="2:7" ht="14.25" customHeight="1" x14ac:dyDescent="0.3">
      <c r="B221" s="489"/>
      <c r="C221" s="490"/>
      <c r="E221" s="491"/>
      <c r="G221" s="65"/>
    </row>
    <row r="222" spans="2:7" ht="14.25" customHeight="1" x14ac:dyDescent="0.3">
      <c r="B222" s="489"/>
      <c r="C222" s="490"/>
      <c r="E222" s="491"/>
      <c r="G222" s="65"/>
    </row>
    <row r="223" spans="2:7" ht="14.25" customHeight="1" x14ac:dyDescent="0.3">
      <c r="B223" s="489"/>
      <c r="C223" s="490"/>
      <c r="E223" s="491"/>
      <c r="G223" s="65"/>
    </row>
    <row r="224" spans="2:7" ht="14.25" customHeight="1" x14ac:dyDescent="0.3">
      <c r="B224" s="489"/>
      <c r="C224" s="490"/>
      <c r="E224" s="491"/>
      <c r="G224" s="65"/>
    </row>
    <row r="225" spans="2:7" ht="14.25" customHeight="1" x14ac:dyDescent="0.3">
      <c r="B225" s="489"/>
      <c r="C225" s="490"/>
      <c r="E225" s="491"/>
      <c r="G225" s="65"/>
    </row>
    <row r="226" spans="2:7" ht="14.25" customHeight="1" x14ac:dyDescent="0.3">
      <c r="B226" s="489"/>
      <c r="C226" s="490"/>
      <c r="E226" s="491"/>
      <c r="G226" s="65"/>
    </row>
    <row r="227" spans="2:7" ht="14.25" customHeight="1" x14ac:dyDescent="0.3">
      <c r="B227" s="489"/>
      <c r="C227" s="490"/>
      <c r="E227" s="491"/>
      <c r="G227" s="65"/>
    </row>
    <row r="228" spans="2:7" ht="14.25" customHeight="1" x14ac:dyDescent="0.3">
      <c r="B228" s="489"/>
      <c r="C228" s="490"/>
      <c r="E228" s="491"/>
      <c r="G228" s="65"/>
    </row>
    <row r="229" spans="2:7" ht="14.25" customHeight="1" x14ac:dyDescent="0.3">
      <c r="B229" s="489"/>
      <c r="C229" s="490"/>
      <c r="E229" s="491"/>
      <c r="G229" s="65"/>
    </row>
    <row r="230" spans="2:7" ht="14.25" customHeight="1" x14ac:dyDescent="0.3">
      <c r="B230" s="489"/>
      <c r="C230" s="490"/>
      <c r="E230" s="491"/>
      <c r="G230" s="65"/>
    </row>
    <row r="231" spans="2:7" ht="14.25" customHeight="1" x14ac:dyDescent="0.3">
      <c r="B231" s="489"/>
      <c r="C231" s="490"/>
      <c r="E231" s="491"/>
      <c r="G231" s="65"/>
    </row>
    <row r="232" spans="2:7" ht="14.25" customHeight="1" x14ac:dyDescent="0.3">
      <c r="B232" s="489"/>
      <c r="C232" s="490"/>
      <c r="E232" s="491"/>
      <c r="G232" s="65"/>
    </row>
    <row r="233" spans="2:7" ht="14.25" customHeight="1" x14ac:dyDescent="0.3">
      <c r="B233" s="489"/>
      <c r="C233" s="490"/>
      <c r="E233" s="491"/>
      <c r="G233" s="65"/>
    </row>
    <row r="234" spans="2:7" ht="14.25" customHeight="1" x14ac:dyDescent="0.3">
      <c r="B234" s="489"/>
      <c r="C234" s="490"/>
      <c r="E234" s="491"/>
      <c r="G234" s="65"/>
    </row>
    <row r="235" spans="2:7" ht="14.25" customHeight="1" x14ac:dyDescent="0.3">
      <c r="B235" s="489"/>
      <c r="C235" s="490"/>
      <c r="E235" s="491"/>
      <c r="G235" s="65"/>
    </row>
    <row r="236" spans="2:7" ht="14.25" customHeight="1" x14ac:dyDescent="0.3">
      <c r="B236" s="489"/>
      <c r="C236" s="490"/>
      <c r="E236" s="491"/>
      <c r="G236" s="65"/>
    </row>
    <row r="237" spans="2:7" ht="14.25" customHeight="1" x14ac:dyDescent="0.3">
      <c r="B237" s="489"/>
      <c r="C237" s="490"/>
      <c r="E237" s="491"/>
      <c r="G237" s="65"/>
    </row>
    <row r="238" spans="2:7" ht="14.25" customHeight="1" x14ac:dyDescent="0.3">
      <c r="B238" s="489"/>
      <c r="C238" s="490"/>
      <c r="E238" s="491"/>
      <c r="G238" s="65"/>
    </row>
    <row r="239" spans="2:7" ht="14.25" customHeight="1" x14ac:dyDescent="0.3">
      <c r="B239" s="489"/>
      <c r="C239" s="490"/>
      <c r="E239" s="491"/>
      <c r="G239" s="65"/>
    </row>
    <row r="240" spans="2:7" ht="14.25" customHeight="1" x14ac:dyDescent="0.3">
      <c r="B240" s="489"/>
      <c r="C240" s="490"/>
      <c r="E240" s="491"/>
      <c r="G240" s="65"/>
    </row>
    <row r="241" spans="2:7" ht="14.25" customHeight="1" x14ac:dyDescent="0.3">
      <c r="B241" s="489"/>
      <c r="C241" s="490"/>
      <c r="E241" s="491"/>
      <c r="G241" s="65"/>
    </row>
    <row r="242" spans="2:7" ht="14.25" customHeight="1" x14ac:dyDescent="0.3">
      <c r="B242" s="489"/>
      <c r="C242" s="490"/>
      <c r="E242" s="491"/>
      <c r="G242" s="65"/>
    </row>
    <row r="243" spans="2:7" ht="14.25" customHeight="1" x14ac:dyDescent="0.3">
      <c r="B243" s="489"/>
      <c r="C243" s="490"/>
      <c r="E243" s="491"/>
      <c r="G243" s="65"/>
    </row>
    <row r="244" spans="2:7" ht="14.25" customHeight="1" x14ac:dyDescent="0.3">
      <c r="B244" s="489"/>
      <c r="C244" s="490"/>
      <c r="E244" s="491"/>
      <c r="G244" s="65"/>
    </row>
    <row r="245" spans="2:7" ht="14.25" customHeight="1" x14ac:dyDescent="0.3">
      <c r="B245" s="489"/>
      <c r="C245" s="490"/>
      <c r="E245" s="491"/>
      <c r="G245" s="65"/>
    </row>
    <row r="246" spans="2:7" ht="14.25" customHeight="1" x14ac:dyDescent="0.3">
      <c r="B246" s="489"/>
      <c r="C246" s="490"/>
      <c r="E246" s="491"/>
      <c r="G246" s="65"/>
    </row>
    <row r="247" spans="2:7" ht="14.25" customHeight="1" x14ac:dyDescent="0.3">
      <c r="B247" s="489"/>
      <c r="C247" s="490"/>
      <c r="E247" s="491"/>
      <c r="G247" s="65"/>
    </row>
    <row r="248" spans="2:7" ht="14.25" customHeight="1" x14ac:dyDescent="0.3">
      <c r="B248" s="489"/>
      <c r="C248" s="490"/>
      <c r="E248" s="491"/>
      <c r="G248" s="65"/>
    </row>
    <row r="249" spans="2:7" ht="14.25" customHeight="1" x14ac:dyDescent="0.3">
      <c r="B249" s="489"/>
      <c r="C249" s="490"/>
      <c r="E249" s="491"/>
      <c r="G249" s="65"/>
    </row>
    <row r="250" spans="2:7" ht="14.25" customHeight="1" x14ac:dyDescent="0.3">
      <c r="B250" s="489"/>
      <c r="C250" s="490"/>
      <c r="E250" s="491"/>
      <c r="G250" s="65"/>
    </row>
    <row r="251" spans="2:7" ht="14.25" customHeight="1" x14ac:dyDescent="0.3">
      <c r="B251" s="489"/>
      <c r="C251" s="490"/>
      <c r="E251" s="491"/>
      <c r="G251" s="65"/>
    </row>
    <row r="252" spans="2:7" ht="14.25" customHeight="1" x14ac:dyDescent="0.3">
      <c r="B252" s="489"/>
      <c r="C252" s="490"/>
      <c r="E252" s="491"/>
      <c r="G252" s="65"/>
    </row>
    <row r="253" spans="2:7" ht="14.25" customHeight="1" x14ac:dyDescent="0.3">
      <c r="B253" s="489"/>
      <c r="C253" s="490"/>
      <c r="E253" s="491"/>
      <c r="G253" s="65"/>
    </row>
    <row r="254" spans="2:7" ht="14.25" customHeight="1" x14ac:dyDescent="0.3">
      <c r="B254" s="489"/>
      <c r="C254" s="490"/>
      <c r="E254" s="491"/>
      <c r="G254" s="65"/>
    </row>
    <row r="255" spans="2:7" ht="14.25" customHeight="1" x14ac:dyDescent="0.3">
      <c r="B255" s="489"/>
      <c r="C255" s="490"/>
      <c r="E255" s="491"/>
      <c r="G255" s="65"/>
    </row>
    <row r="256" spans="2:7" ht="14.25" customHeight="1" x14ac:dyDescent="0.3">
      <c r="B256" s="489"/>
      <c r="C256" s="490"/>
      <c r="E256" s="491"/>
      <c r="G256" s="65"/>
    </row>
    <row r="257" spans="2:7" ht="14.25" customHeight="1" x14ac:dyDescent="0.3">
      <c r="B257" s="489"/>
      <c r="C257" s="490"/>
      <c r="E257" s="491"/>
      <c r="G257" s="65"/>
    </row>
    <row r="258" spans="2:7" ht="14.25" customHeight="1" x14ac:dyDescent="0.3">
      <c r="B258" s="489"/>
      <c r="C258" s="490"/>
      <c r="E258" s="491"/>
      <c r="G258" s="65"/>
    </row>
    <row r="259" spans="2:7" ht="14.25" customHeight="1" x14ac:dyDescent="0.3">
      <c r="B259" s="489"/>
      <c r="C259" s="490"/>
      <c r="E259" s="491"/>
      <c r="G259" s="65"/>
    </row>
    <row r="260" spans="2:7" ht="14.25" customHeight="1" x14ac:dyDescent="0.3">
      <c r="B260" s="489"/>
      <c r="C260" s="490"/>
      <c r="E260" s="491"/>
      <c r="G260" s="65"/>
    </row>
    <row r="261" spans="2:7" ht="14.25" customHeight="1" x14ac:dyDescent="0.3">
      <c r="B261" s="489"/>
      <c r="C261" s="490"/>
      <c r="E261" s="491"/>
      <c r="G261" s="65"/>
    </row>
    <row r="262" spans="2:7" ht="14.25" customHeight="1" x14ac:dyDescent="0.3">
      <c r="B262" s="489"/>
      <c r="C262" s="490"/>
      <c r="E262" s="491"/>
      <c r="G262" s="65"/>
    </row>
    <row r="263" spans="2:7" ht="14.25" customHeight="1" x14ac:dyDescent="0.3">
      <c r="B263" s="489"/>
      <c r="C263" s="490"/>
      <c r="E263" s="491"/>
      <c r="G263" s="65"/>
    </row>
    <row r="264" spans="2:7" ht="14.25" customHeight="1" x14ac:dyDescent="0.3">
      <c r="B264" s="489"/>
      <c r="C264" s="490"/>
      <c r="E264" s="491"/>
      <c r="G264" s="65"/>
    </row>
    <row r="265" spans="2:7" ht="14.25" customHeight="1" x14ac:dyDescent="0.3">
      <c r="B265" s="489"/>
      <c r="C265" s="490"/>
      <c r="E265" s="491"/>
      <c r="G265" s="65"/>
    </row>
    <row r="266" spans="2:7" ht="14.25" customHeight="1" x14ac:dyDescent="0.3">
      <c r="B266" s="489"/>
      <c r="C266" s="490"/>
      <c r="E266" s="491"/>
      <c r="G266" s="65"/>
    </row>
    <row r="267" spans="2:7" ht="14.25" customHeight="1" x14ac:dyDescent="0.3">
      <c r="B267" s="489"/>
      <c r="C267" s="490"/>
      <c r="E267" s="491"/>
      <c r="G267" s="65"/>
    </row>
    <row r="268" spans="2:7" ht="14.25" customHeight="1" x14ac:dyDescent="0.3">
      <c r="B268" s="489"/>
      <c r="C268" s="490"/>
      <c r="E268" s="491"/>
      <c r="G268" s="65"/>
    </row>
    <row r="269" spans="2:7" ht="14.25" customHeight="1" x14ac:dyDescent="0.3">
      <c r="B269" s="489"/>
      <c r="C269" s="490"/>
      <c r="E269" s="491"/>
      <c r="G269" s="65"/>
    </row>
    <row r="270" spans="2:7" ht="14.25" customHeight="1" x14ac:dyDescent="0.3">
      <c r="B270" s="489"/>
      <c r="C270" s="490"/>
      <c r="E270" s="491"/>
      <c r="G270" s="65"/>
    </row>
    <row r="271" spans="2:7" ht="14.25" customHeight="1" x14ac:dyDescent="0.3">
      <c r="B271" s="489"/>
      <c r="C271" s="490"/>
      <c r="E271" s="491"/>
      <c r="G271" s="65"/>
    </row>
    <row r="272" spans="2:7" ht="14.25" customHeight="1" x14ac:dyDescent="0.3">
      <c r="B272" s="489"/>
      <c r="C272" s="490"/>
      <c r="E272" s="491"/>
      <c r="G272" s="65"/>
    </row>
    <row r="273" spans="2:7" ht="14.25" customHeight="1" x14ac:dyDescent="0.3">
      <c r="B273" s="489"/>
      <c r="C273" s="490"/>
      <c r="E273" s="491"/>
      <c r="G273" s="65"/>
    </row>
    <row r="274" spans="2:7" ht="14.25" customHeight="1" x14ac:dyDescent="0.3">
      <c r="B274" s="489"/>
      <c r="C274" s="490"/>
      <c r="E274" s="491"/>
      <c r="G274" s="65"/>
    </row>
    <row r="275" spans="2:7" ht="14.25" customHeight="1" x14ac:dyDescent="0.3">
      <c r="B275" s="489"/>
      <c r="C275" s="490"/>
      <c r="E275" s="491"/>
      <c r="G275" s="65"/>
    </row>
    <row r="276" spans="2:7" ht="14.25" customHeight="1" x14ac:dyDescent="0.3">
      <c r="B276" s="489"/>
      <c r="C276" s="490"/>
      <c r="E276" s="491"/>
      <c r="G276" s="65"/>
    </row>
    <row r="277" spans="2:7" ht="14.25" customHeight="1" x14ac:dyDescent="0.3">
      <c r="B277" s="489"/>
      <c r="C277" s="490"/>
      <c r="E277" s="491"/>
      <c r="G277" s="65"/>
    </row>
    <row r="278" spans="2:7" ht="14.25" customHeight="1" x14ac:dyDescent="0.3">
      <c r="B278" s="489"/>
      <c r="C278" s="490"/>
      <c r="E278" s="491"/>
      <c r="G278" s="65"/>
    </row>
    <row r="279" spans="2:7" ht="14.25" customHeight="1" x14ac:dyDescent="0.3">
      <c r="B279" s="489"/>
      <c r="C279" s="490"/>
      <c r="E279" s="491"/>
      <c r="G279" s="65"/>
    </row>
    <row r="280" spans="2:7" ht="14.25" customHeight="1" x14ac:dyDescent="0.3">
      <c r="B280" s="489"/>
      <c r="C280" s="490"/>
      <c r="E280" s="491"/>
      <c r="G280" s="65"/>
    </row>
    <row r="281" spans="2:7" ht="14.25" customHeight="1" x14ac:dyDescent="0.3">
      <c r="B281" s="489"/>
      <c r="C281" s="490"/>
      <c r="E281" s="491"/>
      <c r="G281" s="65"/>
    </row>
    <row r="282" spans="2:7" ht="14.25" customHeight="1" x14ac:dyDescent="0.3">
      <c r="B282" s="489"/>
      <c r="C282" s="490"/>
      <c r="E282" s="491"/>
      <c r="G282" s="65"/>
    </row>
    <row r="283" spans="2:7" ht="14.25" customHeight="1" x14ac:dyDescent="0.3">
      <c r="B283" s="489"/>
      <c r="C283" s="490"/>
      <c r="E283" s="491"/>
      <c r="G283" s="65"/>
    </row>
    <row r="284" spans="2:7" ht="14.25" customHeight="1" x14ac:dyDescent="0.3">
      <c r="B284" s="489"/>
      <c r="C284" s="490"/>
      <c r="E284" s="491"/>
      <c r="G284" s="65"/>
    </row>
    <row r="285" spans="2:7" ht="14.25" customHeight="1" x14ac:dyDescent="0.3">
      <c r="B285" s="489"/>
      <c r="C285" s="490"/>
      <c r="E285" s="491"/>
      <c r="G285" s="65"/>
    </row>
    <row r="286" spans="2:7" ht="14.25" customHeight="1" x14ac:dyDescent="0.3">
      <c r="B286" s="489"/>
      <c r="C286" s="490"/>
      <c r="E286" s="491"/>
      <c r="G286" s="65"/>
    </row>
    <row r="287" spans="2:7" ht="14.25" customHeight="1" x14ac:dyDescent="0.3">
      <c r="B287" s="489"/>
      <c r="C287" s="490"/>
      <c r="E287" s="491"/>
      <c r="G287" s="65"/>
    </row>
    <row r="288" spans="2:7" ht="14.25" customHeight="1" x14ac:dyDescent="0.3">
      <c r="B288" s="489"/>
      <c r="C288" s="490"/>
      <c r="E288" s="491"/>
      <c r="G288" s="65"/>
    </row>
    <row r="289" spans="2:7" ht="14.25" customHeight="1" x14ac:dyDescent="0.3">
      <c r="B289" s="489"/>
      <c r="C289" s="490"/>
      <c r="E289" s="491"/>
      <c r="G289" s="65"/>
    </row>
    <row r="290" spans="2:7" ht="14.25" customHeight="1" x14ac:dyDescent="0.3">
      <c r="B290" s="489"/>
      <c r="C290" s="490"/>
      <c r="E290" s="491"/>
      <c r="G290" s="65"/>
    </row>
    <row r="291" spans="2:7" ht="14.25" customHeight="1" x14ac:dyDescent="0.3">
      <c r="B291" s="489"/>
      <c r="C291" s="490"/>
      <c r="E291" s="491"/>
      <c r="G291" s="65"/>
    </row>
    <row r="292" spans="2:7" ht="14.25" customHeight="1" x14ac:dyDescent="0.3">
      <c r="B292" s="489"/>
      <c r="C292" s="490"/>
      <c r="E292" s="491"/>
      <c r="G292" s="65"/>
    </row>
    <row r="293" spans="2:7" ht="14.25" customHeight="1" x14ac:dyDescent="0.3">
      <c r="B293" s="489"/>
      <c r="C293" s="490"/>
      <c r="E293" s="491"/>
      <c r="G293" s="65"/>
    </row>
    <row r="294" spans="2:7" ht="14.25" customHeight="1" x14ac:dyDescent="0.3">
      <c r="B294" s="489"/>
      <c r="C294" s="490"/>
      <c r="E294" s="491"/>
      <c r="G294" s="65"/>
    </row>
    <row r="295" spans="2:7" ht="14.25" customHeight="1" x14ac:dyDescent="0.3">
      <c r="B295" s="489"/>
      <c r="C295" s="490"/>
      <c r="E295" s="491"/>
      <c r="G295" s="65"/>
    </row>
    <row r="296" spans="2:7" ht="14.25" customHeight="1" x14ac:dyDescent="0.3">
      <c r="B296" s="489"/>
      <c r="C296" s="490"/>
      <c r="E296" s="491"/>
      <c r="G296" s="65"/>
    </row>
    <row r="297" spans="2:7" ht="14.25" customHeight="1" x14ac:dyDescent="0.3">
      <c r="B297" s="489"/>
      <c r="C297" s="490"/>
      <c r="E297" s="491"/>
      <c r="G297" s="65"/>
    </row>
    <row r="298" spans="2:7" ht="14.25" customHeight="1" x14ac:dyDescent="0.3">
      <c r="B298" s="489"/>
      <c r="C298" s="490"/>
      <c r="E298" s="491"/>
      <c r="G298" s="65"/>
    </row>
    <row r="299" spans="2:7" ht="14.25" customHeight="1" x14ac:dyDescent="0.3">
      <c r="B299" s="489"/>
      <c r="C299" s="490"/>
      <c r="E299" s="491"/>
      <c r="G299" s="65"/>
    </row>
    <row r="300" spans="2:7" ht="14.25" customHeight="1" x14ac:dyDescent="0.3">
      <c r="B300" s="489"/>
      <c r="C300" s="490"/>
      <c r="E300" s="491"/>
      <c r="G300" s="65"/>
    </row>
    <row r="301" spans="2:7" ht="14.25" customHeight="1" x14ac:dyDescent="0.3">
      <c r="B301" s="489"/>
      <c r="C301" s="490"/>
      <c r="E301" s="491"/>
      <c r="G301" s="65"/>
    </row>
    <row r="302" spans="2:7" ht="14.25" customHeight="1" x14ac:dyDescent="0.3">
      <c r="B302" s="489"/>
      <c r="C302" s="490"/>
      <c r="E302" s="491"/>
      <c r="G302" s="65"/>
    </row>
    <row r="303" spans="2:7" ht="14.25" customHeight="1" x14ac:dyDescent="0.3">
      <c r="B303" s="489"/>
      <c r="C303" s="490"/>
      <c r="E303" s="491"/>
      <c r="G303" s="65"/>
    </row>
    <row r="304" spans="2:7" ht="14.25" customHeight="1" x14ac:dyDescent="0.3">
      <c r="B304" s="489"/>
      <c r="C304" s="490"/>
      <c r="E304" s="491"/>
      <c r="G304" s="65"/>
    </row>
    <row r="305" spans="2:7" ht="14.25" customHeight="1" x14ac:dyDescent="0.3">
      <c r="B305" s="489"/>
      <c r="C305" s="490"/>
      <c r="E305" s="491"/>
      <c r="G305" s="65"/>
    </row>
    <row r="306" spans="2:7" ht="14.25" customHeight="1" x14ac:dyDescent="0.3">
      <c r="B306" s="489"/>
      <c r="C306" s="490"/>
      <c r="E306" s="491"/>
      <c r="G306" s="65"/>
    </row>
    <row r="307" spans="2:7" ht="14.25" customHeight="1" x14ac:dyDescent="0.3">
      <c r="B307" s="489"/>
      <c r="C307" s="490"/>
      <c r="E307" s="491"/>
      <c r="G307" s="65"/>
    </row>
    <row r="308" spans="2:7" ht="14.25" customHeight="1" x14ac:dyDescent="0.3">
      <c r="B308" s="489"/>
      <c r="C308" s="490"/>
      <c r="E308" s="491"/>
      <c r="G308" s="65"/>
    </row>
    <row r="309" spans="2:7" ht="14.25" customHeight="1" x14ac:dyDescent="0.3">
      <c r="B309" s="489"/>
      <c r="C309" s="490"/>
      <c r="E309" s="491"/>
      <c r="G309" s="65"/>
    </row>
    <row r="310" spans="2:7" ht="14.25" customHeight="1" x14ac:dyDescent="0.3">
      <c r="B310" s="489"/>
      <c r="C310" s="490"/>
      <c r="E310" s="491"/>
      <c r="G310" s="65"/>
    </row>
    <row r="311" spans="2:7" ht="14.25" customHeight="1" x14ac:dyDescent="0.3">
      <c r="B311" s="489"/>
      <c r="C311" s="490"/>
      <c r="E311" s="491"/>
      <c r="G311" s="65"/>
    </row>
    <row r="312" spans="2:7" ht="14.25" customHeight="1" x14ac:dyDescent="0.3">
      <c r="B312" s="489"/>
      <c r="C312" s="490"/>
      <c r="E312" s="491"/>
      <c r="G312" s="65"/>
    </row>
    <row r="313" spans="2:7" ht="14.25" customHeight="1" x14ac:dyDescent="0.3">
      <c r="B313" s="489"/>
      <c r="C313" s="490"/>
      <c r="E313" s="491"/>
      <c r="G313" s="65"/>
    </row>
    <row r="314" spans="2:7" ht="14.25" customHeight="1" x14ac:dyDescent="0.3">
      <c r="B314" s="489"/>
      <c r="C314" s="490"/>
      <c r="E314" s="491"/>
      <c r="G314" s="65"/>
    </row>
    <row r="315" spans="2:7" ht="14.25" customHeight="1" x14ac:dyDescent="0.3">
      <c r="B315" s="489"/>
      <c r="C315" s="490"/>
      <c r="E315" s="491"/>
      <c r="G315" s="65"/>
    </row>
    <row r="316" spans="2:7" ht="14.25" customHeight="1" x14ac:dyDescent="0.3">
      <c r="B316" s="489"/>
      <c r="C316" s="490"/>
      <c r="E316" s="491"/>
      <c r="G316" s="65"/>
    </row>
    <row r="317" spans="2:7" ht="14.25" customHeight="1" x14ac:dyDescent="0.3">
      <c r="B317" s="489"/>
      <c r="C317" s="490"/>
      <c r="E317" s="491"/>
      <c r="G317" s="65"/>
    </row>
    <row r="318" spans="2:7" ht="14.25" customHeight="1" x14ac:dyDescent="0.3">
      <c r="B318" s="489"/>
      <c r="C318" s="490"/>
      <c r="E318" s="491"/>
      <c r="G318" s="65"/>
    </row>
    <row r="319" spans="2:7" ht="14.25" customHeight="1" x14ac:dyDescent="0.3">
      <c r="B319" s="489"/>
      <c r="C319" s="490"/>
      <c r="E319" s="491"/>
      <c r="G319" s="65"/>
    </row>
    <row r="320" spans="2:7" ht="14.25" customHeight="1" x14ac:dyDescent="0.3">
      <c r="B320" s="489"/>
      <c r="C320" s="490"/>
      <c r="E320" s="491"/>
      <c r="G320" s="65"/>
    </row>
    <row r="321" spans="2:7" ht="14.25" customHeight="1" x14ac:dyDescent="0.3">
      <c r="B321" s="489"/>
      <c r="C321" s="490"/>
      <c r="E321" s="491"/>
      <c r="G321" s="65"/>
    </row>
    <row r="322" spans="2:7" ht="14.25" customHeight="1" x14ac:dyDescent="0.3">
      <c r="B322" s="489"/>
      <c r="C322" s="490"/>
      <c r="E322" s="491"/>
      <c r="G322" s="65"/>
    </row>
    <row r="323" spans="2:7" ht="14.25" customHeight="1" x14ac:dyDescent="0.3">
      <c r="B323" s="489"/>
      <c r="C323" s="490"/>
      <c r="E323" s="491"/>
      <c r="G323" s="65"/>
    </row>
    <row r="324" spans="2:7" ht="14.25" customHeight="1" x14ac:dyDescent="0.3">
      <c r="B324" s="489"/>
      <c r="C324" s="490"/>
      <c r="E324" s="491"/>
      <c r="G324" s="65"/>
    </row>
    <row r="325" spans="2:7" ht="14.25" customHeight="1" x14ac:dyDescent="0.3">
      <c r="B325" s="489"/>
      <c r="C325" s="490"/>
      <c r="E325" s="491"/>
      <c r="G325" s="65"/>
    </row>
    <row r="326" spans="2:7" ht="14.25" customHeight="1" x14ac:dyDescent="0.3">
      <c r="B326" s="489"/>
      <c r="C326" s="490"/>
      <c r="E326" s="491"/>
      <c r="G326" s="65"/>
    </row>
    <row r="327" spans="2:7" ht="14.25" customHeight="1" x14ac:dyDescent="0.3">
      <c r="B327" s="489"/>
      <c r="C327" s="490"/>
      <c r="E327" s="491"/>
      <c r="G327" s="65"/>
    </row>
    <row r="328" spans="2:7" ht="14.25" customHeight="1" x14ac:dyDescent="0.3">
      <c r="B328" s="489"/>
      <c r="C328" s="490"/>
      <c r="E328" s="491"/>
      <c r="G328" s="65"/>
    </row>
    <row r="329" spans="2:7" ht="14.25" customHeight="1" x14ac:dyDescent="0.3">
      <c r="B329" s="489"/>
      <c r="C329" s="490"/>
      <c r="E329" s="491"/>
      <c r="G329" s="65"/>
    </row>
    <row r="330" spans="2:7" ht="14.25" customHeight="1" x14ac:dyDescent="0.3">
      <c r="B330" s="489"/>
      <c r="C330" s="490"/>
      <c r="E330" s="491"/>
      <c r="G330" s="65"/>
    </row>
    <row r="331" spans="2:7" ht="14.25" customHeight="1" x14ac:dyDescent="0.3">
      <c r="B331" s="489"/>
      <c r="C331" s="490"/>
      <c r="E331" s="491"/>
      <c r="G331" s="65"/>
    </row>
    <row r="332" spans="2:7" ht="14.25" customHeight="1" x14ac:dyDescent="0.3">
      <c r="B332" s="489"/>
      <c r="C332" s="490"/>
      <c r="E332" s="491"/>
      <c r="G332" s="65"/>
    </row>
    <row r="333" spans="2:7" ht="14.25" customHeight="1" x14ac:dyDescent="0.3">
      <c r="B333" s="489"/>
      <c r="C333" s="490"/>
      <c r="E333" s="491"/>
      <c r="G333" s="65"/>
    </row>
    <row r="334" spans="2:7" ht="14.25" customHeight="1" x14ac:dyDescent="0.3">
      <c r="B334" s="489"/>
      <c r="C334" s="490"/>
      <c r="E334" s="491"/>
      <c r="G334" s="65"/>
    </row>
    <row r="335" spans="2:7" ht="14.25" customHeight="1" x14ac:dyDescent="0.3">
      <c r="B335" s="489"/>
      <c r="C335" s="490"/>
      <c r="E335" s="491"/>
      <c r="G335" s="65"/>
    </row>
    <row r="336" spans="2:7" ht="14.25" customHeight="1" x14ac:dyDescent="0.3">
      <c r="B336" s="489"/>
      <c r="C336" s="490"/>
      <c r="E336" s="491"/>
      <c r="G336" s="65"/>
    </row>
    <row r="337" spans="2:7" ht="14.25" customHeight="1" x14ac:dyDescent="0.3">
      <c r="B337" s="489"/>
      <c r="C337" s="490"/>
      <c r="E337" s="491"/>
      <c r="G337" s="65"/>
    </row>
    <row r="338" spans="2:7" ht="14.25" customHeight="1" x14ac:dyDescent="0.3">
      <c r="B338" s="489"/>
      <c r="C338" s="490"/>
      <c r="E338" s="491"/>
      <c r="G338" s="65"/>
    </row>
    <row r="339" spans="2:7" ht="14.25" customHeight="1" x14ac:dyDescent="0.3">
      <c r="B339" s="489"/>
      <c r="C339" s="490"/>
      <c r="E339" s="491"/>
      <c r="G339" s="65"/>
    </row>
    <row r="340" spans="2:7" ht="14.25" customHeight="1" x14ac:dyDescent="0.3">
      <c r="B340" s="489"/>
      <c r="C340" s="490"/>
      <c r="E340" s="491"/>
      <c r="G340" s="65"/>
    </row>
    <row r="341" spans="2:7" ht="14.25" customHeight="1" x14ac:dyDescent="0.3">
      <c r="B341" s="489"/>
      <c r="C341" s="490"/>
      <c r="E341" s="491"/>
      <c r="G341" s="65"/>
    </row>
    <row r="342" spans="2:7" ht="14.25" customHeight="1" x14ac:dyDescent="0.3">
      <c r="B342" s="489"/>
      <c r="C342" s="490"/>
      <c r="E342" s="491"/>
      <c r="G342" s="65"/>
    </row>
    <row r="343" spans="2:7" ht="14.25" customHeight="1" x14ac:dyDescent="0.3">
      <c r="B343" s="489"/>
      <c r="C343" s="490"/>
      <c r="E343" s="491"/>
      <c r="G343" s="65"/>
    </row>
    <row r="344" spans="2:7" ht="14.25" customHeight="1" x14ac:dyDescent="0.3">
      <c r="B344" s="489"/>
      <c r="C344" s="490"/>
      <c r="E344" s="491"/>
      <c r="G344" s="65"/>
    </row>
    <row r="345" spans="2:7" ht="14.25" customHeight="1" x14ac:dyDescent="0.3">
      <c r="B345" s="489"/>
      <c r="C345" s="490"/>
      <c r="E345" s="491"/>
      <c r="G345" s="65"/>
    </row>
    <row r="346" spans="2:7" ht="14.25" customHeight="1" x14ac:dyDescent="0.3">
      <c r="B346" s="489"/>
      <c r="C346" s="490"/>
      <c r="E346" s="491"/>
      <c r="G346" s="65"/>
    </row>
    <row r="347" spans="2:7" ht="14.25" customHeight="1" x14ac:dyDescent="0.3">
      <c r="B347" s="489"/>
      <c r="C347" s="490"/>
      <c r="E347" s="491"/>
      <c r="G347" s="65"/>
    </row>
    <row r="348" spans="2:7" ht="14.25" customHeight="1" x14ac:dyDescent="0.3">
      <c r="B348" s="489"/>
      <c r="C348" s="490"/>
      <c r="E348" s="491"/>
      <c r="G348" s="65"/>
    </row>
    <row r="349" spans="2:7" ht="14.25" customHeight="1" x14ac:dyDescent="0.3">
      <c r="B349" s="489"/>
      <c r="C349" s="490"/>
      <c r="E349" s="491"/>
      <c r="G349" s="65"/>
    </row>
    <row r="350" spans="2:7" ht="14.25" customHeight="1" x14ac:dyDescent="0.3">
      <c r="B350" s="489"/>
      <c r="C350" s="490"/>
      <c r="E350" s="491"/>
      <c r="G350" s="65"/>
    </row>
    <row r="351" spans="2:7" ht="14.25" customHeight="1" x14ac:dyDescent="0.3">
      <c r="B351" s="489"/>
      <c r="C351" s="490"/>
      <c r="E351" s="491"/>
      <c r="G351" s="65"/>
    </row>
    <row r="352" spans="2:7" ht="14.25" customHeight="1" x14ac:dyDescent="0.3">
      <c r="B352" s="489"/>
      <c r="C352" s="490"/>
      <c r="E352" s="491"/>
      <c r="G352" s="65"/>
    </row>
    <row r="353" spans="2:7" ht="14.25" customHeight="1" x14ac:dyDescent="0.3">
      <c r="B353" s="489"/>
      <c r="C353" s="490"/>
      <c r="E353" s="491"/>
      <c r="G353" s="65"/>
    </row>
    <row r="354" spans="2:7" ht="14.25" customHeight="1" x14ac:dyDescent="0.3">
      <c r="B354" s="489"/>
      <c r="C354" s="490"/>
      <c r="E354" s="491"/>
      <c r="G354" s="65"/>
    </row>
    <row r="355" spans="2:7" ht="14.25" customHeight="1" x14ac:dyDescent="0.3">
      <c r="B355" s="489"/>
      <c r="C355" s="490"/>
      <c r="E355" s="491"/>
      <c r="G355" s="65"/>
    </row>
    <row r="356" spans="2:7" ht="14.25" customHeight="1" x14ac:dyDescent="0.3">
      <c r="B356" s="489"/>
      <c r="C356" s="490"/>
      <c r="E356" s="491"/>
      <c r="G356" s="65"/>
    </row>
    <row r="357" spans="2:7" ht="14.25" customHeight="1" x14ac:dyDescent="0.3">
      <c r="B357" s="489"/>
      <c r="C357" s="490"/>
      <c r="E357" s="491"/>
      <c r="G357" s="65"/>
    </row>
    <row r="358" spans="2:7" ht="14.25" customHeight="1" x14ac:dyDescent="0.3">
      <c r="B358" s="489"/>
      <c r="C358" s="490"/>
      <c r="E358" s="491"/>
      <c r="G358" s="65"/>
    </row>
    <row r="359" spans="2:7" ht="14.25" customHeight="1" x14ac:dyDescent="0.3">
      <c r="B359" s="489"/>
      <c r="C359" s="490"/>
      <c r="E359" s="491"/>
      <c r="G359" s="65"/>
    </row>
    <row r="360" spans="2:7" ht="14.25" customHeight="1" x14ac:dyDescent="0.3">
      <c r="B360" s="489"/>
      <c r="C360" s="490"/>
      <c r="E360" s="491"/>
      <c r="G360" s="65"/>
    </row>
    <row r="361" spans="2:7" ht="14.25" customHeight="1" x14ac:dyDescent="0.3">
      <c r="B361" s="489"/>
      <c r="C361" s="490"/>
      <c r="E361" s="491"/>
      <c r="G361" s="65"/>
    </row>
    <row r="362" spans="2:7" ht="14.25" customHeight="1" x14ac:dyDescent="0.3">
      <c r="B362" s="489"/>
      <c r="C362" s="490"/>
      <c r="E362" s="491"/>
      <c r="G362" s="65"/>
    </row>
    <row r="363" spans="2:7" ht="14.25" customHeight="1" x14ac:dyDescent="0.3">
      <c r="B363" s="489"/>
      <c r="C363" s="490"/>
      <c r="E363" s="491"/>
      <c r="G363" s="65"/>
    </row>
    <row r="364" spans="2:7" ht="14.25" customHeight="1" x14ac:dyDescent="0.3">
      <c r="B364" s="489"/>
      <c r="C364" s="490"/>
      <c r="E364" s="491"/>
      <c r="G364" s="65"/>
    </row>
    <row r="365" spans="2:7" ht="14.25" customHeight="1" x14ac:dyDescent="0.3">
      <c r="B365" s="489"/>
      <c r="C365" s="490"/>
      <c r="E365" s="491"/>
      <c r="G365" s="65"/>
    </row>
    <row r="366" spans="2:7" ht="14.25" customHeight="1" x14ac:dyDescent="0.3">
      <c r="B366" s="489"/>
      <c r="C366" s="490"/>
      <c r="E366" s="491"/>
      <c r="G366" s="65"/>
    </row>
    <row r="367" spans="2:7" ht="14.25" customHeight="1" x14ac:dyDescent="0.3">
      <c r="B367" s="489"/>
      <c r="C367" s="490"/>
      <c r="E367" s="491"/>
      <c r="G367" s="65"/>
    </row>
    <row r="368" spans="2:7" ht="14.25" customHeight="1" x14ac:dyDescent="0.3">
      <c r="B368" s="489"/>
      <c r="C368" s="490"/>
      <c r="E368" s="491"/>
      <c r="G368" s="65"/>
    </row>
    <row r="369" spans="2:7" ht="14.25" customHeight="1" x14ac:dyDescent="0.3">
      <c r="B369" s="489"/>
      <c r="C369" s="490"/>
      <c r="E369" s="491"/>
      <c r="G369" s="65"/>
    </row>
    <row r="370" spans="2:7" ht="14.25" customHeight="1" x14ac:dyDescent="0.3">
      <c r="B370" s="489"/>
      <c r="C370" s="490"/>
      <c r="E370" s="491"/>
      <c r="G370" s="65"/>
    </row>
    <row r="371" spans="2:7" ht="14.25" customHeight="1" x14ac:dyDescent="0.3">
      <c r="B371" s="489"/>
      <c r="C371" s="490"/>
      <c r="E371" s="491"/>
      <c r="G371" s="65"/>
    </row>
    <row r="372" spans="2:7" ht="14.25" customHeight="1" x14ac:dyDescent="0.3">
      <c r="B372" s="489"/>
      <c r="C372" s="490"/>
      <c r="E372" s="491"/>
      <c r="G372" s="65"/>
    </row>
    <row r="373" spans="2:7" ht="14.25" customHeight="1" x14ac:dyDescent="0.3">
      <c r="B373" s="489"/>
      <c r="C373" s="490"/>
      <c r="E373" s="491"/>
      <c r="G373" s="65"/>
    </row>
    <row r="374" spans="2:7" ht="14.25" customHeight="1" x14ac:dyDescent="0.3">
      <c r="B374" s="489"/>
      <c r="C374" s="490"/>
      <c r="E374" s="491"/>
      <c r="G374" s="65"/>
    </row>
    <row r="375" spans="2:7" ht="14.25" customHeight="1" x14ac:dyDescent="0.3">
      <c r="B375" s="489"/>
      <c r="C375" s="490"/>
      <c r="E375" s="491"/>
      <c r="G375" s="65"/>
    </row>
    <row r="376" spans="2:7" ht="14.25" customHeight="1" x14ac:dyDescent="0.3">
      <c r="B376" s="489"/>
      <c r="C376" s="490"/>
      <c r="E376" s="491"/>
      <c r="G376" s="65"/>
    </row>
    <row r="377" spans="2:7" ht="14.25" customHeight="1" x14ac:dyDescent="0.3">
      <c r="B377" s="489"/>
      <c r="C377" s="490"/>
      <c r="E377" s="491"/>
      <c r="G377" s="65"/>
    </row>
    <row r="378" spans="2:7" ht="14.25" customHeight="1" x14ac:dyDescent="0.3">
      <c r="B378" s="489"/>
      <c r="C378" s="490"/>
      <c r="E378" s="491"/>
      <c r="G378" s="65"/>
    </row>
    <row r="379" spans="2:7" ht="14.25" customHeight="1" x14ac:dyDescent="0.3">
      <c r="B379" s="489"/>
      <c r="C379" s="490"/>
      <c r="E379" s="491"/>
      <c r="G379" s="65"/>
    </row>
    <row r="380" spans="2:7" ht="14.25" customHeight="1" x14ac:dyDescent="0.3">
      <c r="B380" s="489"/>
      <c r="C380" s="490"/>
      <c r="E380" s="491"/>
      <c r="G380" s="65"/>
    </row>
    <row r="381" spans="2:7" ht="14.25" customHeight="1" x14ac:dyDescent="0.3">
      <c r="B381" s="489"/>
      <c r="C381" s="490"/>
      <c r="E381" s="491"/>
      <c r="G381" s="65"/>
    </row>
    <row r="382" spans="2:7" ht="14.25" customHeight="1" x14ac:dyDescent="0.3">
      <c r="B382" s="489"/>
      <c r="C382" s="490"/>
      <c r="E382" s="491"/>
      <c r="G382" s="65"/>
    </row>
    <row r="383" spans="2:7" ht="14.25" customHeight="1" x14ac:dyDescent="0.3">
      <c r="B383" s="489"/>
      <c r="C383" s="490"/>
      <c r="E383" s="491"/>
      <c r="G383" s="65"/>
    </row>
    <row r="384" spans="2:7" ht="14.25" customHeight="1" x14ac:dyDescent="0.3">
      <c r="B384" s="489"/>
      <c r="C384" s="490"/>
      <c r="E384" s="491"/>
      <c r="G384" s="65"/>
    </row>
    <row r="385" spans="2:7" ht="14.25" customHeight="1" x14ac:dyDescent="0.3">
      <c r="B385" s="489"/>
      <c r="C385" s="490"/>
      <c r="E385" s="491"/>
      <c r="G385" s="65"/>
    </row>
    <row r="386" spans="2:7" ht="14.25" customHeight="1" x14ac:dyDescent="0.3">
      <c r="B386" s="489"/>
      <c r="C386" s="490"/>
      <c r="E386" s="491"/>
      <c r="G386" s="65"/>
    </row>
    <row r="387" spans="2:7" ht="14.25" customHeight="1" x14ac:dyDescent="0.3">
      <c r="B387" s="489"/>
      <c r="C387" s="490"/>
      <c r="E387" s="491"/>
      <c r="G387" s="65"/>
    </row>
    <row r="388" spans="2:7" ht="14.25" customHeight="1" x14ac:dyDescent="0.3">
      <c r="B388" s="489"/>
      <c r="C388" s="490"/>
      <c r="E388" s="491"/>
      <c r="G388" s="65"/>
    </row>
    <row r="389" spans="2:7" ht="14.25" customHeight="1" x14ac:dyDescent="0.3">
      <c r="B389" s="489"/>
      <c r="C389" s="490"/>
      <c r="E389" s="491"/>
      <c r="G389" s="65"/>
    </row>
    <row r="390" spans="2:7" ht="14.25" customHeight="1" x14ac:dyDescent="0.3">
      <c r="B390" s="489"/>
      <c r="C390" s="490"/>
      <c r="E390" s="491"/>
      <c r="G390" s="65"/>
    </row>
    <row r="391" spans="2:7" ht="14.25" customHeight="1" x14ac:dyDescent="0.3">
      <c r="B391" s="489"/>
      <c r="C391" s="490"/>
      <c r="E391" s="491"/>
      <c r="G391" s="65"/>
    </row>
    <row r="392" spans="2:7" ht="14.25" customHeight="1" x14ac:dyDescent="0.3">
      <c r="B392" s="489"/>
      <c r="C392" s="490"/>
      <c r="E392" s="491"/>
      <c r="G392" s="65"/>
    </row>
    <row r="393" spans="2:7" ht="14.25" customHeight="1" x14ac:dyDescent="0.3">
      <c r="B393" s="489"/>
      <c r="C393" s="490"/>
      <c r="E393" s="491"/>
      <c r="G393" s="65"/>
    </row>
    <row r="394" spans="2:7" ht="14.25" customHeight="1" x14ac:dyDescent="0.3">
      <c r="B394" s="489"/>
      <c r="C394" s="490"/>
      <c r="E394" s="491"/>
      <c r="G394" s="65"/>
    </row>
    <row r="395" spans="2:7" ht="14.25" customHeight="1" x14ac:dyDescent="0.3">
      <c r="B395" s="489"/>
      <c r="C395" s="490"/>
      <c r="E395" s="491"/>
      <c r="G395" s="65"/>
    </row>
    <row r="396" spans="2:7" ht="14.25" customHeight="1" x14ac:dyDescent="0.3">
      <c r="B396" s="489"/>
      <c r="C396" s="490"/>
      <c r="E396" s="491"/>
      <c r="G396" s="65"/>
    </row>
    <row r="397" spans="2:7" ht="14.25" customHeight="1" x14ac:dyDescent="0.3">
      <c r="B397" s="489"/>
      <c r="C397" s="490"/>
      <c r="E397" s="491"/>
      <c r="G397" s="65"/>
    </row>
    <row r="398" spans="2:7" ht="14.25" customHeight="1" x14ac:dyDescent="0.3">
      <c r="B398" s="489"/>
      <c r="C398" s="490"/>
      <c r="E398" s="491"/>
      <c r="G398" s="65"/>
    </row>
    <row r="399" spans="2:7" ht="14.25" customHeight="1" x14ac:dyDescent="0.3">
      <c r="B399" s="489"/>
      <c r="C399" s="490"/>
      <c r="E399" s="491"/>
      <c r="G399" s="65"/>
    </row>
    <row r="400" spans="2:7" ht="14.25" customHeight="1" x14ac:dyDescent="0.3">
      <c r="B400" s="489"/>
      <c r="C400" s="490"/>
      <c r="E400" s="491"/>
      <c r="G400" s="65"/>
    </row>
    <row r="401" spans="2:7" ht="14.25" customHeight="1" x14ac:dyDescent="0.3">
      <c r="B401" s="489"/>
      <c r="C401" s="490"/>
      <c r="E401" s="491"/>
      <c r="G401" s="65"/>
    </row>
    <row r="402" spans="2:7" ht="14.25" customHeight="1" x14ac:dyDescent="0.3">
      <c r="B402" s="489"/>
      <c r="C402" s="490"/>
      <c r="E402" s="491"/>
      <c r="G402" s="65"/>
    </row>
    <row r="403" spans="2:7" ht="14.25" customHeight="1" x14ac:dyDescent="0.3">
      <c r="B403" s="489"/>
      <c r="C403" s="490"/>
      <c r="E403" s="491"/>
      <c r="G403" s="65"/>
    </row>
    <row r="404" spans="2:7" ht="14.25" customHeight="1" x14ac:dyDescent="0.3">
      <c r="B404" s="489"/>
      <c r="C404" s="490"/>
      <c r="E404" s="491"/>
      <c r="G404" s="65"/>
    </row>
    <row r="405" spans="2:7" ht="14.25" customHeight="1" x14ac:dyDescent="0.3">
      <c r="B405" s="489"/>
      <c r="C405" s="490"/>
      <c r="E405" s="491"/>
      <c r="G405" s="65"/>
    </row>
    <row r="406" spans="2:7" ht="14.25" customHeight="1" x14ac:dyDescent="0.3">
      <c r="B406" s="489"/>
      <c r="C406" s="490"/>
      <c r="E406" s="491"/>
      <c r="G406" s="65"/>
    </row>
    <row r="407" spans="2:7" ht="14.25" customHeight="1" x14ac:dyDescent="0.3">
      <c r="B407" s="489"/>
      <c r="C407" s="490"/>
      <c r="E407" s="491"/>
      <c r="G407" s="65"/>
    </row>
    <row r="408" spans="2:7" ht="14.25" customHeight="1" x14ac:dyDescent="0.3">
      <c r="B408" s="489"/>
      <c r="C408" s="490"/>
      <c r="E408" s="491"/>
      <c r="G408" s="65"/>
    </row>
    <row r="409" spans="2:7" ht="14.25" customHeight="1" x14ac:dyDescent="0.3">
      <c r="B409" s="489"/>
      <c r="C409" s="490"/>
      <c r="E409" s="491"/>
      <c r="G409" s="65"/>
    </row>
    <row r="410" spans="2:7" ht="14.25" customHeight="1" x14ac:dyDescent="0.3">
      <c r="B410" s="489"/>
      <c r="C410" s="490"/>
      <c r="E410" s="491"/>
      <c r="G410" s="65"/>
    </row>
    <row r="411" spans="2:7" ht="14.25" customHeight="1" x14ac:dyDescent="0.3">
      <c r="B411" s="489"/>
      <c r="C411" s="490"/>
      <c r="E411" s="491"/>
      <c r="G411" s="65"/>
    </row>
    <row r="412" spans="2:7" ht="14.25" customHeight="1" x14ac:dyDescent="0.3">
      <c r="B412" s="489"/>
      <c r="C412" s="490"/>
      <c r="E412" s="491"/>
      <c r="G412" s="65"/>
    </row>
    <row r="413" spans="2:7" ht="14.25" customHeight="1" x14ac:dyDescent="0.3">
      <c r="B413" s="489"/>
      <c r="C413" s="490"/>
      <c r="E413" s="491"/>
      <c r="G413" s="65"/>
    </row>
    <row r="414" spans="2:7" ht="14.25" customHeight="1" x14ac:dyDescent="0.3">
      <c r="B414" s="489"/>
      <c r="C414" s="490"/>
      <c r="E414" s="491"/>
      <c r="G414" s="65"/>
    </row>
    <row r="415" spans="2:7" ht="14.25" customHeight="1" x14ac:dyDescent="0.3">
      <c r="B415" s="489"/>
      <c r="C415" s="490"/>
      <c r="E415" s="491"/>
      <c r="G415" s="65"/>
    </row>
    <row r="416" spans="2:7" ht="14.25" customHeight="1" x14ac:dyDescent="0.3">
      <c r="B416" s="489"/>
      <c r="C416" s="490"/>
      <c r="E416" s="491"/>
      <c r="G416" s="65"/>
    </row>
    <row r="417" spans="2:7" ht="14.25" customHeight="1" x14ac:dyDescent="0.3">
      <c r="B417" s="489"/>
      <c r="C417" s="490"/>
      <c r="E417" s="491"/>
      <c r="G417" s="65"/>
    </row>
    <row r="418" spans="2:7" ht="14.25" customHeight="1" x14ac:dyDescent="0.3">
      <c r="B418" s="489"/>
      <c r="C418" s="490"/>
      <c r="E418" s="491"/>
      <c r="G418" s="65"/>
    </row>
    <row r="419" spans="2:7" ht="14.25" customHeight="1" x14ac:dyDescent="0.3">
      <c r="B419" s="489"/>
      <c r="C419" s="490"/>
      <c r="E419" s="491"/>
      <c r="G419" s="65"/>
    </row>
    <row r="420" spans="2:7" ht="14.25" customHeight="1" x14ac:dyDescent="0.3">
      <c r="B420" s="489"/>
      <c r="C420" s="490"/>
      <c r="E420" s="491"/>
      <c r="G420" s="65"/>
    </row>
    <row r="421" spans="2:7" ht="14.25" customHeight="1" x14ac:dyDescent="0.3">
      <c r="B421" s="489"/>
      <c r="C421" s="490"/>
      <c r="E421" s="491"/>
      <c r="G421" s="65"/>
    </row>
    <row r="422" spans="2:7" ht="14.25" customHeight="1" x14ac:dyDescent="0.3">
      <c r="B422" s="489"/>
      <c r="C422" s="490"/>
      <c r="E422" s="491"/>
      <c r="G422" s="65"/>
    </row>
    <row r="423" spans="2:7" ht="14.25" customHeight="1" x14ac:dyDescent="0.3">
      <c r="B423" s="489"/>
      <c r="C423" s="490"/>
      <c r="E423" s="491"/>
      <c r="G423" s="65"/>
    </row>
    <row r="424" spans="2:7" ht="14.25" customHeight="1" x14ac:dyDescent="0.3">
      <c r="B424" s="489"/>
      <c r="C424" s="490"/>
      <c r="E424" s="491"/>
      <c r="G424" s="65"/>
    </row>
    <row r="425" spans="2:7" ht="14.25" customHeight="1" x14ac:dyDescent="0.3">
      <c r="B425" s="489"/>
      <c r="C425" s="490"/>
      <c r="E425" s="491"/>
      <c r="G425" s="65"/>
    </row>
    <row r="426" spans="2:7" ht="14.25" customHeight="1" x14ac:dyDescent="0.3">
      <c r="B426" s="489"/>
      <c r="C426" s="490"/>
      <c r="E426" s="491"/>
      <c r="G426" s="65"/>
    </row>
    <row r="427" spans="2:7" ht="14.25" customHeight="1" x14ac:dyDescent="0.3">
      <c r="B427" s="489"/>
      <c r="C427" s="490"/>
      <c r="E427" s="491"/>
      <c r="G427" s="65"/>
    </row>
    <row r="428" spans="2:7" ht="14.25" customHeight="1" x14ac:dyDescent="0.3">
      <c r="B428" s="489"/>
      <c r="C428" s="490"/>
      <c r="E428" s="491"/>
      <c r="G428" s="65"/>
    </row>
    <row r="429" spans="2:7" ht="14.25" customHeight="1" x14ac:dyDescent="0.3">
      <c r="B429" s="489"/>
      <c r="C429" s="490"/>
      <c r="E429" s="491"/>
      <c r="G429" s="65"/>
    </row>
    <row r="430" spans="2:7" ht="14.25" customHeight="1" x14ac:dyDescent="0.3">
      <c r="B430" s="489"/>
      <c r="C430" s="490"/>
      <c r="E430" s="491"/>
      <c r="G430" s="65"/>
    </row>
    <row r="431" spans="2:7" ht="14.25" customHeight="1" x14ac:dyDescent="0.3">
      <c r="B431" s="489"/>
      <c r="C431" s="490"/>
      <c r="E431" s="491"/>
      <c r="G431" s="65"/>
    </row>
    <row r="432" spans="2:7" ht="14.25" customHeight="1" x14ac:dyDescent="0.3">
      <c r="B432" s="489"/>
      <c r="C432" s="490"/>
      <c r="E432" s="491"/>
      <c r="G432" s="65"/>
    </row>
    <row r="433" spans="2:7" ht="14.25" customHeight="1" x14ac:dyDescent="0.3">
      <c r="B433" s="489"/>
      <c r="C433" s="490"/>
      <c r="E433" s="491"/>
      <c r="G433" s="65"/>
    </row>
    <row r="434" spans="2:7" ht="14.25" customHeight="1" x14ac:dyDescent="0.3">
      <c r="B434" s="489"/>
      <c r="C434" s="490"/>
      <c r="E434" s="491"/>
      <c r="G434" s="65"/>
    </row>
    <row r="435" spans="2:7" ht="14.25" customHeight="1" x14ac:dyDescent="0.3">
      <c r="B435" s="489"/>
      <c r="C435" s="490"/>
      <c r="E435" s="491"/>
      <c r="G435" s="65"/>
    </row>
    <row r="436" spans="2:7" ht="14.25" customHeight="1" x14ac:dyDescent="0.3">
      <c r="B436" s="489"/>
      <c r="C436" s="490"/>
      <c r="E436" s="491"/>
      <c r="G436" s="65"/>
    </row>
    <row r="437" spans="2:7" ht="14.25" customHeight="1" x14ac:dyDescent="0.3">
      <c r="B437" s="489"/>
      <c r="C437" s="490"/>
      <c r="E437" s="491"/>
      <c r="G437" s="65"/>
    </row>
    <row r="438" spans="2:7" ht="14.25" customHeight="1" x14ac:dyDescent="0.3">
      <c r="B438" s="489"/>
      <c r="C438" s="490"/>
      <c r="E438" s="491"/>
      <c r="G438" s="65"/>
    </row>
    <row r="439" spans="2:7" ht="14.25" customHeight="1" x14ac:dyDescent="0.3">
      <c r="B439" s="489"/>
      <c r="C439" s="490"/>
      <c r="E439" s="491"/>
      <c r="G439" s="65"/>
    </row>
    <row r="440" spans="2:7" ht="14.25" customHeight="1" x14ac:dyDescent="0.3">
      <c r="B440" s="489"/>
      <c r="C440" s="490"/>
      <c r="E440" s="491"/>
      <c r="G440" s="65"/>
    </row>
    <row r="441" spans="2:7" ht="14.25" customHeight="1" x14ac:dyDescent="0.3">
      <c r="B441" s="489"/>
      <c r="C441" s="490"/>
      <c r="E441" s="491"/>
      <c r="G441" s="65"/>
    </row>
    <row r="442" spans="2:7" ht="14.25" customHeight="1" x14ac:dyDescent="0.3">
      <c r="B442" s="489"/>
      <c r="C442" s="490"/>
      <c r="E442" s="491"/>
      <c r="G442" s="65"/>
    </row>
    <row r="443" spans="2:7" ht="14.25" customHeight="1" x14ac:dyDescent="0.3">
      <c r="B443" s="489"/>
      <c r="C443" s="490"/>
      <c r="E443" s="491"/>
      <c r="G443" s="65"/>
    </row>
    <row r="444" spans="2:7" ht="14.25" customHeight="1" x14ac:dyDescent="0.3">
      <c r="B444" s="489"/>
      <c r="C444" s="490"/>
      <c r="E444" s="491"/>
      <c r="G444" s="65"/>
    </row>
    <row r="445" spans="2:7" ht="14.25" customHeight="1" x14ac:dyDescent="0.3">
      <c r="B445" s="489"/>
      <c r="C445" s="490"/>
      <c r="E445" s="491"/>
      <c r="G445" s="65"/>
    </row>
    <row r="446" spans="2:7" ht="14.25" customHeight="1" x14ac:dyDescent="0.3">
      <c r="B446" s="489"/>
      <c r="C446" s="490"/>
      <c r="E446" s="491"/>
      <c r="G446" s="65"/>
    </row>
    <row r="447" spans="2:7" ht="14.25" customHeight="1" x14ac:dyDescent="0.3">
      <c r="B447" s="489"/>
      <c r="C447" s="490"/>
      <c r="E447" s="491"/>
      <c r="G447" s="65"/>
    </row>
    <row r="448" spans="2:7" ht="14.25" customHeight="1" x14ac:dyDescent="0.3">
      <c r="B448" s="489"/>
      <c r="C448" s="490"/>
      <c r="E448" s="491"/>
      <c r="G448" s="65"/>
    </row>
    <row r="449" spans="2:7" ht="14.25" customHeight="1" x14ac:dyDescent="0.3">
      <c r="B449" s="489"/>
      <c r="C449" s="490"/>
      <c r="E449" s="491"/>
      <c r="G449" s="65"/>
    </row>
    <row r="450" spans="2:7" ht="14.25" customHeight="1" x14ac:dyDescent="0.3">
      <c r="B450" s="489"/>
      <c r="C450" s="490"/>
      <c r="E450" s="491"/>
      <c r="G450" s="65"/>
    </row>
    <row r="451" spans="2:7" ht="14.25" customHeight="1" x14ac:dyDescent="0.3">
      <c r="B451" s="489"/>
      <c r="C451" s="490"/>
      <c r="E451" s="491"/>
      <c r="G451" s="65"/>
    </row>
    <row r="452" spans="2:7" ht="14.25" customHeight="1" x14ac:dyDescent="0.3">
      <c r="B452" s="489"/>
      <c r="C452" s="490"/>
      <c r="E452" s="491"/>
      <c r="G452" s="65"/>
    </row>
    <row r="453" spans="2:7" ht="14.25" customHeight="1" x14ac:dyDescent="0.3">
      <c r="B453" s="489"/>
      <c r="C453" s="490"/>
      <c r="E453" s="491"/>
      <c r="G453" s="65"/>
    </row>
    <row r="454" spans="2:7" ht="14.25" customHeight="1" x14ac:dyDescent="0.3">
      <c r="B454" s="489"/>
      <c r="C454" s="490"/>
      <c r="E454" s="491"/>
      <c r="G454" s="65"/>
    </row>
    <row r="455" spans="2:7" ht="14.25" customHeight="1" x14ac:dyDescent="0.3">
      <c r="B455" s="489"/>
      <c r="C455" s="490"/>
      <c r="E455" s="491"/>
      <c r="G455" s="65"/>
    </row>
    <row r="456" spans="2:7" ht="14.25" customHeight="1" x14ac:dyDescent="0.3">
      <c r="B456" s="489"/>
      <c r="C456" s="490"/>
      <c r="E456" s="491"/>
      <c r="G456" s="65"/>
    </row>
    <row r="457" spans="2:7" ht="14.25" customHeight="1" x14ac:dyDescent="0.3">
      <c r="B457" s="489"/>
      <c r="C457" s="490"/>
      <c r="E457" s="491"/>
      <c r="G457" s="65"/>
    </row>
    <row r="458" spans="2:7" ht="14.25" customHeight="1" x14ac:dyDescent="0.3">
      <c r="B458" s="489"/>
      <c r="C458" s="490"/>
      <c r="E458" s="491"/>
      <c r="G458" s="65"/>
    </row>
    <row r="459" spans="2:7" ht="14.25" customHeight="1" x14ac:dyDescent="0.3">
      <c r="B459" s="489"/>
      <c r="C459" s="490"/>
      <c r="E459" s="491"/>
      <c r="G459" s="65"/>
    </row>
    <row r="460" spans="2:7" ht="14.25" customHeight="1" x14ac:dyDescent="0.3">
      <c r="B460" s="489"/>
      <c r="C460" s="490"/>
      <c r="E460" s="491"/>
      <c r="G460" s="65"/>
    </row>
    <row r="461" spans="2:7" ht="14.25" customHeight="1" x14ac:dyDescent="0.3">
      <c r="B461" s="489"/>
      <c r="C461" s="490"/>
      <c r="E461" s="491"/>
      <c r="G461" s="65"/>
    </row>
    <row r="462" spans="2:7" ht="14.25" customHeight="1" x14ac:dyDescent="0.3">
      <c r="B462" s="489"/>
      <c r="C462" s="490"/>
      <c r="E462" s="491"/>
      <c r="G462" s="65"/>
    </row>
    <row r="463" spans="2:7" ht="14.25" customHeight="1" x14ac:dyDescent="0.3">
      <c r="B463" s="489"/>
      <c r="C463" s="490"/>
      <c r="E463" s="491"/>
      <c r="G463" s="65"/>
    </row>
    <row r="464" spans="2:7" ht="14.25" customHeight="1" x14ac:dyDescent="0.3">
      <c r="B464" s="489"/>
      <c r="C464" s="490"/>
      <c r="E464" s="491"/>
      <c r="G464" s="65"/>
    </row>
    <row r="465" spans="2:7" ht="14.25" customHeight="1" x14ac:dyDescent="0.3">
      <c r="B465" s="489"/>
      <c r="C465" s="490"/>
      <c r="E465" s="491"/>
      <c r="G465" s="65"/>
    </row>
    <row r="466" spans="2:7" ht="14.25" customHeight="1" x14ac:dyDescent="0.3">
      <c r="B466" s="489"/>
      <c r="C466" s="490"/>
      <c r="E466" s="491"/>
      <c r="G466" s="65"/>
    </row>
    <row r="467" spans="2:7" ht="14.25" customHeight="1" x14ac:dyDescent="0.3">
      <c r="B467" s="489"/>
      <c r="C467" s="490"/>
      <c r="E467" s="491"/>
      <c r="G467" s="65"/>
    </row>
    <row r="468" spans="2:7" ht="14.25" customHeight="1" x14ac:dyDescent="0.3">
      <c r="B468" s="489"/>
      <c r="C468" s="490"/>
      <c r="E468" s="491"/>
      <c r="G468" s="65"/>
    </row>
    <row r="469" spans="2:7" ht="14.25" customHeight="1" x14ac:dyDescent="0.3">
      <c r="B469" s="489"/>
      <c r="C469" s="490"/>
      <c r="E469" s="491"/>
      <c r="G469" s="65"/>
    </row>
    <row r="470" spans="2:7" ht="14.25" customHeight="1" x14ac:dyDescent="0.3">
      <c r="B470" s="489"/>
      <c r="C470" s="490"/>
      <c r="E470" s="491"/>
      <c r="G470" s="65"/>
    </row>
    <row r="471" spans="2:7" ht="14.25" customHeight="1" x14ac:dyDescent="0.3">
      <c r="B471" s="489"/>
      <c r="C471" s="490"/>
      <c r="E471" s="491"/>
      <c r="G471" s="65"/>
    </row>
    <row r="472" spans="2:7" ht="14.25" customHeight="1" x14ac:dyDescent="0.3">
      <c r="B472" s="489"/>
      <c r="C472" s="490"/>
      <c r="E472" s="491"/>
      <c r="G472" s="65"/>
    </row>
    <row r="473" spans="2:7" ht="14.25" customHeight="1" x14ac:dyDescent="0.3">
      <c r="B473" s="489"/>
      <c r="C473" s="490"/>
      <c r="E473" s="491"/>
      <c r="G473" s="65"/>
    </row>
    <row r="474" spans="2:7" ht="14.25" customHeight="1" x14ac:dyDescent="0.3">
      <c r="B474" s="489"/>
      <c r="C474" s="490"/>
      <c r="E474" s="491"/>
      <c r="G474" s="65"/>
    </row>
    <row r="475" spans="2:7" ht="14.25" customHeight="1" x14ac:dyDescent="0.3">
      <c r="B475" s="489"/>
      <c r="C475" s="490"/>
      <c r="E475" s="491"/>
      <c r="G475" s="65"/>
    </row>
    <row r="476" spans="2:7" ht="14.25" customHeight="1" x14ac:dyDescent="0.3">
      <c r="B476" s="489"/>
      <c r="C476" s="490"/>
      <c r="E476" s="491"/>
      <c r="G476" s="65"/>
    </row>
    <row r="477" spans="2:7" ht="14.25" customHeight="1" x14ac:dyDescent="0.3">
      <c r="B477" s="489"/>
      <c r="C477" s="490"/>
      <c r="E477" s="491"/>
      <c r="G477" s="65"/>
    </row>
    <row r="478" spans="2:7" ht="14.25" customHeight="1" x14ac:dyDescent="0.3">
      <c r="B478" s="489"/>
      <c r="C478" s="490"/>
      <c r="E478" s="491"/>
      <c r="G478" s="65"/>
    </row>
    <row r="479" spans="2:7" ht="14.25" customHeight="1" x14ac:dyDescent="0.3">
      <c r="B479" s="489"/>
      <c r="C479" s="490"/>
      <c r="E479" s="491"/>
      <c r="G479" s="65"/>
    </row>
    <row r="480" spans="2:7" ht="14.25" customHeight="1" x14ac:dyDescent="0.3">
      <c r="B480" s="489"/>
      <c r="C480" s="490"/>
      <c r="E480" s="491"/>
      <c r="G480" s="65"/>
    </row>
    <row r="481" spans="2:7" ht="14.25" customHeight="1" x14ac:dyDescent="0.3">
      <c r="B481" s="489"/>
      <c r="C481" s="490"/>
      <c r="E481" s="491"/>
      <c r="G481" s="65"/>
    </row>
    <row r="482" spans="2:7" ht="14.25" customHeight="1" x14ac:dyDescent="0.3">
      <c r="B482" s="489"/>
      <c r="C482" s="490"/>
      <c r="E482" s="491"/>
      <c r="G482" s="65"/>
    </row>
    <row r="483" spans="2:7" ht="14.25" customHeight="1" x14ac:dyDescent="0.3">
      <c r="B483" s="489"/>
      <c r="C483" s="490"/>
      <c r="E483" s="491"/>
      <c r="G483" s="65"/>
    </row>
    <row r="484" spans="2:7" ht="14.25" customHeight="1" x14ac:dyDescent="0.3">
      <c r="B484" s="489"/>
      <c r="C484" s="490"/>
      <c r="E484" s="491"/>
      <c r="G484" s="65"/>
    </row>
    <row r="485" spans="2:7" ht="14.25" customHeight="1" x14ac:dyDescent="0.3">
      <c r="B485" s="489"/>
      <c r="C485" s="490"/>
      <c r="E485" s="491"/>
      <c r="G485" s="65"/>
    </row>
    <row r="486" spans="2:7" ht="14.25" customHeight="1" x14ac:dyDescent="0.3">
      <c r="B486" s="489"/>
      <c r="C486" s="490"/>
      <c r="E486" s="491"/>
      <c r="G486" s="65"/>
    </row>
    <row r="487" spans="2:7" ht="14.25" customHeight="1" x14ac:dyDescent="0.3">
      <c r="B487" s="489"/>
      <c r="C487" s="490"/>
      <c r="E487" s="491"/>
      <c r="G487" s="65"/>
    </row>
    <row r="488" spans="2:7" ht="14.25" customHeight="1" x14ac:dyDescent="0.3">
      <c r="B488" s="489"/>
      <c r="C488" s="490"/>
      <c r="E488" s="491"/>
      <c r="G488" s="65"/>
    </row>
    <row r="489" spans="2:7" ht="14.25" customHeight="1" x14ac:dyDescent="0.3">
      <c r="B489" s="489"/>
      <c r="C489" s="490"/>
      <c r="E489" s="491"/>
      <c r="G489" s="65"/>
    </row>
    <row r="490" spans="2:7" ht="14.25" customHeight="1" x14ac:dyDescent="0.3">
      <c r="B490" s="489"/>
      <c r="C490" s="490"/>
      <c r="E490" s="491"/>
      <c r="G490" s="65"/>
    </row>
    <row r="491" spans="2:7" ht="14.25" customHeight="1" x14ac:dyDescent="0.3">
      <c r="B491" s="489"/>
      <c r="C491" s="490"/>
      <c r="E491" s="491"/>
      <c r="G491" s="65"/>
    </row>
    <row r="492" spans="2:7" ht="14.25" customHeight="1" x14ac:dyDescent="0.3">
      <c r="B492" s="489"/>
      <c r="C492" s="490"/>
      <c r="E492" s="491"/>
      <c r="G492" s="65"/>
    </row>
    <row r="493" spans="2:7" ht="14.25" customHeight="1" x14ac:dyDescent="0.3">
      <c r="B493" s="489"/>
      <c r="C493" s="490"/>
      <c r="E493" s="491"/>
      <c r="G493" s="65"/>
    </row>
    <row r="494" spans="2:7" ht="14.25" customHeight="1" x14ac:dyDescent="0.3">
      <c r="B494" s="489"/>
      <c r="C494" s="490"/>
      <c r="E494" s="491"/>
      <c r="G494" s="65"/>
    </row>
    <row r="495" spans="2:7" ht="14.25" customHeight="1" x14ac:dyDescent="0.3">
      <c r="B495" s="489"/>
      <c r="C495" s="490"/>
      <c r="E495" s="491"/>
      <c r="G495" s="65"/>
    </row>
    <row r="496" spans="2:7" ht="14.25" customHeight="1" x14ac:dyDescent="0.3">
      <c r="B496" s="489"/>
      <c r="C496" s="490"/>
      <c r="E496" s="491"/>
      <c r="G496" s="65"/>
    </row>
    <row r="497" spans="2:7" ht="14.25" customHeight="1" x14ac:dyDescent="0.3">
      <c r="B497" s="489"/>
      <c r="C497" s="490"/>
      <c r="E497" s="491"/>
      <c r="G497" s="65"/>
    </row>
    <row r="498" spans="2:7" ht="14.25" customHeight="1" x14ac:dyDescent="0.3">
      <c r="B498" s="489"/>
      <c r="C498" s="490"/>
      <c r="E498" s="491"/>
      <c r="G498" s="65"/>
    </row>
    <row r="499" spans="2:7" ht="14.25" customHeight="1" x14ac:dyDescent="0.3">
      <c r="B499" s="489"/>
      <c r="C499" s="490"/>
      <c r="E499" s="491"/>
      <c r="G499" s="65"/>
    </row>
    <row r="500" spans="2:7" ht="14.25" customHeight="1" x14ac:dyDescent="0.3">
      <c r="B500" s="489"/>
      <c r="C500" s="490"/>
      <c r="E500" s="491"/>
      <c r="G500" s="65"/>
    </row>
    <row r="501" spans="2:7" ht="14.25" customHeight="1" x14ac:dyDescent="0.3">
      <c r="B501" s="489"/>
      <c r="C501" s="490"/>
      <c r="E501" s="491"/>
      <c r="G501" s="65"/>
    </row>
    <row r="502" spans="2:7" ht="14.25" customHeight="1" x14ac:dyDescent="0.3">
      <c r="B502" s="489"/>
      <c r="C502" s="490"/>
      <c r="E502" s="491"/>
      <c r="G502" s="65"/>
    </row>
    <row r="503" spans="2:7" ht="14.25" customHeight="1" x14ac:dyDescent="0.3">
      <c r="B503" s="489"/>
      <c r="C503" s="490"/>
      <c r="E503" s="491"/>
      <c r="G503" s="65"/>
    </row>
    <row r="504" spans="2:7" ht="14.25" customHeight="1" x14ac:dyDescent="0.3">
      <c r="B504" s="489"/>
      <c r="C504" s="490"/>
      <c r="E504" s="491"/>
      <c r="G504" s="65"/>
    </row>
    <row r="505" spans="2:7" ht="14.25" customHeight="1" x14ac:dyDescent="0.3">
      <c r="B505" s="489"/>
      <c r="C505" s="490"/>
      <c r="E505" s="491"/>
      <c r="G505" s="65"/>
    </row>
    <row r="506" spans="2:7" ht="14.25" customHeight="1" x14ac:dyDescent="0.3">
      <c r="B506" s="489"/>
      <c r="C506" s="490"/>
      <c r="E506" s="491"/>
      <c r="G506" s="65"/>
    </row>
    <row r="507" spans="2:7" ht="14.25" customHeight="1" x14ac:dyDescent="0.3">
      <c r="B507" s="489"/>
      <c r="C507" s="490"/>
      <c r="E507" s="491"/>
      <c r="G507" s="65"/>
    </row>
    <row r="508" spans="2:7" ht="14.25" customHeight="1" x14ac:dyDescent="0.3">
      <c r="B508" s="489"/>
      <c r="C508" s="490"/>
      <c r="E508" s="491"/>
      <c r="G508" s="65"/>
    </row>
    <row r="509" spans="2:7" ht="14.25" customHeight="1" x14ac:dyDescent="0.3">
      <c r="B509" s="489"/>
      <c r="C509" s="490"/>
      <c r="E509" s="491"/>
      <c r="G509" s="65"/>
    </row>
    <row r="510" spans="2:7" ht="14.25" customHeight="1" x14ac:dyDescent="0.3">
      <c r="B510" s="489"/>
      <c r="C510" s="490"/>
      <c r="E510" s="491"/>
      <c r="G510" s="65"/>
    </row>
    <row r="511" spans="2:7" ht="14.25" customHeight="1" x14ac:dyDescent="0.3">
      <c r="B511" s="489"/>
      <c r="C511" s="490"/>
      <c r="E511" s="491"/>
      <c r="G511" s="65"/>
    </row>
    <row r="512" spans="2:7" ht="14.25" customHeight="1" x14ac:dyDescent="0.3">
      <c r="B512" s="489"/>
      <c r="C512" s="490"/>
      <c r="E512" s="491"/>
      <c r="G512" s="65"/>
    </row>
    <row r="513" spans="2:7" ht="14.25" customHeight="1" x14ac:dyDescent="0.3">
      <c r="B513" s="489"/>
      <c r="C513" s="490"/>
      <c r="E513" s="491"/>
      <c r="G513" s="65"/>
    </row>
    <row r="514" spans="2:7" ht="14.25" customHeight="1" x14ac:dyDescent="0.3">
      <c r="B514" s="489"/>
      <c r="C514" s="490"/>
      <c r="E514" s="491"/>
      <c r="G514" s="65"/>
    </row>
    <row r="515" spans="2:7" ht="14.25" customHeight="1" x14ac:dyDescent="0.3">
      <c r="B515" s="489"/>
      <c r="C515" s="490"/>
      <c r="E515" s="491"/>
      <c r="G515" s="65"/>
    </row>
    <row r="516" spans="2:7" ht="14.25" customHeight="1" x14ac:dyDescent="0.3">
      <c r="B516" s="489"/>
      <c r="C516" s="490"/>
      <c r="E516" s="491"/>
      <c r="G516" s="65"/>
    </row>
    <row r="517" spans="2:7" ht="14.25" customHeight="1" x14ac:dyDescent="0.3">
      <c r="B517" s="489"/>
      <c r="C517" s="490"/>
      <c r="E517" s="491"/>
      <c r="G517" s="65"/>
    </row>
    <row r="518" spans="2:7" ht="14.25" customHeight="1" x14ac:dyDescent="0.3">
      <c r="B518" s="489"/>
      <c r="C518" s="490"/>
      <c r="E518" s="491"/>
      <c r="G518" s="65"/>
    </row>
    <row r="519" spans="2:7" ht="14.25" customHeight="1" x14ac:dyDescent="0.3">
      <c r="B519" s="489"/>
      <c r="C519" s="490"/>
      <c r="E519" s="491"/>
      <c r="G519" s="65"/>
    </row>
    <row r="520" spans="2:7" ht="14.25" customHeight="1" x14ac:dyDescent="0.3">
      <c r="B520" s="489"/>
      <c r="C520" s="490"/>
      <c r="E520" s="491"/>
      <c r="G520" s="65"/>
    </row>
    <row r="521" spans="2:7" ht="14.25" customHeight="1" x14ac:dyDescent="0.3">
      <c r="B521" s="489"/>
      <c r="C521" s="490"/>
      <c r="E521" s="491"/>
      <c r="G521" s="65"/>
    </row>
    <row r="522" spans="2:7" ht="14.25" customHeight="1" x14ac:dyDescent="0.3">
      <c r="B522" s="489"/>
      <c r="C522" s="490"/>
      <c r="E522" s="491"/>
      <c r="G522" s="65"/>
    </row>
    <row r="523" spans="2:7" ht="14.25" customHeight="1" x14ac:dyDescent="0.3">
      <c r="B523" s="489"/>
      <c r="C523" s="490"/>
      <c r="E523" s="491"/>
      <c r="G523" s="65"/>
    </row>
    <row r="524" spans="2:7" ht="14.25" customHeight="1" x14ac:dyDescent="0.3">
      <c r="B524" s="489"/>
      <c r="C524" s="490"/>
      <c r="E524" s="491"/>
      <c r="G524" s="65"/>
    </row>
    <row r="525" spans="2:7" ht="14.25" customHeight="1" x14ac:dyDescent="0.3">
      <c r="B525" s="489"/>
      <c r="C525" s="490"/>
      <c r="E525" s="491"/>
      <c r="G525" s="65"/>
    </row>
    <row r="526" spans="2:7" ht="14.25" customHeight="1" x14ac:dyDescent="0.3">
      <c r="B526" s="489"/>
      <c r="C526" s="490"/>
      <c r="E526" s="491"/>
      <c r="G526" s="65"/>
    </row>
    <row r="527" spans="2:7" ht="14.25" customHeight="1" x14ac:dyDescent="0.3">
      <c r="B527" s="489"/>
      <c r="C527" s="490"/>
      <c r="E527" s="491"/>
      <c r="G527" s="65"/>
    </row>
    <row r="528" spans="2:7" ht="14.25" customHeight="1" x14ac:dyDescent="0.3">
      <c r="B528" s="489"/>
      <c r="C528" s="490"/>
      <c r="E528" s="491"/>
      <c r="G528" s="65"/>
    </row>
    <row r="529" spans="2:7" ht="14.25" customHeight="1" x14ac:dyDescent="0.3">
      <c r="B529" s="489"/>
      <c r="C529" s="490"/>
      <c r="E529" s="491"/>
      <c r="G529" s="65"/>
    </row>
    <row r="530" spans="2:7" ht="14.25" customHeight="1" x14ac:dyDescent="0.3">
      <c r="B530" s="489"/>
      <c r="C530" s="490"/>
      <c r="E530" s="491"/>
      <c r="G530" s="65"/>
    </row>
    <row r="531" spans="2:7" ht="14.25" customHeight="1" x14ac:dyDescent="0.3">
      <c r="B531" s="489"/>
      <c r="C531" s="490"/>
      <c r="E531" s="491"/>
      <c r="G531" s="65"/>
    </row>
    <row r="532" spans="2:7" ht="14.25" customHeight="1" x14ac:dyDescent="0.3">
      <c r="B532" s="489"/>
      <c r="C532" s="490"/>
      <c r="E532" s="491"/>
      <c r="G532" s="65"/>
    </row>
    <row r="533" spans="2:7" ht="14.25" customHeight="1" x14ac:dyDescent="0.3">
      <c r="B533" s="489"/>
      <c r="C533" s="490"/>
      <c r="E533" s="491"/>
      <c r="G533" s="65"/>
    </row>
    <row r="534" spans="2:7" ht="14.25" customHeight="1" x14ac:dyDescent="0.3">
      <c r="B534" s="489"/>
      <c r="C534" s="490"/>
      <c r="E534" s="491"/>
      <c r="G534" s="65"/>
    </row>
    <row r="535" spans="2:7" ht="14.25" customHeight="1" x14ac:dyDescent="0.3">
      <c r="B535" s="489"/>
      <c r="C535" s="490"/>
      <c r="E535" s="491"/>
      <c r="G535" s="65"/>
    </row>
    <row r="536" spans="2:7" ht="14.25" customHeight="1" x14ac:dyDescent="0.3">
      <c r="B536" s="489"/>
      <c r="C536" s="490"/>
      <c r="E536" s="491"/>
      <c r="G536" s="65"/>
    </row>
    <row r="537" spans="2:7" ht="14.25" customHeight="1" x14ac:dyDescent="0.3">
      <c r="B537" s="489"/>
      <c r="C537" s="490"/>
      <c r="E537" s="491"/>
      <c r="G537" s="65"/>
    </row>
    <row r="538" spans="2:7" ht="14.25" customHeight="1" x14ac:dyDescent="0.3">
      <c r="B538" s="489"/>
      <c r="C538" s="490"/>
      <c r="E538" s="491"/>
      <c r="G538" s="65"/>
    </row>
    <row r="539" spans="2:7" ht="14.25" customHeight="1" x14ac:dyDescent="0.3">
      <c r="B539" s="489"/>
      <c r="C539" s="490"/>
      <c r="E539" s="491"/>
      <c r="G539" s="65"/>
    </row>
    <row r="540" spans="2:7" ht="14.25" customHeight="1" x14ac:dyDescent="0.3">
      <c r="B540" s="489"/>
      <c r="C540" s="490"/>
      <c r="E540" s="491"/>
      <c r="G540" s="65"/>
    </row>
    <row r="541" spans="2:7" ht="14.25" customHeight="1" x14ac:dyDescent="0.3">
      <c r="B541" s="489"/>
      <c r="C541" s="490"/>
      <c r="E541" s="491"/>
      <c r="G541" s="65"/>
    </row>
    <row r="542" spans="2:7" ht="14.25" customHeight="1" x14ac:dyDescent="0.3">
      <c r="B542" s="489"/>
      <c r="C542" s="490"/>
      <c r="E542" s="491"/>
      <c r="G542" s="65"/>
    </row>
    <row r="543" spans="2:7" ht="14.25" customHeight="1" x14ac:dyDescent="0.3">
      <c r="B543" s="489"/>
      <c r="C543" s="490"/>
      <c r="E543" s="491"/>
      <c r="G543" s="65"/>
    </row>
    <row r="544" spans="2:7" ht="14.25" customHeight="1" x14ac:dyDescent="0.3">
      <c r="B544" s="489"/>
      <c r="C544" s="490"/>
      <c r="E544" s="491"/>
      <c r="G544" s="65"/>
    </row>
    <row r="545" spans="2:7" ht="14.25" customHeight="1" x14ac:dyDescent="0.3">
      <c r="B545" s="489"/>
      <c r="C545" s="490"/>
      <c r="E545" s="491"/>
      <c r="G545" s="65"/>
    </row>
    <row r="546" spans="2:7" ht="14.25" customHeight="1" x14ac:dyDescent="0.3">
      <c r="B546" s="489"/>
      <c r="C546" s="490"/>
      <c r="E546" s="491"/>
      <c r="G546" s="65"/>
    </row>
    <row r="547" spans="2:7" ht="14.25" customHeight="1" x14ac:dyDescent="0.3">
      <c r="B547" s="489"/>
      <c r="C547" s="490"/>
      <c r="E547" s="491"/>
      <c r="G547" s="65"/>
    </row>
    <row r="548" spans="2:7" ht="14.25" customHeight="1" x14ac:dyDescent="0.3">
      <c r="B548" s="489"/>
      <c r="C548" s="490"/>
      <c r="E548" s="491"/>
      <c r="G548" s="65"/>
    </row>
    <row r="549" spans="2:7" ht="14.25" customHeight="1" x14ac:dyDescent="0.3">
      <c r="B549" s="489"/>
      <c r="C549" s="490"/>
      <c r="E549" s="491"/>
      <c r="G549" s="65"/>
    </row>
    <row r="550" spans="2:7" ht="14.25" customHeight="1" x14ac:dyDescent="0.3">
      <c r="B550" s="489"/>
      <c r="C550" s="490"/>
      <c r="E550" s="491"/>
      <c r="G550" s="65"/>
    </row>
    <row r="551" spans="2:7" ht="14.25" customHeight="1" x14ac:dyDescent="0.3">
      <c r="B551" s="489"/>
      <c r="C551" s="490"/>
      <c r="E551" s="491"/>
      <c r="G551" s="65"/>
    </row>
    <row r="552" spans="2:7" ht="14.25" customHeight="1" x14ac:dyDescent="0.3">
      <c r="B552" s="489"/>
      <c r="C552" s="490"/>
      <c r="E552" s="491"/>
      <c r="G552" s="65"/>
    </row>
    <row r="553" spans="2:7" ht="14.25" customHeight="1" x14ac:dyDescent="0.3">
      <c r="B553" s="489"/>
      <c r="C553" s="490"/>
      <c r="E553" s="491"/>
      <c r="G553" s="65"/>
    </row>
    <row r="554" spans="2:7" ht="14.25" customHeight="1" x14ac:dyDescent="0.3">
      <c r="B554" s="489"/>
      <c r="C554" s="490"/>
      <c r="E554" s="491"/>
      <c r="G554" s="65"/>
    </row>
    <row r="555" spans="2:7" ht="14.25" customHeight="1" x14ac:dyDescent="0.3">
      <c r="B555" s="489"/>
      <c r="C555" s="490"/>
      <c r="E555" s="491"/>
      <c r="G555" s="65"/>
    </row>
    <row r="556" spans="2:7" ht="14.25" customHeight="1" x14ac:dyDescent="0.3">
      <c r="B556" s="489"/>
      <c r="C556" s="490"/>
      <c r="E556" s="491"/>
      <c r="G556" s="65"/>
    </row>
    <row r="557" spans="2:7" ht="14.25" customHeight="1" x14ac:dyDescent="0.3">
      <c r="B557" s="489"/>
      <c r="C557" s="490"/>
      <c r="E557" s="491"/>
      <c r="G557" s="65"/>
    </row>
    <row r="558" spans="2:7" ht="14.25" customHeight="1" x14ac:dyDescent="0.3">
      <c r="B558" s="489"/>
      <c r="C558" s="490"/>
      <c r="E558" s="491"/>
      <c r="G558" s="65"/>
    </row>
    <row r="559" spans="2:7" ht="14.25" customHeight="1" x14ac:dyDescent="0.3">
      <c r="B559" s="489"/>
      <c r="C559" s="490"/>
      <c r="E559" s="491"/>
      <c r="G559" s="65"/>
    </row>
    <row r="560" spans="2:7" ht="14.25" customHeight="1" x14ac:dyDescent="0.3">
      <c r="B560" s="489"/>
      <c r="C560" s="490"/>
      <c r="E560" s="491"/>
      <c r="G560" s="65"/>
    </row>
    <row r="561" spans="2:7" ht="14.25" customHeight="1" x14ac:dyDescent="0.3">
      <c r="B561" s="489"/>
      <c r="C561" s="490"/>
      <c r="E561" s="491"/>
      <c r="G561" s="65"/>
    </row>
    <row r="562" spans="2:7" ht="14.25" customHeight="1" x14ac:dyDescent="0.3">
      <c r="B562" s="489"/>
      <c r="C562" s="490"/>
      <c r="E562" s="491"/>
      <c r="G562" s="65"/>
    </row>
    <row r="563" spans="2:7" ht="14.25" customHeight="1" x14ac:dyDescent="0.3">
      <c r="B563" s="489"/>
      <c r="C563" s="490"/>
      <c r="E563" s="491"/>
      <c r="G563" s="65"/>
    </row>
    <row r="564" spans="2:7" ht="14.25" customHeight="1" x14ac:dyDescent="0.3">
      <c r="B564" s="489"/>
      <c r="C564" s="490"/>
      <c r="E564" s="491"/>
      <c r="G564" s="65"/>
    </row>
    <row r="565" spans="2:7" ht="14.25" customHeight="1" x14ac:dyDescent="0.3">
      <c r="B565" s="489"/>
      <c r="C565" s="490"/>
      <c r="E565" s="491"/>
      <c r="G565" s="65"/>
    </row>
    <row r="566" spans="2:7" ht="14.25" customHeight="1" x14ac:dyDescent="0.3">
      <c r="B566" s="489"/>
      <c r="C566" s="490"/>
      <c r="E566" s="491"/>
      <c r="G566" s="65"/>
    </row>
    <row r="567" spans="2:7" ht="14.25" customHeight="1" x14ac:dyDescent="0.3">
      <c r="B567" s="489"/>
      <c r="C567" s="490"/>
      <c r="E567" s="491"/>
      <c r="G567" s="65"/>
    </row>
    <row r="568" spans="2:7" ht="14.25" customHeight="1" x14ac:dyDescent="0.3">
      <c r="B568" s="489"/>
      <c r="C568" s="490"/>
      <c r="E568" s="491"/>
      <c r="G568" s="65"/>
    </row>
    <row r="569" spans="2:7" ht="14.25" customHeight="1" x14ac:dyDescent="0.3">
      <c r="B569" s="489"/>
      <c r="C569" s="490"/>
      <c r="E569" s="491"/>
      <c r="G569" s="65"/>
    </row>
    <row r="570" spans="2:7" ht="14.25" customHeight="1" x14ac:dyDescent="0.3">
      <c r="B570" s="489"/>
      <c r="C570" s="490"/>
      <c r="E570" s="491"/>
      <c r="G570" s="65"/>
    </row>
    <row r="571" spans="2:7" ht="14.25" customHeight="1" x14ac:dyDescent="0.3">
      <c r="B571" s="489"/>
      <c r="C571" s="490"/>
      <c r="E571" s="491"/>
      <c r="G571" s="65"/>
    </row>
    <row r="572" spans="2:7" ht="14.25" customHeight="1" x14ac:dyDescent="0.3">
      <c r="B572" s="489"/>
      <c r="C572" s="490"/>
      <c r="E572" s="491"/>
      <c r="G572" s="65"/>
    </row>
    <row r="573" spans="2:7" ht="14.25" customHeight="1" x14ac:dyDescent="0.3">
      <c r="B573" s="489"/>
      <c r="C573" s="490"/>
      <c r="E573" s="491"/>
      <c r="G573" s="65"/>
    </row>
    <row r="574" spans="2:7" ht="14.25" customHeight="1" x14ac:dyDescent="0.3">
      <c r="B574" s="489"/>
      <c r="C574" s="490"/>
      <c r="E574" s="491"/>
      <c r="G574" s="65"/>
    </row>
    <row r="575" spans="2:7" ht="14.25" customHeight="1" x14ac:dyDescent="0.3">
      <c r="B575" s="489"/>
      <c r="C575" s="490"/>
      <c r="E575" s="491"/>
      <c r="G575" s="65"/>
    </row>
    <row r="576" spans="2:7" ht="14.25" customHeight="1" x14ac:dyDescent="0.3">
      <c r="B576" s="489"/>
      <c r="C576" s="490"/>
      <c r="E576" s="491"/>
      <c r="G576" s="65"/>
    </row>
    <row r="577" spans="2:7" ht="14.25" customHeight="1" x14ac:dyDescent="0.3">
      <c r="B577" s="489"/>
      <c r="C577" s="490"/>
      <c r="E577" s="491"/>
      <c r="G577" s="65"/>
    </row>
    <row r="578" spans="2:7" ht="14.25" customHeight="1" x14ac:dyDescent="0.3">
      <c r="B578" s="489"/>
      <c r="C578" s="490"/>
      <c r="E578" s="491"/>
      <c r="G578" s="65"/>
    </row>
    <row r="579" spans="2:7" ht="14.25" customHeight="1" x14ac:dyDescent="0.3">
      <c r="B579" s="489"/>
      <c r="C579" s="490"/>
      <c r="E579" s="491"/>
      <c r="G579" s="65"/>
    </row>
    <row r="580" spans="2:7" ht="14.25" customHeight="1" x14ac:dyDescent="0.3">
      <c r="B580" s="489"/>
      <c r="C580" s="490"/>
      <c r="E580" s="491"/>
      <c r="G580" s="65"/>
    </row>
    <row r="581" spans="2:7" ht="14.25" customHeight="1" x14ac:dyDescent="0.3">
      <c r="B581" s="489"/>
      <c r="C581" s="490"/>
      <c r="E581" s="491"/>
      <c r="G581" s="65"/>
    </row>
    <row r="582" spans="2:7" ht="14.25" customHeight="1" x14ac:dyDescent="0.3">
      <c r="B582" s="489"/>
      <c r="C582" s="490"/>
      <c r="E582" s="491"/>
      <c r="G582" s="65"/>
    </row>
    <row r="583" spans="2:7" ht="14.25" customHeight="1" x14ac:dyDescent="0.3">
      <c r="B583" s="489"/>
      <c r="C583" s="490"/>
      <c r="E583" s="491"/>
      <c r="G583" s="65"/>
    </row>
    <row r="584" spans="2:7" ht="14.25" customHeight="1" x14ac:dyDescent="0.3">
      <c r="B584" s="489"/>
      <c r="C584" s="490"/>
      <c r="E584" s="491"/>
      <c r="G584" s="65"/>
    </row>
    <row r="585" spans="2:7" ht="14.25" customHeight="1" x14ac:dyDescent="0.3">
      <c r="B585" s="489"/>
      <c r="C585" s="490"/>
      <c r="E585" s="491"/>
      <c r="G585" s="65"/>
    </row>
    <row r="586" spans="2:7" ht="14.25" customHeight="1" x14ac:dyDescent="0.3">
      <c r="B586" s="489"/>
      <c r="C586" s="490"/>
      <c r="E586" s="491"/>
      <c r="G586" s="65"/>
    </row>
    <row r="587" spans="2:7" ht="14.25" customHeight="1" x14ac:dyDescent="0.3">
      <c r="B587" s="489"/>
      <c r="C587" s="490"/>
      <c r="E587" s="491"/>
      <c r="G587" s="65"/>
    </row>
    <row r="588" spans="2:7" ht="14.25" customHeight="1" x14ac:dyDescent="0.3">
      <c r="B588" s="489"/>
      <c r="C588" s="490"/>
      <c r="E588" s="491"/>
      <c r="G588" s="65"/>
    </row>
    <row r="589" spans="2:7" ht="14.25" customHeight="1" x14ac:dyDescent="0.3">
      <c r="B589" s="489"/>
      <c r="C589" s="490"/>
      <c r="E589" s="491"/>
      <c r="G589" s="65"/>
    </row>
    <row r="590" spans="2:7" ht="14.25" customHeight="1" x14ac:dyDescent="0.3">
      <c r="B590" s="489"/>
      <c r="C590" s="490"/>
      <c r="E590" s="491"/>
      <c r="G590" s="65"/>
    </row>
    <row r="591" spans="2:7" ht="14.25" customHeight="1" x14ac:dyDescent="0.3">
      <c r="B591" s="489"/>
      <c r="C591" s="490"/>
      <c r="E591" s="491"/>
      <c r="G591" s="65"/>
    </row>
    <row r="592" spans="2:7" ht="14.25" customHeight="1" x14ac:dyDescent="0.3">
      <c r="B592" s="489"/>
      <c r="C592" s="490"/>
      <c r="E592" s="491"/>
      <c r="G592" s="65"/>
    </row>
    <row r="593" spans="2:7" ht="14.25" customHeight="1" x14ac:dyDescent="0.3">
      <c r="B593" s="489"/>
      <c r="C593" s="490"/>
      <c r="E593" s="491"/>
      <c r="G593" s="65"/>
    </row>
    <row r="594" spans="2:7" ht="14.25" customHeight="1" x14ac:dyDescent="0.3">
      <c r="B594" s="489"/>
      <c r="C594" s="490"/>
      <c r="E594" s="491"/>
      <c r="G594" s="65"/>
    </row>
    <row r="595" spans="2:7" ht="14.25" customHeight="1" x14ac:dyDescent="0.3">
      <c r="B595" s="489"/>
      <c r="C595" s="490"/>
      <c r="E595" s="491"/>
      <c r="G595" s="65"/>
    </row>
    <row r="596" spans="2:7" ht="14.25" customHeight="1" x14ac:dyDescent="0.3">
      <c r="B596" s="489"/>
      <c r="C596" s="490"/>
      <c r="E596" s="491"/>
      <c r="G596" s="65"/>
    </row>
    <row r="597" spans="2:7" ht="14.25" customHeight="1" x14ac:dyDescent="0.3">
      <c r="B597" s="489"/>
      <c r="C597" s="490"/>
      <c r="E597" s="491"/>
      <c r="G597" s="65"/>
    </row>
    <row r="598" spans="2:7" ht="14.25" customHeight="1" x14ac:dyDescent="0.3">
      <c r="B598" s="489"/>
      <c r="C598" s="490"/>
      <c r="E598" s="491"/>
      <c r="G598" s="65"/>
    </row>
    <row r="599" spans="2:7" ht="14.25" customHeight="1" x14ac:dyDescent="0.3">
      <c r="B599" s="489"/>
      <c r="C599" s="490"/>
      <c r="E599" s="491"/>
      <c r="G599" s="65"/>
    </row>
    <row r="600" spans="2:7" ht="14.25" customHeight="1" x14ac:dyDescent="0.3">
      <c r="B600" s="489"/>
      <c r="C600" s="490"/>
      <c r="E600" s="491"/>
      <c r="G600" s="65"/>
    </row>
    <row r="601" spans="2:7" ht="14.25" customHeight="1" x14ac:dyDescent="0.3">
      <c r="B601" s="489"/>
      <c r="C601" s="490"/>
      <c r="E601" s="491"/>
      <c r="G601" s="65"/>
    </row>
    <row r="602" spans="2:7" ht="14.25" customHeight="1" x14ac:dyDescent="0.3">
      <c r="B602" s="489"/>
      <c r="C602" s="490"/>
      <c r="E602" s="491"/>
      <c r="G602" s="65"/>
    </row>
    <row r="603" spans="2:7" ht="14.25" customHeight="1" x14ac:dyDescent="0.3">
      <c r="B603" s="489"/>
      <c r="C603" s="490"/>
      <c r="E603" s="491"/>
      <c r="G603" s="65"/>
    </row>
    <row r="604" spans="2:7" ht="14.25" customHeight="1" x14ac:dyDescent="0.3">
      <c r="B604" s="489"/>
      <c r="C604" s="490"/>
      <c r="E604" s="491"/>
      <c r="G604" s="65"/>
    </row>
    <row r="605" spans="2:7" ht="14.25" customHeight="1" x14ac:dyDescent="0.3">
      <c r="B605" s="489"/>
      <c r="C605" s="490"/>
      <c r="E605" s="491"/>
      <c r="G605" s="65"/>
    </row>
    <row r="606" spans="2:7" ht="14.25" customHeight="1" x14ac:dyDescent="0.3">
      <c r="B606" s="489"/>
      <c r="C606" s="490"/>
      <c r="E606" s="491"/>
      <c r="G606" s="65"/>
    </row>
    <row r="607" spans="2:7" ht="14.25" customHeight="1" x14ac:dyDescent="0.3">
      <c r="B607" s="489"/>
      <c r="C607" s="490"/>
      <c r="E607" s="491"/>
      <c r="G607" s="65"/>
    </row>
    <row r="608" spans="2:7" ht="14.25" customHeight="1" x14ac:dyDescent="0.3">
      <c r="B608" s="489"/>
      <c r="C608" s="490"/>
      <c r="E608" s="491"/>
      <c r="G608" s="65"/>
    </row>
    <row r="609" spans="2:7" ht="14.25" customHeight="1" x14ac:dyDescent="0.3">
      <c r="B609" s="489"/>
      <c r="C609" s="490"/>
      <c r="E609" s="491"/>
      <c r="G609" s="65"/>
    </row>
    <row r="610" spans="2:7" ht="14.25" customHeight="1" x14ac:dyDescent="0.3">
      <c r="B610" s="489"/>
      <c r="C610" s="490"/>
      <c r="E610" s="491"/>
      <c r="G610" s="65"/>
    </row>
    <row r="611" spans="2:7" ht="14.25" customHeight="1" x14ac:dyDescent="0.3">
      <c r="B611" s="489"/>
      <c r="C611" s="490"/>
      <c r="E611" s="491"/>
      <c r="G611" s="65"/>
    </row>
    <row r="612" spans="2:7" ht="14.25" customHeight="1" x14ac:dyDescent="0.3">
      <c r="B612" s="489"/>
      <c r="C612" s="490"/>
      <c r="E612" s="491"/>
      <c r="G612" s="65"/>
    </row>
    <row r="613" spans="2:7" ht="14.25" customHeight="1" x14ac:dyDescent="0.3">
      <c r="B613" s="489"/>
      <c r="C613" s="490"/>
      <c r="E613" s="491"/>
      <c r="G613" s="65"/>
    </row>
    <row r="614" spans="2:7" ht="14.25" customHeight="1" x14ac:dyDescent="0.3">
      <c r="B614" s="489"/>
      <c r="C614" s="490"/>
      <c r="E614" s="491"/>
      <c r="G614" s="65"/>
    </row>
    <row r="615" spans="2:7" ht="14.25" customHeight="1" x14ac:dyDescent="0.3">
      <c r="B615" s="489"/>
      <c r="C615" s="490"/>
      <c r="E615" s="491"/>
      <c r="G615" s="65"/>
    </row>
    <row r="616" spans="2:7" ht="14.25" customHeight="1" x14ac:dyDescent="0.3">
      <c r="B616" s="489"/>
      <c r="C616" s="490"/>
      <c r="E616" s="491"/>
      <c r="G616" s="65"/>
    </row>
    <row r="617" spans="2:7" ht="14.25" customHeight="1" x14ac:dyDescent="0.3">
      <c r="B617" s="489"/>
      <c r="C617" s="490"/>
      <c r="E617" s="491"/>
      <c r="G617" s="65"/>
    </row>
    <row r="618" spans="2:7" ht="14.25" customHeight="1" x14ac:dyDescent="0.3">
      <c r="B618" s="489"/>
      <c r="C618" s="490"/>
      <c r="E618" s="491"/>
      <c r="G618" s="65"/>
    </row>
    <row r="619" spans="2:7" ht="14.25" customHeight="1" x14ac:dyDescent="0.3">
      <c r="B619" s="489"/>
      <c r="C619" s="490"/>
      <c r="E619" s="491"/>
      <c r="G619" s="65"/>
    </row>
    <row r="620" spans="2:7" ht="14.25" customHeight="1" x14ac:dyDescent="0.3">
      <c r="B620" s="489"/>
      <c r="C620" s="490"/>
      <c r="E620" s="491"/>
      <c r="G620" s="65"/>
    </row>
    <row r="621" spans="2:7" ht="14.25" customHeight="1" x14ac:dyDescent="0.3">
      <c r="B621" s="489"/>
      <c r="C621" s="490"/>
      <c r="E621" s="491"/>
      <c r="G621" s="65"/>
    </row>
    <row r="622" spans="2:7" ht="14.25" customHeight="1" x14ac:dyDescent="0.3">
      <c r="B622" s="489"/>
      <c r="C622" s="490"/>
      <c r="E622" s="491"/>
      <c r="G622" s="65"/>
    </row>
    <row r="623" spans="2:7" ht="14.25" customHeight="1" x14ac:dyDescent="0.3">
      <c r="B623" s="489"/>
      <c r="C623" s="490"/>
      <c r="E623" s="491"/>
      <c r="G623" s="65"/>
    </row>
    <row r="624" spans="2:7" ht="14.25" customHeight="1" x14ac:dyDescent="0.3">
      <c r="B624" s="489"/>
      <c r="C624" s="490"/>
      <c r="E624" s="491"/>
      <c r="G624" s="65"/>
    </row>
    <row r="625" spans="2:7" ht="14.25" customHeight="1" x14ac:dyDescent="0.3">
      <c r="B625" s="489"/>
      <c r="C625" s="490"/>
      <c r="E625" s="491"/>
      <c r="G625" s="65"/>
    </row>
    <row r="626" spans="2:7" ht="14.25" customHeight="1" x14ac:dyDescent="0.3">
      <c r="B626" s="489"/>
      <c r="C626" s="490"/>
      <c r="E626" s="491"/>
      <c r="G626" s="65"/>
    </row>
    <row r="627" spans="2:7" ht="14.25" customHeight="1" x14ac:dyDescent="0.3">
      <c r="B627" s="489"/>
      <c r="C627" s="490"/>
      <c r="E627" s="491"/>
      <c r="G627" s="65"/>
    </row>
    <row r="628" spans="2:7" ht="14.25" customHeight="1" x14ac:dyDescent="0.3">
      <c r="B628" s="489"/>
      <c r="C628" s="490"/>
      <c r="E628" s="491"/>
      <c r="G628" s="65"/>
    </row>
    <row r="629" spans="2:7" ht="14.25" customHeight="1" x14ac:dyDescent="0.3">
      <c r="B629" s="489"/>
      <c r="C629" s="490"/>
      <c r="E629" s="491"/>
      <c r="G629" s="65"/>
    </row>
    <row r="630" spans="2:7" ht="14.25" customHeight="1" x14ac:dyDescent="0.3">
      <c r="B630" s="489"/>
      <c r="C630" s="490"/>
      <c r="E630" s="491"/>
      <c r="G630" s="65"/>
    </row>
    <row r="631" spans="2:7" ht="14.25" customHeight="1" x14ac:dyDescent="0.3">
      <c r="B631" s="489"/>
      <c r="C631" s="490"/>
      <c r="E631" s="491"/>
      <c r="G631" s="65"/>
    </row>
    <row r="632" spans="2:7" ht="14.25" customHeight="1" x14ac:dyDescent="0.3">
      <c r="B632" s="489"/>
      <c r="C632" s="490"/>
      <c r="E632" s="491"/>
      <c r="G632" s="65"/>
    </row>
    <row r="633" spans="2:7" ht="14.25" customHeight="1" x14ac:dyDescent="0.3">
      <c r="B633" s="489"/>
      <c r="C633" s="490"/>
      <c r="E633" s="491"/>
      <c r="G633" s="65"/>
    </row>
    <row r="634" spans="2:7" ht="14.25" customHeight="1" x14ac:dyDescent="0.3">
      <c r="B634" s="489"/>
      <c r="C634" s="490"/>
      <c r="E634" s="491"/>
      <c r="G634" s="65"/>
    </row>
    <row r="635" spans="2:7" ht="14.25" customHeight="1" x14ac:dyDescent="0.3">
      <c r="B635" s="489"/>
      <c r="C635" s="490"/>
      <c r="E635" s="491"/>
      <c r="G635" s="65"/>
    </row>
    <row r="636" spans="2:7" ht="14.25" customHeight="1" x14ac:dyDescent="0.3">
      <c r="B636" s="489"/>
      <c r="C636" s="490"/>
      <c r="E636" s="491"/>
      <c r="G636" s="65"/>
    </row>
    <row r="637" spans="2:7" ht="14.25" customHeight="1" x14ac:dyDescent="0.3">
      <c r="B637" s="489"/>
      <c r="C637" s="490"/>
      <c r="E637" s="491"/>
      <c r="G637" s="65"/>
    </row>
    <row r="638" spans="2:7" ht="14.25" customHeight="1" x14ac:dyDescent="0.3">
      <c r="B638" s="489"/>
      <c r="C638" s="490"/>
      <c r="E638" s="491"/>
      <c r="G638" s="65"/>
    </row>
    <row r="639" spans="2:7" ht="14.25" customHeight="1" x14ac:dyDescent="0.3">
      <c r="B639" s="489"/>
      <c r="C639" s="490"/>
      <c r="E639" s="491"/>
      <c r="G639" s="65"/>
    </row>
    <row r="640" spans="2:7" ht="14.25" customHeight="1" x14ac:dyDescent="0.3">
      <c r="B640" s="489"/>
      <c r="C640" s="490"/>
      <c r="E640" s="491"/>
      <c r="G640" s="65"/>
    </row>
    <row r="641" spans="2:7" ht="14.25" customHeight="1" x14ac:dyDescent="0.3">
      <c r="B641" s="489"/>
      <c r="C641" s="490"/>
      <c r="E641" s="491"/>
      <c r="G641" s="65"/>
    </row>
    <row r="642" spans="2:7" ht="14.25" customHeight="1" x14ac:dyDescent="0.3">
      <c r="B642" s="489"/>
      <c r="C642" s="490"/>
      <c r="E642" s="491"/>
      <c r="G642" s="65"/>
    </row>
    <row r="643" spans="2:7" ht="14.25" customHeight="1" x14ac:dyDescent="0.3">
      <c r="B643" s="489"/>
      <c r="C643" s="490"/>
      <c r="E643" s="491"/>
      <c r="G643" s="65"/>
    </row>
    <row r="644" spans="2:7" ht="14.25" customHeight="1" x14ac:dyDescent="0.3">
      <c r="B644" s="489"/>
      <c r="C644" s="490"/>
      <c r="E644" s="491"/>
      <c r="G644" s="65"/>
    </row>
    <row r="645" spans="2:7" ht="14.25" customHeight="1" x14ac:dyDescent="0.3">
      <c r="B645" s="489"/>
      <c r="C645" s="490"/>
      <c r="E645" s="491"/>
      <c r="G645" s="65"/>
    </row>
    <row r="646" spans="2:7" ht="14.25" customHeight="1" x14ac:dyDescent="0.3">
      <c r="B646" s="489"/>
      <c r="C646" s="490"/>
      <c r="E646" s="491"/>
      <c r="G646" s="65"/>
    </row>
    <row r="647" spans="2:7" ht="14.25" customHeight="1" x14ac:dyDescent="0.3">
      <c r="B647" s="489"/>
      <c r="C647" s="490"/>
      <c r="E647" s="491"/>
      <c r="G647" s="65"/>
    </row>
    <row r="648" spans="2:7" ht="14.25" customHeight="1" x14ac:dyDescent="0.3">
      <c r="B648" s="489"/>
      <c r="C648" s="490"/>
      <c r="E648" s="491"/>
      <c r="G648" s="65"/>
    </row>
    <row r="649" spans="2:7" ht="14.25" customHeight="1" x14ac:dyDescent="0.3">
      <c r="B649" s="489"/>
      <c r="C649" s="490"/>
      <c r="E649" s="491"/>
      <c r="G649" s="65"/>
    </row>
    <row r="650" spans="2:7" ht="14.25" customHeight="1" x14ac:dyDescent="0.3">
      <c r="B650" s="489"/>
      <c r="C650" s="490"/>
      <c r="E650" s="491"/>
      <c r="G650" s="65"/>
    </row>
    <row r="651" spans="2:7" ht="14.25" customHeight="1" x14ac:dyDescent="0.3">
      <c r="B651" s="489"/>
      <c r="C651" s="490"/>
      <c r="E651" s="491"/>
      <c r="G651" s="65"/>
    </row>
    <row r="652" spans="2:7" ht="14.25" customHeight="1" x14ac:dyDescent="0.3">
      <c r="B652" s="489"/>
      <c r="C652" s="490"/>
      <c r="E652" s="491"/>
      <c r="G652" s="65"/>
    </row>
    <row r="653" spans="2:7" ht="14.25" customHeight="1" x14ac:dyDescent="0.3">
      <c r="B653" s="489"/>
      <c r="C653" s="490"/>
      <c r="E653" s="491"/>
      <c r="G653" s="65"/>
    </row>
    <row r="654" spans="2:7" ht="14.25" customHeight="1" x14ac:dyDescent="0.3">
      <c r="B654" s="489"/>
      <c r="C654" s="490"/>
      <c r="E654" s="491"/>
      <c r="G654" s="65"/>
    </row>
    <row r="655" spans="2:7" ht="14.25" customHeight="1" x14ac:dyDescent="0.3">
      <c r="B655" s="489"/>
      <c r="C655" s="490"/>
      <c r="E655" s="491"/>
      <c r="G655" s="65"/>
    </row>
    <row r="656" spans="2:7" ht="14.25" customHeight="1" x14ac:dyDescent="0.3">
      <c r="B656" s="489"/>
      <c r="C656" s="490"/>
      <c r="E656" s="491"/>
      <c r="G656" s="65"/>
    </row>
    <row r="657" spans="2:7" ht="14.25" customHeight="1" x14ac:dyDescent="0.3">
      <c r="B657" s="489"/>
      <c r="C657" s="490"/>
      <c r="E657" s="491"/>
      <c r="G657" s="65"/>
    </row>
    <row r="658" spans="2:7" ht="14.25" customHeight="1" x14ac:dyDescent="0.3">
      <c r="B658" s="489"/>
      <c r="C658" s="490"/>
      <c r="E658" s="491"/>
      <c r="G658" s="65"/>
    </row>
    <row r="659" spans="2:7" ht="14.25" customHeight="1" x14ac:dyDescent="0.3">
      <c r="B659" s="489"/>
      <c r="C659" s="490"/>
      <c r="E659" s="491"/>
      <c r="G659" s="65"/>
    </row>
    <row r="660" spans="2:7" ht="14.25" customHeight="1" x14ac:dyDescent="0.3">
      <c r="B660" s="489"/>
      <c r="C660" s="490"/>
      <c r="E660" s="491"/>
      <c r="G660" s="65"/>
    </row>
    <row r="661" spans="2:7" ht="14.25" customHeight="1" x14ac:dyDescent="0.3">
      <c r="B661" s="489"/>
      <c r="C661" s="490"/>
      <c r="E661" s="491"/>
      <c r="G661" s="65"/>
    </row>
    <row r="662" spans="2:7" ht="14.25" customHeight="1" x14ac:dyDescent="0.3">
      <c r="B662" s="489"/>
      <c r="C662" s="490"/>
      <c r="E662" s="491"/>
      <c r="G662" s="65"/>
    </row>
    <row r="663" spans="2:7" ht="14.25" customHeight="1" x14ac:dyDescent="0.3">
      <c r="B663" s="489"/>
      <c r="C663" s="490"/>
      <c r="E663" s="491"/>
      <c r="G663" s="65"/>
    </row>
    <row r="664" spans="2:7" ht="14.25" customHeight="1" x14ac:dyDescent="0.3">
      <c r="B664" s="489"/>
      <c r="C664" s="490"/>
      <c r="E664" s="491"/>
      <c r="G664" s="65"/>
    </row>
    <row r="665" spans="2:7" ht="14.25" customHeight="1" x14ac:dyDescent="0.3">
      <c r="B665" s="489"/>
      <c r="C665" s="490"/>
      <c r="E665" s="491"/>
      <c r="G665" s="65"/>
    </row>
    <row r="666" spans="2:7" ht="14.25" customHeight="1" x14ac:dyDescent="0.3">
      <c r="B666" s="489"/>
      <c r="C666" s="490"/>
      <c r="E666" s="491"/>
      <c r="G666" s="65"/>
    </row>
    <row r="667" spans="2:7" ht="14.25" customHeight="1" x14ac:dyDescent="0.3">
      <c r="B667" s="489"/>
      <c r="C667" s="490"/>
      <c r="E667" s="491"/>
      <c r="G667" s="65"/>
    </row>
    <row r="668" spans="2:7" ht="14.25" customHeight="1" x14ac:dyDescent="0.3">
      <c r="B668" s="489"/>
      <c r="C668" s="490"/>
      <c r="E668" s="491"/>
      <c r="G668" s="65"/>
    </row>
    <row r="669" spans="2:7" ht="14.25" customHeight="1" x14ac:dyDescent="0.3">
      <c r="B669" s="489"/>
      <c r="C669" s="490"/>
      <c r="E669" s="491"/>
      <c r="G669" s="65"/>
    </row>
    <row r="670" spans="2:7" ht="14.25" customHeight="1" x14ac:dyDescent="0.3">
      <c r="B670" s="489"/>
      <c r="C670" s="490"/>
      <c r="E670" s="491"/>
      <c r="G670" s="65"/>
    </row>
    <row r="671" spans="2:7" ht="14.25" customHeight="1" x14ac:dyDescent="0.3">
      <c r="B671" s="489"/>
      <c r="C671" s="490"/>
      <c r="E671" s="491"/>
      <c r="G671" s="65"/>
    </row>
    <row r="672" spans="2:7" ht="14.25" customHeight="1" x14ac:dyDescent="0.3">
      <c r="B672" s="489"/>
      <c r="C672" s="490"/>
      <c r="E672" s="491"/>
      <c r="G672" s="65"/>
    </row>
    <row r="673" spans="2:7" ht="14.25" customHeight="1" x14ac:dyDescent="0.3">
      <c r="B673" s="489"/>
      <c r="C673" s="490"/>
      <c r="E673" s="491"/>
      <c r="G673" s="65"/>
    </row>
    <row r="674" spans="2:7" ht="14.25" customHeight="1" x14ac:dyDescent="0.3">
      <c r="B674" s="489"/>
      <c r="C674" s="490"/>
      <c r="E674" s="491"/>
      <c r="G674" s="65"/>
    </row>
    <row r="675" spans="2:7" ht="14.25" customHeight="1" x14ac:dyDescent="0.3">
      <c r="B675" s="489"/>
      <c r="C675" s="490"/>
      <c r="E675" s="491"/>
      <c r="G675" s="65"/>
    </row>
    <row r="676" spans="2:7" ht="14.25" customHeight="1" x14ac:dyDescent="0.3">
      <c r="B676" s="489"/>
      <c r="C676" s="490"/>
      <c r="E676" s="491"/>
      <c r="G676" s="65"/>
    </row>
    <row r="677" spans="2:7" ht="14.25" customHeight="1" x14ac:dyDescent="0.3">
      <c r="B677" s="489"/>
      <c r="C677" s="490"/>
      <c r="E677" s="491"/>
      <c r="G677" s="65"/>
    </row>
    <row r="678" spans="2:7" ht="14.25" customHeight="1" x14ac:dyDescent="0.3">
      <c r="B678" s="489"/>
      <c r="C678" s="490"/>
      <c r="E678" s="491"/>
      <c r="G678" s="65"/>
    </row>
    <row r="679" spans="2:7" ht="14.25" customHeight="1" x14ac:dyDescent="0.3">
      <c r="B679" s="489"/>
      <c r="C679" s="490"/>
      <c r="E679" s="491"/>
      <c r="G679" s="65"/>
    </row>
    <row r="680" spans="2:7" ht="14.25" customHeight="1" x14ac:dyDescent="0.3">
      <c r="B680" s="489"/>
      <c r="C680" s="490"/>
      <c r="E680" s="491"/>
      <c r="G680" s="65"/>
    </row>
    <row r="681" spans="2:7" ht="14.25" customHeight="1" x14ac:dyDescent="0.3">
      <c r="B681" s="489"/>
      <c r="C681" s="490"/>
      <c r="E681" s="491"/>
      <c r="G681" s="65"/>
    </row>
    <row r="682" spans="2:7" ht="14.25" customHeight="1" x14ac:dyDescent="0.3">
      <c r="B682" s="489"/>
      <c r="C682" s="490"/>
      <c r="E682" s="491"/>
      <c r="G682" s="65"/>
    </row>
    <row r="683" spans="2:7" ht="14.25" customHeight="1" x14ac:dyDescent="0.3">
      <c r="B683" s="489"/>
      <c r="C683" s="490"/>
      <c r="E683" s="491"/>
      <c r="G683" s="65"/>
    </row>
    <row r="684" spans="2:7" ht="14.25" customHeight="1" x14ac:dyDescent="0.3">
      <c r="B684" s="489"/>
      <c r="C684" s="490"/>
      <c r="E684" s="491"/>
      <c r="G684" s="65"/>
    </row>
    <row r="685" spans="2:7" ht="14.25" customHeight="1" x14ac:dyDescent="0.3">
      <c r="B685" s="489"/>
      <c r="C685" s="490"/>
      <c r="E685" s="491"/>
      <c r="G685" s="65"/>
    </row>
    <row r="686" spans="2:7" ht="14.25" customHeight="1" x14ac:dyDescent="0.3">
      <c r="B686" s="489"/>
      <c r="C686" s="490"/>
      <c r="E686" s="491"/>
      <c r="G686" s="65"/>
    </row>
    <row r="687" spans="2:7" ht="14.25" customHeight="1" x14ac:dyDescent="0.3">
      <c r="B687" s="489"/>
      <c r="C687" s="490"/>
      <c r="E687" s="491"/>
      <c r="G687" s="65"/>
    </row>
    <row r="688" spans="2:7" ht="14.25" customHeight="1" x14ac:dyDescent="0.3">
      <c r="B688" s="489"/>
      <c r="C688" s="490"/>
      <c r="E688" s="491"/>
      <c r="G688" s="65"/>
    </row>
    <row r="689" spans="2:7" ht="14.25" customHeight="1" x14ac:dyDescent="0.3">
      <c r="B689" s="489"/>
      <c r="C689" s="490"/>
      <c r="E689" s="491"/>
      <c r="G689" s="65"/>
    </row>
    <row r="690" spans="2:7" ht="14.25" customHeight="1" x14ac:dyDescent="0.3">
      <c r="B690" s="489"/>
      <c r="C690" s="490"/>
      <c r="E690" s="491"/>
      <c r="G690" s="65"/>
    </row>
    <row r="691" spans="2:7" ht="14.25" customHeight="1" x14ac:dyDescent="0.3">
      <c r="B691" s="489"/>
      <c r="C691" s="490"/>
      <c r="E691" s="491"/>
      <c r="G691" s="65"/>
    </row>
    <row r="692" spans="2:7" ht="14.25" customHeight="1" x14ac:dyDescent="0.3">
      <c r="B692" s="489"/>
      <c r="C692" s="490"/>
      <c r="E692" s="491"/>
      <c r="G692" s="65"/>
    </row>
    <row r="693" spans="2:7" ht="14.25" customHeight="1" x14ac:dyDescent="0.3">
      <c r="B693" s="489"/>
      <c r="C693" s="490"/>
      <c r="E693" s="491"/>
      <c r="G693" s="65"/>
    </row>
    <row r="694" spans="2:7" ht="14.25" customHeight="1" x14ac:dyDescent="0.3">
      <c r="B694" s="489"/>
      <c r="C694" s="490"/>
      <c r="E694" s="491"/>
      <c r="G694" s="65"/>
    </row>
    <row r="695" spans="2:7" ht="14.25" customHeight="1" x14ac:dyDescent="0.3">
      <c r="B695" s="489"/>
      <c r="C695" s="490"/>
      <c r="E695" s="491"/>
      <c r="G695" s="65"/>
    </row>
    <row r="696" spans="2:7" ht="14.25" customHeight="1" x14ac:dyDescent="0.3">
      <c r="B696" s="489"/>
      <c r="C696" s="490"/>
      <c r="E696" s="491"/>
      <c r="G696" s="65"/>
    </row>
    <row r="697" spans="2:7" ht="14.25" customHeight="1" x14ac:dyDescent="0.3">
      <c r="B697" s="489"/>
      <c r="C697" s="490"/>
      <c r="E697" s="491"/>
      <c r="G697" s="65"/>
    </row>
    <row r="698" spans="2:7" ht="14.25" customHeight="1" x14ac:dyDescent="0.3">
      <c r="B698" s="489"/>
      <c r="C698" s="490"/>
      <c r="E698" s="491"/>
      <c r="G698" s="65"/>
    </row>
    <row r="699" spans="2:7" ht="14.25" customHeight="1" x14ac:dyDescent="0.3">
      <c r="B699" s="489"/>
      <c r="C699" s="490"/>
      <c r="E699" s="491"/>
      <c r="G699" s="65"/>
    </row>
    <row r="700" spans="2:7" ht="14.25" customHeight="1" x14ac:dyDescent="0.3">
      <c r="B700" s="489"/>
      <c r="C700" s="490"/>
      <c r="E700" s="491"/>
      <c r="G700" s="65"/>
    </row>
    <row r="701" spans="2:7" ht="14.25" customHeight="1" x14ac:dyDescent="0.3">
      <c r="B701" s="489"/>
      <c r="C701" s="490"/>
      <c r="E701" s="491"/>
      <c r="G701" s="65"/>
    </row>
    <row r="702" spans="2:7" ht="14.25" customHeight="1" x14ac:dyDescent="0.3">
      <c r="B702" s="489"/>
      <c r="C702" s="490"/>
      <c r="E702" s="491"/>
      <c r="G702" s="65"/>
    </row>
    <row r="703" spans="2:7" ht="14.25" customHeight="1" x14ac:dyDescent="0.3">
      <c r="B703" s="489"/>
      <c r="C703" s="490"/>
      <c r="E703" s="491"/>
      <c r="G703" s="65"/>
    </row>
    <row r="704" spans="2:7" ht="14.25" customHeight="1" x14ac:dyDescent="0.3">
      <c r="B704" s="489"/>
      <c r="C704" s="490"/>
      <c r="E704" s="491"/>
      <c r="G704" s="65"/>
    </row>
    <row r="705" spans="2:7" ht="14.25" customHeight="1" x14ac:dyDescent="0.3">
      <c r="B705" s="489"/>
      <c r="C705" s="490"/>
      <c r="E705" s="491"/>
      <c r="G705" s="65"/>
    </row>
    <row r="706" spans="2:7" ht="14.25" customHeight="1" x14ac:dyDescent="0.3">
      <c r="B706" s="489"/>
      <c r="C706" s="490"/>
      <c r="E706" s="491"/>
      <c r="G706" s="65"/>
    </row>
    <row r="707" spans="2:7" ht="14.25" customHeight="1" x14ac:dyDescent="0.3">
      <c r="B707" s="489"/>
      <c r="C707" s="490"/>
      <c r="E707" s="491"/>
      <c r="G707" s="65"/>
    </row>
    <row r="708" spans="2:7" ht="14.25" customHeight="1" x14ac:dyDescent="0.3">
      <c r="B708" s="489"/>
      <c r="C708" s="490"/>
      <c r="E708" s="491"/>
      <c r="G708" s="65"/>
    </row>
    <row r="709" spans="2:7" ht="14.25" customHeight="1" x14ac:dyDescent="0.3">
      <c r="B709" s="489"/>
      <c r="C709" s="490"/>
      <c r="E709" s="491"/>
      <c r="G709" s="65"/>
    </row>
    <row r="710" spans="2:7" ht="14.25" customHeight="1" x14ac:dyDescent="0.3">
      <c r="B710" s="489"/>
      <c r="C710" s="490"/>
      <c r="E710" s="491"/>
      <c r="G710" s="65"/>
    </row>
    <row r="711" spans="2:7" ht="14.25" customHeight="1" x14ac:dyDescent="0.3">
      <c r="B711" s="489"/>
      <c r="C711" s="490"/>
      <c r="E711" s="491"/>
      <c r="G711" s="65"/>
    </row>
    <row r="712" spans="2:7" ht="14.25" customHeight="1" x14ac:dyDescent="0.3">
      <c r="B712" s="489"/>
      <c r="C712" s="490"/>
      <c r="E712" s="491"/>
      <c r="G712" s="65"/>
    </row>
    <row r="713" spans="2:7" ht="14.25" customHeight="1" x14ac:dyDescent="0.3">
      <c r="B713" s="489"/>
      <c r="C713" s="490"/>
      <c r="E713" s="491"/>
      <c r="G713" s="65"/>
    </row>
    <row r="714" spans="2:7" ht="14.25" customHeight="1" x14ac:dyDescent="0.3">
      <c r="B714" s="489"/>
      <c r="C714" s="490"/>
      <c r="E714" s="491"/>
      <c r="G714" s="65"/>
    </row>
    <row r="715" spans="2:7" ht="14.25" customHeight="1" x14ac:dyDescent="0.3">
      <c r="B715" s="489"/>
      <c r="C715" s="490"/>
      <c r="E715" s="491"/>
      <c r="G715" s="65"/>
    </row>
    <row r="716" spans="2:7" ht="14.25" customHeight="1" x14ac:dyDescent="0.3">
      <c r="B716" s="489"/>
      <c r="C716" s="490"/>
      <c r="E716" s="491"/>
      <c r="G716" s="65"/>
    </row>
    <row r="717" spans="2:7" ht="14.25" customHeight="1" x14ac:dyDescent="0.3">
      <c r="B717" s="489"/>
      <c r="C717" s="490"/>
      <c r="E717" s="491"/>
      <c r="G717" s="65"/>
    </row>
    <row r="718" spans="2:7" ht="14.25" customHeight="1" x14ac:dyDescent="0.3">
      <c r="B718" s="489"/>
      <c r="C718" s="490"/>
      <c r="E718" s="491"/>
      <c r="G718" s="65"/>
    </row>
    <row r="719" spans="2:7" ht="14.25" customHeight="1" x14ac:dyDescent="0.3">
      <c r="B719" s="489"/>
      <c r="C719" s="490"/>
      <c r="E719" s="491"/>
      <c r="G719" s="65"/>
    </row>
    <row r="720" spans="2:7" ht="14.25" customHeight="1" x14ac:dyDescent="0.3">
      <c r="B720" s="489"/>
      <c r="C720" s="490"/>
      <c r="E720" s="491"/>
      <c r="G720" s="65"/>
    </row>
    <row r="721" spans="2:7" ht="14.25" customHeight="1" x14ac:dyDescent="0.3">
      <c r="B721" s="489"/>
      <c r="C721" s="490"/>
      <c r="E721" s="491"/>
      <c r="G721" s="65"/>
    </row>
    <row r="722" spans="2:7" ht="14.25" customHeight="1" x14ac:dyDescent="0.3">
      <c r="B722" s="489"/>
      <c r="C722" s="490"/>
      <c r="E722" s="491"/>
      <c r="G722" s="65"/>
    </row>
    <row r="723" spans="2:7" ht="14.25" customHeight="1" x14ac:dyDescent="0.3">
      <c r="B723" s="489"/>
      <c r="C723" s="490"/>
      <c r="E723" s="491"/>
      <c r="G723" s="65"/>
    </row>
    <row r="724" spans="2:7" ht="14.25" customHeight="1" x14ac:dyDescent="0.3">
      <c r="B724" s="489"/>
      <c r="C724" s="490"/>
      <c r="E724" s="491"/>
      <c r="G724" s="65"/>
    </row>
    <row r="725" spans="2:7" ht="14.25" customHeight="1" x14ac:dyDescent="0.3">
      <c r="B725" s="489"/>
      <c r="C725" s="490"/>
      <c r="E725" s="491"/>
      <c r="G725" s="65"/>
    </row>
    <row r="726" spans="2:7" ht="14.25" customHeight="1" x14ac:dyDescent="0.3">
      <c r="B726" s="489"/>
      <c r="C726" s="490"/>
      <c r="E726" s="491"/>
      <c r="G726" s="65"/>
    </row>
    <row r="727" spans="2:7" ht="14.25" customHeight="1" x14ac:dyDescent="0.3">
      <c r="B727" s="489"/>
      <c r="C727" s="490"/>
      <c r="E727" s="491"/>
      <c r="G727" s="65"/>
    </row>
    <row r="728" spans="2:7" ht="14.25" customHeight="1" x14ac:dyDescent="0.3">
      <c r="B728" s="489"/>
      <c r="C728" s="490"/>
      <c r="E728" s="491"/>
      <c r="G728" s="65"/>
    </row>
    <row r="729" spans="2:7" ht="14.25" customHeight="1" x14ac:dyDescent="0.3">
      <c r="B729" s="489"/>
      <c r="C729" s="490"/>
      <c r="E729" s="491"/>
      <c r="G729" s="65"/>
    </row>
    <row r="730" spans="2:7" ht="14.25" customHeight="1" x14ac:dyDescent="0.3">
      <c r="B730" s="489"/>
      <c r="C730" s="490"/>
      <c r="E730" s="491"/>
      <c r="G730" s="65"/>
    </row>
    <row r="731" spans="2:7" ht="14.25" customHeight="1" x14ac:dyDescent="0.3">
      <c r="B731" s="489"/>
      <c r="C731" s="490"/>
      <c r="E731" s="491"/>
      <c r="G731" s="65"/>
    </row>
    <row r="732" spans="2:7" ht="14.25" customHeight="1" x14ac:dyDescent="0.3">
      <c r="B732" s="489"/>
      <c r="C732" s="490"/>
      <c r="E732" s="491"/>
      <c r="G732" s="65"/>
    </row>
    <row r="733" spans="2:7" ht="14.25" customHeight="1" x14ac:dyDescent="0.3">
      <c r="B733" s="489"/>
      <c r="C733" s="490"/>
      <c r="E733" s="491"/>
      <c r="G733" s="65"/>
    </row>
    <row r="734" spans="2:7" ht="14.25" customHeight="1" x14ac:dyDescent="0.3">
      <c r="B734" s="489"/>
      <c r="C734" s="490"/>
      <c r="E734" s="491"/>
      <c r="G734" s="65"/>
    </row>
    <row r="735" spans="2:7" ht="14.25" customHeight="1" x14ac:dyDescent="0.3">
      <c r="B735" s="489"/>
      <c r="C735" s="490"/>
      <c r="E735" s="491"/>
      <c r="G735" s="65"/>
    </row>
    <row r="736" spans="2:7" ht="14.25" customHeight="1" x14ac:dyDescent="0.3">
      <c r="B736" s="489"/>
      <c r="C736" s="490"/>
      <c r="E736" s="491"/>
      <c r="G736" s="65"/>
    </row>
    <row r="737" spans="2:7" ht="14.25" customHeight="1" x14ac:dyDescent="0.3">
      <c r="B737" s="489"/>
      <c r="C737" s="490"/>
      <c r="E737" s="491"/>
      <c r="G737" s="65"/>
    </row>
    <row r="738" spans="2:7" ht="14.25" customHeight="1" x14ac:dyDescent="0.3">
      <c r="B738" s="489"/>
      <c r="C738" s="490"/>
      <c r="E738" s="491"/>
      <c r="G738" s="65"/>
    </row>
    <row r="739" spans="2:7" ht="14.25" customHeight="1" x14ac:dyDescent="0.3">
      <c r="B739" s="489"/>
      <c r="C739" s="490"/>
      <c r="E739" s="491"/>
      <c r="G739" s="65"/>
    </row>
    <row r="740" spans="2:7" ht="14.25" customHeight="1" x14ac:dyDescent="0.3">
      <c r="B740" s="489"/>
      <c r="C740" s="490"/>
      <c r="E740" s="491"/>
      <c r="G740" s="65"/>
    </row>
    <row r="741" spans="2:7" ht="14.25" customHeight="1" x14ac:dyDescent="0.3">
      <c r="B741" s="489"/>
      <c r="C741" s="490"/>
      <c r="E741" s="491"/>
      <c r="G741" s="65"/>
    </row>
    <row r="742" spans="2:7" ht="14.25" customHeight="1" x14ac:dyDescent="0.3">
      <c r="B742" s="489"/>
      <c r="C742" s="490"/>
      <c r="E742" s="491"/>
      <c r="G742" s="65"/>
    </row>
    <row r="743" spans="2:7" ht="14.25" customHeight="1" x14ac:dyDescent="0.3">
      <c r="B743" s="489"/>
      <c r="C743" s="490"/>
      <c r="E743" s="491"/>
      <c r="G743" s="65"/>
    </row>
    <row r="744" spans="2:7" ht="14.25" customHeight="1" x14ac:dyDescent="0.3">
      <c r="B744" s="489"/>
      <c r="C744" s="490"/>
      <c r="E744" s="491"/>
      <c r="G744" s="65"/>
    </row>
    <row r="745" spans="2:7" ht="14.25" customHeight="1" x14ac:dyDescent="0.3">
      <c r="B745" s="489"/>
      <c r="C745" s="490"/>
      <c r="E745" s="491"/>
      <c r="G745" s="65"/>
    </row>
    <row r="746" spans="2:7" ht="14.25" customHeight="1" x14ac:dyDescent="0.3">
      <c r="B746" s="489"/>
      <c r="C746" s="490"/>
      <c r="E746" s="491"/>
      <c r="G746" s="65"/>
    </row>
    <row r="747" spans="2:7" ht="14.25" customHeight="1" x14ac:dyDescent="0.3">
      <c r="B747" s="489"/>
      <c r="C747" s="490"/>
      <c r="E747" s="491"/>
      <c r="G747" s="65"/>
    </row>
    <row r="748" spans="2:7" ht="14.25" customHeight="1" x14ac:dyDescent="0.3">
      <c r="B748" s="489"/>
      <c r="C748" s="490"/>
      <c r="E748" s="491"/>
      <c r="G748" s="65"/>
    </row>
    <row r="749" spans="2:7" ht="14.25" customHeight="1" x14ac:dyDescent="0.3">
      <c r="B749" s="489"/>
      <c r="C749" s="490"/>
      <c r="E749" s="491"/>
      <c r="G749" s="65"/>
    </row>
    <row r="750" spans="2:7" ht="14.25" customHeight="1" x14ac:dyDescent="0.3">
      <c r="B750" s="489"/>
      <c r="C750" s="490"/>
      <c r="E750" s="491"/>
      <c r="G750" s="65"/>
    </row>
    <row r="751" spans="2:7" ht="14.25" customHeight="1" x14ac:dyDescent="0.3">
      <c r="B751" s="489"/>
      <c r="C751" s="490"/>
      <c r="E751" s="491"/>
      <c r="G751" s="65"/>
    </row>
    <row r="752" spans="2:7" ht="14.25" customHeight="1" x14ac:dyDescent="0.3">
      <c r="B752" s="489"/>
      <c r="C752" s="490"/>
      <c r="E752" s="491"/>
      <c r="G752" s="65"/>
    </row>
    <row r="753" spans="2:7" ht="14.25" customHeight="1" x14ac:dyDescent="0.3">
      <c r="B753" s="489"/>
      <c r="C753" s="490"/>
      <c r="E753" s="491"/>
      <c r="G753" s="65"/>
    </row>
    <row r="754" spans="2:7" ht="14.25" customHeight="1" x14ac:dyDescent="0.3">
      <c r="B754" s="489"/>
      <c r="C754" s="490"/>
      <c r="E754" s="491"/>
      <c r="G754" s="65"/>
    </row>
    <row r="755" spans="2:7" ht="14.25" customHeight="1" x14ac:dyDescent="0.3">
      <c r="B755" s="489"/>
      <c r="C755" s="490"/>
      <c r="E755" s="491"/>
      <c r="G755" s="65"/>
    </row>
    <row r="756" spans="2:7" ht="14.25" customHeight="1" x14ac:dyDescent="0.3">
      <c r="B756" s="489"/>
      <c r="C756" s="490"/>
      <c r="E756" s="491"/>
      <c r="G756" s="65"/>
    </row>
    <row r="757" spans="2:7" ht="14.25" customHeight="1" x14ac:dyDescent="0.3">
      <c r="B757" s="489"/>
      <c r="C757" s="490"/>
      <c r="E757" s="491"/>
      <c r="G757" s="65"/>
    </row>
    <row r="758" spans="2:7" ht="14.25" customHeight="1" x14ac:dyDescent="0.3">
      <c r="B758" s="489"/>
      <c r="C758" s="490"/>
      <c r="E758" s="491"/>
      <c r="G758" s="65"/>
    </row>
    <row r="759" spans="2:7" ht="14.25" customHeight="1" x14ac:dyDescent="0.3">
      <c r="B759" s="489"/>
      <c r="C759" s="490"/>
      <c r="E759" s="491"/>
      <c r="G759" s="65"/>
    </row>
    <row r="760" spans="2:7" ht="14.25" customHeight="1" x14ac:dyDescent="0.3">
      <c r="B760" s="489"/>
      <c r="C760" s="490"/>
      <c r="E760" s="491"/>
      <c r="G760" s="65"/>
    </row>
    <row r="761" spans="2:7" ht="14.25" customHeight="1" x14ac:dyDescent="0.3">
      <c r="B761" s="489"/>
      <c r="C761" s="490"/>
      <c r="E761" s="491"/>
      <c r="G761" s="65"/>
    </row>
    <row r="762" spans="2:7" ht="14.25" customHeight="1" x14ac:dyDescent="0.3">
      <c r="B762" s="489"/>
      <c r="C762" s="490"/>
      <c r="E762" s="491"/>
      <c r="G762" s="65"/>
    </row>
    <row r="763" spans="2:7" ht="14.25" customHeight="1" x14ac:dyDescent="0.3">
      <c r="B763" s="489"/>
      <c r="C763" s="490"/>
      <c r="E763" s="491"/>
      <c r="G763" s="65"/>
    </row>
    <row r="764" spans="2:7" ht="14.25" customHeight="1" x14ac:dyDescent="0.3">
      <c r="B764" s="489"/>
      <c r="C764" s="490"/>
      <c r="E764" s="491"/>
      <c r="G764" s="65"/>
    </row>
    <row r="765" spans="2:7" ht="14.25" customHeight="1" x14ac:dyDescent="0.3">
      <c r="B765" s="489"/>
      <c r="C765" s="490"/>
      <c r="E765" s="491"/>
      <c r="G765" s="65"/>
    </row>
    <row r="766" spans="2:7" ht="14.25" customHeight="1" x14ac:dyDescent="0.3">
      <c r="B766" s="489"/>
      <c r="C766" s="490"/>
      <c r="E766" s="491"/>
      <c r="G766" s="65"/>
    </row>
    <row r="767" spans="2:7" ht="14.25" customHeight="1" x14ac:dyDescent="0.3">
      <c r="B767" s="489"/>
      <c r="C767" s="490"/>
      <c r="E767" s="491"/>
      <c r="G767" s="65"/>
    </row>
    <row r="768" spans="2:7" ht="14.25" customHeight="1" x14ac:dyDescent="0.3">
      <c r="B768" s="489"/>
      <c r="C768" s="490"/>
      <c r="E768" s="491"/>
      <c r="G768" s="65"/>
    </row>
    <row r="769" spans="2:7" ht="14.25" customHeight="1" x14ac:dyDescent="0.3">
      <c r="B769" s="489"/>
      <c r="C769" s="490"/>
      <c r="E769" s="491"/>
      <c r="G769" s="65"/>
    </row>
    <row r="770" spans="2:7" ht="14.25" customHeight="1" x14ac:dyDescent="0.3">
      <c r="B770" s="489"/>
      <c r="C770" s="490"/>
      <c r="E770" s="491"/>
      <c r="G770" s="65"/>
    </row>
    <row r="771" spans="2:7" ht="14.25" customHeight="1" x14ac:dyDescent="0.3">
      <c r="B771" s="489"/>
      <c r="C771" s="490"/>
      <c r="E771" s="491"/>
      <c r="G771" s="65"/>
    </row>
    <row r="772" spans="2:7" ht="14.25" customHeight="1" x14ac:dyDescent="0.3">
      <c r="B772" s="489"/>
      <c r="C772" s="490"/>
      <c r="E772" s="491"/>
      <c r="G772" s="65"/>
    </row>
    <row r="773" spans="2:7" ht="14.25" customHeight="1" x14ac:dyDescent="0.3">
      <c r="B773" s="489"/>
      <c r="C773" s="490"/>
      <c r="E773" s="491"/>
      <c r="G773" s="65"/>
    </row>
    <row r="774" spans="2:7" ht="14.25" customHeight="1" x14ac:dyDescent="0.3">
      <c r="B774" s="489"/>
      <c r="C774" s="490"/>
      <c r="E774" s="491"/>
      <c r="G774" s="65"/>
    </row>
    <row r="775" spans="2:7" ht="14.25" customHeight="1" x14ac:dyDescent="0.3">
      <c r="B775" s="489"/>
      <c r="C775" s="490"/>
      <c r="E775" s="491"/>
      <c r="G775" s="65"/>
    </row>
    <row r="776" spans="2:7" ht="14.25" customHeight="1" x14ac:dyDescent="0.3">
      <c r="B776" s="489"/>
      <c r="C776" s="490"/>
      <c r="E776" s="491"/>
      <c r="G776" s="65"/>
    </row>
    <row r="777" spans="2:7" ht="14.25" customHeight="1" x14ac:dyDescent="0.3">
      <c r="B777" s="489"/>
      <c r="C777" s="490"/>
      <c r="E777" s="491"/>
      <c r="G777" s="65"/>
    </row>
    <row r="778" spans="2:7" ht="14.25" customHeight="1" x14ac:dyDescent="0.3">
      <c r="B778" s="489"/>
      <c r="C778" s="490"/>
      <c r="E778" s="491"/>
      <c r="G778" s="65"/>
    </row>
    <row r="779" spans="2:7" ht="14.25" customHeight="1" x14ac:dyDescent="0.3">
      <c r="B779" s="489"/>
      <c r="C779" s="490"/>
      <c r="E779" s="491"/>
      <c r="G779" s="65"/>
    </row>
    <row r="780" spans="2:7" ht="14.25" customHeight="1" x14ac:dyDescent="0.3">
      <c r="B780" s="489"/>
      <c r="C780" s="490"/>
      <c r="E780" s="491"/>
      <c r="G780" s="65"/>
    </row>
    <row r="781" spans="2:7" ht="14.25" customHeight="1" x14ac:dyDescent="0.3">
      <c r="B781" s="489"/>
      <c r="C781" s="490"/>
      <c r="E781" s="491"/>
      <c r="G781" s="65"/>
    </row>
    <row r="782" spans="2:7" ht="14.25" customHeight="1" x14ac:dyDescent="0.3">
      <c r="B782" s="489"/>
      <c r="C782" s="490"/>
      <c r="E782" s="491"/>
      <c r="G782" s="65"/>
    </row>
    <row r="783" spans="2:7" ht="14.25" customHeight="1" x14ac:dyDescent="0.3">
      <c r="B783" s="489"/>
      <c r="C783" s="490"/>
      <c r="E783" s="491"/>
      <c r="G783" s="65"/>
    </row>
    <row r="784" spans="2:7" ht="14.25" customHeight="1" x14ac:dyDescent="0.3">
      <c r="B784" s="489"/>
      <c r="C784" s="490"/>
      <c r="E784" s="491"/>
      <c r="G784" s="65"/>
    </row>
    <row r="785" spans="2:7" ht="14.25" customHeight="1" x14ac:dyDescent="0.3">
      <c r="B785" s="489"/>
      <c r="C785" s="490"/>
      <c r="E785" s="491"/>
      <c r="G785" s="65"/>
    </row>
    <row r="786" spans="2:7" ht="14.25" customHeight="1" x14ac:dyDescent="0.3">
      <c r="B786" s="489"/>
      <c r="C786" s="490"/>
      <c r="E786" s="491"/>
      <c r="G786" s="65"/>
    </row>
    <row r="787" spans="2:7" ht="14.25" customHeight="1" x14ac:dyDescent="0.3">
      <c r="B787" s="489"/>
      <c r="C787" s="490"/>
      <c r="E787" s="491"/>
      <c r="G787" s="65"/>
    </row>
    <row r="788" spans="2:7" ht="14.25" customHeight="1" x14ac:dyDescent="0.3">
      <c r="B788" s="489"/>
      <c r="C788" s="490"/>
      <c r="E788" s="491"/>
      <c r="G788" s="65"/>
    </row>
    <row r="789" spans="2:7" ht="14.25" customHeight="1" x14ac:dyDescent="0.3">
      <c r="B789" s="489"/>
      <c r="C789" s="490"/>
      <c r="E789" s="491"/>
      <c r="G789" s="65"/>
    </row>
    <row r="790" spans="2:7" ht="14.25" customHeight="1" x14ac:dyDescent="0.3">
      <c r="B790" s="489"/>
      <c r="C790" s="490"/>
      <c r="E790" s="491"/>
      <c r="G790" s="65"/>
    </row>
    <row r="791" spans="2:7" ht="14.25" customHeight="1" x14ac:dyDescent="0.3">
      <c r="B791" s="489"/>
      <c r="C791" s="490"/>
      <c r="E791" s="491"/>
      <c r="G791" s="65"/>
    </row>
    <row r="792" spans="2:7" ht="14.25" customHeight="1" x14ac:dyDescent="0.3">
      <c r="B792" s="489"/>
      <c r="C792" s="490"/>
      <c r="E792" s="491"/>
      <c r="G792" s="65"/>
    </row>
    <row r="793" spans="2:7" ht="14.25" customHeight="1" x14ac:dyDescent="0.3">
      <c r="B793" s="489"/>
      <c r="C793" s="490"/>
      <c r="E793" s="491"/>
      <c r="G793" s="65"/>
    </row>
    <row r="794" spans="2:7" ht="14.25" customHeight="1" x14ac:dyDescent="0.3">
      <c r="B794" s="489"/>
      <c r="C794" s="490"/>
      <c r="E794" s="491"/>
      <c r="G794" s="65"/>
    </row>
    <row r="795" spans="2:7" ht="14.25" customHeight="1" x14ac:dyDescent="0.3">
      <c r="B795" s="489"/>
      <c r="C795" s="490"/>
      <c r="E795" s="491"/>
      <c r="G795" s="65"/>
    </row>
    <row r="796" spans="2:7" ht="14.25" customHeight="1" x14ac:dyDescent="0.3">
      <c r="B796" s="489"/>
      <c r="C796" s="490"/>
      <c r="E796" s="491"/>
      <c r="G796" s="65"/>
    </row>
    <row r="797" spans="2:7" ht="14.25" customHeight="1" x14ac:dyDescent="0.3">
      <c r="B797" s="489"/>
      <c r="C797" s="490"/>
      <c r="E797" s="491"/>
      <c r="G797" s="65"/>
    </row>
    <row r="798" spans="2:7" ht="14.25" customHeight="1" x14ac:dyDescent="0.3">
      <c r="B798" s="489"/>
      <c r="C798" s="490"/>
      <c r="E798" s="491"/>
      <c r="G798" s="65"/>
    </row>
    <row r="799" spans="2:7" ht="14.25" customHeight="1" x14ac:dyDescent="0.3">
      <c r="B799" s="489"/>
      <c r="C799" s="490"/>
      <c r="E799" s="491"/>
      <c r="G799" s="65"/>
    </row>
    <row r="800" spans="2:7" ht="14.25" customHeight="1" x14ac:dyDescent="0.3">
      <c r="B800" s="489"/>
      <c r="C800" s="490"/>
      <c r="E800" s="491"/>
      <c r="G800" s="65"/>
    </row>
    <row r="801" spans="2:7" ht="14.25" customHeight="1" x14ac:dyDescent="0.3">
      <c r="B801" s="489"/>
      <c r="C801" s="490"/>
      <c r="E801" s="491"/>
      <c r="G801" s="65"/>
    </row>
    <row r="802" spans="2:7" ht="14.25" customHeight="1" x14ac:dyDescent="0.3">
      <c r="B802" s="489"/>
      <c r="C802" s="490"/>
      <c r="E802" s="491"/>
      <c r="G802" s="65"/>
    </row>
    <row r="803" spans="2:7" ht="14.25" customHeight="1" x14ac:dyDescent="0.3">
      <c r="B803" s="489"/>
      <c r="C803" s="490"/>
      <c r="E803" s="491"/>
      <c r="G803" s="65"/>
    </row>
    <row r="804" spans="2:7" ht="14.25" customHeight="1" x14ac:dyDescent="0.3">
      <c r="B804" s="489"/>
      <c r="C804" s="490"/>
      <c r="E804" s="491"/>
      <c r="G804" s="65"/>
    </row>
    <row r="805" spans="2:7" ht="14.25" customHeight="1" x14ac:dyDescent="0.3">
      <c r="B805" s="489"/>
      <c r="C805" s="490"/>
      <c r="E805" s="491"/>
      <c r="G805" s="65"/>
    </row>
    <row r="806" spans="2:7" ht="14.25" customHeight="1" x14ac:dyDescent="0.3">
      <c r="B806" s="489"/>
      <c r="C806" s="490"/>
      <c r="E806" s="491"/>
      <c r="G806" s="65"/>
    </row>
    <row r="807" spans="2:7" ht="14.25" customHeight="1" x14ac:dyDescent="0.3">
      <c r="B807" s="489"/>
      <c r="C807" s="490"/>
      <c r="E807" s="491"/>
      <c r="G807" s="65"/>
    </row>
    <row r="808" spans="2:7" ht="14.25" customHeight="1" x14ac:dyDescent="0.3">
      <c r="B808" s="489"/>
      <c r="C808" s="490"/>
      <c r="E808" s="491"/>
      <c r="G808" s="65"/>
    </row>
    <row r="809" spans="2:7" ht="14.25" customHeight="1" x14ac:dyDescent="0.3">
      <c r="B809" s="489"/>
      <c r="C809" s="490"/>
      <c r="E809" s="491"/>
      <c r="G809" s="65"/>
    </row>
    <row r="810" spans="2:7" ht="14.25" customHeight="1" x14ac:dyDescent="0.3">
      <c r="B810" s="489"/>
      <c r="C810" s="490"/>
      <c r="E810" s="491"/>
      <c r="G810" s="65"/>
    </row>
    <row r="811" spans="2:7" ht="14.25" customHeight="1" x14ac:dyDescent="0.3">
      <c r="B811" s="489"/>
      <c r="C811" s="490"/>
      <c r="E811" s="491"/>
      <c r="G811" s="65"/>
    </row>
    <row r="812" spans="2:7" ht="14.25" customHeight="1" x14ac:dyDescent="0.3">
      <c r="B812" s="489"/>
      <c r="C812" s="490"/>
      <c r="E812" s="491"/>
      <c r="G812" s="65"/>
    </row>
    <row r="813" spans="2:7" ht="14.25" customHeight="1" x14ac:dyDescent="0.3">
      <c r="B813" s="489"/>
      <c r="C813" s="490"/>
      <c r="E813" s="491"/>
      <c r="G813" s="65"/>
    </row>
    <row r="814" spans="2:7" ht="14.25" customHeight="1" x14ac:dyDescent="0.3">
      <c r="B814" s="489"/>
      <c r="C814" s="490"/>
      <c r="E814" s="491"/>
      <c r="G814" s="65"/>
    </row>
    <row r="815" spans="2:7" ht="14.25" customHeight="1" x14ac:dyDescent="0.3">
      <c r="B815" s="489"/>
      <c r="C815" s="490"/>
      <c r="E815" s="491"/>
      <c r="G815" s="65"/>
    </row>
    <row r="816" spans="2:7" ht="14.25" customHeight="1" x14ac:dyDescent="0.3">
      <c r="B816" s="489"/>
      <c r="C816" s="490"/>
      <c r="E816" s="491"/>
      <c r="G816" s="65"/>
    </row>
    <row r="817" spans="2:7" ht="14.25" customHeight="1" x14ac:dyDescent="0.3">
      <c r="B817" s="489"/>
      <c r="C817" s="490"/>
      <c r="E817" s="491"/>
      <c r="G817" s="65"/>
    </row>
    <row r="818" spans="2:7" ht="14.25" customHeight="1" x14ac:dyDescent="0.3">
      <c r="B818" s="489"/>
      <c r="C818" s="490"/>
      <c r="E818" s="491"/>
      <c r="G818" s="65"/>
    </row>
    <row r="819" spans="2:7" ht="14.25" customHeight="1" x14ac:dyDescent="0.3">
      <c r="B819" s="489"/>
      <c r="C819" s="490"/>
      <c r="E819" s="491"/>
      <c r="G819" s="65"/>
    </row>
    <row r="820" spans="2:7" ht="14.25" customHeight="1" x14ac:dyDescent="0.3">
      <c r="B820" s="489"/>
      <c r="C820" s="490"/>
      <c r="E820" s="491"/>
      <c r="G820" s="65"/>
    </row>
    <row r="821" spans="2:7" ht="14.25" customHeight="1" x14ac:dyDescent="0.3">
      <c r="B821" s="489"/>
      <c r="C821" s="490"/>
      <c r="E821" s="491"/>
      <c r="G821" s="65"/>
    </row>
    <row r="822" spans="2:7" ht="14.25" customHeight="1" x14ac:dyDescent="0.3">
      <c r="B822" s="489"/>
      <c r="C822" s="490"/>
      <c r="E822" s="491"/>
      <c r="G822" s="65"/>
    </row>
    <row r="823" spans="2:7" ht="14.25" customHeight="1" x14ac:dyDescent="0.3">
      <c r="B823" s="489"/>
      <c r="C823" s="490"/>
      <c r="E823" s="491"/>
      <c r="G823" s="65"/>
    </row>
    <row r="824" spans="2:7" ht="14.25" customHeight="1" x14ac:dyDescent="0.3">
      <c r="B824" s="489"/>
      <c r="C824" s="490"/>
      <c r="E824" s="491"/>
      <c r="G824" s="65"/>
    </row>
    <row r="825" spans="2:7" ht="14.25" customHeight="1" x14ac:dyDescent="0.3">
      <c r="B825" s="489"/>
      <c r="C825" s="490"/>
      <c r="E825" s="491"/>
      <c r="G825" s="65"/>
    </row>
    <row r="826" spans="2:7" ht="14.25" customHeight="1" x14ac:dyDescent="0.3">
      <c r="B826" s="489"/>
      <c r="C826" s="490"/>
      <c r="E826" s="491"/>
      <c r="G826" s="65"/>
    </row>
    <row r="827" spans="2:7" ht="14.25" customHeight="1" x14ac:dyDescent="0.3">
      <c r="B827" s="489"/>
      <c r="C827" s="490"/>
      <c r="E827" s="491"/>
      <c r="G827" s="65"/>
    </row>
    <row r="828" spans="2:7" ht="14.25" customHeight="1" x14ac:dyDescent="0.3">
      <c r="B828" s="489"/>
      <c r="C828" s="490"/>
      <c r="E828" s="491"/>
      <c r="G828" s="65"/>
    </row>
    <row r="829" spans="2:7" ht="14.25" customHeight="1" x14ac:dyDescent="0.3">
      <c r="B829" s="489"/>
      <c r="C829" s="490"/>
      <c r="E829" s="491"/>
      <c r="G829" s="65"/>
    </row>
    <row r="830" spans="2:7" ht="14.25" customHeight="1" x14ac:dyDescent="0.3">
      <c r="B830" s="489"/>
      <c r="C830" s="490"/>
      <c r="E830" s="491"/>
      <c r="G830" s="65"/>
    </row>
    <row r="831" spans="2:7" ht="14.25" customHeight="1" x14ac:dyDescent="0.3">
      <c r="B831" s="489"/>
      <c r="C831" s="490"/>
      <c r="E831" s="491"/>
      <c r="G831" s="65"/>
    </row>
    <row r="832" spans="2:7" ht="14.25" customHeight="1" x14ac:dyDescent="0.3">
      <c r="B832" s="489"/>
      <c r="C832" s="490"/>
      <c r="E832" s="491"/>
      <c r="G832" s="65"/>
    </row>
    <row r="833" spans="2:7" ht="14.25" customHeight="1" x14ac:dyDescent="0.3">
      <c r="B833" s="489"/>
      <c r="C833" s="490"/>
      <c r="E833" s="491"/>
      <c r="G833" s="65"/>
    </row>
    <row r="834" spans="2:7" ht="14.25" customHeight="1" x14ac:dyDescent="0.3">
      <c r="B834" s="489"/>
      <c r="C834" s="490"/>
      <c r="E834" s="491"/>
      <c r="G834" s="65"/>
    </row>
    <row r="835" spans="2:7" ht="14.25" customHeight="1" x14ac:dyDescent="0.3">
      <c r="B835" s="489"/>
      <c r="C835" s="490"/>
      <c r="E835" s="491"/>
      <c r="G835" s="65"/>
    </row>
    <row r="836" spans="2:7" ht="14.25" customHeight="1" x14ac:dyDescent="0.3">
      <c r="B836" s="489"/>
      <c r="C836" s="490"/>
      <c r="E836" s="491"/>
      <c r="G836" s="65"/>
    </row>
    <row r="837" spans="2:7" ht="14.25" customHeight="1" x14ac:dyDescent="0.3">
      <c r="B837" s="489"/>
      <c r="C837" s="490"/>
      <c r="E837" s="491"/>
      <c r="G837" s="65"/>
    </row>
    <row r="838" spans="2:7" ht="14.25" customHeight="1" x14ac:dyDescent="0.3">
      <c r="B838" s="489"/>
      <c r="C838" s="490"/>
      <c r="E838" s="491"/>
      <c r="G838" s="65"/>
    </row>
    <row r="839" spans="2:7" ht="14.25" customHeight="1" x14ac:dyDescent="0.3">
      <c r="B839" s="489"/>
      <c r="C839" s="490"/>
      <c r="E839" s="491"/>
      <c r="G839" s="65"/>
    </row>
    <row r="840" spans="2:7" ht="14.25" customHeight="1" x14ac:dyDescent="0.3">
      <c r="B840" s="489"/>
      <c r="C840" s="490"/>
      <c r="E840" s="491"/>
      <c r="G840" s="65"/>
    </row>
    <row r="841" spans="2:7" ht="14.25" customHeight="1" x14ac:dyDescent="0.3">
      <c r="B841" s="489"/>
      <c r="C841" s="490"/>
      <c r="E841" s="491"/>
      <c r="G841" s="65"/>
    </row>
    <row r="842" spans="2:7" ht="14.25" customHeight="1" x14ac:dyDescent="0.3">
      <c r="B842" s="489"/>
      <c r="C842" s="490"/>
      <c r="E842" s="491"/>
      <c r="G842" s="65"/>
    </row>
    <row r="843" spans="2:7" ht="14.25" customHeight="1" x14ac:dyDescent="0.3">
      <c r="B843" s="489"/>
      <c r="C843" s="490"/>
      <c r="E843" s="491"/>
      <c r="G843" s="65"/>
    </row>
    <row r="844" spans="2:7" ht="14.25" customHeight="1" x14ac:dyDescent="0.3">
      <c r="B844" s="489"/>
      <c r="C844" s="490"/>
      <c r="E844" s="491"/>
      <c r="G844" s="65"/>
    </row>
    <row r="845" spans="2:7" ht="14.25" customHeight="1" x14ac:dyDescent="0.3">
      <c r="B845" s="489"/>
      <c r="C845" s="490"/>
      <c r="E845" s="491"/>
      <c r="G845" s="65"/>
    </row>
    <row r="846" spans="2:7" ht="14.25" customHeight="1" x14ac:dyDescent="0.3">
      <c r="B846" s="489"/>
      <c r="C846" s="490"/>
      <c r="E846" s="491"/>
      <c r="G846" s="65"/>
    </row>
    <row r="847" spans="2:7" ht="14.25" customHeight="1" x14ac:dyDescent="0.3">
      <c r="B847" s="489"/>
      <c r="C847" s="490"/>
      <c r="E847" s="491"/>
      <c r="G847" s="65"/>
    </row>
    <row r="848" spans="2:7" ht="14.25" customHeight="1" x14ac:dyDescent="0.3">
      <c r="B848" s="489"/>
      <c r="C848" s="490"/>
      <c r="E848" s="491"/>
      <c r="G848" s="65"/>
    </row>
    <row r="849" spans="2:7" ht="14.25" customHeight="1" x14ac:dyDescent="0.3">
      <c r="B849" s="489"/>
      <c r="C849" s="490"/>
      <c r="E849" s="491"/>
      <c r="G849" s="65"/>
    </row>
    <row r="850" spans="2:7" ht="14.25" customHeight="1" x14ac:dyDescent="0.3">
      <c r="B850" s="489"/>
      <c r="C850" s="490"/>
      <c r="E850" s="491"/>
      <c r="G850" s="65"/>
    </row>
    <row r="851" spans="2:7" ht="14.25" customHeight="1" x14ac:dyDescent="0.3">
      <c r="B851" s="489"/>
      <c r="C851" s="490"/>
      <c r="E851" s="491"/>
      <c r="G851" s="65"/>
    </row>
    <row r="852" spans="2:7" ht="14.25" customHeight="1" x14ac:dyDescent="0.3">
      <c r="B852" s="489"/>
      <c r="C852" s="490"/>
      <c r="E852" s="491"/>
      <c r="G852" s="65"/>
    </row>
    <row r="853" spans="2:7" ht="14.25" customHeight="1" x14ac:dyDescent="0.3">
      <c r="B853" s="489"/>
      <c r="C853" s="490"/>
      <c r="E853" s="491"/>
      <c r="G853" s="65"/>
    </row>
    <row r="854" spans="2:7" ht="14.25" customHeight="1" x14ac:dyDescent="0.3">
      <c r="B854" s="489"/>
      <c r="C854" s="490"/>
      <c r="E854" s="491"/>
      <c r="G854" s="65"/>
    </row>
    <row r="855" spans="2:7" ht="14.25" customHeight="1" x14ac:dyDescent="0.3">
      <c r="B855" s="489"/>
      <c r="C855" s="490"/>
      <c r="E855" s="491"/>
      <c r="G855" s="65"/>
    </row>
    <row r="856" spans="2:7" ht="14.25" customHeight="1" x14ac:dyDescent="0.3">
      <c r="B856" s="489"/>
      <c r="C856" s="490"/>
      <c r="E856" s="491"/>
      <c r="G856" s="65"/>
    </row>
    <row r="857" spans="2:7" ht="14.25" customHeight="1" x14ac:dyDescent="0.3">
      <c r="B857" s="489"/>
      <c r="C857" s="490"/>
      <c r="E857" s="491"/>
      <c r="G857" s="65"/>
    </row>
    <row r="858" spans="2:7" ht="14.25" customHeight="1" x14ac:dyDescent="0.3">
      <c r="B858" s="489"/>
      <c r="C858" s="490"/>
      <c r="E858" s="491"/>
      <c r="G858" s="65"/>
    </row>
    <row r="859" spans="2:7" ht="14.25" customHeight="1" x14ac:dyDescent="0.3">
      <c r="B859" s="489"/>
      <c r="C859" s="490"/>
      <c r="E859" s="491"/>
      <c r="G859" s="65"/>
    </row>
    <row r="860" spans="2:7" ht="14.25" customHeight="1" x14ac:dyDescent="0.3">
      <c r="B860" s="489"/>
      <c r="C860" s="490"/>
      <c r="E860" s="491"/>
      <c r="G860" s="65"/>
    </row>
    <row r="861" spans="2:7" ht="14.25" customHeight="1" x14ac:dyDescent="0.3">
      <c r="B861" s="489"/>
      <c r="C861" s="490"/>
      <c r="E861" s="491"/>
      <c r="G861" s="65"/>
    </row>
    <row r="862" spans="2:7" ht="14.25" customHeight="1" x14ac:dyDescent="0.3">
      <c r="B862" s="489"/>
      <c r="C862" s="490"/>
      <c r="E862" s="491"/>
      <c r="G862" s="65"/>
    </row>
    <row r="863" spans="2:7" ht="14.25" customHeight="1" x14ac:dyDescent="0.3">
      <c r="B863" s="489"/>
      <c r="C863" s="490"/>
      <c r="E863" s="491"/>
      <c r="G863" s="65"/>
    </row>
    <row r="864" spans="2:7" ht="14.25" customHeight="1" x14ac:dyDescent="0.3">
      <c r="B864" s="489"/>
      <c r="C864" s="490"/>
      <c r="E864" s="491"/>
      <c r="G864" s="65"/>
    </row>
    <row r="865" spans="2:7" ht="14.25" customHeight="1" x14ac:dyDescent="0.3">
      <c r="B865" s="489"/>
      <c r="C865" s="490"/>
      <c r="E865" s="491"/>
      <c r="G865" s="65"/>
    </row>
    <row r="866" spans="2:7" ht="14.25" customHeight="1" x14ac:dyDescent="0.3">
      <c r="B866" s="489"/>
      <c r="C866" s="490"/>
      <c r="E866" s="491"/>
      <c r="G866" s="65"/>
    </row>
    <row r="867" spans="2:7" ht="14.25" customHeight="1" x14ac:dyDescent="0.3">
      <c r="B867" s="489"/>
      <c r="C867" s="490"/>
      <c r="E867" s="491"/>
      <c r="G867" s="65"/>
    </row>
    <row r="868" spans="2:7" ht="14.25" customHeight="1" x14ac:dyDescent="0.3">
      <c r="B868" s="489"/>
      <c r="C868" s="490"/>
      <c r="E868" s="491"/>
      <c r="G868" s="65"/>
    </row>
    <row r="869" spans="2:7" ht="14.25" customHeight="1" x14ac:dyDescent="0.3">
      <c r="B869" s="489"/>
      <c r="C869" s="490"/>
      <c r="E869" s="491"/>
      <c r="G869" s="65"/>
    </row>
    <row r="870" spans="2:7" ht="14.25" customHeight="1" x14ac:dyDescent="0.3">
      <c r="B870" s="489"/>
      <c r="C870" s="490"/>
      <c r="E870" s="491"/>
      <c r="G870" s="65"/>
    </row>
    <row r="871" spans="2:7" ht="14.25" customHeight="1" x14ac:dyDescent="0.3">
      <c r="B871" s="489"/>
      <c r="C871" s="490"/>
      <c r="E871" s="491"/>
      <c r="G871" s="65"/>
    </row>
    <row r="872" spans="2:7" ht="14.25" customHeight="1" x14ac:dyDescent="0.3">
      <c r="B872" s="489"/>
      <c r="C872" s="490"/>
      <c r="E872" s="491"/>
      <c r="G872" s="65"/>
    </row>
    <row r="873" spans="2:7" ht="14.25" customHeight="1" x14ac:dyDescent="0.3">
      <c r="B873" s="489"/>
      <c r="C873" s="490"/>
      <c r="E873" s="491"/>
      <c r="G873" s="65"/>
    </row>
    <row r="874" spans="2:7" ht="14.25" customHeight="1" x14ac:dyDescent="0.3">
      <c r="B874" s="489"/>
      <c r="C874" s="490"/>
      <c r="E874" s="491"/>
      <c r="G874" s="65"/>
    </row>
    <row r="875" spans="2:7" ht="14.25" customHeight="1" x14ac:dyDescent="0.3">
      <c r="B875" s="489"/>
      <c r="C875" s="490"/>
      <c r="E875" s="491"/>
      <c r="G875" s="65"/>
    </row>
    <row r="876" spans="2:7" ht="14.25" customHeight="1" x14ac:dyDescent="0.3">
      <c r="B876" s="489"/>
      <c r="C876" s="490"/>
      <c r="E876" s="491"/>
      <c r="G876" s="65"/>
    </row>
    <row r="877" spans="2:7" ht="14.25" customHeight="1" x14ac:dyDescent="0.3">
      <c r="B877" s="489"/>
      <c r="C877" s="490"/>
      <c r="E877" s="491"/>
      <c r="G877" s="65"/>
    </row>
    <row r="878" spans="2:7" ht="14.25" customHeight="1" x14ac:dyDescent="0.3">
      <c r="B878" s="489"/>
      <c r="C878" s="490"/>
      <c r="E878" s="491"/>
      <c r="G878" s="65"/>
    </row>
    <row r="879" spans="2:7" ht="14.25" customHeight="1" x14ac:dyDescent="0.3">
      <c r="B879" s="489"/>
      <c r="C879" s="490"/>
      <c r="E879" s="491"/>
      <c r="G879" s="65"/>
    </row>
    <row r="880" spans="2:7" ht="14.25" customHeight="1" x14ac:dyDescent="0.3">
      <c r="B880" s="489"/>
      <c r="C880" s="490"/>
      <c r="E880" s="491"/>
      <c r="G880" s="65"/>
    </row>
    <row r="881" spans="2:7" ht="14.25" customHeight="1" x14ac:dyDescent="0.3">
      <c r="B881" s="489"/>
      <c r="C881" s="490"/>
      <c r="E881" s="491"/>
      <c r="G881" s="65"/>
    </row>
    <row r="882" spans="2:7" ht="14.25" customHeight="1" x14ac:dyDescent="0.3">
      <c r="B882" s="489"/>
      <c r="C882" s="490"/>
      <c r="E882" s="491"/>
      <c r="G882" s="65"/>
    </row>
    <row r="883" spans="2:7" ht="14.25" customHeight="1" x14ac:dyDescent="0.3">
      <c r="B883" s="489"/>
      <c r="C883" s="490"/>
      <c r="E883" s="491"/>
      <c r="G883" s="65"/>
    </row>
    <row r="884" spans="2:7" ht="14.25" customHeight="1" x14ac:dyDescent="0.3">
      <c r="B884" s="489"/>
      <c r="C884" s="490"/>
      <c r="E884" s="491"/>
      <c r="G884" s="65"/>
    </row>
    <row r="885" spans="2:7" ht="14.25" customHeight="1" x14ac:dyDescent="0.3">
      <c r="B885" s="489"/>
      <c r="C885" s="490"/>
      <c r="E885" s="491"/>
      <c r="G885" s="65"/>
    </row>
    <row r="886" spans="2:7" ht="14.25" customHeight="1" x14ac:dyDescent="0.3">
      <c r="B886" s="489"/>
      <c r="C886" s="490"/>
      <c r="E886" s="491"/>
      <c r="G886" s="65"/>
    </row>
    <row r="887" spans="2:7" ht="14.25" customHeight="1" x14ac:dyDescent="0.3">
      <c r="B887" s="489"/>
      <c r="C887" s="490"/>
      <c r="E887" s="491"/>
      <c r="G887" s="65"/>
    </row>
    <row r="888" spans="2:7" ht="14.25" customHeight="1" x14ac:dyDescent="0.3">
      <c r="B888" s="489"/>
      <c r="C888" s="490"/>
      <c r="E888" s="491"/>
      <c r="G888" s="65"/>
    </row>
    <row r="889" spans="2:7" ht="14.25" customHeight="1" x14ac:dyDescent="0.3">
      <c r="B889" s="489"/>
      <c r="C889" s="490"/>
      <c r="E889" s="491"/>
      <c r="G889" s="65"/>
    </row>
    <row r="890" spans="2:7" ht="14.25" customHeight="1" x14ac:dyDescent="0.3">
      <c r="B890" s="489"/>
      <c r="C890" s="490"/>
      <c r="E890" s="491"/>
      <c r="G890" s="65"/>
    </row>
    <row r="891" spans="2:7" ht="14.25" customHeight="1" x14ac:dyDescent="0.3">
      <c r="B891" s="489"/>
      <c r="C891" s="490"/>
      <c r="E891" s="491"/>
      <c r="G891" s="65"/>
    </row>
    <row r="892" spans="2:7" ht="14.25" customHeight="1" x14ac:dyDescent="0.3">
      <c r="B892" s="489"/>
      <c r="C892" s="490"/>
      <c r="E892" s="491"/>
      <c r="G892" s="65"/>
    </row>
    <row r="893" spans="2:7" ht="14.25" customHeight="1" x14ac:dyDescent="0.3">
      <c r="B893" s="489"/>
      <c r="C893" s="490"/>
      <c r="E893" s="491"/>
      <c r="G893" s="65"/>
    </row>
    <row r="894" spans="2:7" ht="14.25" customHeight="1" x14ac:dyDescent="0.3">
      <c r="B894" s="489"/>
      <c r="C894" s="490"/>
      <c r="E894" s="491"/>
      <c r="G894" s="65"/>
    </row>
    <row r="895" spans="2:7" ht="14.25" customHeight="1" x14ac:dyDescent="0.3">
      <c r="B895" s="489"/>
      <c r="C895" s="490"/>
      <c r="E895" s="491"/>
      <c r="G895" s="65"/>
    </row>
    <row r="896" spans="2:7" ht="14.25" customHeight="1" x14ac:dyDescent="0.3">
      <c r="B896" s="489"/>
      <c r="C896" s="490"/>
      <c r="E896" s="491"/>
      <c r="G896" s="65"/>
    </row>
    <row r="897" spans="2:7" ht="14.25" customHeight="1" x14ac:dyDescent="0.3">
      <c r="B897" s="489"/>
      <c r="C897" s="490"/>
      <c r="E897" s="491"/>
      <c r="G897" s="65"/>
    </row>
    <row r="898" spans="2:7" ht="14.25" customHeight="1" x14ac:dyDescent="0.3">
      <c r="B898" s="489"/>
      <c r="C898" s="490"/>
      <c r="E898" s="491"/>
      <c r="G898" s="65"/>
    </row>
    <row r="899" spans="2:7" ht="14.25" customHeight="1" x14ac:dyDescent="0.3">
      <c r="B899" s="489"/>
      <c r="C899" s="490"/>
      <c r="E899" s="491"/>
      <c r="G899" s="65"/>
    </row>
    <row r="900" spans="2:7" ht="14.25" customHeight="1" x14ac:dyDescent="0.3">
      <c r="B900" s="489"/>
      <c r="C900" s="490"/>
      <c r="E900" s="491"/>
      <c r="G900" s="65"/>
    </row>
    <row r="901" spans="2:7" ht="14.25" customHeight="1" x14ac:dyDescent="0.3">
      <c r="B901" s="489"/>
      <c r="C901" s="490"/>
      <c r="E901" s="491"/>
      <c r="G901" s="65"/>
    </row>
    <row r="902" spans="2:7" ht="14.25" customHeight="1" x14ac:dyDescent="0.3">
      <c r="B902" s="489"/>
      <c r="C902" s="490"/>
      <c r="E902" s="491"/>
      <c r="G902" s="65"/>
    </row>
    <row r="903" spans="2:7" ht="14.25" customHeight="1" x14ac:dyDescent="0.3">
      <c r="B903" s="489"/>
      <c r="C903" s="490"/>
      <c r="E903" s="491"/>
      <c r="G903" s="65"/>
    </row>
    <row r="904" spans="2:7" ht="14.25" customHeight="1" x14ac:dyDescent="0.3">
      <c r="B904" s="489"/>
      <c r="C904" s="490"/>
      <c r="E904" s="491"/>
      <c r="G904" s="65"/>
    </row>
    <row r="905" spans="2:7" ht="14.25" customHeight="1" x14ac:dyDescent="0.3">
      <c r="B905" s="489"/>
      <c r="C905" s="490"/>
      <c r="E905" s="491"/>
      <c r="G905" s="65"/>
    </row>
    <row r="906" spans="2:7" ht="14.25" customHeight="1" x14ac:dyDescent="0.3">
      <c r="B906" s="489"/>
      <c r="C906" s="490"/>
      <c r="E906" s="491"/>
      <c r="G906" s="65"/>
    </row>
    <row r="907" spans="2:7" ht="14.25" customHeight="1" x14ac:dyDescent="0.3">
      <c r="B907" s="489"/>
      <c r="C907" s="490"/>
      <c r="E907" s="491"/>
      <c r="G907" s="65"/>
    </row>
    <row r="908" spans="2:7" ht="14.25" customHeight="1" x14ac:dyDescent="0.3">
      <c r="B908" s="489"/>
      <c r="C908" s="490"/>
      <c r="E908" s="491"/>
      <c r="G908" s="65"/>
    </row>
    <row r="909" spans="2:7" ht="14.25" customHeight="1" x14ac:dyDescent="0.3">
      <c r="B909" s="489"/>
      <c r="C909" s="490"/>
      <c r="E909" s="491"/>
      <c r="G909" s="65"/>
    </row>
    <row r="910" spans="2:7" ht="14.25" customHeight="1" x14ac:dyDescent="0.3">
      <c r="B910" s="489"/>
      <c r="C910" s="490"/>
      <c r="E910" s="491"/>
      <c r="G910" s="65"/>
    </row>
    <row r="911" spans="2:7" ht="14.25" customHeight="1" x14ac:dyDescent="0.3">
      <c r="B911" s="489"/>
      <c r="C911" s="490"/>
      <c r="E911" s="491"/>
      <c r="G911" s="65"/>
    </row>
    <row r="912" spans="2:7" ht="14.25" customHeight="1" x14ac:dyDescent="0.3">
      <c r="B912" s="489"/>
      <c r="C912" s="490"/>
      <c r="E912" s="491"/>
      <c r="G912" s="65"/>
    </row>
    <row r="913" spans="2:7" ht="14.25" customHeight="1" x14ac:dyDescent="0.3">
      <c r="B913" s="489"/>
      <c r="C913" s="490"/>
      <c r="E913" s="491"/>
      <c r="G913" s="65"/>
    </row>
    <row r="914" spans="2:7" ht="14.25" customHeight="1" x14ac:dyDescent="0.3">
      <c r="B914" s="489"/>
      <c r="C914" s="490"/>
      <c r="E914" s="491"/>
      <c r="G914" s="65"/>
    </row>
    <row r="915" spans="2:7" ht="14.25" customHeight="1" x14ac:dyDescent="0.3">
      <c r="B915" s="489"/>
      <c r="C915" s="490"/>
      <c r="E915" s="491"/>
      <c r="G915" s="65"/>
    </row>
    <row r="916" spans="2:7" ht="14.25" customHeight="1" x14ac:dyDescent="0.3">
      <c r="B916" s="489"/>
      <c r="C916" s="490"/>
      <c r="E916" s="491"/>
      <c r="G916" s="65"/>
    </row>
    <row r="917" spans="2:7" ht="14.25" customHeight="1" x14ac:dyDescent="0.3">
      <c r="B917" s="489"/>
      <c r="C917" s="490"/>
      <c r="E917" s="491"/>
      <c r="G917" s="65"/>
    </row>
    <row r="918" spans="2:7" ht="14.25" customHeight="1" x14ac:dyDescent="0.3">
      <c r="B918" s="489"/>
      <c r="C918" s="490"/>
      <c r="E918" s="491"/>
      <c r="G918" s="65"/>
    </row>
    <row r="919" spans="2:7" ht="14.25" customHeight="1" x14ac:dyDescent="0.3">
      <c r="B919" s="489"/>
      <c r="C919" s="490"/>
      <c r="E919" s="491"/>
      <c r="G919" s="65"/>
    </row>
    <row r="920" spans="2:7" ht="14.25" customHeight="1" x14ac:dyDescent="0.3">
      <c r="B920" s="489"/>
      <c r="C920" s="490"/>
      <c r="E920" s="491"/>
      <c r="G920" s="65"/>
    </row>
    <row r="921" spans="2:7" ht="14.25" customHeight="1" x14ac:dyDescent="0.3">
      <c r="B921" s="489"/>
      <c r="C921" s="490"/>
      <c r="E921" s="491"/>
      <c r="G921" s="65"/>
    </row>
    <row r="922" spans="2:7" ht="14.25" customHeight="1" x14ac:dyDescent="0.3">
      <c r="B922" s="489"/>
      <c r="C922" s="490"/>
      <c r="E922" s="491"/>
      <c r="G922" s="65"/>
    </row>
    <row r="923" spans="2:7" ht="14.25" customHeight="1" x14ac:dyDescent="0.3">
      <c r="B923" s="489"/>
      <c r="C923" s="490"/>
      <c r="E923" s="491"/>
      <c r="G923" s="65"/>
    </row>
    <row r="924" spans="2:7" ht="14.25" customHeight="1" x14ac:dyDescent="0.3">
      <c r="B924" s="489"/>
      <c r="C924" s="490"/>
      <c r="E924" s="491"/>
      <c r="G924" s="65"/>
    </row>
    <row r="925" spans="2:7" ht="14.25" customHeight="1" x14ac:dyDescent="0.3">
      <c r="B925" s="489"/>
      <c r="C925" s="490"/>
      <c r="E925" s="491"/>
      <c r="G925" s="65"/>
    </row>
    <row r="926" spans="2:7" ht="14.25" customHeight="1" x14ac:dyDescent="0.3">
      <c r="B926" s="489"/>
      <c r="C926" s="490"/>
      <c r="E926" s="491"/>
      <c r="G926" s="65"/>
    </row>
    <row r="927" spans="2:7" ht="14.25" customHeight="1" x14ac:dyDescent="0.3">
      <c r="B927" s="489"/>
      <c r="C927" s="490"/>
      <c r="E927" s="491"/>
      <c r="G927" s="65"/>
    </row>
    <row r="928" spans="2:7" ht="14.25" customHeight="1" x14ac:dyDescent="0.3">
      <c r="B928" s="489"/>
      <c r="C928" s="490"/>
      <c r="E928" s="491"/>
      <c r="G928" s="65"/>
    </row>
    <row r="929" spans="2:7" ht="14.25" customHeight="1" x14ac:dyDescent="0.3">
      <c r="B929" s="489"/>
      <c r="C929" s="490"/>
      <c r="E929" s="491"/>
      <c r="G929" s="65"/>
    </row>
    <row r="930" spans="2:7" ht="14.25" customHeight="1" x14ac:dyDescent="0.3">
      <c r="B930" s="489"/>
      <c r="C930" s="490"/>
      <c r="E930" s="491"/>
      <c r="G930" s="65"/>
    </row>
    <row r="931" spans="2:7" ht="14.25" customHeight="1" x14ac:dyDescent="0.3">
      <c r="B931" s="489"/>
      <c r="C931" s="490"/>
      <c r="E931" s="491"/>
      <c r="G931" s="65"/>
    </row>
    <row r="932" spans="2:7" ht="14.25" customHeight="1" x14ac:dyDescent="0.3">
      <c r="B932" s="489"/>
      <c r="C932" s="490"/>
      <c r="E932" s="491"/>
      <c r="G932" s="65"/>
    </row>
    <row r="933" spans="2:7" ht="14.25" customHeight="1" x14ac:dyDescent="0.3">
      <c r="B933" s="489"/>
      <c r="C933" s="490"/>
      <c r="E933" s="491"/>
      <c r="G933" s="65"/>
    </row>
    <row r="934" spans="2:7" ht="14.25" customHeight="1" x14ac:dyDescent="0.3">
      <c r="B934" s="489"/>
      <c r="C934" s="490"/>
      <c r="E934" s="491"/>
      <c r="G934" s="65"/>
    </row>
    <row r="935" spans="2:7" ht="14.25" customHeight="1" x14ac:dyDescent="0.3">
      <c r="B935" s="489"/>
      <c r="C935" s="490"/>
      <c r="E935" s="491"/>
      <c r="G935" s="65"/>
    </row>
    <row r="936" spans="2:7" ht="14.25" customHeight="1" x14ac:dyDescent="0.3">
      <c r="B936" s="489"/>
      <c r="C936" s="490"/>
      <c r="E936" s="491"/>
      <c r="G936" s="65"/>
    </row>
    <row r="937" spans="2:7" ht="14.25" customHeight="1" x14ac:dyDescent="0.3">
      <c r="B937" s="489"/>
      <c r="C937" s="490"/>
      <c r="E937" s="491"/>
      <c r="G937" s="65"/>
    </row>
    <row r="938" spans="2:7" ht="14.25" customHeight="1" x14ac:dyDescent="0.3">
      <c r="B938" s="489"/>
      <c r="C938" s="490"/>
      <c r="E938" s="491"/>
      <c r="G938" s="65"/>
    </row>
    <row r="939" spans="2:7" ht="14.25" customHeight="1" x14ac:dyDescent="0.3">
      <c r="B939" s="489"/>
      <c r="C939" s="490"/>
      <c r="E939" s="491"/>
      <c r="G939" s="65"/>
    </row>
    <row r="940" spans="2:7" ht="14.25" customHeight="1" x14ac:dyDescent="0.3">
      <c r="B940" s="489"/>
      <c r="C940" s="490"/>
      <c r="E940" s="491"/>
      <c r="G940" s="65"/>
    </row>
    <row r="941" spans="2:7" ht="14.25" customHeight="1" x14ac:dyDescent="0.3">
      <c r="B941" s="489"/>
      <c r="C941" s="490"/>
      <c r="E941" s="491"/>
      <c r="G941" s="65"/>
    </row>
    <row r="942" spans="2:7" ht="14.25" customHeight="1" x14ac:dyDescent="0.3">
      <c r="B942" s="489"/>
      <c r="C942" s="490"/>
      <c r="E942" s="491"/>
      <c r="G942" s="65"/>
    </row>
    <row r="943" spans="2:7" ht="14.25" customHeight="1" x14ac:dyDescent="0.3">
      <c r="B943" s="489"/>
      <c r="C943" s="490"/>
      <c r="E943" s="491"/>
      <c r="G943" s="65"/>
    </row>
    <row r="944" spans="2:7" ht="14.25" customHeight="1" x14ac:dyDescent="0.3">
      <c r="B944" s="489"/>
      <c r="C944" s="490"/>
      <c r="E944" s="491"/>
      <c r="G944" s="65"/>
    </row>
    <row r="945" spans="2:7" ht="14.25" customHeight="1" x14ac:dyDescent="0.3">
      <c r="B945" s="489"/>
      <c r="C945" s="490"/>
      <c r="E945" s="491"/>
      <c r="G945" s="65"/>
    </row>
    <row r="946" spans="2:7" ht="14.25" customHeight="1" x14ac:dyDescent="0.3">
      <c r="B946" s="489"/>
      <c r="C946" s="490"/>
      <c r="E946" s="491"/>
      <c r="G946" s="65"/>
    </row>
    <row r="947" spans="2:7" ht="14.25" customHeight="1" x14ac:dyDescent="0.3">
      <c r="B947" s="489"/>
      <c r="C947" s="490"/>
      <c r="E947" s="491"/>
      <c r="G947" s="65"/>
    </row>
    <row r="948" spans="2:7" ht="14.25" customHeight="1" x14ac:dyDescent="0.3">
      <c r="B948" s="489"/>
      <c r="C948" s="490"/>
      <c r="E948" s="491"/>
      <c r="G948" s="65"/>
    </row>
    <row r="949" spans="2:7" ht="14.25" customHeight="1" x14ac:dyDescent="0.3">
      <c r="B949" s="489"/>
      <c r="C949" s="490"/>
      <c r="E949" s="491"/>
      <c r="G949" s="65"/>
    </row>
    <row r="950" spans="2:7" ht="14.25" customHeight="1" x14ac:dyDescent="0.3">
      <c r="B950" s="489"/>
      <c r="C950" s="490"/>
      <c r="E950" s="491"/>
      <c r="G950" s="65"/>
    </row>
    <row r="951" spans="2:7" ht="14.25" customHeight="1" x14ac:dyDescent="0.3">
      <c r="B951" s="489"/>
      <c r="C951" s="490"/>
      <c r="E951" s="491"/>
      <c r="G951" s="65"/>
    </row>
    <row r="952" spans="2:7" ht="14.25" customHeight="1" x14ac:dyDescent="0.3">
      <c r="B952" s="489"/>
      <c r="C952" s="490"/>
      <c r="E952" s="491"/>
      <c r="G952" s="65"/>
    </row>
    <row r="953" spans="2:7" ht="14.25" customHeight="1" x14ac:dyDescent="0.3">
      <c r="B953" s="489"/>
      <c r="C953" s="490"/>
      <c r="E953" s="491"/>
      <c r="G953" s="65"/>
    </row>
    <row r="954" spans="2:7" ht="14.25" customHeight="1" x14ac:dyDescent="0.3">
      <c r="B954" s="489"/>
      <c r="C954" s="490"/>
      <c r="E954" s="491"/>
      <c r="G954" s="65"/>
    </row>
    <row r="955" spans="2:7" ht="14.25" customHeight="1" x14ac:dyDescent="0.3">
      <c r="B955" s="489"/>
      <c r="C955" s="490"/>
      <c r="E955" s="491"/>
      <c r="G955" s="65"/>
    </row>
    <row r="956" spans="2:7" ht="14.25" customHeight="1" x14ac:dyDescent="0.3">
      <c r="B956" s="489"/>
      <c r="C956" s="490"/>
      <c r="E956" s="491"/>
      <c r="G956" s="65"/>
    </row>
    <row r="957" spans="2:7" ht="14.25" customHeight="1" x14ac:dyDescent="0.3">
      <c r="B957" s="489"/>
      <c r="C957" s="490"/>
      <c r="E957" s="491"/>
      <c r="G957" s="65"/>
    </row>
    <row r="958" spans="2:7" ht="14.25" customHeight="1" x14ac:dyDescent="0.3">
      <c r="B958" s="489"/>
      <c r="C958" s="490"/>
      <c r="E958" s="491"/>
      <c r="G958" s="65"/>
    </row>
    <row r="959" spans="2:7" ht="14.25" customHeight="1" x14ac:dyDescent="0.3">
      <c r="B959" s="489"/>
      <c r="C959" s="490"/>
      <c r="E959" s="491"/>
      <c r="G959" s="65"/>
    </row>
    <row r="960" spans="2:7" ht="14.25" customHeight="1" x14ac:dyDescent="0.3">
      <c r="B960" s="489"/>
      <c r="C960" s="490"/>
      <c r="E960" s="491"/>
      <c r="G960" s="65"/>
    </row>
    <row r="961" spans="2:7" ht="14.25" customHeight="1" x14ac:dyDescent="0.3">
      <c r="B961" s="489"/>
      <c r="C961" s="490"/>
      <c r="E961" s="491"/>
      <c r="G961" s="65"/>
    </row>
    <row r="962" spans="2:7" ht="14.25" customHeight="1" x14ac:dyDescent="0.3">
      <c r="B962" s="489"/>
      <c r="C962" s="490"/>
      <c r="E962" s="491"/>
      <c r="G962" s="65"/>
    </row>
    <row r="963" spans="2:7" ht="14.25" customHeight="1" x14ac:dyDescent="0.3">
      <c r="B963" s="489"/>
      <c r="C963" s="490"/>
      <c r="E963" s="491"/>
      <c r="G963" s="65"/>
    </row>
    <row r="964" spans="2:7" ht="14.25" customHeight="1" x14ac:dyDescent="0.3">
      <c r="B964" s="489"/>
      <c r="C964" s="490"/>
      <c r="E964" s="491"/>
      <c r="G964" s="65"/>
    </row>
    <row r="965" spans="2:7" ht="14.25" customHeight="1" x14ac:dyDescent="0.3">
      <c r="B965" s="489"/>
      <c r="C965" s="490"/>
      <c r="E965" s="491"/>
      <c r="G965" s="65"/>
    </row>
    <row r="966" spans="2:7" ht="14.25" customHeight="1" x14ac:dyDescent="0.3">
      <c r="B966" s="489"/>
      <c r="C966" s="490"/>
      <c r="E966" s="491"/>
      <c r="G966" s="65"/>
    </row>
    <row r="967" spans="2:7" ht="14.25" customHeight="1" x14ac:dyDescent="0.3">
      <c r="B967" s="489"/>
      <c r="C967" s="490"/>
      <c r="E967" s="491"/>
      <c r="G967" s="65"/>
    </row>
    <row r="968" spans="2:7" ht="14.25" customHeight="1" x14ac:dyDescent="0.3">
      <c r="B968" s="489"/>
      <c r="C968" s="490"/>
      <c r="E968" s="491"/>
      <c r="G968" s="65"/>
    </row>
    <row r="969" spans="2:7" ht="14.25" customHeight="1" x14ac:dyDescent="0.3">
      <c r="B969" s="489"/>
      <c r="C969" s="490"/>
      <c r="E969" s="491"/>
      <c r="G969" s="65"/>
    </row>
    <row r="970" spans="2:7" ht="14.25" customHeight="1" x14ac:dyDescent="0.3">
      <c r="B970" s="489"/>
      <c r="C970" s="490"/>
      <c r="E970" s="491"/>
      <c r="G970" s="65"/>
    </row>
    <row r="971" spans="2:7" ht="14.25" customHeight="1" x14ac:dyDescent="0.3">
      <c r="B971" s="489"/>
      <c r="C971" s="490"/>
      <c r="E971" s="491"/>
      <c r="G971" s="65"/>
    </row>
    <row r="972" spans="2:7" ht="14.25" customHeight="1" x14ac:dyDescent="0.3">
      <c r="B972" s="489"/>
      <c r="C972" s="490"/>
      <c r="E972" s="491"/>
      <c r="G972" s="65"/>
    </row>
    <row r="973" spans="2:7" ht="14.25" customHeight="1" x14ac:dyDescent="0.3">
      <c r="B973" s="489"/>
      <c r="C973" s="490"/>
      <c r="E973" s="491"/>
      <c r="G973" s="65"/>
    </row>
    <row r="974" spans="2:7" ht="14.25" customHeight="1" x14ac:dyDescent="0.3">
      <c r="B974" s="489"/>
      <c r="C974" s="490"/>
      <c r="E974" s="491"/>
      <c r="G974" s="65"/>
    </row>
    <row r="975" spans="2:7" ht="14.25" customHeight="1" x14ac:dyDescent="0.3">
      <c r="B975" s="489"/>
      <c r="C975" s="490"/>
      <c r="E975" s="491"/>
      <c r="G975" s="65"/>
    </row>
    <row r="976" spans="2:7" ht="14.25" customHeight="1" x14ac:dyDescent="0.3">
      <c r="B976" s="489"/>
      <c r="C976" s="490"/>
      <c r="E976" s="491"/>
      <c r="G976" s="65"/>
    </row>
    <row r="977" spans="2:7" ht="14.25" customHeight="1" x14ac:dyDescent="0.3">
      <c r="B977" s="489"/>
      <c r="C977" s="490"/>
      <c r="E977" s="491"/>
      <c r="G977" s="65"/>
    </row>
    <row r="978" spans="2:7" ht="14.25" customHeight="1" x14ac:dyDescent="0.3">
      <c r="B978" s="489"/>
      <c r="C978" s="490"/>
      <c r="E978" s="491"/>
      <c r="G978" s="65"/>
    </row>
    <row r="979" spans="2:7" ht="14.25" customHeight="1" x14ac:dyDescent="0.3">
      <c r="B979" s="489"/>
      <c r="C979" s="490"/>
      <c r="E979" s="491"/>
      <c r="G979" s="65"/>
    </row>
    <row r="980" spans="2:7" ht="14.25" customHeight="1" x14ac:dyDescent="0.3">
      <c r="B980" s="489"/>
      <c r="C980" s="490"/>
      <c r="E980" s="491"/>
      <c r="G980" s="65"/>
    </row>
    <row r="981" spans="2:7" ht="14.25" customHeight="1" x14ac:dyDescent="0.3">
      <c r="B981" s="489"/>
      <c r="C981" s="490"/>
      <c r="E981" s="491"/>
      <c r="G981" s="65"/>
    </row>
    <row r="982" spans="2:7" ht="14.25" customHeight="1" x14ac:dyDescent="0.3">
      <c r="B982" s="489"/>
      <c r="C982" s="490"/>
      <c r="E982" s="491"/>
      <c r="G982" s="65"/>
    </row>
    <row r="983" spans="2:7" ht="14.25" customHeight="1" x14ac:dyDescent="0.3">
      <c r="B983" s="489"/>
      <c r="C983" s="490"/>
      <c r="E983" s="491"/>
      <c r="G983" s="65"/>
    </row>
    <row r="984" spans="2:7" ht="14.25" customHeight="1" x14ac:dyDescent="0.3">
      <c r="B984" s="489"/>
      <c r="C984" s="490"/>
      <c r="E984" s="491"/>
      <c r="G984" s="65"/>
    </row>
    <row r="985" spans="2:7" ht="14.25" customHeight="1" x14ac:dyDescent="0.3">
      <c r="B985" s="489"/>
      <c r="C985" s="490"/>
      <c r="E985" s="491"/>
      <c r="G985" s="65"/>
    </row>
    <row r="986" spans="2:7" ht="14.25" customHeight="1" x14ac:dyDescent="0.3">
      <c r="B986" s="489"/>
      <c r="C986" s="490"/>
      <c r="E986" s="491"/>
      <c r="G986" s="65"/>
    </row>
    <row r="987" spans="2:7" ht="14.25" customHeight="1" x14ac:dyDescent="0.3">
      <c r="B987" s="489"/>
      <c r="C987" s="490"/>
      <c r="E987" s="491"/>
      <c r="G987" s="65"/>
    </row>
    <row r="988" spans="2:7" ht="14.25" customHeight="1" x14ac:dyDescent="0.3">
      <c r="B988" s="489"/>
      <c r="C988" s="490"/>
      <c r="E988" s="491"/>
      <c r="G988" s="65"/>
    </row>
    <row r="989" spans="2:7" ht="14.25" customHeight="1" x14ac:dyDescent="0.3">
      <c r="B989" s="489"/>
      <c r="C989" s="490"/>
      <c r="E989" s="491"/>
      <c r="G989" s="65"/>
    </row>
    <row r="990" spans="2:7" ht="14.25" customHeight="1" x14ac:dyDescent="0.3">
      <c r="B990" s="489"/>
      <c r="C990" s="490"/>
      <c r="E990" s="491"/>
      <c r="G990" s="65"/>
    </row>
    <row r="991" spans="2:7" ht="14.25" customHeight="1" x14ac:dyDescent="0.3">
      <c r="B991" s="489"/>
      <c r="C991" s="490"/>
      <c r="E991" s="491"/>
      <c r="G991" s="65"/>
    </row>
    <row r="992" spans="2:7" ht="14.25" customHeight="1" x14ac:dyDescent="0.3">
      <c r="B992" s="489"/>
      <c r="C992" s="490"/>
      <c r="E992" s="491"/>
      <c r="G992" s="65"/>
    </row>
    <row r="993" spans="2:7" ht="14.25" customHeight="1" x14ac:dyDescent="0.3">
      <c r="B993" s="489"/>
      <c r="C993" s="490"/>
      <c r="E993" s="491"/>
      <c r="G993" s="65"/>
    </row>
    <row r="994" spans="2:7" ht="14.25" customHeight="1" x14ac:dyDescent="0.3">
      <c r="B994" s="489"/>
      <c r="C994" s="490"/>
      <c r="E994" s="491"/>
      <c r="G994" s="65"/>
    </row>
    <row r="995" spans="2:7" ht="14.25" customHeight="1" x14ac:dyDescent="0.3">
      <c r="B995" s="489"/>
      <c r="C995" s="490"/>
      <c r="E995" s="491"/>
      <c r="G995" s="65"/>
    </row>
    <row r="996" spans="2:7" ht="14.25" customHeight="1" x14ac:dyDescent="0.3">
      <c r="B996" s="489"/>
      <c r="C996" s="490"/>
      <c r="E996" s="491"/>
      <c r="G996" s="65"/>
    </row>
    <row r="997" spans="2:7" ht="14.25" customHeight="1" x14ac:dyDescent="0.3">
      <c r="B997" s="489"/>
      <c r="C997" s="490"/>
      <c r="E997" s="491"/>
      <c r="G997" s="65"/>
    </row>
    <row r="998" spans="2:7" ht="14.25" customHeight="1" x14ac:dyDescent="0.3">
      <c r="B998" s="489"/>
      <c r="C998" s="490"/>
      <c r="E998" s="491"/>
      <c r="G998" s="65"/>
    </row>
    <row r="999" spans="2:7" ht="14.25" customHeight="1" x14ac:dyDescent="0.3">
      <c r="B999" s="489"/>
      <c r="C999" s="490"/>
      <c r="E999" s="491"/>
      <c r="G999" s="65"/>
    </row>
    <row r="1000" spans="2:7" ht="14.25" customHeight="1" x14ac:dyDescent="0.3">
      <c r="B1000" s="489"/>
      <c r="C1000" s="490"/>
      <c r="E1000" s="491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95"/>
      <c r="C1" s="578" t="s">
        <v>801</v>
      </c>
      <c r="D1" s="579"/>
      <c r="E1" s="579"/>
      <c r="F1" s="579"/>
      <c r="G1" s="579"/>
      <c r="H1" s="580"/>
      <c r="I1" s="496"/>
      <c r="J1" s="496"/>
      <c r="K1" s="496"/>
      <c r="L1" s="496"/>
      <c r="M1" s="497"/>
      <c r="N1" s="497"/>
      <c r="O1" s="497"/>
      <c r="P1" s="497"/>
      <c r="R1" s="23"/>
      <c r="U1" s="11"/>
    </row>
    <row r="2" spans="1:26" ht="14.25" customHeight="1" x14ac:dyDescent="0.3">
      <c r="A2" s="498" t="s">
        <v>675</v>
      </c>
      <c r="B2" s="499" t="s">
        <v>790</v>
      </c>
      <c r="C2" s="500" t="s">
        <v>802</v>
      </c>
      <c r="D2" s="500" t="s">
        <v>803</v>
      </c>
      <c r="E2" s="500" t="s">
        <v>804</v>
      </c>
      <c r="F2" s="500" t="s">
        <v>805</v>
      </c>
      <c r="G2" s="500" t="s">
        <v>806</v>
      </c>
      <c r="H2" s="500" t="s">
        <v>807</v>
      </c>
      <c r="I2" s="501" t="s">
        <v>808</v>
      </c>
      <c r="J2" s="501" t="s">
        <v>809</v>
      </c>
      <c r="K2" s="501" t="s">
        <v>810</v>
      </c>
      <c r="L2" s="501" t="s">
        <v>811</v>
      </c>
      <c r="M2" s="502" t="s">
        <v>812</v>
      </c>
      <c r="N2" s="502" t="s">
        <v>813</v>
      </c>
      <c r="O2" s="502" t="s">
        <v>810</v>
      </c>
      <c r="P2" s="502" t="s">
        <v>811</v>
      </c>
      <c r="Q2" s="503"/>
      <c r="R2" s="504" t="s">
        <v>814</v>
      </c>
      <c r="S2" s="503"/>
      <c r="T2" s="503"/>
      <c r="U2" s="505"/>
      <c r="V2" s="503"/>
      <c r="W2" s="503"/>
      <c r="X2" s="503"/>
      <c r="Y2" s="503"/>
      <c r="Z2" s="503"/>
    </row>
    <row r="3" spans="1:26" ht="14.25" customHeight="1" x14ac:dyDescent="0.3">
      <c r="A3" s="506">
        <v>2020</v>
      </c>
      <c r="B3" s="507" t="s">
        <v>815</v>
      </c>
      <c r="C3" s="508">
        <v>19.149999999999999</v>
      </c>
      <c r="D3" s="508"/>
      <c r="E3" s="508"/>
      <c r="F3" s="508"/>
      <c r="G3" s="508"/>
      <c r="H3" s="508">
        <v>0</v>
      </c>
      <c r="I3" s="509">
        <v>12452.14</v>
      </c>
      <c r="J3" s="509">
        <v>12025.27</v>
      </c>
      <c r="K3" s="509">
        <v>45.04</v>
      </c>
      <c r="L3" s="509">
        <v>471.91</v>
      </c>
      <c r="M3" s="510">
        <v>0</v>
      </c>
      <c r="N3" s="510">
        <v>0</v>
      </c>
      <c r="O3" s="510">
        <v>0</v>
      </c>
      <c r="P3" s="511">
        <v>0</v>
      </c>
      <c r="R3" s="23"/>
      <c r="U3" s="11"/>
    </row>
    <row r="4" spans="1:26" ht="14.25" customHeight="1" x14ac:dyDescent="0.3">
      <c r="A4" s="512">
        <v>2020</v>
      </c>
      <c r="B4" s="47" t="s">
        <v>816</v>
      </c>
      <c r="C4" s="513">
        <v>0</v>
      </c>
      <c r="D4" s="513"/>
      <c r="E4" s="513"/>
      <c r="F4" s="513"/>
      <c r="G4" s="513"/>
      <c r="H4" s="513">
        <v>0</v>
      </c>
      <c r="I4" s="514">
        <v>3102.37</v>
      </c>
      <c r="J4" s="514">
        <v>2996.68</v>
      </c>
      <c r="K4" s="514">
        <v>4.3</v>
      </c>
      <c r="L4" s="514">
        <v>109.99</v>
      </c>
      <c r="M4" s="515">
        <v>0</v>
      </c>
      <c r="N4" s="515">
        <v>0</v>
      </c>
      <c r="O4" s="515">
        <v>0</v>
      </c>
      <c r="P4" s="516">
        <v>0</v>
      </c>
      <c r="R4" s="23"/>
      <c r="U4" s="11"/>
    </row>
    <row r="5" spans="1:26" ht="14.25" customHeight="1" x14ac:dyDescent="0.3">
      <c r="A5" s="512">
        <v>2020</v>
      </c>
      <c r="B5" s="47" t="s">
        <v>817</v>
      </c>
      <c r="C5" s="513">
        <v>0</v>
      </c>
      <c r="D5" s="513"/>
      <c r="E5" s="513"/>
      <c r="F5" s="513"/>
      <c r="G5" s="513"/>
      <c r="H5" s="513">
        <v>0</v>
      </c>
      <c r="I5" s="514">
        <v>6554.06</v>
      </c>
      <c r="J5" s="514">
        <v>6488.57</v>
      </c>
      <c r="K5" s="514">
        <v>2.2799999999999998</v>
      </c>
      <c r="L5" s="514">
        <v>67.77</v>
      </c>
      <c r="M5" s="515">
        <v>0</v>
      </c>
      <c r="N5" s="515">
        <v>0</v>
      </c>
      <c r="O5" s="515">
        <v>0</v>
      </c>
      <c r="P5" s="516">
        <v>0</v>
      </c>
      <c r="R5" s="23"/>
      <c r="U5" s="11"/>
    </row>
    <row r="6" spans="1:26" ht="14.25" customHeight="1" x14ac:dyDescent="0.3">
      <c r="A6" s="517">
        <v>2020</v>
      </c>
      <c r="B6" s="518" t="s">
        <v>68</v>
      </c>
      <c r="C6" s="519">
        <f t="shared" ref="C6:F6" si="0">SUM(C2:C5)</f>
        <v>19.149999999999999</v>
      </c>
      <c r="D6" s="519">
        <f t="shared" si="0"/>
        <v>0</v>
      </c>
      <c r="E6" s="519">
        <f t="shared" si="0"/>
        <v>0</v>
      </c>
      <c r="F6" s="519">
        <f t="shared" si="0"/>
        <v>0</v>
      </c>
      <c r="G6" s="519"/>
      <c r="H6" s="519">
        <f t="shared" ref="H6:P6" si="1">SUM(H2:H5)</f>
        <v>0</v>
      </c>
      <c r="I6" s="520">
        <f t="shared" si="1"/>
        <v>22108.57</v>
      </c>
      <c r="J6" s="520">
        <f t="shared" si="1"/>
        <v>21510.52</v>
      </c>
      <c r="K6" s="520">
        <f t="shared" si="1"/>
        <v>51.62</v>
      </c>
      <c r="L6" s="520">
        <f t="shared" si="1"/>
        <v>649.66999999999996</v>
      </c>
      <c r="M6" s="521">
        <f t="shared" si="1"/>
        <v>0</v>
      </c>
      <c r="N6" s="521">
        <f t="shared" si="1"/>
        <v>0</v>
      </c>
      <c r="O6" s="521">
        <f t="shared" si="1"/>
        <v>0</v>
      </c>
      <c r="P6" s="522">
        <f t="shared" si="1"/>
        <v>0</v>
      </c>
      <c r="Q6" s="503"/>
      <c r="R6" s="523">
        <f>L6+P6</f>
        <v>649.66999999999996</v>
      </c>
      <c r="S6" s="503"/>
      <c r="T6" s="503"/>
      <c r="U6" s="505"/>
      <c r="V6" s="503"/>
      <c r="W6" s="503"/>
      <c r="X6" s="503"/>
      <c r="Y6" s="503"/>
      <c r="Z6" s="503"/>
    </row>
    <row r="7" spans="1:26" ht="14.25" customHeight="1" x14ac:dyDescent="0.3">
      <c r="A7" s="495"/>
      <c r="C7" s="524"/>
      <c r="D7" s="524"/>
      <c r="E7" s="524"/>
      <c r="F7" s="524"/>
      <c r="G7" s="524"/>
      <c r="H7" s="524"/>
      <c r="I7" s="496"/>
      <c r="J7" s="496"/>
      <c r="K7" s="496"/>
      <c r="L7" s="496"/>
      <c r="M7" s="497"/>
      <c r="N7" s="497"/>
      <c r="O7" s="497"/>
      <c r="P7" s="497"/>
      <c r="R7" s="23"/>
      <c r="U7" s="11"/>
    </row>
    <row r="8" spans="1:26" ht="14.25" customHeight="1" x14ac:dyDescent="0.3">
      <c r="A8" s="506">
        <v>2021</v>
      </c>
      <c r="B8" s="507" t="s">
        <v>818</v>
      </c>
      <c r="C8" s="508">
        <v>45.14</v>
      </c>
      <c r="D8" s="508"/>
      <c r="E8" s="508"/>
      <c r="F8" s="508"/>
      <c r="G8" s="508"/>
      <c r="H8" s="508">
        <v>0.94</v>
      </c>
      <c r="I8" s="509">
        <v>75774.039999999994</v>
      </c>
      <c r="J8" s="509">
        <v>72656.539999999994</v>
      </c>
      <c r="K8" s="509">
        <v>395.57</v>
      </c>
      <c r="L8" s="509">
        <v>3513.07</v>
      </c>
      <c r="M8" s="510">
        <v>1617.32</v>
      </c>
      <c r="N8" s="510">
        <v>1052.6500000000001</v>
      </c>
      <c r="O8" s="510">
        <v>0</v>
      </c>
      <c r="P8" s="511">
        <v>564.66999999999996</v>
      </c>
      <c r="R8" s="23"/>
      <c r="U8" s="11"/>
    </row>
    <row r="9" spans="1:26" ht="14.25" customHeight="1" x14ac:dyDescent="0.3">
      <c r="A9" s="512">
        <v>2021</v>
      </c>
      <c r="B9" s="47" t="s">
        <v>816</v>
      </c>
      <c r="C9" s="513">
        <v>0</v>
      </c>
      <c r="D9" s="513"/>
      <c r="E9" s="513"/>
      <c r="F9" s="513"/>
      <c r="G9" s="513"/>
      <c r="H9" s="513">
        <v>0</v>
      </c>
      <c r="I9" s="514">
        <v>15051.2</v>
      </c>
      <c r="J9" s="514">
        <v>14175.95</v>
      </c>
      <c r="K9" s="514">
        <v>13.41</v>
      </c>
      <c r="L9" s="514">
        <v>888.66</v>
      </c>
      <c r="M9" s="515">
        <v>570.67999999999995</v>
      </c>
      <c r="N9" s="515">
        <v>339.23</v>
      </c>
      <c r="O9" s="515">
        <v>0</v>
      </c>
      <c r="P9" s="516">
        <v>231.45</v>
      </c>
      <c r="R9" s="23"/>
      <c r="U9" s="11"/>
    </row>
    <row r="10" spans="1:26" ht="14.25" customHeight="1" x14ac:dyDescent="0.3">
      <c r="A10" s="512">
        <v>2021</v>
      </c>
      <c r="B10" s="47" t="s">
        <v>817</v>
      </c>
      <c r="C10" s="513">
        <v>0</v>
      </c>
      <c r="D10" s="513"/>
      <c r="E10" s="513"/>
      <c r="F10" s="513"/>
      <c r="G10" s="513"/>
      <c r="H10" s="513">
        <v>0</v>
      </c>
      <c r="I10" s="514">
        <v>11202.69</v>
      </c>
      <c r="J10" s="514">
        <v>10564.64</v>
      </c>
      <c r="K10" s="514">
        <v>15.33</v>
      </c>
      <c r="L10" s="514">
        <v>653.38</v>
      </c>
      <c r="M10" s="515">
        <v>426.17</v>
      </c>
      <c r="N10" s="515">
        <v>253.66</v>
      </c>
      <c r="O10" s="515">
        <v>0</v>
      </c>
      <c r="P10" s="516">
        <v>172.51</v>
      </c>
      <c r="R10" s="23"/>
      <c r="U10" s="11"/>
    </row>
    <row r="11" spans="1:26" ht="14.25" customHeight="1" x14ac:dyDescent="0.3">
      <c r="A11" s="517">
        <v>2021</v>
      </c>
      <c r="B11" s="518" t="s">
        <v>68</v>
      </c>
      <c r="C11" s="519">
        <f t="shared" ref="C11:P11" si="2">SUM(C8:C10)</f>
        <v>45.14</v>
      </c>
      <c r="D11" s="519">
        <f t="shared" si="2"/>
        <v>0</v>
      </c>
      <c r="E11" s="519">
        <f t="shared" si="2"/>
        <v>0</v>
      </c>
      <c r="F11" s="519">
        <f t="shared" si="2"/>
        <v>0</v>
      </c>
      <c r="G11" s="519">
        <f t="shared" si="2"/>
        <v>0</v>
      </c>
      <c r="H11" s="519">
        <f t="shared" si="2"/>
        <v>0.94</v>
      </c>
      <c r="I11" s="520">
        <f t="shared" si="2"/>
        <v>102027.93</v>
      </c>
      <c r="J11" s="520">
        <f t="shared" si="2"/>
        <v>97397.12999999999</v>
      </c>
      <c r="K11" s="520">
        <f t="shared" si="2"/>
        <v>424.31</v>
      </c>
      <c r="L11" s="520">
        <f t="shared" si="2"/>
        <v>5055.1100000000006</v>
      </c>
      <c r="M11" s="521">
        <f t="shared" si="2"/>
        <v>2614.17</v>
      </c>
      <c r="N11" s="521">
        <f t="shared" si="2"/>
        <v>1645.5400000000002</v>
      </c>
      <c r="O11" s="521">
        <f t="shared" si="2"/>
        <v>0</v>
      </c>
      <c r="P11" s="522">
        <f t="shared" si="2"/>
        <v>968.62999999999988</v>
      </c>
      <c r="Q11" s="503"/>
      <c r="R11" s="523">
        <f>L11+P11</f>
        <v>6023.7400000000007</v>
      </c>
      <c r="S11" s="503"/>
      <c r="T11" s="503"/>
      <c r="U11" s="505"/>
      <c r="V11" s="503"/>
      <c r="W11" s="503"/>
      <c r="X11" s="503"/>
      <c r="Y11" s="503"/>
      <c r="Z11" s="503"/>
    </row>
    <row r="12" spans="1:26" ht="14.25" customHeight="1" x14ac:dyDescent="0.3">
      <c r="A12" s="495"/>
      <c r="C12" s="524"/>
      <c r="D12" s="524"/>
      <c r="E12" s="524"/>
      <c r="F12" s="524"/>
      <c r="G12" s="524"/>
      <c r="H12" s="524"/>
      <c r="I12" s="496"/>
      <c r="J12" s="496"/>
      <c r="K12" s="496"/>
      <c r="L12" s="496"/>
      <c r="M12" s="497"/>
      <c r="N12" s="497"/>
      <c r="O12" s="497"/>
      <c r="P12" s="497"/>
      <c r="R12" s="23"/>
      <c r="U12" s="11"/>
    </row>
    <row r="13" spans="1:26" ht="14.25" customHeight="1" x14ac:dyDescent="0.3">
      <c r="A13" s="506">
        <v>2022</v>
      </c>
      <c r="B13" s="507" t="s">
        <v>815</v>
      </c>
      <c r="C13" s="508">
        <v>220.65</v>
      </c>
      <c r="D13" s="508"/>
      <c r="E13" s="508"/>
      <c r="F13" s="508">
        <v>12.93</v>
      </c>
      <c r="G13" s="508">
        <v>0.32</v>
      </c>
      <c r="H13" s="508">
        <v>0</v>
      </c>
      <c r="I13" s="509">
        <v>94983.37</v>
      </c>
      <c r="J13" s="509">
        <v>112827.17</v>
      </c>
      <c r="K13" s="509">
        <v>1902.03</v>
      </c>
      <c r="L13" s="509">
        <v>-15941.77</v>
      </c>
      <c r="M13" s="510">
        <v>22406.02</v>
      </c>
      <c r="N13" s="510">
        <v>29089.68</v>
      </c>
      <c r="O13" s="510">
        <v>2107.16</v>
      </c>
      <c r="P13" s="511">
        <v>-4576.5</v>
      </c>
      <c r="R13" s="23"/>
      <c r="U13" s="11"/>
    </row>
    <row r="14" spans="1:26" ht="14.25" customHeight="1" x14ac:dyDescent="0.3">
      <c r="A14" s="512">
        <v>2022</v>
      </c>
      <c r="B14" s="47" t="s">
        <v>816</v>
      </c>
      <c r="C14" s="513">
        <v>22.14</v>
      </c>
      <c r="D14" s="513"/>
      <c r="E14" s="513"/>
      <c r="F14" s="513">
        <v>1.2</v>
      </c>
      <c r="G14" s="513">
        <v>0.03</v>
      </c>
      <c r="H14" s="513">
        <v>0</v>
      </c>
      <c r="I14" s="514">
        <v>10363.58</v>
      </c>
      <c r="J14" s="514">
        <v>12096.94</v>
      </c>
      <c r="K14" s="514">
        <v>194.48</v>
      </c>
      <c r="L14" s="514">
        <v>-1538.88</v>
      </c>
      <c r="M14" s="515">
        <v>2634.85</v>
      </c>
      <c r="N14" s="515">
        <v>3549.22</v>
      </c>
      <c r="O14" s="515">
        <v>228.25</v>
      </c>
      <c r="P14" s="516">
        <v>-686.12</v>
      </c>
      <c r="R14" s="23"/>
      <c r="U14" s="11"/>
    </row>
    <row r="15" spans="1:26" ht="14.25" customHeight="1" x14ac:dyDescent="0.3">
      <c r="A15" s="512">
        <v>2022</v>
      </c>
      <c r="B15" s="47" t="s">
        <v>817</v>
      </c>
      <c r="C15" s="513">
        <v>22.04</v>
      </c>
      <c r="D15" s="513"/>
      <c r="E15" s="513"/>
      <c r="F15" s="513">
        <v>1.23</v>
      </c>
      <c r="G15" s="513">
        <v>0.03</v>
      </c>
      <c r="H15" s="513">
        <v>0</v>
      </c>
      <c r="I15" s="514">
        <v>9690.0300000000007</v>
      </c>
      <c r="J15" s="514">
        <v>11200.65</v>
      </c>
      <c r="K15" s="514">
        <v>164.55</v>
      </c>
      <c r="L15" s="514">
        <v>-1346.07</v>
      </c>
      <c r="M15" s="515">
        <v>2439.35</v>
      </c>
      <c r="N15" s="515">
        <v>3222.21</v>
      </c>
      <c r="O15" s="515">
        <v>231.38</v>
      </c>
      <c r="P15" s="516">
        <v>-551.48</v>
      </c>
      <c r="R15" s="23"/>
      <c r="S15" s="495">
        <v>2022</v>
      </c>
      <c r="T15" s="495">
        <v>2023</v>
      </c>
      <c r="U15" s="495">
        <v>2024</v>
      </c>
    </row>
    <row r="16" spans="1:26" ht="14.25" customHeight="1" x14ac:dyDescent="0.3">
      <c r="A16" s="517">
        <v>2022</v>
      </c>
      <c r="B16" s="518" t="s">
        <v>68</v>
      </c>
      <c r="C16" s="519">
        <f t="shared" ref="C16:P16" si="3">SUM(C13:C15)</f>
        <v>264.83000000000004</v>
      </c>
      <c r="D16" s="519">
        <f t="shared" si="3"/>
        <v>0</v>
      </c>
      <c r="E16" s="519">
        <f t="shared" si="3"/>
        <v>0</v>
      </c>
      <c r="F16" s="519">
        <f t="shared" si="3"/>
        <v>15.36</v>
      </c>
      <c r="G16" s="519">
        <f t="shared" si="3"/>
        <v>0.38</v>
      </c>
      <c r="H16" s="519">
        <f t="shared" si="3"/>
        <v>0</v>
      </c>
      <c r="I16" s="520">
        <f t="shared" si="3"/>
        <v>115036.98</v>
      </c>
      <c r="J16" s="520">
        <f t="shared" si="3"/>
        <v>136124.76</v>
      </c>
      <c r="K16" s="520">
        <f t="shared" si="3"/>
        <v>2261.06</v>
      </c>
      <c r="L16" s="520">
        <f t="shared" si="3"/>
        <v>-18826.72</v>
      </c>
      <c r="M16" s="521">
        <f t="shared" si="3"/>
        <v>27480.219999999998</v>
      </c>
      <c r="N16" s="521">
        <f t="shared" si="3"/>
        <v>35861.11</v>
      </c>
      <c r="O16" s="521">
        <f t="shared" si="3"/>
        <v>2566.79</v>
      </c>
      <c r="P16" s="522">
        <f t="shared" si="3"/>
        <v>-5814.1</v>
      </c>
      <c r="Q16" s="503"/>
      <c r="R16" s="504">
        <f>L16+P16</f>
        <v>-24640.82</v>
      </c>
      <c r="S16" s="504">
        <v>3000</v>
      </c>
      <c r="T16" s="504">
        <v>1200.55</v>
      </c>
      <c r="U16" s="525">
        <v>3000</v>
      </c>
      <c r="V16" s="503"/>
      <c r="W16" s="503"/>
      <c r="X16" s="503"/>
      <c r="Y16" s="503"/>
      <c r="Z16" s="503"/>
    </row>
    <row r="17" spans="1:26" ht="14.25" customHeight="1" x14ac:dyDescent="0.3">
      <c r="A17" s="495"/>
      <c r="C17" s="524"/>
      <c r="D17" s="524"/>
      <c r="E17" s="524"/>
      <c r="F17" s="524"/>
      <c r="G17" s="524"/>
      <c r="H17" s="524"/>
      <c r="I17" s="496"/>
      <c r="J17" s="496"/>
      <c r="K17" s="496"/>
      <c r="L17" s="496"/>
      <c r="M17" s="497"/>
      <c r="N17" s="497"/>
      <c r="O17" s="497"/>
      <c r="P17" s="497"/>
      <c r="R17" s="23"/>
      <c r="U17" s="11"/>
    </row>
    <row r="18" spans="1:26" ht="14.25" customHeight="1" x14ac:dyDescent="0.3">
      <c r="A18" s="506">
        <v>2023</v>
      </c>
      <c r="B18" s="507" t="s">
        <v>815</v>
      </c>
      <c r="C18" s="508">
        <v>531.49</v>
      </c>
      <c r="D18" s="508"/>
      <c r="E18" s="508">
        <v>1.08</v>
      </c>
      <c r="F18" s="508">
        <v>1.38</v>
      </c>
      <c r="G18" s="508">
        <v>7.34</v>
      </c>
      <c r="H18" s="508">
        <v>1.65</v>
      </c>
      <c r="I18" s="509">
        <v>30169.67</v>
      </c>
      <c r="J18" s="509">
        <v>31517.34</v>
      </c>
      <c r="K18" s="509">
        <v>680.55</v>
      </c>
      <c r="L18" s="509">
        <v>-667.12</v>
      </c>
      <c r="M18" s="510">
        <v>4072.37</v>
      </c>
      <c r="N18" s="510">
        <v>5526.03</v>
      </c>
      <c r="O18" s="510">
        <v>451.77</v>
      </c>
      <c r="P18" s="511">
        <v>-1001.89</v>
      </c>
      <c r="R18" s="23"/>
      <c r="U18" s="11"/>
    </row>
    <row r="19" spans="1:26" ht="14.25" customHeight="1" x14ac:dyDescent="0.3">
      <c r="A19" s="512">
        <v>2023</v>
      </c>
      <c r="B19" s="47" t="s">
        <v>819</v>
      </c>
      <c r="C19" s="513">
        <v>366.19</v>
      </c>
      <c r="D19" s="513"/>
      <c r="E19" s="513"/>
      <c r="F19" s="513"/>
      <c r="G19" s="513">
        <v>3.11</v>
      </c>
      <c r="H19" s="513">
        <v>3.66</v>
      </c>
      <c r="I19" s="514">
        <v>3673.22</v>
      </c>
      <c r="J19" s="514">
        <v>3685.42</v>
      </c>
      <c r="K19" s="514">
        <v>10.91</v>
      </c>
      <c r="L19" s="514">
        <v>-1.29</v>
      </c>
      <c r="M19" s="515">
        <v>610.11</v>
      </c>
      <c r="N19" s="515">
        <v>701.93</v>
      </c>
      <c r="O19" s="515">
        <v>1.48</v>
      </c>
      <c r="P19" s="516">
        <v>-90.34</v>
      </c>
      <c r="R19" s="23"/>
      <c r="U19" s="11"/>
    </row>
    <row r="20" spans="1:26" ht="14.25" customHeight="1" x14ac:dyDescent="0.3">
      <c r="A20" s="512">
        <v>2023</v>
      </c>
      <c r="B20" s="47" t="s">
        <v>816</v>
      </c>
      <c r="C20" s="513">
        <v>36.15</v>
      </c>
      <c r="D20" s="513"/>
      <c r="E20" s="513">
        <v>0.1</v>
      </c>
      <c r="F20" s="513">
        <v>0.13</v>
      </c>
      <c r="G20" s="513">
        <v>0.64</v>
      </c>
      <c r="H20" s="513">
        <v>0.09</v>
      </c>
      <c r="I20" s="514">
        <v>6803.5</v>
      </c>
      <c r="J20" s="514">
        <v>6582.31</v>
      </c>
      <c r="K20" s="514">
        <v>50.59</v>
      </c>
      <c r="L20" s="514">
        <v>271.77999999999997</v>
      </c>
      <c r="M20" s="515">
        <v>830.72</v>
      </c>
      <c r="N20" s="515">
        <v>1041.3599999999999</v>
      </c>
      <c r="O20" s="515">
        <v>60.19</v>
      </c>
      <c r="P20" s="516">
        <v>-150.44999999999999</v>
      </c>
      <c r="R20" s="23"/>
      <c r="U20" s="11"/>
    </row>
    <row r="21" spans="1:26" ht="14.25" customHeight="1" x14ac:dyDescent="0.3">
      <c r="A21" s="512">
        <v>2023</v>
      </c>
      <c r="B21" s="47" t="s">
        <v>817</v>
      </c>
      <c r="C21" s="513">
        <v>56.85</v>
      </c>
      <c r="D21" s="513"/>
      <c r="E21" s="513">
        <v>0.11</v>
      </c>
      <c r="F21" s="513">
        <v>0.15</v>
      </c>
      <c r="G21" s="513">
        <v>0.77</v>
      </c>
      <c r="H21" s="513">
        <v>0.18</v>
      </c>
      <c r="I21" s="514">
        <v>2976.71</v>
      </c>
      <c r="J21" s="514">
        <v>3097.87</v>
      </c>
      <c r="K21" s="514">
        <v>58.34</v>
      </c>
      <c r="L21" s="514">
        <v>-62.82</v>
      </c>
      <c r="M21" s="515">
        <v>441.52</v>
      </c>
      <c r="N21" s="515">
        <v>587.78</v>
      </c>
      <c r="O21" s="515">
        <v>48.94</v>
      </c>
      <c r="P21" s="516">
        <v>-97.32</v>
      </c>
      <c r="R21" s="23"/>
      <c r="S21" s="495">
        <v>2023</v>
      </c>
      <c r="U21" s="11"/>
    </row>
    <row r="22" spans="1:26" ht="14.25" customHeight="1" x14ac:dyDescent="0.3">
      <c r="A22" s="517">
        <v>2023</v>
      </c>
      <c r="B22" s="518" t="s">
        <v>68</v>
      </c>
      <c r="C22" s="519">
        <f>SUM(C18:C21)</f>
        <v>990.68000000000006</v>
      </c>
      <c r="D22" s="519"/>
      <c r="E22" s="519">
        <f t="shared" ref="E22:P22" si="4">SUM(E18:E21)</f>
        <v>1.2900000000000003</v>
      </c>
      <c r="F22" s="519">
        <f t="shared" si="4"/>
        <v>1.6599999999999997</v>
      </c>
      <c r="G22" s="519">
        <f t="shared" si="4"/>
        <v>11.86</v>
      </c>
      <c r="H22" s="519">
        <f t="shared" si="4"/>
        <v>5.58</v>
      </c>
      <c r="I22" s="520">
        <f t="shared" si="4"/>
        <v>43623.1</v>
      </c>
      <c r="J22" s="520">
        <f t="shared" si="4"/>
        <v>44882.94</v>
      </c>
      <c r="K22" s="520">
        <f t="shared" si="4"/>
        <v>800.39</v>
      </c>
      <c r="L22" s="520">
        <f t="shared" si="4"/>
        <v>-459.45</v>
      </c>
      <c r="M22" s="521">
        <f t="shared" si="4"/>
        <v>5954.7199999999993</v>
      </c>
      <c r="N22" s="521">
        <f t="shared" si="4"/>
        <v>7857.0999999999995</v>
      </c>
      <c r="O22" s="521">
        <f t="shared" si="4"/>
        <v>562.38000000000011</v>
      </c>
      <c r="P22" s="522">
        <f t="shared" si="4"/>
        <v>-1340</v>
      </c>
      <c r="Q22" s="503"/>
      <c r="R22" s="523">
        <f>L22+P22</f>
        <v>-1799.45</v>
      </c>
      <c r="S22" s="523">
        <v>1799.45</v>
      </c>
      <c r="T22" s="503"/>
      <c r="U22" s="505"/>
      <c r="V22" s="503"/>
      <c r="W22" s="503"/>
      <c r="X22" s="503"/>
      <c r="Y22" s="503"/>
      <c r="Z22" s="503"/>
    </row>
    <row r="23" spans="1:26" ht="14.25" customHeight="1" x14ac:dyDescent="0.3">
      <c r="A23" s="495"/>
      <c r="C23" s="524"/>
      <c r="D23" s="524"/>
      <c r="E23" s="524"/>
      <c r="F23" s="524"/>
      <c r="G23" s="524"/>
      <c r="H23" s="524"/>
      <c r="I23" s="496"/>
      <c r="J23" s="496"/>
      <c r="K23" s="496"/>
      <c r="L23" s="496"/>
      <c r="M23" s="497"/>
      <c r="N23" s="497"/>
      <c r="O23" s="497"/>
      <c r="P23" s="497"/>
      <c r="R23" s="23"/>
      <c r="U23" s="11"/>
    </row>
    <row r="24" spans="1:26" ht="14.25" customHeight="1" x14ac:dyDescent="0.3">
      <c r="A24" s="526">
        <v>2024</v>
      </c>
      <c r="B24" s="527">
        <v>255006</v>
      </c>
      <c r="C24" s="528">
        <v>1017.8</v>
      </c>
      <c r="D24" s="528">
        <v>0.73</v>
      </c>
      <c r="E24" s="528">
        <v>0</v>
      </c>
      <c r="F24" s="528">
        <v>0</v>
      </c>
      <c r="G24" s="528">
        <v>15.21</v>
      </c>
      <c r="H24" s="528">
        <v>0.88</v>
      </c>
      <c r="I24" s="529">
        <v>14079.67</v>
      </c>
      <c r="J24" s="529">
        <v>13840.06</v>
      </c>
      <c r="K24" s="529">
        <v>106.57</v>
      </c>
      <c r="L24" s="529">
        <v>346.18</v>
      </c>
      <c r="M24" s="530">
        <v>31521.56</v>
      </c>
      <c r="N24" s="530">
        <v>25753.85</v>
      </c>
      <c r="O24" s="530">
        <v>4.93</v>
      </c>
      <c r="P24" s="531">
        <v>5772.64</v>
      </c>
      <c r="Q24" s="503"/>
      <c r="R24" s="504">
        <f>L24+P24</f>
        <v>6118.8200000000006</v>
      </c>
      <c r="S24" s="503"/>
      <c r="T24" s="503"/>
      <c r="U24" s="505"/>
      <c r="V24" s="503"/>
      <c r="W24" s="503"/>
      <c r="X24" s="503"/>
      <c r="Y24" s="503"/>
      <c r="Z24" s="503"/>
    </row>
    <row r="25" spans="1:26" ht="14.25" customHeight="1" x14ac:dyDescent="0.3">
      <c r="A25" s="49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9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9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9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9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9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9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9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9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9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9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9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9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9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9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9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9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9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9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9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9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9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9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9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9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9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9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9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9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9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9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9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9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9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9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9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9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9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9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9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9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9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9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9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9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9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9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9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9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9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9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9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9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9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9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9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9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9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9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9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9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9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9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9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9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9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9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9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9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9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9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9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9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9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9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9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9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9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9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9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9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9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9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9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9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9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9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9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9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9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9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9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9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9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9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9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9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9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9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9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9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9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9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9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9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9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9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9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9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9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9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9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9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9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9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9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9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9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9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9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9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9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9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9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9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9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9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9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9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9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9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9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9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9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9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9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9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9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9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9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9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9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9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9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9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9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9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9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9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9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9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9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9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9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9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9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9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9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9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9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9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9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9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9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9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9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9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9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9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9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9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9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9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9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9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9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9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9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9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9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9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9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9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9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9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9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9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9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9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9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9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9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9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9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9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9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9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9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9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9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9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9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9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9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9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9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9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9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9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9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9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9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9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9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9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9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9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9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9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9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9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9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9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9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9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9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9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9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9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9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9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9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9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9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9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9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9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9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9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9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9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9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9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9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9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9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9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9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9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9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9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9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9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9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9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9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9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9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9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9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9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9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9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9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9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9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9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9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9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9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9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9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9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9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9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9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9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9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9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9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9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9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9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9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9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9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9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9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9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9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9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9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9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9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9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9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9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9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9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9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9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9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9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9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9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9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9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9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9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9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9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9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9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9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9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9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9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9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9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9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9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9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9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9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9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9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9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9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9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9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9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9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9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9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9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9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9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9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9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9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9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9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9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9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9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9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9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9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9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9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9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9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9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9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9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9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9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9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9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9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9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9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9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9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9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9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9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9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9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9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9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9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9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9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9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9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9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9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9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9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9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9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9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9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9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9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9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9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9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9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9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9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9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9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9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9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9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9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9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9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9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9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9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9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9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9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9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9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9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9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9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9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9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9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9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9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9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9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9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9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9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9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9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9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9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9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9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9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9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9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9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9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9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9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9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9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9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9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9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9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9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9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9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9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9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9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9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9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9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9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9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9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9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9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9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9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9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9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9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9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9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9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9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9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9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9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9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9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9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9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9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9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9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9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9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9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9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9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9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9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9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9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9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9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9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9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9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9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9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9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9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9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9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9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9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9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9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9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9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9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9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9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9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9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9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9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9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9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9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9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9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9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9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9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9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9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9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9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9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9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9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9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9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9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9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9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9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9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9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9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9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9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9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9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9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9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9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9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9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9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9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9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9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9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9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9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9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9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9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9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9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9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9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9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9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9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9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9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9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9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9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9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9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9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9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9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9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9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9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9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9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9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9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9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9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9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9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9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9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9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9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9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9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9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9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9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9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9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9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9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9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9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9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9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9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9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9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9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9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9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9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9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9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9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9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9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9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9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9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9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9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9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9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9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9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9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9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9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9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9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9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9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9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9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9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9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9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9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9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9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9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9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9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9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9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9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9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9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9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9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9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9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9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9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9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9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9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9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9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9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9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9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9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9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9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9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9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9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9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9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9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9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9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9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9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9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9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9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9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9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9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9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9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9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9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9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9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9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9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9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9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9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9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9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9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9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9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9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9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9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9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9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9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9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9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9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9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9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9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9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9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9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9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9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9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9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9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9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9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9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9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9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9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9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9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9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9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9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9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9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9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9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9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9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9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9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9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9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9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9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9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9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9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9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9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9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9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9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9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9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9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9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9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9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9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9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9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9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9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9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9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9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9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9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9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9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9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9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9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9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9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9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9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9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9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9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9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9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9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9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9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9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9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9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9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9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9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9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9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9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9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9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9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9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9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9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9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9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9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9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9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9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9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9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9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9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9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9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9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9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9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9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9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9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9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9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9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9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9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9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9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9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9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9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9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9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9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9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9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9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9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9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9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9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9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9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9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9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9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9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9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9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9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9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9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9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9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9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9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9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9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9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9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9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9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9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9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9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9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9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9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9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9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9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9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9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9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9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9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9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9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9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9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9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9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9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9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9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9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9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9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9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9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9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9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9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9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9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9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9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9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9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9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9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9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9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9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9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9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9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9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9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9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9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9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9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9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9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9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9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9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9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9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9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9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9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9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9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9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9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9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9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9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9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9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9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9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9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9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9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9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9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9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9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9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9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9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9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9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9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9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9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9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9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9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9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9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9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9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9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9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9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9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9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9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9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9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9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9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9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9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9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9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9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9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9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9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9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9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9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9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9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9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9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9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9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9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9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9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9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9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9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9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9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9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9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2026-05-14T21:18:55Z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